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28860" windowHeight="14745" activeTab="3"/>
  </bookViews>
  <sheets>
    <sheet name="WBS in Estimate" sheetId="18" r:id="rId1"/>
    <sheet name="WBS Summary" sheetId="21" r:id="rId2"/>
    <sheet name="WBS Summary by Year" sheetId="20" r:id="rId3"/>
    <sheet name="SUMMARY" sheetId="16" r:id="rId4"/>
    <sheet name="Cost Profile Chart" sheetId="19" r:id="rId5"/>
    <sheet name="Cost by Category" sheetId="23" r:id="rId6"/>
    <sheet name="Pre- and Production" sheetId="13" r:id="rId7"/>
    <sheet name="Rates" sheetId="15" r:id="rId8"/>
    <sheet name="Material Estimates" sheetId="17" r:id="rId9"/>
  </sheets>
  <definedNames>
    <definedName name="CMM">Rates!$C$5</definedName>
    <definedName name="CMM_RD">Rates!$D$5</definedName>
    <definedName name="DES">Rates!$C$8</definedName>
    <definedName name="DES_RD">Rates!$D$8</definedName>
    <definedName name="ENG">Rates!$C$7</definedName>
    <definedName name="ENG_RD">Rates!$D$7</definedName>
    <definedName name="M_Tech">Rates!$C$6</definedName>
    <definedName name="MT">Rates!$C$6</definedName>
    <definedName name="MTECH_RD">Rates!$D$6</definedName>
    <definedName name="_xlnm.Print_Area" localSheetId="6">'Pre- and Production'!$A$1:$AB$376</definedName>
    <definedName name="_xlnm.Print_Area" localSheetId="3">SUMMARY!$A$1:$R$61</definedName>
    <definedName name="_xlnm.Print_Area" localSheetId="1">'WBS Summary'!$C$5:$U$44</definedName>
    <definedName name="_xlnm.Print_Area" localSheetId="2">'WBS Summary by Year'!$B$4:$O$126,'WBS Summary by Year'!$B$128:$O$291</definedName>
    <definedName name="_xlnm.Print_Titles" localSheetId="6">'Pre- and Production'!$2:$3</definedName>
    <definedName name="Shop">Rates!$C$4</definedName>
    <definedName name="Shop_RD">Rates!$D$4</definedName>
  </definedNames>
  <calcPr calcId="125725"/>
</workbook>
</file>

<file path=xl/calcChain.xml><?xml version="1.0" encoding="utf-8"?>
<calcChain xmlns="http://schemas.openxmlformats.org/spreadsheetml/2006/main">
  <c r="W14" i="16"/>
  <c r="I20"/>
  <c r="AR174" i="13"/>
  <c r="AQ174"/>
  <c r="AP174"/>
  <c r="AO174"/>
  <c r="AN174"/>
  <c r="AM174"/>
  <c r="AG174"/>
  <c r="AF174"/>
  <c r="AE174"/>
  <c r="AD174"/>
  <c r="AC174"/>
  <c r="T174"/>
  <c r="S174"/>
  <c r="M174"/>
  <c r="F174"/>
  <c r="AH174" s="1"/>
  <c r="AR113"/>
  <c r="AQ113"/>
  <c r="AP113"/>
  <c r="AO113"/>
  <c r="AN113"/>
  <c r="AM113"/>
  <c r="AG113"/>
  <c r="AF113"/>
  <c r="AE113"/>
  <c r="AD113"/>
  <c r="AC113"/>
  <c r="T113"/>
  <c r="S113"/>
  <c r="M113"/>
  <c r="F113"/>
  <c r="AH113" s="1"/>
  <c r="O174" l="1"/>
  <c r="O113"/>
  <c r="W15" i="16" l="1"/>
  <c r="W16"/>
  <c r="W17"/>
  <c r="W18"/>
  <c r="W19"/>
  <c r="W20" l="1"/>
  <c r="K58"/>
  <c r="A58"/>
  <c r="K49"/>
  <c r="A49"/>
  <c r="K38"/>
  <c r="A38"/>
  <c r="K29"/>
  <c r="A29"/>
  <c r="AL443" i="13"/>
  <c r="AL421"/>
  <c r="AL400"/>
  <c r="AL399"/>
  <c r="K18" i="16"/>
  <c r="A18"/>
  <c r="AB422" i="13"/>
  <c r="AB421"/>
  <c r="AB400"/>
  <c r="AB399"/>
  <c r="AB444"/>
  <c r="AB443"/>
  <c r="AL436"/>
  <c r="AL434"/>
  <c r="AL412"/>
  <c r="AL390"/>
  <c r="AR346"/>
  <c r="AQ346"/>
  <c r="AP346"/>
  <c r="AO346"/>
  <c r="AN346"/>
  <c r="AM346"/>
  <c r="AG346"/>
  <c r="AF346"/>
  <c r="AE346"/>
  <c r="AD346"/>
  <c r="AC346"/>
  <c r="T346"/>
  <c r="S346"/>
  <c r="M346"/>
  <c r="F346"/>
  <c r="AH346" s="1"/>
  <c r="AR345"/>
  <c r="AQ345"/>
  <c r="AP345"/>
  <c r="AO345"/>
  <c r="AN345"/>
  <c r="AM345"/>
  <c r="AG345"/>
  <c r="AF345"/>
  <c r="AE345"/>
  <c r="AD345"/>
  <c r="AC345"/>
  <c r="T345"/>
  <c r="S345"/>
  <c r="M345"/>
  <c r="O345" s="1"/>
  <c r="F345"/>
  <c r="AH345" s="1"/>
  <c r="AR344"/>
  <c r="AQ344"/>
  <c r="AP344"/>
  <c r="AO344"/>
  <c r="AN344"/>
  <c r="AM344"/>
  <c r="AH344"/>
  <c r="AG344"/>
  <c r="AF344"/>
  <c r="AE344"/>
  <c r="AD344"/>
  <c r="AC344"/>
  <c r="T344"/>
  <c r="S344"/>
  <c r="M344"/>
  <c r="O344" s="1"/>
  <c r="F344"/>
  <c r="AR343"/>
  <c r="AQ343"/>
  <c r="AP343"/>
  <c r="AO343"/>
  <c r="AN343"/>
  <c r="AM343"/>
  <c r="AG343"/>
  <c r="AF343"/>
  <c r="AE343"/>
  <c r="AD343"/>
  <c r="AC343"/>
  <c r="T343"/>
  <c r="S343"/>
  <c r="M343"/>
  <c r="F343"/>
  <c r="O343" s="1"/>
  <c r="AQ339"/>
  <c r="AP339"/>
  <c r="AO339"/>
  <c r="AN339"/>
  <c r="AM339"/>
  <c r="AG339"/>
  <c r="AF339"/>
  <c r="AE339"/>
  <c r="AD339"/>
  <c r="AC339"/>
  <c r="T339"/>
  <c r="S339"/>
  <c r="M339"/>
  <c r="F339"/>
  <c r="AH339" s="1"/>
  <c r="AQ338"/>
  <c r="AP338"/>
  <c r="AO338"/>
  <c r="AN338"/>
  <c r="AM338"/>
  <c r="AH338"/>
  <c r="AG338"/>
  <c r="AF338"/>
  <c r="AE338"/>
  <c r="AD338"/>
  <c r="AC338"/>
  <c r="T338"/>
  <c r="S338"/>
  <c r="M338"/>
  <c r="F338"/>
  <c r="AR338" s="1"/>
  <c r="AR337"/>
  <c r="AQ337"/>
  <c r="AP337"/>
  <c r="AO337"/>
  <c r="AN337"/>
  <c r="AM337"/>
  <c r="AG337"/>
  <c r="AF337"/>
  <c r="AE337"/>
  <c r="AD337"/>
  <c r="AC337"/>
  <c r="T337"/>
  <c r="S337"/>
  <c r="M337"/>
  <c r="F337"/>
  <c r="AH337" s="1"/>
  <c r="AR336"/>
  <c r="AQ336"/>
  <c r="AP336"/>
  <c r="AO336"/>
  <c r="AN336"/>
  <c r="AM336"/>
  <c r="AG336"/>
  <c r="AF336"/>
  <c r="AE336"/>
  <c r="AD336"/>
  <c r="AC336"/>
  <c r="T336"/>
  <c r="S336"/>
  <c r="M336"/>
  <c r="F336"/>
  <c r="AH336" s="1"/>
  <c r="AQ327"/>
  <c r="AP327"/>
  <c r="AO327"/>
  <c r="AN327"/>
  <c r="AM327"/>
  <c r="AG327"/>
  <c r="AF327"/>
  <c r="AE327"/>
  <c r="AD327"/>
  <c r="AC327"/>
  <c r="T327"/>
  <c r="S327"/>
  <c r="M327"/>
  <c r="F327"/>
  <c r="AH327" s="1"/>
  <c r="AQ326"/>
  <c r="AP326"/>
  <c r="AO326"/>
  <c r="AN326"/>
  <c r="AM326"/>
  <c r="AG326"/>
  <c r="AF326"/>
  <c r="AE326"/>
  <c r="AD326"/>
  <c r="AC326"/>
  <c r="T326"/>
  <c r="S326"/>
  <c r="M326"/>
  <c r="F326"/>
  <c r="AH326" s="1"/>
  <c r="AR335"/>
  <c r="AQ335"/>
  <c r="AP335"/>
  <c r="AO335"/>
  <c r="AN335"/>
  <c r="AM335"/>
  <c r="AG335"/>
  <c r="AF335"/>
  <c r="AE335"/>
  <c r="AD335"/>
  <c r="AC335"/>
  <c r="T335"/>
  <c r="S335"/>
  <c r="M335"/>
  <c r="F335"/>
  <c r="AH335" s="1"/>
  <c r="AR334"/>
  <c r="AQ334"/>
  <c r="AP334"/>
  <c r="AO334"/>
  <c r="AN334"/>
  <c r="AM334"/>
  <c r="AG334"/>
  <c r="AF334"/>
  <c r="AE334"/>
  <c r="AD334"/>
  <c r="AC334"/>
  <c r="T334"/>
  <c r="S334"/>
  <c r="M334"/>
  <c r="F334"/>
  <c r="AH334" s="1"/>
  <c r="AR333"/>
  <c r="AQ333"/>
  <c r="AP333"/>
  <c r="AO333"/>
  <c r="AN333"/>
  <c r="AM333"/>
  <c r="AG333"/>
  <c r="AF333"/>
  <c r="AE333"/>
  <c r="AD333"/>
  <c r="AC333"/>
  <c r="T333"/>
  <c r="S333"/>
  <c r="M333"/>
  <c r="F333"/>
  <c r="AH333" s="1"/>
  <c r="AR332"/>
  <c r="AQ332"/>
  <c r="AP332"/>
  <c r="AO332"/>
  <c r="AN332"/>
  <c r="AM332"/>
  <c r="AG332"/>
  <c r="AF332"/>
  <c r="AE332"/>
  <c r="AD332"/>
  <c r="AC332"/>
  <c r="T332"/>
  <c r="S332"/>
  <c r="M332"/>
  <c r="F332"/>
  <c r="AH332" s="1"/>
  <c r="AR322"/>
  <c r="AQ322"/>
  <c r="AP322"/>
  <c r="AO322"/>
  <c r="AN322"/>
  <c r="AM322"/>
  <c r="AG322"/>
  <c r="AF322"/>
  <c r="AE322"/>
  <c r="AD322"/>
  <c r="AC322"/>
  <c r="T322"/>
  <c r="S322"/>
  <c r="M322"/>
  <c r="F322"/>
  <c r="AH322" s="1"/>
  <c r="AR321"/>
  <c r="AQ321"/>
  <c r="AP321"/>
  <c r="AO321"/>
  <c r="AN321"/>
  <c r="AM321"/>
  <c r="AG321"/>
  <c r="AF321"/>
  <c r="AE321"/>
  <c r="AD321"/>
  <c r="AC321"/>
  <c r="T321"/>
  <c r="S321"/>
  <c r="M321"/>
  <c r="F321"/>
  <c r="AH321" s="1"/>
  <c r="AR320"/>
  <c r="AQ320"/>
  <c r="AP320"/>
  <c r="AO320"/>
  <c r="AN320"/>
  <c r="AM320"/>
  <c r="AG320"/>
  <c r="AF320"/>
  <c r="AE320"/>
  <c r="AD320"/>
  <c r="AC320"/>
  <c r="T320"/>
  <c r="S320"/>
  <c r="M320"/>
  <c r="F320"/>
  <c r="AH320" s="1"/>
  <c r="AR319"/>
  <c r="AQ319"/>
  <c r="AP319"/>
  <c r="AO319"/>
  <c r="AN319"/>
  <c r="AM319"/>
  <c r="AG319"/>
  <c r="AF319"/>
  <c r="AE319"/>
  <c r="AD319"/>
  <c r="AC319"/>
  <c r="T319"/>
  <c r="S319"/>
  <c r="M319"/>
  <c r="F319"/>
  <c r="AH319" s="1"/>
  <c r="AR318"/>
  <c r="AQ318"/>
  <c r="AP318"/>
  <c r="AO318"/>
  <c r="AN318"/>
  <c r="AM318"/>
  <c r="AG318"/>
  <c r="AF318"/>
  <c r="AE318"/>
  <c r="AD318"/>
  <c r="AC318"/>
  <c r="T318"/>
  <c r="S318"/>
  <c r="M318"/>
  <c r="F318"/>
  <c r="AH318" s="1"/>
  <c r="AR317"/>
  <c r="AQ317"/>
  <c r="AP317"/>
  <c r="AO317"/>
  <c r="AN317"/>
  <c r="AM317"/>
  <c r="AG317"/>
  <c r="AF317"/>
  <c r="AE317"/>
  <c r="AD317"/>
  <c r="AC317"/>
  <c r="T317"/>
  <c r="S317"/>
  <c r="M317"/>
  <c r="F317"/>
  <c r="AH317" s="1"/>
  <c r="AQ308"/>
  <c r="AP308"/>
  <c r="AO308"/>
  <c r="AN308"/>
  <c r="AM308"/>
  <c r="AG308"/>
  <c r="AF308"/>
  <c r="AE308"/>
  <c r="AD308"/>
  <c r="AC308"/>
  <c r="T308"/>
  <c r="S308"/>
  <c r="M308"/>
  <c r="F308"/>
  <c r="AH308" s="1"/>
  <c r="AQ307"/>
  <c r="AP307"/>
  <c r="AO307"/>
  <c r="AN307"/>
  <c r="AM307"/>
  <c r="AH307"/>
  <c r="AG307"/>
  <c r="AF307"/>
  <c r="AE307"/>
  <c r="AD307"/>
  <c r="AC307"/>
  <c r="T307"/>
  <c r="S307"/>
  <c r="M307"/>
  <c r="F307"/>
  <c r="AR307" s="1"/>
  <c r="AQ306"/>
  <c r="AP306"/>
  <c r="AO306"/>
  <c r="AN306"/>
  <c r="AM306"/>
  <c r="AH306"/>
  <c r="AG306"/>
  <c r="AF306"/>
  <c r="AE306"/>
  <c r="AD306"/>
  <c r="AC306"/>
  <c r="T306"/>
  <c r="S306"/>
  <c r="M306"/>
  <c r="F306"/>
  <c r="AR306" s="1"/>
  <c r="AR305"/>
  <c r="AQ305"/>
  <c r="AP305"/>
  <c r="AO305"/>
  <c r="AN305"/>
  <c r="AM305"/>
  <c r="AG305"/>
  <c r="AF305"/>
  <c r="AE305"/>
  <c r="AD305"/>
  <c r="AC305"/>
  <c r="T305"/>
  <c r="S305"/>
  <c r="M305"/>
  <c r="F305"/>
  <c r="AH305" s="1"/>
  <c r="AR304"/>
  <c r="AQ304"/>
  <c r="AP304"/>
  <c r="AO304"/>
  <c r="AN304"/>
  <c r="AM304"/>
  <c r="AG304"/>
  <c r="AF304"/>
  <c r="AE304"/>
  <c r="AD304"/>
  <c r="AC304"/>
  <c r="T304"/>
  <c r="S304"/>
  <c r="M304"/>
  <c r="F304"/>
  <c r="AH304" s="1"/>
  <c r="AR303"/>
  <c r="AQ303"/>
  <c r="AP303"/>
  <c r="AO303"/>
  <c r="AN303"/>
  <c r="AM303"/>
  <c r="AG303"/>
  <c r="AF303"/>
  <c r="AE303"/>
  <c r="AD303"/>
  <c r="AC303"/>
  <c r="T303"/>
  <c r="S303"/>
  <c r="M303"/>
  <c r="F303"/>
  <c r="AH303" s="1"/>
  <c r="AQ348"/>
  <c r="AP348"/>
  <c r="AO348"/>
  <c r="AN348"/>
  <c r="AM348"/>
  <c r="AH348"/>
  <c r="AG348"/>
  <c r="AF348"/>
  <c r="AE348"/>
  <c r="AD348"/>
  <c r="AC348"/>
  <c r="T348"/>
  <c r="S348"/>
  <c r="M348"/>
  <c r="F348"/>
  <c r="AR348" s="1"/>
  <c r="AR347"/>
  <c r="AQ347"/>
  <c r="AP347"/>
  <c r="AO347"/>
  <c r="AN347"/>
  <c r="AM347"/>
  <c r="AG347"/>
  <c r="AF347"/>
  <c r="AE347"/>
  <c r="AD347"/>
  <c r="AC347"/>
  <c r="T347"/>
  <c r="S347"/>
  <c r="M347"/>
  <c r="F347"/>
  <c r="AH347" s="1"/>
  <c r="AR342"/>
  <c r="AQ342"/>
  <c r="AP342"/>
  <c r="AO342"/>
  <c r="AN342"/>
  <c r="AM342"/>
  <c r="AG342"/>
  <c r="AF342"/>
  <c r="AE342"/>
  <c r="AD342"/>
  <c r="AC342"/>
  <c r="T342"/>
  <c r="S342"/>
  <c r="M342"/>
  <c r="M350" s="1"/>
  <c r="F342"/>
  <c r="AH342" s="1"/>
  <c r="AR341"/>
  <c r="AQ341"/>
  <c r="AP341"/>
  <c r="AO341"/>
  <c r="AN341"/>
  <c r="AM341"/>
  <c r="AG341"/>
  <c r="AF341"/>
  <c r="AE341"/>
  <c r="AD341"/>
  <c r="AC341"/>
  <c r="T341"/>
  <c r="S341"/>
  <c r="M341"/>
  <c r="F341"/>
  <c r="AH341" s="1"/>
  <c r="AR330"/>
  <c r="AQ330"/>
  <c r="AP330"/>
  <c r="AO330"/>
  <c r="AN330"/>
  <c r="AM330"/>
  <c r="AG330"/>
  <c r="AF330"/>
  <c r="AE330"/>
  <c r="AD330"/>
  <c r="AC330"/>
  <c r="T330"/>
  <c r="S330"/>
  <c r="M330"/>
  <c r="F330"/>
  <c r="AH330" s="1"/>
  <c r="AR329"/>
  <c r="AQ329"/>
  <c r="AP329"/>
  <c r="AO329"/>
  <c r="AN329"/>
  <c r="AM329"/>
  <c r="AG329"/>
  <c r="AF329"/>
  <c r="AE329"/>
  <c r="AD329"/>
  <c r="AC329"/>
  <c r="T329"/>
  <c r="S329"/>
  <c r="M329"/>
  <c r="F329"/>
  <c r="AH329" s="1"/>
  <c r="AR328"/>
  <c r="AQ328"/>
  <c r="AP328"/>
  <c r="AO328"/>
  <c r="AN328"/>
  <c r="AM328"/>
  <c r="AG328"/>
  <c r="AF328"/>
  <c r="AE328"/>
  <c r="AD328"/>
  <c r="AC328"/>
  <c r="T328"/>
  <c r="S328"/>
  <c r="M328"/>
  <c r="F328"/>
  <c r="AH328" s="1"/>
  <c r="AR325"/>
  <c r="AQ325"/>
  <c r="AP325"/>
  <c r="AO325"/>
  <c r="AN325"/>
  <c r="AM325"/>
  <c r="AG325"/>
  <c r="AF325"/>
  <c r="AE325"/>
  <c r="AD325"/>
  <c r="AC325"/>
  <c r="T325"/>
  <c r="S325"/>
  <c r="M325"/>
  <c r="F325"/>
  <c r="AH325" s="1"/>
  <c r="AR324"/>
  <c r="AQ324"/>
  <c r="AP324"/>
  <c r="AO324"/>
  <c r="AN324"/>
  <c r="AM324"/>
  <c r="AG324"/>
  <c r="AF324"/>
  <c r="AE324"/>
  <c r="AD324"/>
  <c r="AC324"/>
  <c r="T324"/>
  <c r="S324"/>
  <c r="M324"/>
  <c r="F324"/>
  <c r="AH324" s="1"/>
  <c r="AR315"/>
  <c r="AQ315"/>
  <c r="AP315"/>
  <c r="AO315"/>
  <c r="AN315"/>
  <c r="AM315"/>
  <c r="AG315"/>
  <c r="AF315"/>
  <c r="AE315"/>
  <c r="AD315"/>
  <c r="AC315"/>
  <c r="T315"/>
  <c r="S315"/>
  <c r="M315"/>
  <c r="F315"/>
  <c r="AH315" s="1"/>
  <c r="AR314"/>
  <c r="AQ314"/>
  <c r="AP314"/>
  <c r="AO314"/>
  <c r="AN314"/>
  <c r="AM314"/>
  <c r="AG314"/>
  <c r="AF314"/>
  <c r="AE314"/>
  <c r="AD314"/>
  <c r="AC314"/>
  <c r="T314"/>
  <c r="S314"/>
  <c r="M314"/>
  <c r="F314"/>
  <c r="AH314" s="1"/>
  <c r="AR313"/>
  <c r="AQ313"/>
  <c r="AP313"/>
  <c r="AO313"/>
  <c r="AN313"/>
  <c r="AM313"/>
  <c r="AG313"/>
  <c r="AF313"/>
  <c r="AE313"/>
  <c r="AD313"/>
  <c r="AC313"/>
  <c r="T313"/>
  <c r="S313"/>
  <c r="M313"/>
  <c r="F313"/>
  <c r="AH313" s="1"/>
  <c r="AR312"/>
  <c r="AQ312"/>
  <c r="AP312"/>
  <c r="AO312"/>
  <c r="AN312"/>
  <c r="AM312"/>
  <c r="AG312"/>
  <c r="AF312"/>
  <c r="AE312"/>
  <c r="AD312"/>
  <c r="AC312"/>
  <c r="T312"/>
  <c r="S312"/>
  <c r="M312"/>
  <c r="F312"/>
  <c r="AH312" s="1"/>
  <c r="AR311"/>
  <c r="AQ311"/>
  <c r="AP311"/>
  <c r="AO311"/>
  <c r="AN311"/>
  <c r="AM311"/>
  <c r="AG311"/>
  <c r="AF311"/>
  <c r="AE311"/>
  <c r="AD311"/>
  <c r="AC311"/>
  <c r="T311"/>
  <c r="S311"/>
  <c r="M311"/>
  <c r="F311"/>
  <c r="AH311" s="1"/>
  <c r="AR310"/>
  <c r="AQ310"/>
  <c r="AP310"/>
  <c r="AO310"/>
  <c r="AN310"/>
  <c r="AM310"/>
  <c r="AG310"/>
  <c r="AF310"/>
  <c r="AE310"/>
  <c r="AD310"/>
  <c r="AC310"/>
  <c r="T310"/>
  <c r="S310"/>
  <c r="M310"/>
  <c r="F310"/>
  <c r="AH310" s="1"/>
  <c r="AR301"/>
  <c r="AQ301"/>
  <c r="AP301"/>
  <c r="AO301"/>
  <c r="AN301"/>
  <c r="AM301"/>
  <c r="AG301"/>
  <c r="AF301"/>
  <c r="AE301"/>
  <c r="AD301"/>
  <c r="AC301"/>
  <c r="T301"/>
  <c r="S301"/>
  <c r="M301"/>
  <c r="F301"/>
  <c r="AH301" s="1"/>
  <c r="AR300"/>
  <c r="AQ300"/>
  <c r="AP300"/>
  <c r="AO300"/>
  <c r="AN300"/>
  <c r="AM300"/>
  <c r="AG300"/>
  <c r="AF300"/>
  <c r="AE300"/>
  <c r="AD300"/>
  <c r="AC300"/>
  <c r="T300"/>
  <c r="S300"/>
  <c r="M300"/>
  <c r="F300"/>
  <c r="AH300" s="1"/>
  <c r="AR299"/>
  <c r="AQ299"/>
  <c r="AP299"/>
  <c r="AO299"/>
  <c r="AN299"/>
  <c r="AM299"/>
  <c r="AG299"/>
  <c r="AF299"/>
  <c r="AE299"/>
  <c r="AD299"/>
  <c r="AC299"/>
  <c r="T299"/>
  <c r="S299"/>
  <c r="M299"/>
  <c r="F299"/>
  <c r="AH299" s="1"/>
  <c r="AR154"/>
  <c r="AQ154"/>
  <c r="AP154"/>
  <c r="AO154"/>
  <c r="AN154"/>
  <c r="AM154"/>
  <c r="AG154"/>
  <c r="AF154"/>
  <c r="AE154"/>
  <c r="AD154"/>
  <c r="AC154"/>
  <c r="T154"/>
  <c r="S154"/>
  <c r="M154"/>
  <c r="F154"/>
  <c r="AQ153"/>
  <c r="AP153"/>
  <c r="AO153"/>
  <c r="AN153"/>
  <c r="AM153"/>
  <c r="AH153"/>
  <c r="AG153"/>
  <c r="AF153"/>
  <c r="AE153"/>
  <c r="AD153"/>
  <c r="AC153"/>
  <c r="T153"/>
  <c r="S153"/>
  <c r="M153"/>
  <c r="F153"/>
  <c r="AR153" s="1"/>
  <c r="AR152"/>
  <c r="AQ152"/>
  <c r="AP152"/>
  <c r="AO152"/>
  <c r="AN152"/>
  <c r="AM152"/>
  <c r="AG152"/>
  <c r="AF152"/>
  <c r="AE152"/>
  <c r="AD152"/>
  <c r="AC152"/>
  <c r="T152"/>
  <c r="S152"/>
  <c r="M152"/>
  <c r="F152"/>
  <c r="AH152" s="1"/>
  <c r="AQ151"/>
  <c r="AP151"/>
  <c r="AO151"/>
  <c r="AN151"/>
  <c r="AM151"/>
  <c r="AG151"/>
  <c r="AF151"/>
  <c r="AE151"/>
  <c r="AD151"/>
  <c r="AC151"/>
  <c r="T151"/>
  <c r="S151"/>
  <c r="M151"/>
  <c r="F151"/>
  <c r="AH151" s="1"/>
  <c r="AR149"/>
  <c r="AQ149"/>
  <c r="AP149"/>
  <c r="AO149"/>
  <c r="AN149"/>
  <c r="AM149"/>
  <c r="AG149"/>
  <c r="AF149"/>
  <c r="AE149"/>
  <c r="AD149"/>
  <c r="AC149"/>
  <c r="T149"/>
  <c r="S149"/>
  <c r="M149"/>
  <c r="F149"/>
  <c r="AH149" s="1"/>
  <c r="AR147"/>
  <c r="AQ147"/>
  <c r="AP147"/>
  <c r="AO147"/>
  <c r="AN147"/>
  <c r="AM147"/>
  <c r="AG147"/>
  <c r="AF147"/>
  <c r="AE147"/>
  <c r="AD147"/>
  <c r="AC147"/>
  <c r="T147"/>
  <c r="S147"/>
  <c r="M147"/>
  <c r="F147"/>
  <c r="AH147" s="1"/>
  <c r="AR148"/>
  <c r="AR390" s="1"/>
  <c r="Q9" i="16" s="1"/>
  <c r="AQ148" i="13"/>
  <c r="AQ390" s="1"/>
  <c r="P9" i="16" s="1"/>
  <c r="AP148" i="13"/>
  <c r="AP390" s="1"/>
  <c r="O9" i="16" s="1"/>
  <c r="AO148" i="13"/>
  <c r="AO390" s="1"/>
  <c r="N9" i="16" s="1"/>
  <c r="AN148" i="13"/>
  <c r="AN390" s="1"/>
  <c r="M9" i="16" s="1"/>
  <c r="AM148" i="13"/>
  <c r="AM390" s="1"/>
  <c r="L9" i="16" s="1"/>
  <c r="AG148" i="13"/>
  <c r="AG390" s="1"/>
  <c r="F9" i="16" s="1"/>
  <c r="AF148" i="13"/>
  <c r="AF390" s="1"/>
  <c r="E9" i="16" s="1"/>
  <c r="AE148" i="13"/>
  <c r="AE390" s="1"/>
  <c r="D9" i="16" s="1"/>
  <c r="AD148" i="13"/>
  <c r="AD390" s="1"/>
  <c r="C9" i="16" s="1"/>
  <c r="AC148" i="13"/>
  <c r="AC390" s="1"/>
  <c r="B9" i="16" s="1"/>
  <c r="T148" i="13"/>
  <c r="S148"/>
  <c r="M148"/>
  <c r="F148"/>
  <c r="AH148" s="1"/>
  <c r="AH390" s="1"/>
  <c r="G9" i="16" s="1"/>
  <c r="AR146" i="13"/>
  <c r="AQ146"/>
  <c r="AP146"/>
  <c r="AO146"/>
  <c r="AN146"/>
  <c r="AM146"/>
  <c r="AG146"/>
  <c r="AF146"/>
  <c r="AE146"/>
  <c r="AD146"/>
  <c r="AC146"/>
  <c r="T146"/>
  <c r="S146"/>
  <c r="M146"/>
  <c r="F146"/>
  <c r="AH146" s="1"/>
  <c r="AR150"/>
  <c r="AQ150"/>
  <c r="AP150"/>
  <c r="AO150"/>
  <c r="AN150"/>
  <c r="AM150"/>
  <c r="AG150"/>
  <c r="AF150"/>
  <c r="AE150"/>
  <c r="AD150"/>
  <c r="AC150"/>
  <c r="T150"/>
  <c r="S150"/>
  <c r="M150"/>
  <c r="F150"/>
  <c r="AH150" s="1"/>
  <c r="AQ145"/>
  <c r="AP145"/>
  <c r="AO145"/>
  <c r="AN145"/>
  <c r="AM145"/>
  <c r="AH145"/>
  <c r="AG145"/>
  <c r="AF145"/>
  <c r="AE145"/>
  <c r="AD145"/>
  <c r="AC145"/>
  <c r="T145"/>
  <c r="S145"/>
  <c r="M145"/>
  <c r="F145"/>
  <c r="AR145" s="1"/>
  <c r="AR144"/>
  <c r="AQ144"/>
  <c r="AP144"/>
  <c r="AO144"/>
  <c r="AN144"/>
  <c r="AM144"/>
  <c r="AG144"/>
  <c r="AF144"/>
  <c r="AE144"/>
  <c r="AD144"/>
  <c r="AC144"/>
  <c r="T144"/>
  <c r="S144"/>
  <c r="M144"/>
  <c r="F144"/>
  <c r="AH144" s="1"/>
  <c r="AQ143"/>
  <c r="AP143"/>
  <c r="AO143"/>
  <c r="AN143"/>
  <c r="AM143"/>
  <c r="AH143"/>
  <c r="AG143"/>
  <c r="AF143"/>
  <c r="AE143"/>
  <c r="AD143"/>
  <c r="AC143"/>
  <c r="T143"/>
  <c r="S143"/>
  <c r="M143"/>
  <c r="F143"/>
  <c r="AR143" s="1"/>
  <c r="AR142"/>
  <c r="AQ142"/>
  <c r="AP142"/>
  <c r="AO142"/>
  <c r="AN142"/>
  <c r="AM142"/>
  <c r="AG142"/>
  <c r="AF142"/>
  <c r="AE142"/>
  <c r="AD142"/>
  <c r="AC142"/>
  <c r="T142"/>
  <c r="S142"/>
  <c r="M142"/>
  <c r="F142"/>
  <c r="AH142" s="1"/>
  <c r="P23" i="21"/>
  <c r="O23"/>
  <c r="N23"/>
  <c r="M23"/>
  <c r="L23"/>
  <c r="K23"/>
  <c r="J23"/>
  <c r="I23"/>
  <c r="H23"/>
  <c r="G23"/>
  <c r="F23"/>
  <c r="E23"/>
  <c r="P22"/>
  <c r="O22"/>
  <c r="N22"/>
  <c r="M22"/>
  <c r="L22"/>
  <c r="K22"/>
  <c r="J22"/>
  <c r="I22"/>
  <c r="H22"/>
  <c r="G22"/>
  <c r="F22"/>
  <c r="E22"/>
  <c r="A411" i="13"/>
  <c r="B411"/>
  <c r="A413"/>
  <c r="B413"/>
  <c r="A414"/>
  <c r="B414"/>
  <c r="A415"/>
  <c r="B415"/>
  <c r="A416"/>
  <c r="B416"/>
  <c r="A417"/>
  <c r="B417"/>
  <c r="A418"/>
  <c r="B418"/>
  <c r="A419"/>
  <c r="B419"/>
  <c r="A420"/>
  <c r="B420"/>
  <c r="AR254"/>
  <c r="AQ254"/>
  <c r="AP254"/>
  <c r="AO254"/>
  <c r="AN254"/>
  <c r="AM254"/>
  <c r="AG254"/>
  <c r="AF254"/>
  <c r="AE254"/>
  <c r="AD254"/>
  <c r="AC254"/>
  <c r="T254"/>
  <c r="S254"/>
  <c r="M254"/>
  <c r="F254"/>
  <c r="AH254" s="1"/>
  <c r="AR249"/>
  <c r="AQ249"/>
  <c r="AP249"/>
  <c r="AO249"/>
  <c r="AN249"/>
  <c r="AM249"/>
  <c r="AG249"/>
  <c r="AF249"/>
  <c r="AE249"/>
  <c r="AD249"/>
  <c r="AC249"/>
  <c r="T249"/>
  <c r="S249"/>
  <c r="M249"/>
  <c r="F249"/>
  <c r="AH249" s="1"/>
  <c r="AR243"/>
  <c r="AQ243"/>
  <c r="AP243"/>
  <c r="AO243"/>
  <c r="AN243"/>
  <c r="AM243"/>
  <c r="AG243"/>
  <c r="AF243"/>
  <c r="AE243"/>
  <c r="AD243"/>
  <c r="AC243"/>
  <c r="T243"/>
  <c r="S243"/>
  <c r="M243"/>
  <c r="F243"/>
  <c r="AH243" s="1"/>
  <c r="O336" l="1"/>
  <c r="O337"/>
  <c r="O338"/>
  <c r="O339"/>
  <c r="O346"/>
  <c r="O332"/>
  <c r="AR339"/>
  <c r="M349"/>
  <c r="AH343"/>
  <c r="O333"/>
  <c r="M331"/>
  <c r="O335"/>
  <c r="AR327"/>
  <c r="AR326"/>
  <c r="O334"/>
  <c r="O326"/>
  <c r="O327"/>
  <c r="M323"/>
  <c r="M340"/>
  <c r="O317"/>
  <c r="M309"/>
  <c r="O320"/>
  <c r="O321"/>
  <c r="O322"/>
  <c r="O318"/>
  <c r="O319"/>
  <c r="O325"/>
  <c r="O341"/>
  <c r="O342"/>
  <c r="O347"/>
  <c r="O348"/>
  <c r="O306"/>
  <c r="O307"/>
  <c r="O308"/>
  <c r="M316"/>
  <c r="AR308"/>
  <c r="O151"/>
  <c r="O300"/>
  <c r="O301"/>
  <c r="O303"/>
  <c r="O304"/>
  <c r="O305"/>
  <c r="AI349"/>
  <c r="O310"/>
  <c r="O311"/>
  <c r="O312"/>
  <c r="O313"/>
  <c r="O314"/>
  <c r="O315"/>
  <c r="O324"/>
  <c r="O328"/>
  <c r="O329"/>
  <c r="O330"/>
  <c r="O299"/>
  <c r="M302"/>
  <c r="O144"/>
  <c r="O150"/>
  <c r="O148"/>
  <c r="O149"/>
  <c r="AR151"/>
  <c r="O152"/>
  <c r="O153"/>
  <c r="O154"/>
  <c r="O142"/>
  <c r="O143"/>
  <c r="O145"/>
  <c r="O146"/>
  <c r="AH154"/>
  <c r="O249"/>
  <c r="O147"/>
  <c r="M156"/>
  <c r="O243"/>
  <c r="O254"/>
  <c r="U22" i="21"/>
  <c r="U23"/>
  <c r="F115" i="13"/>
  <c r="AR103"/>
  <c r="AQ103"/>
  <c r="AP103"/>
  <c r="AO103"/>
  <c r="AN103"/>
  <c r="AM103"/>
  <c r="AG103"/>
  <c r="AF103"/>
  <c r="AE103"/>
  <c r="AD103"/>
  <c r="AC103"/>
  <c r="T103"/>
  <c r="S103"/>
  <c r="M103"/>
  <c r="F103"/>
  <c r="AH103" s="1"/>
  <c r="AQ100"/>
  <c r="AP100"/>
  <c r="AO100"/>
  <c r="AN100"/>
  <c r="AM100"/>
  <c r="AG100"/>
  <c r="AF100"/>
  <c r="AE100"/>
  <c r="AD100"/>
  <c r="AC100"/>
  <c r="T100"/>
  <c r="S100"/>
  <c r="M100"/>
  <c r="F100"/>
  <c r="AH100" s="1"/>
  <c r="AR99"/>
  <c r="AQ99"/>
  <c r="AP99"/>
  <c r="AO99"/>
  <c r="AN99"/>
  <c r="AM99"/>
  <c r="AG99"/>
  <c r="AF99"/>
  <c r="AE99"/>
  <c r="AD99"/>
  <c r="AC99"/>
  <c r="T99"/>
  <c r="S99"/>
  <c r="M99"/>
  <c r="F99"/>
  <c r="AH99" s="1"/>
  <c r="AQ98"/>
  <c r="AP98"/>
  <c r="AO98"/>
  <c r="AN98"/>
  <c r="AM98"/>
  <c r="AH98"/>
  <c r="AG98"/>
  <c r="AF98"/>
  <c r="AE98"/>
  <c r="AD98"/>
  <c r="AC98"/>
  <c r="T98"/>
  <c r="S98"/>
  <c r="M98"/>
  <c r="F98"/>
  <c r="AR98" s="1"/>
  <c r="AQ140"/>
  <c r="AP140"/>
  <c r="AO140"/>
  <c r="AN140"/>
  <c r="AM140"/>
  <c r="AG140"/>
  <c r="AF140"/>
  <c r="AE140"/>
  <c r="AD140"/>
  <c r="AC140"/>
  <c r="T140"/>
  <c r="S140"/>
  <c r="M140"/>
  <c r="F140"/>
  <c r="AH140" s="1"/>
  <c r="AR139"/>
  <c r="AQ139"/>
  <c r="AP139"/>
  <c r="AO139"/>
  <c r="AN139"/>
  <c r="AM139"/>
  <c r="AG139"/>
  <c r="AF139"/>
  <c r="AE139"/>
  <c r="AD139"/>
  <c r="AC139"/>
  <c r="T139"/>
  <c r="S139"/>
  <c r="M139"/>
  <c r="F139"/>
  <c r="AH139" s="1"/>
  <c r="AR138"/>
  <c r="AQ138"/>
  <c r="AP138"/>
  <c r="AO138"/>
  <c r="AN138"/>
  <c r="AM138"/>
  <c r="AG138"/>
  <c r="AF138"/>
  <c r="AE138"/>
  <c r="AD138"/>
  <c r="AC138"/>
  <c r="T138"/>
  <c r="S138"/>
  <c r="M138"/>
  <c r="F138"/>
  <c r="AH138" s="1"/>
  <c r="AR136"/>
  <c r="AQ136"/>
  <c r="AP136"/>
  <c r="AO136"/>
  <c r="AN136"/>
  <c r="AM136"/>
  <c r="AG136"/>
  <c r="AF136"/>
  <c r="AE136"/>
  <c r="AD136"/>
  <c r="AC136"/>
  <c r="T136"/>
  <c r="S136"/>
  <c r="M136"/>
  <c r="F136"/>
  <c r="AH136" s="1"/>
  <c r="AR135"/>
  <c r="AQ135"/>
  <c r="AP135"/>
  <c r="AO135"/>
  <c r="AN135"/>
  <c r="AM135"/>
  <c r="AG135"/>
  <c r="AF135"/>
  <c r="AE135"/>
  <c r="AD135"/>
  <c r="AC135"/>
  <c r="T135"/>
  <c r="S135"/>
  <c r="M135"/>
  <c r="F135"/>
  <c r="AH135" s="1"/>
  <c r="AR134"/>
  <c r="AQ134"/>
  <c r="AP134"/>
  <c r="AO134"/>
  <c r="AN134"/>
  <c r="AM134"/>
  <c r="AG134"/>
  <c r="AF134"/>
  <c r="AE134"/>
  <c r="AD134"/>
  <c r="AC134"/>
  <c r="T134"/>
  <c r="S134"/>
  <c r="M134"/>
  <c r="F134"/>
  <c r="AH134" s="1"/>
  <c r="AR133"/>
  <c r="AQ133"/>
  <c r="AP133"/>
  <c r="AO133"/>
  <c r="AN133"/>
  <c r="AM133"/>
  <c r="AG133"/>
  <c r="AF133"/>
  <c r="AE133"/>
  <c r="AD133"/>
  <c r="AC133"/>
  <c r="T133"/>
  <c r="S133"/>
  <c r="M133"/>
  <c r="F133"/>
  <c r="AH133" s="1"/>
  <c r="AQ132"/>
  <c r="AP132"/>
  <c r="AO132"/>
  <c r="AN132"/>
  <c r="AM132"/>
  <c r="AH132"/>
  <c r="AG132"/>
  <c r="AF132"/>
  <c r="AE132"/>
  <c r="AD132"/>
  <c r="AC132"/>
  <c r="T132"/>
  <c r="S132"/>
  <c r="M132"/>
  <c r="F132"/>
  <c r="AR132" s="1"/>
  <c r="AQ131"/>
  <c r="AP131"/>
  <c r="AO131"/>
  <c r="AN131"/>
  <c r="AM131"/>
  <c r="AH131"/>
  <c r="AG131"/>
  <c r="AF131"/>
  <c r="AE131"/>
  <c r="AD131"/>
  <c r="AC131"/>
  <c r="T131"/>
  <c r="S131"/>
  <c r="M131"/>
  <c r="F131"/>
  <c r="AR131" s="1"/>
  <c r="AR130"/>
  <c r="AQ130"/>
  <c r="AP130"/>
  <c r="AO130"/>
  <c r="AN130"/>
  <c r="AM130"/>
  <c r="AG130"/>
  <c r="AF130"/>
  <c r="AE130"/>
  <c r="AD130"/>
  <c r="AC130"/>
  <c r="T130"/>
  <c r="S130"/>
  <c r="M130"/>
  <c r="F130"/>
  <c r="AH130" s="1"/>
  <c r="AR129"/>
  <c r="AQ129"/>
  <c r="AP129"/>
  <c r="AO129"/>
  <c r="AN129"/>
  <c r="AM129"/>
  <c r="AG129"/>
  <c r="AF129"/>
  <c r="AE129"/>
  <c r="AD129"/>
  <c r="AC129"/>
  <c r="T129"/>
  <c r="S129"/>
  <c r="M129"/>
  <c r="F129"/>
  <c r="AH129" s="1"/>
  <c r="AR128"/>
  <c r="AQ128"/>
  <c r="AP128"/>
  <c r="AO128"/>
  <c r="AN128"/>
  <c r="AM128"/>
  <c r="AG128"/>
  <c r="AF128"/>
  <c r="AE128"/>
  <c r="AD128"/>
  <c r="AC128"/>
  <c r="T128"/>
  <c r="S128"/>
  <c r="M128"/>
  <c r="F128"/>
  <c r="AH128" s="1"/>
  <c r="AQ126"/>
  <c r="AP126"/>
  <c r="AO126"/>
  <c r="AN126"/>
  <c r="AM126"/>
  <c r="AH126"/>
  <c r="AG126"/>
  <c r="AF126"/>
  <c r="AE126"/>
  <c r="AD126"/>
  <c r="AC126"/>
  <c r="T126"/>
  <c r="S126"/>
  <c r="M126"/>
  <c r="F126"/>
  <c r="AR126" s="1"/>
  <c r="AQ125"/>
  <c r="AP125"/>
  <c r="AO125"/>
  <c r="AN125"/>
  <c r="AM125"/>
  <c r="AH125"/>
  <c r="AG125"/>
  <c r="AF125"/>
  <c r="AE125"/>
  <c r="AD125"/>
  <c r="AC125"/>
  <c r="T125"/>
  <c r="S125"/>
  <c r="M125"/>
  <c r="F125"/>
  <c r="AR125" s="1"/>
  <c r="AR124"/>
  <c r="AQ124"/>
  <c r="AP124"/>
  <c r="AO124"/>
  <c r="AN124"/>
  <c r="AM124"/>
  <c r="AG124"/>
  <c r="AF124"/>
  <c r="AE124"/>
  <c r="AD124"/>
  <c r="AC124"/>
  <c r="T124"/>
  <c r="S124"/>
  <c r="M124"/>
  <c r="F124"/>
  <c r="AH124" s="1"/>
  <c r="AR123"/>
  <c r="AQ123"/>
  <c r="AP123"/>
  <c r="AO123"/>
  <c r="AN123"/>
  <c r="AM123"/>
  <c r="AG123"/>
  <c r="AF123"/>
  <c r="AE123"/>
  <c r="AD123"/>
  <c r="AC123"/>
  <c r="T123"/>
  <c r="S123"/>
  <c r="M123"/>
  <c r="F123"/>
  <c r="AH123" s="1"/>
  <c r="AQ121"/>
  <c r="AP121"/>
  <c r="AO121"/>
  <c r="AN121"/>
  <c r="AM121"/>
  <c r="AH121"/>
  <c r="AG121"/>
  <c r="AF121"/>
  <c r="AE121"/>
  <c r="AD121"/>
  <c r="AC121"/>
  <c r="T121"/>
  <c r="S121"/>
  <c r="M121"/>
  <c r="F121"/>
  <c r="AR121" s="1"/>
  <c r="AR120"/>
  <c r="AQ120"/>
  <c r="AP120"/>
  <c r="AO120"/>
  <c r="AN120"/>
  <c r="AM120"/>
  <c r="AG120"/>
  <c r="AF120"/>
  <c r="AE120"/>
  <c r="AD120"/>
  <c r="AC120"/>
  <c r="T120"/>
  <c r="S120"/>
  <c r="M120"/>
  <c r="F120"/>
  <c r="AH120" s="1"/>
  <c r="AR119"/>
  <c r="AQ119"/>
  <c r="AP119"/>
  <c r="AO119"/>
  <c r="AN119"/>
  <c r="AM119"/>
  <c r="AG119"/>
  <c r="AF119"/>
  <c r="AE119"/>
  <c r="AD119"/>
  <c r="AC119"/>
  <c r="T119"/>
  <c r="S119"/>
  <c r="M119"/>
  <c r="F119"/>
  <c r="AH119" s="1"/>
  <c r="AQ118"/>
  <c r="AP118"/>
  <c r="AO118"/>
  <c r="AN118"/>
  <c r="AM118"/>
  <c r="AH118"/>
  <c r="AG118"/>
  <c r="AF118"/>
  <c r="AE118"/>
  <c r="AD118"/>
  <c r="AC118"/>
  <c r="T118"/>
  <c r="S118"/>
  <c r="M118"/>
  <c r="F118"/>
  <c r="AR118" s="1"/>
  <c r="AQ117"/>
  <c r="AP117"/>
  <c r="AO117"/>
  <c r="AN117"/>
  <c r="AM117"/>
  <c r="AH117"/>
  <c r="AG117"/>
  <c r="AF117"/>
  <c r="AE117"/>
  <c r="AD117"/>
  <c r="AC117"/>
  <c r="T117"/>
  <c r="S117"/>
  <c r="M117"/>
  <c r="F117"/>
  <c r="AR117" s="1"/>
  <c r="AR116"/>
  <c r="AQ116"/>
  <c r="AP116"/>
  <c r="AO116"/>
  <c r="AN116"/>
  <c r="AM116"/>
  <c r="AG116"/>
  <c r="AF116"/>
  <c r="AE116"/>
  <c r="AD116"/>
  <c r="AC116"/>
  <c r="T116"/>
  <c r="S116"/>
  <c r="M116"/>
  <c r="F116"/>
  <c r="AH116" s="1"/>
  <c r="AR115"/>
  <c r="AQ115"/>
  <c r="AP115"/>
  <c r="AO115"/>
  <c r="AN115"/>
  <c r="AM115"/>
  <c r="AG115"/>
  <c r="AF115"/>
  <c r="AE115"/>
  <c r="AD115"/>
  <c r="AC115"/>
  <c r="T115"/>
  <c r="S115"/>
  <c r="M115"/>
  <c r="AH115"/>
  <c r="AR114"/>
  <c r="AQ114"/>
  <c r="AP114"/>
  <c r="AO114"/>
  <c r="AN114"/>
  <c r="AM114"/>
  <c r="AG114"/>
  <c r="AF114"/>
  <c r="AE114"/>
  <c r="AD114"/>
  <c r="AC114"/>
  <c r="T114"/>
  <c r="S114"/>
  <c r="M114"/>
  <c r="F114"/>
  <c r="AH114" s="1"/>
  <c r="AQ112"/>
  <c r="AP112"/>
  <c r="AO112"/>
  <c r="AN112"/>
  <c r="AM112"/>
  <c r="AG112"/>
  <c r="AF112"/>
  <c r="AE112"/>
  <c r="AD112"/>
  <c r="AC112"/>
  <c r="T112"/>
  <c r="S112"/>
  <c r="M112"/>
  <c r="F112"/>
  <c r="AH112" s="1"/>
  <c r="AR111"/>
  <c r="AQ111"/>
  <c r="AP111"/>
  <c r="AO111"/>
  <c r="AN111"/>
  <c r="AM111"/>
  <c r="AG111"/>
  <c r="AF111"/>
  <c r="AE111"/>
  <c r="AD111"/>
  <c r="AC111"/>
  <c r="T111"/>
  <c r="S111"/>
  <c r="M111"/>
  <c r="F111"/>
  <c r="AH111" s="1"/>
  <c r="AQ109"/>
  <c r="AP109"/>
  <c r="AO109"/>
  <c r="AN109"/>
  <c r="AM109"/>
  <c r="AH109"/>
  <c r="AG109"/>
  <c r="AF109"/>
  <c r="AE109"/>
  <c r="AD109"/>
  <c r="AC109"/>
  <c r="T109"/>
  <c r="S109"/>
  <c r="M109"/>
  <c r="F109"/>
  <c r="AR109" s="1"/>
  <c r="AR108"/>
  <c r="AQ108"/>
  <c r="N25" i="21" s="1"/>
  <c r="AP108" i="13"/>
  <c r="L25" i="21" s="1"/>
  <c r="AO108" i="13"/>
  <c r="J25" i="21" s="1"/>
  <c r="AN108" i="13"/>
  <c r="H25" i="21" s="1"/>
  <c r="AM108" i="13"/>
  <c r="F25" i="21" s="1"/>
  <c r="AG108" i="13"/>
  <c r="AF108"/>
  <c r="AE108"/>
  <c r="AD108"/>
  <c r="AC108"/>
  <c r="T108"/>
  <c r="S108"/>
  <c r="M108"/>
  <c r="M110" s="1"/>
  <c r="F108"/>
  <c r="AH108" s="1"/>
  <c r="O25" i="21" s="1"/>
  <c r="AQ106" i="13"/>
  <c r="AP106"/>
  <c r="AO106"/>
  <c r="AN106"/>
  <c r="AM106"/>
  <c r="AH106"/>
  <c r="AG106"/>
  <c r="AF106"/>
  <c r="AE106"/>
  <c r="AD106"/>
  <c r="AC106"/>
  <c r="T106"/>
  <c r="S106"/>
  <c r="M106"/>
  <c r="F106"/>
  <c r="AR106" s="1"/>
  <c r="AR105"/>
  <c r="AQ105"/>
  <c r="AP105"/>
  <c r="AO105"/>
  <c r="AN105"/>
  <c r="AM105"/>
  <c r="AG105"/>
  <c r="AF105"/>
  <c r="AE105"/>
  <c r="AD105"/>
  <c r="AC105"/>
  <c r="T105"/>
  <c r="S105"/>
  <c r="M105"/>
  <c r="F105"/>
  <c r="AH105" s="1"/>
  <c r="AR104"/>
  <c r="AQ104"/>
  <c r="AP104"/>
  <c r="AO104"/>
  <c r="AN104"/>
  <c r="AM104"/>
  <c r="AG104"/>
  <c r="AF104"/>
  <c r="AE104"/>
  <c r="AD104"/>
  <c r="AC104"/>
  <c r="T104"/>
  <c r="S104"/>
  <c r="M104"/>
  <c r="F104"/>
  <c r="AH104" s="1"/>
  <c r="AR102"/>
  <c r="AQ102"/>
  <c r="AP102"/>
  <c r="AO102"/>
  <c r="AN102"/>
  <c r="AM102"/>
  <c r="AG102"/>
  <c r="AF102"/>
  <c r="AE102"/>
  <c r="AD102"/>
  <c r="AC102"/>
  <c r="T102"/>
  <c r="S102"/>
  <c r="M102"/>
  <c r="F102"/>
  <c r="AH102" s="1"/>
  <c r="AR97"/>
  <c r="AQ97"/>
  <c r="AP97"/>
  <c r="AO97"/>
  <c r="AN97"/>
  <c r="AM97"/>
  <c r="AG97"/>
  <c r="AF97"/>
  <c r="AE97"/>
  <c r="AD97"/>
  <c r="AC97"/>
  <c r="T97"/>
  <c r="S97"/>
  <c r="M97"/>
  <c r="F97"/>
  <c r="AH97" s="1"/>
  <c r="P15" i="21"/>
  <c r="O15"/>
  <c r="N15"/>
  <c r="M15"/>
  <c r="L15"/>
  <c r="K15"/>
  <c r="J15"/>
  <c r="I15"/>
  <c r="H15"/>
  <c r="G15"/>
  <c r="F15"/>
  <c r="E15"/>
  <c r="P11"/>
  <c r="O11"/>
  <c r="N11"/>
  <c r="M11"/>
  <c r="L11"/>
  <c r="K11"/>
  <c r="J11"/>
  <c r="I11"/>
  <c r="H11"/>
  <c r="G11"/>
  <c r="F11"/>
  <c r="E11"/>
  <c r="A406" i="13"/>
  <c r="B406"/>
  <c r="A407"/>
  <c r="B407"/>
  <c r="A408"/>
  <c r="B408"/>
  <c r="A409"/>
  <c r="B409"/>
  <c r="A410"/>
  <c r="B410"/>
  <c r="AQ16"/>
  <c r="AP16"/>
  <c r="AO16"/>
  <c r="AN16"/>
  <c r="AM16"/>
  <c r="AG16"/>
  <c r="AF16"/>
  <c r="AE16"/>
  <c r="AD16"/>
  <c r="AC16"/>
  <c r="T16"/>
  <c r="S16"/>
  <c r="M16"/>
  <c r="F16"/>
  <c r="AH16" s="1"/>
  <c r="AQ15"/>
  <c r="AP15"/>
  <c r="AO15"/>
  <c r="AN15"/>
  <c r="AM15"/>
  <c r="AH15"/>
  <c r="AG15"/>
  <c r="AF15"/>
  <c r="AE15"/>
  <c r="AD15"/>
  <c r="AC15"/>
  <c r="T15"/>
  <c r="S15"/>
  <c r="M15"/>
  <c r="F15"/>
  <c r="AR15" s="1"/>
  <c r="AQ14"/>
  <c r="AP14"/>
  <c r="AO14"/>
  <c r="AN14"/>
  <c r="AM14"/>
  <c r="AH14"/>
  <c r="AG14"/>
  <c r="AF14"/>
  <c r="AE14"/>
  <c r="AD14"/>
  <c r="AC14"/>
  <c r="T14"/>
  <c r="S14"/>
  <c r="M14"/>
  <c r="F14"/>
  <c r="AR14" s="1"/>
  <c r="AQ13"/>
  <c r="AP13"/>
  <c r="AO13"/>
  <c r="AN13"/>
  <c r="AM13"/>
  <c r="AG13"/>
  <c r="AF13"/>
  <c r="AE13"/>
  <c r="AD13"/>
  <c r="AC13"/>
  <c r="T13"/>
  <c r="S13"/>
  <c r="M13"/>
  <c r="E13"/>
  <c r="C13"/>
  <c r="AQ12"/>
  <c r="AP12"/>
  <c r="AO12"/>
  <c r="AN12"/>
  <c r="AM12"/>
  <c r="AH12"/>
  <c r="AG12"/>
  <c r="AF12"/>
  <c r="AE12"/>
  <c r="AD12"/>
  <c r="AC12"/>
  <c r="T12"/>
  <c r="S12"/>
  <c r="M12"/>
  <c r="F12"/>
  <c r="AR12" s="1"/>
  <c r="AQ11"/>
  <c r="AP11"/>
  <c r="AO11"/>
  <c r="AN11"/>
  <c r="AM11"/>
  <c r="AH11"/>
  <c r="AG11"/>
  <c r="AF11"/>
  <c r="AE11"/>
  <c r="AD11"/>
  <c r="AC11"/>
  <c r="T11"/>
  <c r="S11"/>
  <c r="M11"/>
  <c r="F11"/>
  <c r="AR11" s="1"/>
  <c r="AQ34"/>
  <c r="AP34"/>
  <c r="AO34"/>
  <c r="AN34"/>
  <c r="AM34"/>
  <c r="AG34"/>
  <c r="AF34"/>
  <c r="AE34"/>
  <c r="AD34"/>
  <c r="AC34"/>
  <c r="T34"/>
  <c r="S34"/>
  <c r="M34"/>
  <c r="F34"/>
  <c r="AH34" s="1"/>
  <c r="AQ33"/>
  <c r="AP33"/>
  <c r="AO33"/>
  <c r="AN33"/>
  <c r="AM33"/>
  <c r="AH33"/>
  <c r="AG33"/>
  <c r="AF33"/>
  <c r="AE33"/>
  <c r="AD33"/>
  <c r="AC33"/>
  <c r="T33"/>
  <c r="S33"/>
  <c r="M33"/>
  <c r="F33"/>
  <c r="AR33" s="1"/>
  <c r="AQ32"/>
  <c r="AP32"/>
  <c r="AO32"/>
  <c r="AN32"/>
  <c r="AM32"/>
  <c r="AH32"/>
  <c r="AG32"/>
  <c r="AF32"/>
  <c r="AE32"/>
  <c r="AD32"/>
  <c r="AC32"/>
  <c r="T32"/>
  <c r="S32"/>
  <c r="M32"/>
  <c r="F32"/>
  <c r="AR32" s="1"/>
  <c r="AQ31"/>
  <c r="AP31"/>
  <c r="AO31"/>
  <c r="AN31"/>
  <c r="AM31"/>
  <c r="AG31"/>
  <c r="AF31"/>
  <c r="AE31"/>
  <c r="AD31"/>
  <c r="AC31"/>
  <c r="T31"/>
  <c r="S31"/>
  <c r="M31"/>
  <c r="E31"/>
  <c r="C31"/>
  <c r="AQ30"/>
  <c r="AP30"/>
  <c r="AO30"/>
  <c r="AN30"/>
  <c r="AM30"/>
  <c r="AH30"/>
  <c r="AG30"/>
  <c r="AF30"/>
  <c r="AE30"/>
  <c r="AD30"/>
  <c r="AC30"/>
  <c r="T30"/>
  <c r="S30"/>
  <c r="M30"/>
  <c r="F30"/>
  <c r="AR30" s="1"/>
  <c r="AQ29"/>
  <c r="AP29"/>
  <c r="AO29"/>
  <c r="AN29"/>
  <c r="AM29"/>
  <c r="AH29"/>
  <c r="AG29"/>
  <c r="AF29"/>
  <c r="AE29"/>
  <c r="AD29"/>
  <c r="AC29"/>
  <c r="T29"/>
  <c r="S29"/>
  <c r="M29"/>
  <c r="F29"/>
  <c r="AR29" s="1"/>
  <c r="AR140" l="1"/>
  <c r="E25" i="21"/>
  <c r="I25"/>
  <c r="M25"/>
  <c r="P25"/>
  <c r="AS349" i="13"/>
  <c r="M155"/>
  <c r="G25" i="21"/>
  <c r="K25"/>
  <c r="M141" i="13"/>
  <c r="U15" i="21"/>
  <c r="O97" i="13"/>
  <c r="U11" i="21"/>
  <c r="O103" i="13"/>
  <c r="AR112"/>
  <c r="O14"/>
  <c r="O15"/>
  <c r="AR100"/>
  <c r="O109"/>
  <c r="O100"/>
  <c r="M107"/>
  <c r="M122"/>
  <c r="M137"/>
  <c r="O16"/>
  <c r="M101"/>
  <c r="M127"/>
  <c r="O11"/>
  <c r="O12"/>
  <c r="F13"/>
  <c r="AH13" s="1"/>
  <c r="O124"/>
  <c r="O125"/>
  <c r="O126"/>
  <c r="O138"/>
  <c r="O139"/>
  <c r="O140"/>
  <c r="O98"/>
  <c r="O99"/>
  <c r="AI155"/>
  <c r="O102"/>
  <c r="O104"/>
  <c r="O105"/>
  <c r="O106"/>
  <c r="O111"/>
  <c r="O112"/>
  <c r="O114"/>
  <c r="O115"/>
  <c r="O116"/>
  <c r="O117"/>
  <c r="O118"/>
  <c r="O119"/>
  <c r="O120"/>
  <c r="O121"/>
  <c r="O128"/>
  <c r="O129"/>
  <c r="O130"/>
  <c r="O131"/>
  <c r="O132"/>
  <c r="O133"/>
  <c r="O134"/>
  <c r="O135"/>
  <c r="O136"/>
  <c r="O108"/>
  <c r="O123"/>
  <c r="O29"/>
  <c r="O30"/>
  <c r="F31"/>
  <c r="O31" s="1"/>
  <c r="O32"/>
  <c r="O33"/>
  <c r="O34"/>
  <c r="AR16"/>
  <c r="AR34"/>
  <c r="O13" l="1"/>
  <c r="U25" i="21"/>
  <c r="AS155" i="13"/>
  <c r="AR13"/>
  <c r="AH31"/>
  <c r="AR31"/>
  <c r="AR367" l="1"/>
  <c r="AQ367"/>
  <c r="AP367"/>
  <c r="AO367"/>
  <c r="AN367"/>
  <c r="AM367"/>
  <c r="AG367"/>
  <c r="AF367"/>
  <c r="AE367"/>
  <c r="AD367"/>
  <c r="AC367"/>
  <c r="T367"/>
  <c r="S367"/>
  <c r="M367"/>
  <c r="F367"/>
  <c r="AH367" s="1"/>
  <c r="AR366"/>
  <c r="AQ366"/>
  <c r="AP366"/>
  <c r="AO366"/>
  <c r="AN366"/>
  <c r="AM366"/>
  <c r="AG366"/>
  <c r="AF366"/>
  <c r="AE366"/>
  <c r="AD366"/>
  <c r="AC366"/>
  <c r="T366"/>
  <c r="S366"/>
  <c r="M366"/>
  <c r="F366"/>
  <c r="AH366" s="1"/>
  <c r="AR365"/>
  <c r="AQ365"/>
  <c r="AP365"/>
  <c r="AO365"/>
  <c r="AN365"/>
  <c r="AM365"/>
  <c r="AG365"/>
  <c r="AF365"/>
  <c r="AE365"/>
  <c r="AD365"/>
  <c r="AC365"/>
  <c r="T365"/>
  <c r="S365"/>
  <c r="M365"/>
  <c r="F365"/>
  <c r="AH365" s="1"/>
  <c r="AR364"/>
  <c r="AQ364"/>
  <c r="AP364"/>
  <c r="AO364"/>
  <c r="AN364"/>
  <c r="AM364"/>
  <c r="AG364"/>
  <c r="AF364"/>
  <c r="AE364"/>
  <c r="AD364"/>
  <c r="AC364"/>
  <c r="T364"/>
  <c r="S364"/>
  <c r="M364"/>
  <c r="F364"/>
  <c r="AH364" s="1"/>
  <c r="AR363"/>
  <c r="AQ363"/>
  <c r="AP363"/>
  <c r="AO363"/>
  <c r="AN363"/>
  <c r="AM363"/>
  <c r="AG363"/>
  <c r="AF363"/>
  <c r="AE363"/>
  <c r="AD363"/>
  <c r="AC363"/>
  <c r="T363"/>
  <c r="S363"/>
  <c r="M363"/>
  <c r="F363"/>
  <c r="AH363" s="1"/>
  <c r="AR362"/>
  <c r="AQ362"/>
  <c r="AP362"/>
  <c r="AO362"/>
  <c r="AN362"/>
  <c r="AM362"/>
  <c r="AG362"/>
  <c r="AF362"/>
  <c r="AE362"/>
  <c r="AD362"/>
  <c r="AC362"/>
  <c r="T362"/>
  <c r="S362"/>
  <c r="M362"/>
  <c r="F362"/>
  <c r="AH362" s="1"/>
  <c r="AR361"/>
  <c r="AQ361"/>
  <c r="AP361"/>
  <c r="AO361"/>
  <c r="AN361"/>
  <c r="AM361"/>
  <c r="AG361"/>
  <c r="AF361"/>
  <c r="AE361"/>
  <c r="AD361"/>
  <c r="AC361"/>
  <c r="T361"/>
  <c r="S361"/>
  <c r="M361"/>
  <c r="F361"/>
  <c r="AH361" s="1"/>
  <c r="AR255"/>
  <c r="AQ255"/>
  <c r="AP255"/>
  <c r="AO255"/>
  <c r="AN255"/>
  <c r="AM255"/>
  <c r="AG255"/>
  <c r="AF255"/>
  <c r="AE255"/>
  <c r="AD255"/>
  <c r="AC255"/>
  <c r="T255"/>
  <c r="S255"/>
  <c r="M255"/>
  <c r="F255"/>
  <c r="AH255" s="1"/>
  <c r="AR246"/>
  <c r="AQ246"/>
  <c r="AP246"/>
  <c r="AO246"/>
  <c r="AN246"/>
  <c r="AM246"/>
  <c r="AG246"/>
  <c r="AF246"/>
  <c r="AE246"/>
  <c r="AD246"/>
  <c r="AC246"/>
  <c r="T246"/>
  <c r="S246"/>
  <c r="M246"/>
  <c r="F246"/>
  <c r="AH246" s="1"/>
  <c r="AR225"/>
  <c r="AQ225"/>
  <c r="AP225"/>
  <c r="AO225"/>
  <c r="AN225"/>
  <c r="AM225"/>
  <c r="AG225"/>
  <c r="AF225"/>
  <c r="AE225"/>
  <c r="AD225"/>
  <c r="AC225"/>
  <c r="T225"/>
  <c r="S225"/>
  <c r="M225"/>
  <c r="F225"/>
  <c r="AH225" s="1"/>
  <c r="AR216"/>
  <c r="AQ216"/>
  <c r="AP216"/>
  <c r="AO216"/>
  <c r="AN216"/>
  <c r="AM216"/>
  <c r="AG216"/>
  <c r="AF216"/>
  <c r="AE216"/>
  <c r="AD216"/>
  <c r="AC216"/>
  <c r="T216"/>
  <c r="S216"/>
  <c r="M216"/>
  <c r="F216"/>
  <c r="AH216" s="1"/>
  <c r="AR208"/>
  <c r="AQ208"/>
  <c r="AP208"/>
  <c r="AO208"/>
  <c r="AN208"/>
  <c r="AM208"/>
  <c r="AG208"/>
  <c r="AF208"/>
  <c r="AE208"/>
  <c r="AD208"/>
  <c r="AC208"/>
  <c r="T208"/>
  <c r="S208"/>
  <c r="M208"/>
  <c r="F208"/>
  <c r="AH208" s="1"/>
  <c r="F199"/>
  <c r="AR200"/>
  <c r="AQ200"/>
  <c r="AP200"/>
  <c r="AO200"/>
  <c r="AN200"/>
  <c r="AM200"/>
  <c r="AG200"/>
  <c r="AF200"/>
  <c r="AE200"/>
  <c r="AD200"/>
  <c r="AC200"/>
  <c r="T200"/>
  <c r="S200"/>
  <c r="M200"/>
  <c r="F200"/>
  <c r="AH200" s="1"/>
  <c r="AQ190"/>
  <c r="AP190"/>
  <c r="AO190"/>
  <c r="AN190"/>
  <c r="AM190"/>
  <c r="AG190"/>
  <c r="AF190"/>
  <c r="AE190"/>
  <c r="AD190"/>
  <c r="AC190"/>
  <c r="T190"/>
  <c r="S190"/>
  <c r="M190"/>
  <c r="F190"/>
  <c r="AH190" s="1"/>
  <c r="F188"/>
  <c r="F189"/>
  <c r="AR188"/>
  <c r="AQ188"/>
  <c r="AP188"/>
  <c r="AO188"/>
  <c r="AN188"/>
  <c r="AM188"/>
  <c r="AG188"/>
  <c r="AF188"/>
  <c r="AE188"/>
  <c r="AD188"/>
  <c r="AC188"/>
  <c r="T188"/>
  <c r="S188"/>
  <c r="M188"/>
  <c r="AH188"/>
  <c r="F168"/>
  <c r="AR169"/>
  <c r="AQ169"/>
  <c r="AP169"/>
  <c r="AO169"/>
  <c r="AN169"/>
  <c r="AM169"/>
  <c r="AG169"/>
  <c r="AF169"/>
  <c r="AE169"/>
  <c r="AD169"/>
  <c r="AC169"/>
  <c r="T169"/>
  <c r="S169"/>
  <c r="M169"/>
  <c r="F169"/>
  <c r="AH169" s="1"/>
  <c r="F160"/>
  <c r="AR161"/>
  <c r="AQ161"/>
  <c r="AP161"/>
  <c r="AO161"/>
  <c r="AN161"/>
  <c r="AM161"/>
  <c r="AG161"/>
  <c r="AF161"/>
  <c r="AE161"/>
  <c r="AD161"/>
  <c r="AC161"/>
  <c r="T161"/>
  <c r="S161"/>
  <c r="M161"/>
  <c r="F161"/>
  <c r="AH161" s="1"/>
  <c r="AR91"/>
  <c r="AQ91"/>
  <c r="AP91"/>
  <c r="AO91"/>
  <c r="AN91"/>
  <c r="AM91"/>
  <c r="AG91"/>
  <c r="AF91"/>
  <c r="AE91"/>
  <c r="AD91"/>
  <c r="AC91"/>
  <c r="T91"/>
  <c r="S91"/>
  <c r="M91"/>
  <c r="F91"/>
  <c r="AH91" s="1"/>
  <c r="F83"/>
  <c r="AR83" s="1"/>
  <c r="AQ83"/>
  <c r="AP83"/>
  <c r="AO83"/>
  <c r="AN83"/>
  <c r="AM83"/>
  <c r="AH83"/>
  <c r="AG83"/>
  <c r="AF83"/>
  <c r="AE83"/>
  <c r="AD83"/>
  <c r="AC83"/>
  <c r="T83"/>
  <c r="S83"/>
  <c r="M83"/>
  <c r="F81"/>
  <c r="AH81" s="1"/>
  <c r="AR81"/>
  <c r="AQ81"/>
  <c r="AP81"/>
  <c r="AO81"/>
  <c r="AN81"/>
  <c r="AM81"/>
  <c r="AG81"/>
  <c r="AF81"/>
  <c r="AE81"/>
  <c r="AD81"/>
  <c r="AC81"/>
  <c r="T81"/>
  <c r="S81"/>
  <c r="M81"/>
  <c r="AR66"/>
  <c r="AQ66"/>
  <c r="AP66"/>
  <c r="AO66"/>
  <c r="AN66"/>
  <c r="AM66"/>
  <c r="AG66"/>
  <c r="AF66"/>
  <c r="AE66"/>
  <c r="AD66"/>
  <c r="AC66"/>
  <c r="T66"/>
  <c r="S66"/>
  <c r="M66"/>
  <c r="F66"/>
  <c r="AH66" s="1"/>
  <c r="AQ52"/>
  <c r="AP52"/>
  <c r="AO52"/>
  <c r="AN52"/>
  <c r="AM52"/>
  <c r="AH52"/>
  <c r="AG52"/>
  <c r="AF52"/>
  <c r="AE52"/>
  <c r="AD52"/>
  <c r="AC52"/>
  <c r="T52"/>
  <c r="S52"/>
  <c r="M52"/>
  <c r="F52"/>
  <c r="AR52" s="1"/>
  <c r="AR51"/>
  <c r="AQ51"/>
  <c r="AP51"/>
  <c r="AO51"/>
  <c r="AN51"/>
  <c r="AM51"/>
  <c r="AG51"/>
  <c r="AF51"/>
  <c r="AE51"/>
  <c r="AD51"/>
  <c r="AC51"/>
  <c r="T51"/>
  <c r="S51"/>
  <c r="M51"/>
  <c r="F51"/>
  <c r="AH51" s="1"/>
  <c r="E8" i="21"/>
  <c r="F8"/>
  <c r="G8"/>
  <c r="H8"/>
  <c r="I8"/>
  <c r="J8"/>
  <c r="K8"/>
  <c r="L8"/>
  <c r="M8"/>
  <c r="N8"/>
  <c r="O8"/>
  <c r="P8"/>
  <c r="E34"/>
  <c r="F34"/>
  <c r="G34"/>
  <c r="H34"/>
  <c r="I34"/>
  <c r="J34"/>
  <c r="K34"/>
  <c r="L34"/>
  <c r="M34"/>
  <c r="N34"/>
  <c r="O34"/>
  <c r="P34"/>
  <c r="AR375" i="13"/>
  <c r="AQ375"/>
  <c r="AP375"/>
  <c r="AO375"/>
  <c r="AN375"/>
  <c r="AM375"/>
  <c r="AG375"/>
  <c r="AF375"/>
  <c r="AE375"/>
  <c r="AD375"/>
  <c r="AC375"/>
  <c r="T375"/>
  <c r="S375"/>
  <c r="M375"/>
  <c r="F375"/>
  <c r="AH375" s="1"/>
  <c r="AR374"/>
  <c r="AQ374"/>
  <c r="AP374"/>
  <c r="AO374"/>
  <c r="AN374"/>
  <c r="AM374"/>
  <c r="AG374"/>
  <c r="AF374"/>
  <c r="AE374"/>
  <c r="AD374"/>
  <c r="AC374"/>
  <c r="T374"/>
  <c r="S374"/>
  <c r="M374"/>
  <c r="F374"/>
  <c r="AH374" s="1"/>
  <c r="AR373"/>
  <c r="AQ373"/>
  <c r="AP373"/>
  <c r="AO373"/>
  <c r="AN373"/>
  <c r="AM373"/>
  <c r="AG373"/>
  <c r="AF373"/>
  <c r="AE373"/>
  <c r="AD373"/>
  <c r="AC373"/>
  <c r="T373"/>
  <c r="S373"/>
  <c r="M373"/>
  <c r="F373"/>
  <c r="AH373" s="1"/>
  <c r="AR372"/>
  <c r="AQ372"/>
  <c r="AP372"/>
  <c r="AO372"/>
  <c r="AN372"/>
  <c r="AM372"/>
  <c r="AG372"/>
  <c r="AF372"/>
  <c r="AE372"/>
  <c r="AD372"/>
  <c r="AC372"/>
  <c r="T372"/>
  <c r="S372"/>
  <c r="M372"/>
  <c r="F372"/>
  <c r="AH372" s="1"/>
  <c r="AR371"/>
  <c r="AQ371"/>
  <c r="AP371"/>
  <c r="AO371"/>
  <c r="AN371"/>
  <c r="AM371"/>
  <c r="AG371"/>
  <c r="AF371"/>
  <c r="AE371"/>
  <c r="AD371"/>
  <c r="AC371"/>
  <c r="T371"/>
  <c r="S371"/>
  <c r="M371"/>
  <c r="F371"/>
  <c r="AH371" s="1"/>
  <c r="AR370"/>
  <c r="AQ370"/>
  <c r="AP370"/>
  <c r="AO370"/>
  <c r="AN370"/>
  <c r="AM370"/>
  <c r="AG370"/>
  <c r="AF370"/>
  <c r="AE370"/>
  <c r="AD370"/>
  <c r="AC370"/>
  <c r="T370"/>
  <c r="S370"/>
  <c r="M370"/>
  <c r="F370"/>
  <c r="AH370" s="1"/>
  <c r="AR369"/>
  <c r="AQ369"/>
  <c r="AP369"/>
  <c r="AO369"/>
  <c r="AN369"/>
  <c r="AM369"/>
  <c r="AG369"/>
  <c r="AF369"/>
  <c r="AE369"/>
  <c r="AD369"/>
  <c r="AC369"/>
  <c r="T369"/>
  <c r="S369"/>
  <c r="M369"/>
  <c r="F369"/>
  <c r="AH369" s="1"/>
  <c r="AQ294"/>
  <c r="AP294"/>
  <c r="AO294"/>
  <c r="AN294"/>
  <c r="AM294"/>
  <c r="AG294"/>
  <c r="AF294"/>
  <c r="AE294"/>
  <c r="AD294"/>
  <c r="AC294"/>
  <c r="T294"/>
  <c r="S294"/>
  <c r="M294"/>
  <c r="F294"/>
  <c r="AH294" s="1"/>
  <c r="AR293"/>
  <c r="AQ293"/>
  <c r="AP293"/>
  <c r="AO293"/>
  <c r="AN293"/>
  <c r="AM293"/>
  <c r="AG293"/>
  <c r="AF293"/>
  <c r="AE293"/>
  <c r="AD293"/>
  <c r="AC293"/>
  <c r="T293"/>
  <c r="S293"/>
  <c r="M293"/>
  <c r="F293"/>
  <c r="AH293" s="1"/>
  <c r="AR292"/>
  <c r="AQ292"/>
  <c r="AP292"/>
  <c r="AO292"/>
  <c r="AN292"/>
  <c r="AM292"/>
  <c r="AG292"/>
  <c r="AF292"/>
  <c r="AE292"/>
  <c r="AD292"/>
  <c r="AC292"/>
  <c r="T292"/>
  <c r="S292"/>
  <c r="M292"/>
  <c r="F292"/>
  <c r="AH292" s="1"/>
  <c r="AR291"/>
  <c r="AQ291"/>
  <c r="AP291"/>
  <c r="L21" i="21" s="1"/>
  <c r="AO291" i="13"/>
  <c r="AN291"/>
  <c r="H21" i="21" s="1"/>
  <c r="AM291" i="13"/>
  <c r="AG291"/>
  <c r="M21" i="21" s="1"/>
  <c r="AF291" i="13"/>
  <c r="K21" i="21" s="1"/>
  <c r="AE291" i="13"/>
  <c r="I21" i="21" s="1"/>
  <c r="AD291" i="13"/>
  <c r="G21" i="21" s="1"/>
  <c r="AC291" i="13"/>
  <c r="E21" i="21" s="1"/>
  <c r="T291" i="13"/>
  <c r="S291"/>
  <c r="M291"/>
  <c r="F291"/>
  <c r="AH291" s="1"/>
  <c r="O21" i="21" s="1"/>
  <c r="AR286" i="13"/>
  <c r="AQ286"/>
  <c r="AP286"/>
  <c r="AO286"/>
  <c r="AN286"/>
  <c r="AM286"/>
  <c r="AG286"/>
  <c r="AF286"/>
  <c r="AE286"/>
  <c r="AD286"/>
  <c r="AC286"/>
  <c r="T286"/>
  <c r="S286"/>
  <c r="M286"/>
  <c r="F286"/>
  <c r="AH286" s="1"/>
  <c r="AR289"/>
  <c r="AQ289"/>
  <c r="AP289"/>
  <c r="AO289"/>
  <c r="AN289"/>
  <c r="AM289"/>
  <c r="AG289"/>
  <c r="AF289"/>
  <c r="AE289"/>
  <c r="AD289"/>
  <c r="AC289"/>
  <c r="T289"/>
  <c r="S289"/>
  <c r="M289"/>
  <c r="F289"/>
  <c r="AH289" s="1"/>
  <c r="AR288"/>
  <c r="AQ288"/>
  <c r="AP288"/>
  <c r="AO288"/>
  <c r="AN288"/>
  <c r="AM288"/>
  <c r="AG288"/>
  <c r="AF288"/>
  <c r="AE288"/>
  <c r="AD288"/>
  <c r="AC288"/>
  <c r="T288"/>
  <c r="S288"/>
  <c r="M288"/>
  <c r="F288"/>
  <c r="AH288" s="1"/>
  <c r="AR287"/>
  <c r="AQ287"/>
  <c r="AP287"/>
  <c r="AO287"/>
  <c r="AN287"/>
  <c r="AM287"/>
  <c r="AG287"/>
  <c r="AF287"/>
  <c r="AE287"/>
  <c r="AD287"/>
  <c r="AC287"/>
  <c r="T287"/>
  <c r="S287"/>
  <c r="M287"/>
  <c r="F287"/>
  <c r="AH287" s="1"/>
  <c r="AR285"/>
  <c r="AQ285"/>
  <c r="N20" i="21" s="1"/>
  <c r="AP285" i="13"/>
  <c r="AO285"/>
  <c r="J20" i="21" s="1"/>
  <c r="AN285" i="13"/>
  <c r="AM285"/>
  <c r="F20" i="21" s="1"/>
  <c r="AG285" i="13"/>
  <c r="AF285"/>
  <c r="K20" i="21" s="1"/>
  <c r="AE285" i="13"/>
  <c r="AD285"/>
  <c r="G20" i="21" s="1"/>
  <c r="AC285" i="13"/>
  <c r="T285"/>
  <c r="S285"/>
  <c r="M285"/>
  <c r="F285"/>
  <c r="AH285" s="1"/>
  <c r="AQ283"/>
  <c r="AP283"/>
  <c r="AO283"/>
  <c r="AN283"/>
  <c r="AM283"/>
  <c r="AG283"/>
  <c r="AF283"/>
  <c r="AE283"/>
  <c r="AD283"/>
  <c r="AC283"/>
  <c r="T283"/>
  <c r="S283"/>
  <c r="M283"/>
  <c r="F283"/>
  <c r="AH283" s="1"/>
  <c r="AQ282"/>
  <c r="AP282"/>
  <c r="AO282"/>
  <c r="AN282"/>
  <c r="AM282"/>
  <c r="AH282"/>
  <c r="AG282"/>
  <c r="AF282"/>
  <c r="AE282"/>
  <c r="AD282"/>
  <c r="AC282"/>
  <c r="T282"/>
  <c r="S282"/>
  <c r="M282"/>
  <c r="F282"/>
  <c r="AR282" s="1"/>
  <c r="AQ281"/>
  <c r="AP281"/>
  <c r="AO281"/>
  <c r="AN281"/>
  <c r="AM281"/>
  <c r="AH281"/>
  <c r="AG281"/>
  <c r="AF281"/>
  <c r="AE281"/>
  <c r="AD281"/>
  <c r="AC281"/>
  <c r="T281"/>
  <c r="S281"/>
  <c r="M281"/>
  <c r="F281"/>
  <c r="AR281" s="1"/>
  <c r="AQ280"/>
  <c r="AP280"/>
  <c r="AO280"/>
  <c r="AN280"/>
  <c r="AM280"/>
  <c r="AH280"/>
  <c r="AG280"/>
  <c r="AF280"/>
  <c r="AE280"/>
  <c r="AD280"/>
  <c r="AC280"/>
  <c r="T280"/>
  <c r="S280"/>
  <c r="M280"/>
  <c r="F280"/>
  <c r="AR280" s="1"/>
  <c r="AQ279"/>
  <c r="AP279"/>
  <c r="AO279"/>
  <c r="AN279"/>
  <c r="AM279"/>
  <c r="AH279"/>
  <c r="AG279"/>
  <c r="AF279"/>
  <c r="AE279"/>
  <c r="AD279"/>
  <c r="AC279"/>
  <c r="T279"/>
  <c r="S279"/>
  <c r="M279"/>
  <c r="F279"/>
  <c r="AR279" s="1"/>
  <c r="AR278"/>
  <c r="AQ278"/>
  <c r="AP278"/>
  <c r="AO278"/>
  <c r="AN278"/>
  <c r="AM278"/>
  <c r="AG278"/>
  <c r="AF278"/>
  <c r="AE278"/>
  <c r="AD278"/>
  <c r="AC278"/>
  <c r="T278"/>
  <c r="S278"/>
  <c r="M278"/>
  <c r="F278"/>
  <c r="AH278" s="1"/>
  <c r="AR277"/>
  <c r="AQ277"/>
  <c r="AP277"/>
  <c r="AO277"/>
  <c r="AN277"/>
  <c r="AM277"/>
  <c r="AG277"/>
  <c r="AF277"/>
  <c r="AE277"/>
  <c r="AD277"/>
  <c r="AC277"/>
  <c r="T277"/>
  <c r="S277"/>
  <c r="M277"/>
  <c r="F277"/>
  <c r="AH277" s="1"/>
  <c r="AR276"/>
  <c r="AQ276"/>
  <c r="AP276"/>
  <c r="AO276"/>
  <c r="AN276"/>
  <c r="AM276"/>
  <c r="AG276"/>
  <c r="AF276"/>
  <c r="AE276"/>
  <c r="AD276"/>
  <c r="AC276"/>
  <c r="T276"/>
  <c r="S276"/>
  <c r="M276"/>
  <c r="F276"/>
  <c r="AH276" s="1"/>
  <c r="AR275"/>
  <c r="AQ275"/>
  <c r="AP275"/>
  <c r="AO275"/>
  <c r="AN275"/>
  <c r="AM275"/>
  <c r="AG275"/>
  <c r="AF275"/>
  <c r="AE275"/>
  <c r="AD275"/>
  <c r="AC275"/>
  <c r="T275"/>
  <c r="S275"/>
  <c r="M275"/>
  <c r="F275"/>
  <c r="AH275" s="1"/>
  <c r="AR274"/>
  <c r="AQ274"/>
  <c r="AP274"/>
  <c r="L19" i="21" s="1"/>
  <c r="AO274" i="13"/>
  <c r="AN274"/>
  <c r="H19" i="21" s="1"/>
  <c r="AM274" i="13"/>
  <c r="AG274"/>
  <c r="M19" i="21" s="1"/>
  <c r="AF274" i="13"/>
  <c r="AE274"/>
  <c r="I19" i="21" s="1"/>
  <c r="AD274" i="13"/>
  <c r="AC274"/>
  <c r="E19" i="21" s="1"/>
  <c r="T274" i="13"/>
  <c r="S274"/>
  <c r="M274"/>
  <c r="F274"/>
  <c r="AH274" s="1"/>
  <c r="O19" i="21" s="1"/>
  <c r="AR273" i="13"/>
  <c r="AQ273"/>
  <c r="AP273"/>
  <c r="AO273"/>
  <c r="AN273"/>
  <c r="AM273"/>
  <c r="AG273"/>
  <c r="AF273"/>
  <c r="AE273"/>
  <c r="AD273"/>
  <c r="AC273"/>
  <c r="T273"/>
  <c r="S273"/>
  <c r="M273"/>
  <c r="F273"/>
  <c r="AH273" s="1"/>
  <c r="AR272"/>
  <c r="AQ272"/>
  <c r="AP272"/>
  <c r="AO272"/>
  <c r="AN272"/>
  <c r="AM272"/>
  <c r="AG272"/>
  <c r="AF272"/>
  <c r="AE272"/>
  <c r="AD272"/>
  <c r="AC272"/>
  <c r="T272"/>
  <c r="S272"/>
  <c r="M272"/>
  <c r="F272"/>
  <c r="AH272" s="1"/>
  <c r="AR271"/>
  <c r="AQ271"/>
  <c r="AP271"/>
  <c r="AO271"/>
  <c r="AN271"/>
  <c r="AM271"/>
  <c r="AG271"/>
  <c r="AF271"/>
  <c r="AE271"/>
  <c r="AD271"/>
  <c r="AC271"/>
  <c r="T271"/>
  <c r="S271"/>
  <c r="M271"/>
  <c r="F271"/>
  <c r="AH271" s="1"/>
  <c r="AR270"/>
  <c r="AQ270"/>
  <c r="AP270"/>
  <c r="AO270"/>
  <c r="AN270"/>
  <c r="AM270"/>
  <c r="AG270"/>
  <c r="AF270"/>
  <c r="AE270"/>
  <c r="AD270"/>
  <c r="AC270"/>
  <c r="T270"/>
  <c r="S270"/>
  <c r="M270"/>
  <c r="F270"/>
  <c r="AH270" s="1"/>
  <c r="AR269"/>
  <c r="AQ269"/>
  <c r="AP269"/>
  <c r="AO269"/>
  <c r="AN269"/>
  <c r="AM269"/>
  <c r="AG269"/>
  <c r="AF269"/>
  <c r="AE269"/>
  <c r="AD269"/>
  <c r="AC269"/>
  <c r="T269"/>
  <c r="S269"/>
  <c r="M269"/>
  <c r="F269"/>
  <c r="AH269" s="1"/>
  <c r="T29" i="17"/>
  <c r="S29"/>
  <c r="R29"/>
  <c r="L29"/>
  <c r="N29" s="1"/>
  <c r="T28"/>
  <c r="S28"/>
  <c r="R28"/>
  <c r="L28"/>
  <c r="N28" s="1"/>
  <c r="AR267" i="13"/>
  <c r="AQ267"/>
  <c r="AP267"/>
  <c r="AO267"/>
  <c r="AN267"/>
  <c r="AM267"/>
  <c r="AG267"/>
  <c r="AF267"/>
  <c r="AE267"/>
  <c r="AD267"/>
  <c r="AC267"/>
  <c r="T267"/>
  <c r="S267"/>
  <c r="M267"/>
  <c r="F267"/>
  <c r="AH267" s="1"/>
  <c r="AR265"/>
  <c r="AQ265"/>
  <c r="AP265"/>
  <c r="AO265"/>
  <c r="AN265"/>
  <c r="AM265"/>
  <c r="AG265"/>
  <c r="AF265"/>
  <c r="AE265"/>
  <c r="AD265"/>
  <c r="AC265"/>
  <c r="T265"/>
  <c r="S265"/>
  <c r="M265"/>
  <c r="F265"/>
  <c r="AH265" s="1"/>
  <c r="AR266"/>
  <c r="AQ266"/>
  <c r="AP266"/>
  <c r="AO266"/>
  <c r="AN266"/>
  <c r="AM266"/>
  <c r="AG266"/>
  <c r="AF266"/>
  <c r="AE266"/>
  <c r="AD266"/>
  <c r="AC266"/>
  <c r="T266"/>
  <c r="S266"/>
  <c r="M266"/>
  <c r="F266"/>
  <c r="AH266" s="1"/>
  <c r="AR268"/>
  <c r="AQ268"/>
  <c r="AP268"/>
  <c r="AO268"/>
  <c r="AN268"/>
  <c r="AM268"/>
  <c r="AG268"/>
  <c r="AF268"/>
  <c r="AE268"/>
  <c r="AD268"/>
  <c r="AC268"/>
  <c r="T268"/>
  <c r="S268"/>
  <c r="M268"/>
  <c r="F268"/>
  <c r="AH268" s="1"/>
  <c r="AR264"/>
  <c r="AQ264"/>
  <c r="AP264"/>
  <c r="AO264"/>
  <c r="AN264"/>
  <c r="AM264"/>
  <c r="AG264"/>
  <c r="AF264"/>
  <c r="AE264"/>
  <c r="AD264"/>
  <c r="AC264"/>
  <c r="T264"/>
  <c r="S264"/>
  <c r="M264"/>
  <c r="F264"/>
  <c r="AH264" s="1"/>
  <c r="AR262"/>
  <c r="AQ262"/>
  <c r="AP262"/>
  <c r="AO262"/>
  <c r="AN262"/>
  <c r="AM262"/>
  <c r="AG262"/>
  <c r="AF262"/>
  <c r="K18" i="21" s="1"/>
  <c r="AE262" i="13"/>
  <c r="AD262"/>
  <c r="G18" i="21" s="1"/>
  <c r="AC262" i="13"/>
  <c r="T262"/>
  <c r="S262"/>
  <c r="M262"/>
  <c r="F262"/>
  <c r="AH262" s="1"/>
  <c r="AR263"/>
  <c r="AQ263"/>
  <c r="AP263"/>
  <c r="AO263"/>
  <c r="AN263"/>
  <c r="AM263"/>
  <c r="AG263"/>
  <c r="AF263"/>
  <c r="AE263"/>
  <c r="AD263"/>
  <c r="AC263"/>
  <c r="T263"/>
  <c r="S263"/>
  <c r="M263"/>
  <c r="F263"/>
  <c r="AH263" s="1"/>
  <c r="AR259"/>
  <c r="AQ259"/>
  <c r="AP259"/>
  <c r="AO259"/>
  <c r="AN259"/>
  <c r="AM259"/>
  <c r="AG259"/>
  <c r="AF259"/>
  <c r="AE259"/>
  <c r="AD259"/>
  <c r="AC259"/>
  <c r="T259"/>
  <c r="S259"/>
  <c r="M259"/>
  <c r="F259"/>
  <c r="AH259" s="1"/>
  <c r="AR258"/>
  <c r="AQ258"/>
  <c r="AP258"/>
  <c r="AO258"/>
  <c r="AN258"/>
  <c r="AM258"/>
  <c r="AG258"/>
  <c r="AF258"/>
  <c r="AE258"/>
  <c r="AD258"/>
  <c r="AC258"/>
  <c r="T258"/>
  <c r="S258"/>
  <c r="M258"/>
  <c r="F258"/>
  <c r="AH258" s="1"/>
  <c r="T26" i="17"/>
  <c r="S26"/>
  <c r="R26"/>
  <c r="L26"/>
  <c r="N26" s="1"/>
  <c r="AQ250" i="13"/>
  <c r="AP250"/>
  <c r="AO250"/>
  <c r="AN250"/>
  <c r="AM250"/>
  <c r="AG250"/>
  <c r="AF250"/>
  <c r="AE250"/>
  <c r="AD250"/>
  <c r="AC250"/>
  <c r="T250"/>
  <c r="S250"/>
  <c r="M250"/>
  <c r="F250"/>
  <c r="AH250" s="1"/>
  <c r="AR260"/>
  <c r="AQ260"/>
  <c r="AP260"/>
  <c r="AO260"/>
  <c r="AN260"/>
  <c r="AM260"/>
  <c r="AG260"/>
  <c r="AF260"/>
  <c r="AE260"/>
  <c r="AD260"/>
  <c r="AC260"/>
  <c r="T260"/>
  <c r="S260"/>
  <c r="M260"/>
  <c r="F260"/>
  <c r="AH260" s="1"/>
  <c r="AR257"/>
  <c r="AQ257"/>
  <c r="AP257"/>
  <c r="AO257"/>
  <c r="AN257"/>
  <c r="AM257"/>
  <c r="AG257"/>
  <c r="AF257"/>
  <c r="AE257"/>
  <c r="AD257"/>
  <c r="AC257"/>
  <c r="T257"/>
  <c r="S257"/>
  <c r="M257"/>
  <c r="F257"/>
  <c r="AH257" s="1"/>
  <c r="AR256"/>
  <c r="AQ256"/>
  <c r="AP256"/>
  <c r="AO256"/>
  <c r="AN256"/>
  <c r="AM256"/>
  <c r="AG256"/>
  <c r="AF256"/>
  <c r="AE256"/>
  <c r="AD256"/>
  <c r="AC256"/>
  <c r="T256"/>
  <c r="S256"/>
  <c r="M256"/>
  <c r="F256"/>
  <c r="AH256" s="1"/>
  <c r="AR253"/>
  <c r="AQ253"/>
  <c r="AP253"/>
  <c r="AO253"/>
  <c r="AN253"/>
  <c r="AM253"/>
  <c r="AG253"/>
  <c r="AF253"/>
  <c r="AE253"/>
  <c r="AD253"/>
  <c r="AC253"/>
  <c r="T253"/>
  <c r="S253"/>
  <c r="M253"/>
  <c r="F253"/>
  <c r="AH253" s="1"/>
  <c r="T23" i="17"/>
  <c r="S23"/>
  <c r="R23"/>
  <c r="L23"/>
  <c r="N23" s="1"/>
  <c r="T22"/>
  <c r="S22"/>
  <c r="R22"/>
  <c r="L22"/>
  <c r="N22" s="1"/>
  <c r="T18"/>
  <c r="S18"/>
  <c r="R18"/>
  <c r="L18"/>
  <c r="N18" s="1"/>
  <c r="T19"/>
  <c r="S19"/>
  <c r="R19"/>
  <c r="L19"/>
  <c r="N19" s="1"/>
  <c r="AR251" i="13"/>
  <c r="AQ251"/>
  <c r="AP251"/>
  <c r="AO251"/>
  <c r="AN251"/>
  <c r="AM251"/>
  <c r="AG251"/>
  <c r="AF251"/>
  <c r="AE251"/>
  <c r="AD251"/>
  <c r="AC251"/>
  <c r="T251"/>
  <c r="S251"/>
  <c r="M251"/>
  <c r="F251"/>
  <c r="AH251" s="1"/>
  <c r="AR248"/>
  <c r="AQ248"/>
  <c r="AP248"/>
  <c r="AO248"/>
  <c r="AN248"/>
  <c r="AM248"/>
  <c r="AG248"/>
  <c r="AF248"/>
  <c r="AE248"/>
  <c r="AD248"/>
  <c r="AC248"/>
  <c r="T248"/>
  <c r="S248"/>
  <c r="M248"/>
  <c r="F248"/>
  <c r="AH248" s="1"/>
  <c r="AR242"/>
  <c r="AQ242"/>
  <c r="AP242"/>
  <c r="AO242"/>
  <c r="AN242"/>
  <c r="AM242"/>
  <c r="AG242"/>
  <c r="AF242"/>
  <c r="AE242"/>
  <c r="AD242"/>
  <c r="AC242"/>
  <c r="T242"/>
  <c r="S242"/>
  <c r="M242"/>
  <c r="F242"/>
  <c r="AH242" s="1"/>
  <c r="AR240"/>
  <c r="AQ240"/>
  <c r="AP240"/>
  <c r="AO240"/>
  <c r="AN240"/>
  <c r="AM240"/>
  <c r="AG240"/>
  <c r="AF240"/>
  <c r="AE240"/>
  <c r="AD240"/>
  <c r="AC240"/>
  <c r="T240"/>
  <c r="S240"/>
  <c r="M240"/>
  <c r="F240"/>
  <c r="AH240" s="1"/>
  <c r="AR244"/>
  <c r="AQ244"/>
  <c r="AP244"/>
  <c r="AO244"/>
  <c r="AN244"/>
  <c r="AM244"/>
  <c r="AG244"/>
  <c r="AF244"/>
  <c r="AE244"/>
  <c r="AD244"/>
  <c r="AC244"/>
  <c r="T244"/>
  <c r="S244"/>
  <c r="M244"/>
  <c r="F244"/>
  <c r="AH244" s="1"/>
  <c r="AR239"/>
  <c r="AQ239"/>
  <c r="AP239"/>
  <c r="AO239"/>
  <c r="AN239"/>
  <c r="AM239"/>
  <c r="AG239"/>
  <c r="AF239"/>
  <c r="AE239"/>
  <c r="AD239"/>
  <c r="AC239"/>
  <c r="T239"/>
  <c r="S239"/>
  <c r="M239"/>
  <c r="F239"/>
  <c r="AH239" s="1"/>
  <c r="AR232"/>
  <c r="AQ232"/>
  <c r="AP232"/>
  <c r="AO232"/>
  <c r="AN232"/>
  <c r="AM232"/>
  <c r="AH232"/>
  <c r="AG232"/>
  <c r="AF232"/>
  <c r="AE232"/>
  <c r="AD232"/>
  <c r="AC232"/>
  <c r="T232"/>
  <c r="S232"/>
  <c r="M232"/>
  <c r="O232" s="1"/>
  <c r="AR231"/>
  <c r="AQ231"/>
  <c r="AP231"/>
  <c r="AO231"/>
  <c r="AN231"/>
  <c r="AM231"/>
  <c r="AH231"/>
  <c r="AG231"/>
  <c r="AF231"/>
  <c r="AE231"/>
  <c r="AD231"/>
  <c r="AC231"/>
  <c r="T231"/>
  <c r="S231"/>
  <c r="M231"/>
  <c r="O231" s="1"/>
  <c r="AR230"/>
  <c r="AQ230"/>
  <c r="AP230"/>
  <c r="AO230"/>
  <c r="AN230"/>
  <c r="AM230"/>
  <c r="AH230"/>
  <c r="AG230"/>
  <c r="AF230"/>
  <c r="AE230"/>
  <c r="AD230"/>
  <c r="AC230"/>
  <c r="T230"/>
  <c r="S230"/>
  <c r="M230"/>
  <c r="O230" s="1"/>
  <c r="AR229"/>
  <c r="AQ229"/>
  <c r="AP229"/>
  <c r="AO229"/>
  <c r="AN229"/>
  <c r="AM229"/>
  <c r="AH229"/>
  <c r="AG229"/>
  <c r="AF229"/>
  <c r="AE229"/>
  <c r="AD229"/>
  <c r="AC229"/>
  <c r="T229"/>
  <c r="S229"/>
  <c r="M229"/>
  <c r="O229" s="1"/>
  <c r="AR227"/>
  <c r="AQ227"/>
  <c r="AP227"/>
  <c r="AO227"/>
  <c r="AN227"/>
  <c r="AM227"/>
  <c r="AG227"/>
  <c r="AF227"/>
  <c r="AE227"/>
  <c r="AD227"/>
  <c r="AC227"/>
  <c r="T227"/>
  <c r="S227"/>
  <c r="M227"/>
  <c r="F227"/>
  <c r="AH227" s="1"/>
  <c r="AR226"/>
  <c r="AQ226"/>
  <c r="AP226"/>
  <c r="AO226"/>
  <c r="AN226"/>
  <c r="AM226"/>
  <c r="AG226"/>
  <c r="AF226"/>
  <c r="AE226"/>
  <c r="AD226"/>
  <c r="AC226"/>
  <c r="T226"/>
  <c r="S226"/>
  <c r="M226"/>
  <c r="F226"/>
  <c r="AR224"/>
  <c r="AQ224"/>
  <c r="AP224"/>
  <c r="AO224"/>
  <c r="AN224"/>
  <c r="AM224"/>
  <c r="AG224"/>
  <c r="AF224"/>
  <c r="AE224"/>
  <c r="AD224"/>
  <c r="AC224"/>
  <c r="T224"/>
  <c r="S224"/>
  <c r="M224"/>
  <c r="F224"/>
  <c r="AH224" s="1"/>
  <c r="AR221"/>
  <c r="AQ221"/>
  <c r="AP221"/>
  <c r="AO221"/>
  <c r="AN221"/>
  <c r="AM221"/>
  <c r="AG221"/>
  <c r="AF221"/>
  <c r="AE221"/>
  <c r="AD221"/>
  <c r="AC221"/>
  <c r="T221"/>
  <c r="S221"/>
  <c r="M221"/>
  <c r="F221"/>
  <c r="AH221" s="1"/>
  <c r="AQ222"/>
  <c r="AP222"/>
  <c r="AO222"/>
  <c r="AN222"/>
  <c r="AM222"/>
  <c r="AH222"/>
  <c r="AG222"/>
  <c r="AF222"/>
  <c r="AE222"/>
  <c r="AD222"/>
  <c r="AC222"/>
  <c r="T222"/>
  <c r="S222"/>
  <c r="M222"/>
  <c r="F222"/>
  <c r="AR222" s="1"/>
  <c r="AR219"/>
  <c r="AQ219"/>
  <c r="AP219"/>
  <c r="AO219"/>
  <c r="AN219"/>
  <c r="AM219"/>
  <c r="AG219"/>
  <c r="AF219"/>
  <c r="AE219"/>
  <c r="AD219"/>
  <c r="AC219"/>
  <c r="T219"/>
  <c r="S219"/>
  <c r="M219"/>
  <c r="F219"/>
  <c r="AH219" s="1"/>
  <c r="AR220"/>
  <c r="AQ220"/>
  <c r="AP220"/>
  <c r="AO220"/>
  <c r="AN220"/>
  <c r="AM220"/>
  <c r="AG220"/>
  <c r="AF220"/>
  <c r="AE220"/>
  <c r="AD220"/>
  <c r="AC220"/>
  <c r="T220"/>
  <c r="S220"/>
  <c r="M220"/>
  <c r="F220"/>
  <c r="AH220" s="1"/>
  <c r="AQ218"/>
  <c r="AP218"/>
  <c r="AO218"/>
  <c r="AN218"/>
  <c r="AM218"/>
  <c r="AG218"/>
  <c r="AF218"/>
  <c r="AE218"/>
  <c r="AD218"/>
  <c r="AC218"/>
  <c r="T218"/>
  <c r="S218"/>
  <c r="M218"/>
  <c r="F218"/>
  <c r="AH218" s="1"/>
  <c r="AR217"/>
  <c r="AQ217"/>
  <c r="AP217"/>
  <c r="AO217"/>
  <c r="AN217"/>
  <c r="AM217"/>
  <c r="AG217"/>
  <c r="AF217"/>
  <c r="AE217"/>
  <c r="AD217"/>
  <c r="AC217"/>
  <c r="T217"/>
  <c r="S217"/>
  <c r="M217"/>
  <c r="F217"/>
  <c r="AH217" s="1"/>
  <c r="AR215"/>
  <c r="AQ215"/>
  <c r="AP215"/>
  <c r="AO215"/>
  <c r="AN215"/>
  <c r="AM215"/>
  <c r="AG215"/>
  <c r="AF215"/>
  <c r="AE215"/>
  <c r="AD215"/>
  <c r="AC215"/>
  <c r="T215"/>
  <c r="S215"/>
  <c r="M215"/>
  <c r="F215"/>
  <c r="AH215" s="1"/>
  <c r="AQ213"/>
  <c r="AP213"/>
  <c r="AO213"/>
  <c r="AN213"/>
  <c r="AM213"/>
  <c r="AH213"/>
  <c r="AG213"/>
  <c r="AF213"/>
  <c r="AE213"/>
  <c r="AD213"/>
  <c r="AC213"/>
  <c r="T213"/>
  <c r="S213"/>
  <c r="M213"/>
  <c r="F213"/>
  <c r="AR213" s="1"/>
  <c r="AR212"/>
  <c r="AQ212"/>
  <c r="AP212"/>
  <c r="AO212"/>
  <c r="AN212"/>
  <c r="AM212"/>
  <c r="AG212"/>
  <c r="AF212"/>
  <c r="AE212"/>
  <c r="AD212"/>
  <c r="AC212"/>
  <c r="T212"/>
  <c r="S212"/>
  <c r="M212"/>
  <c r="F212"/>
  <c r="AH212" s="1"/>
  <c r="AQ211"/>
  <c r="AP211"/>
  <c r="AO211"/>
  <c r="AN211"/>
  <c r="AM211"/>
  <c r="AG211"/>
  <c r="AF211"/>
  <c r="AE211"/>
  <c r="AD211"/>
  <c r="AC211"/>
  <c r="T211"/>
  <c r="S211"/>
  <c r="M211"/>
  <c r="F211"/>
  <c r="AH211" s="1"/>
  <c r="AR210"/>
  <c r="AQ210"/>
  <c r="AP210"/>
  <c r="AO210"/>
  <c r="AN210"/>
  <c r="AM210"/>
  <c r="AG210"/>
  <c r="AF210"/>
  <c r="AE210"/>
  <c r="AD210"/>
  <c r="AC210"/>
  <c r="T210"/>
  <c r="S210"/>
  <c r="M210"/>
  <c r="F210"/>
  <c r="AH210" s="1"/>
  <c r="T209"/>
  <c r="S209"/>
  <c r="AQ205"/>
  <c r="AP205"/>
  <c r="AO205"/>
  <c r="AN205"/>
  <c r="AM205"/>
  <c r="AH205"/>
  <c r="AG205"/>
  <c r="AF205"/>
  <c r="AE205"/>
  <c r="AD205"/>
  <c r="AC205"/>
  <c r="T205"/>
  <c r="S205"/>
  <c r="M205"/>
  <c r="F205"/>
  <c r="AR205" s="1"/>
  <c r="AR204"/>
  <c r="AQ204"/>
  <c r="AP204"/>
  <c r="AO204"/>
  <c r="AN204"/>
  <c r="AM204"/>
  <c r="AG204"/>
  <c r="AF204"/>
  <c r="AE204"/>
  <c r="AD204"/>
  <c r="AC204"/>
  <c r="T204"/>
  <c r="S204"/>
  <c r="M204"/>
  <c r="F204"/>
  <c r="AH204" s="1"/>
  <c r="AQ203"/>
  <c r="AP203"/>
  <c r="AO203"/>
  <c r="AN203"/>
  <c r="AM203"/>
  <c r="AH203"/>
  <c r="AG203"/>
  <c r="AF203"/>
  <c r="AE203"/>
  <c r="AD203"/>
  <c r="AC203"/>
  <c r="T203"/>
  <c r="S203"/>
  <c r="M203"/>
  <c r="F203"/>
  <c r="AR203" s="1"/>
  <c r="AR202"/>
  <c r="AQ202"/>
  <c r="AP202"/>
  <c r="AO202"/>
  <c r="AN202"/>
  <c r="AM202"/>
  <c r="AG202"/>
  <c r="AF202"/>
  <c r="AE202"/>
  <c r="AD202"/>
  <c r="AC202"/>
  <c r="T202"/>
  <c r="S202"/>
  <c r="M202"/>
  <c r="F202"/>
  <c r="AH202" s="1"/>
  <c r="AR201"/>
  <c r="AQ201"/>
  <c r="AP201"/>
  <c r="AO201"/>
  <c r="AN201"/>
  <c r="AM201"/>
  <c r="AG201"/>
  <c r="AF201"/>
  <c r="AE201"/>
  <c r="AD201"/>
  <c r="AC201"/>
  <c r="T201"/>
  <c r="S201"/>
  <c r="M201"/>
  <c r="F201"/>
  <c r="AH201" s="1"/>
  <c r="AR199"/>
  <c r="AQ199"/>
  <c r="AP199"/>
  <c r="AO199"/>
  <c r="AN199"/>
  <c r="AM199"/>
  <c r="AG199"/>
  <c r="AF199"/>
  <c r="AE199"/>
  <c r="AD199"/>
  <c r="AC199"/>
  <c r="T199"/>
  <c r="S199"/>
  <c r="M199"/>
  <c r="AH199"/>
  <c r="AR195"/>
  <c r="AQ195"/>
  <c r="AP195"/>
  <c r="AO195"/>
  <c r="AN195"/>
  <c r="AM195"/>
  <c r="AG195"/>
  <c r="AF195"/>
  <c r="AE195"/>
  <c r="AD195"/>
  <c r="AC195"/>
  <c r="T195"/>
  <c r="S195"/>
  <c r="M195"/>
  <c r="F195"/>
  <c r="AH195" s="1"/>
  <c r="AQ193"/>
  <c r="AP193"/>
  <c r="AO193"/>
  <c r="AN193"/>
  <c r="AM193"/>
  <c r="AH193"/>
  <c r="AG193"/>
  <c r="AF193"/>
  <c r="AE193"/>
  <c r="AD193"/>
  <c r="AC193"/>
  <c r="T193"/>
  <c r="S193"/>
  <c r="M193"/>
  <c r="F193"/>
  <c r="AR193" s="1"/>
  <c r="AQ194"/>
  <c r="AP194"/>
  <c r="AO194"/>
  <c r="AN194"/>
  <c r="AM194"/>
  <c r="AG194"/>
  <c r="AF194"/>
  <c r="AE194"/>
  <c r="AD194"/>
  <c r="AC194"/>
  <c r="T194"/>
  <c r="S194"/>
  <c r="M194"/>
  <c r="F194"/>
  <c r="AH194" s="1"/>
  <c r="AR192"/>
  <c r="AQ192"/>
  <c r="AP192"/>
  <c r="AO192"/>
  <c r="AN192"/>
  <c r="AM192"/>
  <c r="AG192"/>
  <c r="AF192"/>
  <c r="AE192"/>
  <c r="AD192"/>
  <c r="AC192"/>
  <c r="T192"/>
  <c r="S192"/>
  <c r="M192"/>
  <c r="F192"/>
  <c r="AH192" s="1"/>
  <c r="AQ191"/>
  <c r="AP191"/>
  <c r="AO191"/>
  <c r="AN191"/>
  <c r="AM191"/>
  <c r="AG191"/>
  <c r="AF191"/>
  <c r="AE191"/>
  <c r="AD191"/>
  <c r="AC191"/>
  <c r="T191"/>
  <c r="S191"/>
  <c r="M191"/>
  <c r="F191"/>
  <c r="AR191" s="1"/>
  <c r="AR183"/>
  <c r="AQ183"/>
  <c r="AP183"/>
  <c r="AO183"/>
  <c r="AN183"/>
  <c r="AM183"/>
  <c r="AG183"/>
  <c r="AF183"/>
  <c r="AE183"/>
  <c r="AD183"/>
  <c r="AC183"/>
  <c r="T183"/>
  <c r="S183"/>
  <c r="M183"/>
  <c r="F183"/>
  <c r="AH183" s="1"/>
  <c r="AR182"/>
  <c r="AQ182"/>
  <c r="AP182"/>
  <c r="AO182"/>
  <c r="AN182"/>
  <c r="AM182"/>
  <c r="AG182"/>
  <c r="AF182"/>
  <c r="AE182"/>
  <c r="AD182"/>
  <c r="AC182"/>
  <c r="T182"/>
  <c r="S182"/>
  <c r="M182"/>
  <c r="F182"/>
  <c r="AH182" s="1"/>
  <c r="AQ184"/>
  <c r="AP184"/>
  <c r="AO184"/>
  <c r="AN184"/>
  <c r="AM184"/>
  <c r="AG184"/>
  <c r="AF184"/>
  <c r="AE184"/>
  <c r="AD184"/>
  <c r="AC184"/>
  <c r="T184"/>
  <c r="S184"/>
  <c r="M184"/>
  <c r="F184"/>
  <c r="AH184" s="1"/>
  <c r="AR181"/>
  <c r="AQ181"/>
  <c r="AP181"/>
  <c r="AO181"/>
  <c r="AN181"/>
  <c r="AM181"/>
  <c r="AG181"/>
  <c r="AF181"/>
  <c r="AE181"/>
  <c r="AD181"/>
  <c r="AC181"/>
  <c r="T181"/>
  <c r="S181"/>
  <c r="M181"/>
  <c r="F181"/>
  <c r="AH181" s="1"/>
  <c r="AQ185"/>
  <c r="AP185"/>
  <c r="AO185"/>
  <c r="AN185"/>
  <c r="AM185"/>
  <c r="AG185"/>
  <c r="AF185"/>
  <c r="AE185"/>
  <c r="AD185"/>
  <c r="AC185"/>
  <c r="T185"/>
  <c r="S185"/>
  <c r="M185"/>
  <c r="F185"/>
  <c r="AH185" s="1"/>
  <c r="AR179"/>
  <c r="AQ179"/>
  <c r="AP179"/>
  <c r="AO179"/>
  <c r="AN179"/>
  <c r="AM179"/>
  <c r="AG179"/>
  <c r="AF179"/>
  <c r="AE179"/>
  <c r="AD179"/>
  <c r="AC179"/>
  <c r="T179"/>
  <c r="S179"/>
  <c r="M179"/>
  <c r="F179"/>
  <c r="AH179" s="1"/>
  <c r="AR178"/>
  <c r="AQ178"/>
  <c r="AP178"/>
  <c r="AO178"/>
  <c r="AN178"/>
  <c r="AM178"/>
  <c r="AG178"/>
  <c r="AF178"/>
  <c r="AE178"/>
  <c r="AD178"/>
  <c r="AC178"/>
  <c r="T178"/>
  <c r="S178"/>
  <c r="M178"/>
  <c r="F178"/>
  <c r="AH178" s="1"/>
  <c r="AR175"/>
  <c r="AQ175"/>
  <c r="AP175"/>
  <c r="AO175"/>
  <c r="AN175"/>
  <c r="AM175"/>
  <c r="AG175"/>
  <c r="AF175"/>
  <c r="AE175"/>
  <c r="AD175"/>
  <c r="AC175"/>
  <c r="T175"/>
  <c r="S175"/>
  <c r="M175"/>
  <c r="F175"/>
  <c r="AH175" s="1"/>
  <c r="AQ170"/>
  <c r="AP170"/>
  <c r="AO170"/>
  <c r="AN170"/>
  <c r="AM170"/>
  <c r="AG170"/>
  <c r="AF170"/>
  <c r="AE170"/>
  <c r="AD170"/>
  <c r="AC170"/>
  <c r="T170"/>
  <c r="S170"/>
  <c r="M170"/>
  <c r="F170"/>
  <c r="AH170" s="1"/>
  <c r="AR173"/>
  <c r="AQ173"/>
  <c r="AP173"/>
  <c r="AO173"/>
  <c r="AN173"/>
  <c r="AM173"/>
  <c r="AG173"/>
  <c r="AF173"/>
  <c r="AE173"/>
  <c r="AD173"/>
  <c r="AC173"/>
  <c r="T173"/>
  <c r="S173"/>
  <c r="M173"/>
  <c r="F173"/>
  <c r="AH173" s="1"/>
  <c r="AR92"/>
  <c r="AQ92"/>
  <c r="AP92"/>
  <c r="AO92"/>
  <c r="AN92"/>
  <c r="AM92"/>
  <c r="AG92"/>
  <c r="AF92"/>
  <c r="AE92"/>
  <c r="AD92"/>
  <c r="AC92"/>
  <c r="T92"/>
  <c r="S92"/>
  <c r="M92"/>
  <c r="F92"/>
  <c r="AH92" s="1"/>
  <c r="AR90"/>
  <c r="AQ90"/>
  <c r="AP90"/>
  <c r="AO90"/>
  <c r="AN90"/>
  <c r="AM90"/>
  <c r="AG90"/>
  <c r="AF90"/>
  <c r="AE90"/>
  <c r="AD90"/>
  <c r="AC90"/>
  <c r="T90"/>
  <c r="S90"/>
  <c r="M90"/>
  <c r="F90"/>
  <c r="AH90" s="1"/>
  <c r="AR88"/>
  <c r="AQ88"/>
  <c r="AP88"/>
  <c r="AO88"/>
  <c r="AN88"/>
  <c r="AM88"/>
  <c r="AG88"/>
  <c r="AF88"/>
  <c r="AE88"/>
  <c r="AD88"/>
  <c r="AC88"/>
  <c r="T88"/>
  <c r="S88"/>
  <c r="M88"/>
  <c r="F88"/>
  <c r="AH88" s="1"/>
  <c r="AR87"/>
  <c r="AQ87"/>
  <c r="AP87"/>
  <c r="AO87"/>
  <c r="AN87"/>
  <c r="AM87"/>
  <c r="AG87"/>
  <c r="AF87"/>
  <c r="AE87"/>
  <c r="AD87"/>
  <c r="AC87"/>
  <c r="T87"/>
  <c r="S87"/>
  <c r="M87"/>
  <c r="F87"/>
  <c r="AH87" s="1"/>
  <c r="AR86"/>
  <c r="AQ86"/>
  <c r="AP86"/>
  <c r="AO86"/>
  <c r="AN86"/>
  <c r="AM86"/>
  <c r="AG86"/>
  <c r="AF86"/>
  <c r="AE86"/>
  <c r="AD86"/>
  <c r="AC86"/>
  <c r="T86"/>
  <c r="S86"/>
  <c r="M86"/>
  <c r="F86"/>
  <c r="AH86" s="1"/>
  <c r="AQ84"/>
  <c r="AP84"/>
  <c r="AO84"/>
  <c r="AN84"/>
  <c r="AM84"/>
  <c r="AG84"/>
  <c r="AF84"/>
  <c r="AE84"/>
  <c r="AD84"/>
  <c r="AC84"/>
  <c r="T84"/>
  <c r="S84"/>
  <c r="M84"/>
  <c r="F84"/>
  <c r="AH84" s="1"/>
  <c r="AR82"/>
  <c r="AQ82"/>
  <c r="AP82"/>
  <c r="AO82"/>
  <c r="AN82"/>
  <c r="AM82"/>
  <c r="AG82"/>
  <c r="AF82"/>
  <c r="AE82"/>
  <c r="AD82"/>
  <c r="AC82"/>
  <c r="T82"/>
  <c r="S82"/>
  <c r="M82"/>
  <c r="F82"/>
  <c r="AH82" s="1"/>
  <c r="AQ78"/>
  <c r="AP78"/>
  <c r="AO78"/>
  <c r="AN78"/>
  <c r="AM78"/>
  <c r="AG78"/>
  <c r="AF78"/>
  <c r="AE78"/>
  <c r="AD78"/>
  <c r="AC78"/>
  <c r="T78"/>
  <c r="S78"/>
  <c r="M78"/>
  <c r="F78"/>
  <c r="AH78" s="1"/>
  <c r="AQ77"/>
  <c r="AP77"/>
  <c r="AO77"/>
  <c r="AN77"/>
  <c r="AM77"/>
  <c r="AH77"/>
  <c r="AG77"/>
  <c r="AF77"/>
  <c r="AE77"/>
  <c r="AD77"/>
  <c r="AC77"/>
  <c r="T77"/>
  <c r="S77"/>
  <c r="M77"/>
  <c r="F77"/>
  <c r="AR77" s="1"/>
  <c r="AR76"/>
  <c r="AQ76"/>
  <c r="AP76"/>
  <c r="AO76"/>
  <c r="AN76"/>
  <c r="AM76"/>
  <c r="AG76"/>
  <c r="AF76"/>
  <c r="AE76"/>
  <c r="AD76"/>
  <c r="AC76"/>
  <c r="T76"/>
  <c r="S76"/>
  <c r="M76"/>
  <c r="F76"/>
  <c r="AH76" s="1"/>
  <c r="AR75"/>
  <c r="AQ75"/>
  <c r="AP75"/>
  <c r="AO75"/>
  <c r="AN75"/>
  <c r="AM75"/>
  <c r="AG75"/>
  <c r="AF75"/>
  <c r="AE75"/>
  <c r="AD75"/>
  <c r="AC75"/>
  <c r="T75"/>
  <c r="S75"/>
  <c r="M75"/>
  <c r="F75"/>
  <c r="AH75" s="1"/>
  <c r="AQ73"/>
  <c r="AP73"/>
  <c r="AO73"/>
  <c r="AN73"/>
  <c r="AM73"/>
  <c r="AH73"/>
  <c r="AG73"/>
  <c r="AF73"/>
  <c r="AE73"/>
  <c r="AD73"/>
  <c r="AC73"/>
  <c r="T73"/>
  <c r="S73"/>
  <c r="M73"/>
  <c r="F73"/>
  <c r="AR73" s="1"/>
  <c r="AR72"/>
  <c r="AQ72"/>
  <c r="AP72"/>
  <c r="AO72"/>
  <c r="AN72"/>
  <c r="AM72"/>
  <c r="AG72"/>
  <c r="AF72"/>
  <c r="AE72"/>
  <c r="AD72"/>
  <c r="AC72"/>
  <c r="T72"/>
  <c r="S72"/>
  <c r="M72"/>
  <c r="F72"/>
  <c r="AH72" s="1"/>
  <c r="AR71"/>
  <c r="AQ71"/>
  <c r="AP71"/>
  <c r="AO71"/>
  <c r="AN71"/>
  <c r="AM71"/>
  <c r="AG71"/>
  <c r="AF71"/>
  <c r="AE71"/>
  <c r="AD71"/>
  <c r="AC71"/>
  <c r="T71"/>
  <c r="S71"/>
  <c r="M71"/>
  <c r="F71"/>
  <c r="AH71" s="1"/>
  <c r="AQ70"/>
  <c r="AP70"/>
  <c r="AO70"/>
  <c r="AN70"/>
  <c r="AM70"/>
  <c r="AG70"/>
  <c r="AF70"/>
  <c r="AE70"/>
  <c r="AD70"/>
  <c r="AC70"/>
  <c r="T70"/>
  <c r="S70"/>
  <c r="M70"/>
  <c r="F70"/>
  <c r="AH70" s="1"/>
  <c r="AQ69"/>
  <c r="AP69"/>
  <c r="AO69"/>
  <c r="AN69"/>
  <c r="AM69"/>
  <c r="AH69"/>
  <c r="AG69"/>
  <c r="AF69"/>
  <c r="AE69"/>
  <c r="AD69"/>
  <c r="AC69"/>
  <c r="T69"/>
  <c r="S69"/>
  <c r="M69"/>
  <c r="F69"/>
  <c r="AR69" s="1"/>
  <c r="AR68"/>
  <c r="AQ68"/>
  <c r="AP68"/>
  <c r="AO68"/>
  <c r="AN68"/>
  <c r="AM68"/>
  <c r="AG68"/>
  <c r="AF68"/>
  <c r="AE68"/>
  <c r="AD68"/>
  <c r="AC68"/>
  <c r="T68"/>
  <c r="S68"/>
  <c r="M68"/>
  <c r="F68"/>
  <c r="AH68" s="1"/>
  <c r="AR67"/>
  <c r="AQ67"/>
  <c r="AP67"/>
  <c r="AO67"/>
  <c r="AN67"/>
  <c r="AM67"/>
  <c r="AG67"/>
  <c r="AF67"/>
  <c r="AE67"/>
  <c r="AD67"/>
  <c r="AC67"/>
  <c r="T67"/>
  <c r="S67"/>
  <c r="M67"/>
  <c r="F67"/>
  <c r="AH67" s="1"/>
  <c r="AR62"/>
  <c r="AQ62"/>
  <c r="AP62"/>
  <c r="AO62"/>
  <c r="AN62"/>
  <c r="AM62"/>
  <c r="AG62"/>
  <c r="AF62"/>
  <c r="AE62"/>
  <c r="AD62"/>
  <c r="AC62"/>
  <c r="T62"/>
  <c r="S62"/>
  <c r="M62"/>
  <c r="F62"/>
  <c r="AH62" s="1"/>
  <c r="AR61"/>
  <c r="AQ61"/>
  <c r="AP61"/>
  <c r="AO61"/>
  <c r="AN61"/>
  <c r="AM61"/>
  <c r="AG61"/>
  <c r="AF61"/>
  <c r="AE61"/>
  <c r="AD61"/>
  <c r="AC61"/>
  <c r="T61"/>
  <c r="S61"/>
  <c r="M61"/>
  <c r="F61"/>
  <c r="AH61" s="1"/>
  <c r="AR58"/>
  <c r="AQ58"/>
  <c r="AP58"/>
  <c r="AO58"/>
  <c r="AN58"/>
  <c r="AM58"/>
  <c r="AG58"/>
  <c r="AF58"/>
  <c r="AE58"/>
  <c r="AD58"/>
  <c r="AC58"/>
  <c r="T58"/>
  <c r="S58"/>
  <c r="M58"/>
  <c r="F58"/>
  <c r="AH58" s="1"/>
  <c r="AR57"/>
  <c r="AQ57"/>
  <c r="AP57"/>
  <c r="AO57"/>
  <c r="AN57"/>
  <c r="AM57"/>
  <c r="AG57"/>
  <c r="AF57"/>
  <c r="AE57"/>
  <c r="AD57"/>
  <c r="AC57"/>
  <c r="T57"/>
  <c r="S57"/>
  <c r="M57"/>
  <c r="F57"/>
  <c r="AH57" s="1"/>
  <c r="AR56"/>
  <c r="AQ56"/>
  <c r="AP56"/>
  <c r="AO56"/>
  <c r="AN56"/>
  <c r="AM56"/>
  <c r="AG56"/>
  <c r="AF56"/>
  <c r="AE56"/>
  <c r="AD56"/>
  <c r="AC56"/>
  <c r="T56"/>
  <c r="S56"/>
  <c r="M56"/>
  <c r="F56"/>
  <c r="AH56" s="1"/>
  <c r="AQ59"/>
  <c r="AP59"/>
  <c r="AO59"/>
  <c r="AN59"/>
  <c r="AM59"/>
  <c r="AG59"/>
  <c r="AF59"/>
  <c r="AE59"/>
  <c r="AD59"/>
  <c r="AC59"/>
  <c r="T59"/>
  <c r="S59"/>
  <c r="M59"/>
  <c r="F59"/>
  <c r="AH59" s="1"/>
  <c r="AQ54"/>
  <c r="AP54"/>
  <c r="AO54"/>
  <c r="AN54"/>
  <c r="AM54"/>
  <c r="AG54"/>
  <c r="AF54"/>
  <c r="AE54"/>
  <c r="AD54"/>
  <c r="AC54"/>
  <c r="T54"/>
  <c r="S54"/>
  <c r="M54"/>
  <c r="F54"/>
  <c r="AH54" s="1"/>
  <c r="AR53"/>
  <c r="AQ53"/>
  <c r="AP53"/>
  <c r="AO53"/>
  <c r="AN53"/>
  <c r="AM53"/>
  <c r="AG53"/>
  <c r="AF53"/>
  <c r="AE53"/>
  <c r="AD53"/>
  <c r="AC53"/>
  <c r="T53"/>
  <c r="S53"/>
  <c r="M53"/>
  <c r="F53"/>
  <c r="AH53" s="1"/>
  <c r="AR22"/>
  <c r="AQ22"/>
  <c r="AP22"/>
  <c r="AO22"/>
  <c r="AN22"/>
  <c r="AM22"/>
  <c r="AG22"/>
  <c r="AF22"/>
  <c r="AE22"/>
  <c r="AD22"/>
  <c r="AC22"/>
  <c r="T22"/>
  <c r="S22"/>
  <c r="M22"/>
  <c r="F22"/>
  <c r="AH22" s="1"/>
  <c r="AR21"/>
  <c r="AQ21"/>
  <c r="AP21"/>
  <c r="AO21"/>
  <c r="AN21"/>
  <c r="AM21"/>
  <c r="AG21"/>
  <c r="AF21"/>
  <c r="AE21"/>
  <c r="AD21"/>
  <c r="AC21"/>
  <c r="T21"/>
  <c r="S21"/>
  <c r="M21"/>
  <c r="F21"/>
  <c r="AH21" s="1"/>
  <c r="AR20"/>
  <c r="AQ20"/>
  <c r="AP20"/>
  <c r="AO20"/>
  <c r="AN20"/>
  <c r="AM20"/>
  <c r="AG20"/>
  <c r="AF20"/>
  <c r="AE20"/>
  <c r="AD20"/>
  <c r="AC20"/>
  <c r="T20"/>
  <c r="S20"/>
  <c r="M20"/>
  <c r="F20"/>
  <c r="AH20" s="1"/>
  <c r="AR19"/>
  <c r="AQ19"/>
  <c r="AP19"/>
  <c r="AO19"/>
  <c r="AN19"/>
  <c r="AM19"/>
  <c r="AG19"/>
  <c r="AF19"/>
  <c r="AE19"/>
  <c r="AD19"/>
  <c r="AC19"/>
  <c r="T19"/>
  <c r="S19"/>
  <c r="M19"/>
  <c r="E19"/>
  <c r="C19"/>
  <c r="AR18"/>
  <c r="AQ18"/>
  <c r="AP18"/>
  <c r="AO18"/>
  <c r="AN18"/>
  <c r="AM18"/>
  <c r="AG18"/>
  <c r="AF18"/>
  <c r="AE18"/>
  <c r="AD18"/>
  <c r="AC18"/>
  <c r="T18"/>
  <c r="S18"/>
  <c r="M18"/>
  <c r="F18"/>
  <c r="AH18" s="1"/>
  <c r="AR17"/>
  <c r="AQ17"/>
  <c r="AP17"/>
  <c r="AO17"/>
  <c r="AN17"/>
  <c r="AM17"/>
  <c r="AG17"/>
  <c r="AF17"/>
  <c r="AE17"/>
  <c r="AD17"/>
  <c r="AC17"/>
  <c r="T17"/>
  <c r="S17"/>
  <c r="M17"/>
  <c r="F17"/>
  <c r="AH17" s="1"/>
  <c r="AR40"/>
  <c r="AQ40"/>
  <c r="AP40"/>
  <c r="AO40"/>
  <c r="AN40"/>
  <c r="AM40"/>
  <c r="AG40"/>
  <c r="AF40"/>
  <c r="AE40"/>
  <c r="AD40"/>
  <c r="AC40"/>
  <c r="T40"/>
  <c r="S40"/>
  <c r="M40"/>
  <c r="F40"/>
  <c r="AH40" s="1"/>
  <c r="AR39"/>
  <c r="AQ39"/>
  <c r="AP39"/>
  <c r="AO39"/>
  <c r="AN39"/>
  <c r="AM39"/>
  <c r="AG39"/>
  <c r="AF39"/>
  <c r="AE39"/>
  <c r="AD39"/>
  <c r="AC39"/>
  <c r="T39"/>
  <c r="S39"/>
  <c r="M39"/>
  <c r="F39"/>
  <c r="AH39" s="1"/>
  <c r="AR38"/>
  <c r="AQ38"/>
  <c r="AP38"/>
  <c r="AO38"/>
  <c r="AN38"/>
  <c r="AM38"/>
  <c r="AG38"/>
  <c r="AF38"/>
  <c r="AE38"/>
  <c r="AD38"/>
  <c r="AC38"/>
  <c r="T38"/>
  <c r="S38"/>
  <c r="M38"/>
  <c r="F38"/>
  <c r="AH38" s="1"/>
  <c r="AR37"/>
  <c r="AQ37"/>
  <c r="AP37"/>
  <c r="AO37"/>
  <c r="AN37"/>
  <c r="AM37"/>
  <c r="AG37"/>
  <c r="AF37"/>
  <c r="AE37"/>
  <c r="AD37"/>
  <c r="AC37"/>
  <c r="T37"/>
  <c r="S37"/>
  <c r="M37"/>
  <c r="E37"/>
  <c r="C37"/>
  <c r="AR36"/>
  <c r="AQ36"/>
  <c r="AP36"/>
  <c r="AO36"/>
  <c r="AN36"/>
  <c r="AM36"/>
  <c r="AG36"/>
  <c r="AF36"/>
  <c r="AE36"/>
  <c r="AD36"/>
  <c r="AC36"/>
  <c r="T36"/>
  <c r="S36"/>
  <c r="M36"/>
  <c r="F36"/>
  <c r="AH36" s="1"/>
  <c r="AR35"/>
  <c r="AQ35"/>
  <c r="AP35"/>
  <c r="AO35"/>
  <c r="AN35"/>
  <c r="AM35"/>
  <c r="AG35"/>
  <c r="AF35"/>
  <c r="AE35"/>
  <c r="AD35"/>
  <c r="AC35"/>
  <c r="T35"/>
  <c r="S35"/>
  <c r="M35"/>
  <c r="F35"/>
  <c r="AH35" s="1"/>
  <c r="AR44"/>
  <c r="AQ44"/>
  <c r="AP44"/>
  <c r="AO44"/>
  <c r="AN44"/>
  <c r="AM44"/>
  <c r="AG44"/>
  <c r="AF44"/>
  <c r="AE44"/>
  <c r="AD44"/>
  <c r="AC44"/>
  <c r="T44"/>
  <c r="S44"/>
  <c r="M44"/>
  <c r="AR42"/>
  <c r="AQ42"/>
  <c r="AP42"/>
  <c r="AO42"/>
  <c r="AN42"/>
  <c r="AM42"/>
  <c r="AG42"/>
  <c r="AF42"/>
  <c r="AE42"/>
  <c r="AD42"/>
  <c r="AC42"/>
  <c r="T42"/>
  <c r="S42"/>
  <c r="M42"/>
  <c r="F42"/>
  <c r="AH42" s="1"/>
  <c r="AR25"/>
  <c r="AQ25"/>
  <c r="AP25"/>
  <c r="AO25"/>
  <c r="AN25"/>
  <c r="AM25"/>
  <c r="AG25"/>
  <c r="AF25"/>
  <c r="AE25"/>
  <c r="AD25"/>
  <c r="AC25"/>
  <c r="T25"/>
  <c r="S25"/>
  <c r="M25"/>
  <c r="E25"/>
  <c r="C25"/>
  <c r="AR24"/>
  <c r="AQ24"/>
  <c r="AP24"/>
  <c r="AO24"/>
  <c r="AN24"/>
  <c r="AM24"/>
  <c r="AG24"/>
  <c r="AF24"/>
  <c r="AE24"/>
  <c r="AD24"/>
  <c r="AC24"/>
  <c r="T24"/>
  <c r="S24"/>
  <c r="M24"/>
  <c r="F24"/>
  <c r="AH24" s="1"/>
  <c r="C7"/>
  <c r="E7"/>
  <c r="AQ7"/>
  <c r="AP7"/>
  <c r="AO7"/>
  <c r="AN7"/>
  <c r="AM7"/>
  <c r="AG7"/>
  <c r="AF7"/>
  <c r="AE7"/>
  <c r="AD7"/>
  <c r="AC7"/>
  <c r="T7"/>
  <c r="S7"/>
  <c r="M7"/>
  <c r="AR6"/>
  <c r="AQ6"/>
  <c r="AP6"/>
  <c r="AO6"/>
  <c r="AN6"/>
  <c r="AM6"/>
  <c r="AG6"/>
  <c r="AF6"/>
  <c r="AE6"/>
  <c r="AD6"/>
  <c r="AC6"/>
  <c r="T6"/>
  <c r="S6"/>
  <c r="M6"/>
  <c r="F6"/>
  <c r="AH6" s="1"/>
  <c r="M359"/>
  <c r="M358"/>
  <c r="M357"/>
  <c r="M356"/>
  <c r="M355"/>
  <c r="M354"/>
  <c r="M353"/>
  <c r="M247"/>
  <c r="M241"/>
  <c r="M238"/>
  <c r="M228"/>
  <c r="M209"/>
  <c r="M207"/>
  <c r="M197"/>
  <c r="M196"/>
  <c r="M189"/>
  <c r="M187"/>
  <c r="M180"/>
  <c r="M177"/>
  <c r="M171"/>
  <c r="M168"/>
  <c r="M166"/>
  <c r="M165"/>
  <c r="M164"/>
  <c r="M163"/>
  <c r="M162"/>
  <c r="M160"/>
  <c r="M85"/>
  <c r="M80"/>
  <c r="M65"/>
  <c r="M64"/>
  <c r="M50"/>
  <c r="M8"/>
  <c r="M9"/>
  <c r="M10"/>
  <c r="M23"/>
  <c r="M26"/>
  <c r="M27"/>
  <c r="M28"/>
  <c r="M41"/>
  <c r="M43"/>
  <c r="M45"/>
  <c r="M5"/>
  <c r="C5" i="15"/>
  <c r="C6"/>
  <c r="C7"/>
  <c r="C8"/>
  <c r="C4"/>
  <c r="T359" i="13"/>
  <c r="T358"/>
  <c r="T357"/>
  <c r="T356"/>
  <c r="T355"/>
  <c r="T354"/>
  <c r="T353"/>
  <c r="T247"/>
  <c r="T241"/>
  <c r="T238"/>
  <c r="T228"/>
  <c r="T207"/>
  <c r="T197"/>
  <c r="T196"/>
  <c r="T189"/>
  <c r="T187"/>
  <c r="T180"/>
  <c r="T177"/>
  <c r="T171"/>
  <c r="T168"/>
  <c r="T166"/>
  <c r="T165"/>
  <c r="T164"/>
  <c r="T163"/>
  <c r="T162"/>
  <c r="T160"/>
  <c r="T85"/>
  <c r="T80"/>
  <c r="T65"/>
  <c r="T64"/>
  <c r="T50"/>
  <c r="T8"/>
  <c r="T9"/>
  <c r="T10"/>
  <c r="T23"/>
  <c r="T26"/>
  <c r="T27"/>
  <c r="T28"/>
  <c r="T41"/>
  <c r="T43"/>
  <c r="T45"/>
  <c r="T5"/>
  <c r="A383"/>
  <c r="B383"/>
  <c r="A384"/>
  <c r="B384"/>
  <c r="A385"/>
  <c r="B385"/>
  <c r="A386"/>
  <c r="B386"/>
  <c r="A387"/>
  <c r="B387"/>
  <c r="A388"/>
  <c r="B388"/>
  <c r="A389"/>
  <c r="B389"/>
  <c r="A391"/>
  <c r="B391"/>
  <c r="A392"/>
  <c r="B392"/>
  <c r="A393"/>
  <c r="B393"/>
  <c r="A394"/>
  <c r="B394"/>
  <c r="A395"/>
  <c r="B395"/>
  <c r="A396"/>
  <c r="B396"/>
  <c r="A397"/>
  <c r="B397"/>
  <c r="A398"/>
  <c r="B398"/>
  <c r="A400"/>
  <c r="B400"/>
  <c r="A402"/>
  <c r="B402"/>
  <c r="A403"/>
  <c r="B403"/>
  <c r="A404"/>
  <c r="B404"/>
  <c r="A405"/>
  <c r="B405"/>
  <c r="B382"/>
  <c r="A382"/>
  <c r="G60" i="16"/>
  <c r="Q60"/>
  <c r="Q61"/>
  <c r="B3"/>
  <c r="C3"/>
  <c r="D3"/>
  <c r="E3"/>
  <c r="F3"/>
  <c r="G3"/>
  <c r="L3"/>
  <c r="M3"/>
  <c r="N3"/>
  <c r="O3"/>
  <c r="P3"/>
  <c r="Q3"/>
  <c r="A4"/>
  <c r="A5"/>
  <c r="A6"/>
  <c r="A7"/>
  <c r="A8"/>
  <c r="A10"/>
  <c r="A11"/>
  <c r="B12"/>
  <c r="L12"/>
  <c r="B13"/>
  <c r="C13"/>
  <c r="D13"/>
  <c r="E13"/>
  <c r="F13"/>
  <c r="G13"/>
  <c r="H13"/>
  <c r="L13"/>
  <c r="M13"/>
  <c r="N13"/>
  <c r="O13"/>
  <c r="P13"/>
  <c r="Q13"/>
  <c r="R13"/>
  <c r="A15"/>
  <c r="A16"/>
  <c r="G20"/>
  <c r="Q20"/>
  <c r="Q21"/>
  <c r="B22"/>
  <c r="L22"/>
  <c r="B23"/>
  <c r="C23"/>
  <c r="D23"/>
  <c r="E23"/>
  <c r="F23"/>
  <c r="G23"/>
  <c r="L23"/>
  <c r="M23"/>
  <c r="N23"/>
  <c r="O23"/>
  <c r="P23"/>
  <c r="Q23"/>
  <c r="A24"/>
  <c r="A25"/>
  <c r="A26"/>
  <c r="A27"/>
  <c r="A28"/>
  <c r="A30"/>
  <c r="A31"/>
  <c r="B32"/>
  <c r="L32"/>
  <c r="B33"/>
  <c r="C33"/>
  <c r="D33"/>
  <c r="E33"/>
  <c r="F33"/>
  <c r="G33"/>
  <c r="H33"/>
  <c r="L33"/>
  <c r="M33"/>
  <c r="N33"/>
  <c r="O33"/>
  <c r="P33"/>
  <c r="Q33"/>
  <c r="R33"/>
  <c r="A35"/>
  <c r="A36"/>
  <c r="G40"/>
  <c r="Q40"/>
  <c r="Q41"/>
  <c r="B42"/>
  <c r="L42"/>
  <c r="B43"/>
  <c r="C43"/>
  <c r="D43"/>
  <c r="E43"/>
  <c r="F43"/>
  <c r="G43"/>
  <c r="L43"/>
  <c r="M43"/>
  <c r="N43"/>
  <c r="O43"/>
  <c r="P43"/>
  <c r="Q43"/>
  <c r="A44"/>
  <c r="A45"/>
  <c r="A46"/>
  <c r="A47"/>
  <c r="A48"/>
  <c r="A50"/>
  <c r="A51"/>
  <c r="B52"/>
  <c r="L52"/>
  <c r="B53"/>
  <c r="C53"/>
  <c r="D53"/>
  <c r="E53"/>
  <c r="F53"/>
  <c r="G53"/>
  <c r="H53"/>
  <c r="L53"/>
  <c r="M53"/>
  <c r="N53"/>
  <c r="O53"/>
  <c r="P53"/>
  <c r="Q53"/>
  <c r="R53"/>
  <c r="A55"/>
  <c r="A56"/>
  <c r="B2"/>
  <c r="L2"/>
  <c r="A19"/>
  <c r="AB398" i="13"/>
  <c r="A17" i="16" s="1"/>
  <c r="AB395" i="13"/>
  <c r="A14" i="16" s="1"/>
  <c r="AL441" i="13"/>
  <c r="K56" i="16" s="1"/>
  <c r="AL440" i="13"/>
  <c r="K55" i="16" s="1"/>
  <c r="A59"/>
  <c r="AB442" i="13"/>
  <c r="A57" i="16" s="1"/>
  <c r="AB439" i="13"/>
  <c r="A54" i="16" s="1"/>
  <c r="K51"/>
  <c r="AL435" i="13"/>
  <c r="K50" i="16" s="1"/>
  <c r="AL433" i="13"/>
  <c r="K48" i="16" s="1"/>
  <c r="AL432" i="13"/>
  <c r="K47" i="16" s="1"/>
  <c r="AL431" i="13"/>
  <c r="K46" i="16" s="1"/>
  <c r="AL430" i="13"/>
  <c r="K45" i="16" s="1"/>
  <c r="AL429" i="13"/>
  <c r="K44" i="16" s="1"/>
  <c r="AL419" i="13"/>
  <c r="K36" i="16" s="1"/>
  <c r="AL418" i="13"/>
  <c r="K35" i="16" s="1"/>
  <c r="AL414" i="13"/>
  <c r="K31" i="16" s="1"/>
  <c r="AL413" i="13"/>
  <c r="K30" i="16" s="1"/>
  <c r="AL411" i="13"/>
  <c r="K28" i="16" s="1"/>
  <c r="AL410" i="13"/>
  <c r="K27" i="16" s="1"/>
  <c r="AL409" i="13"/>
  <c r="K26" i="16" s="1"/>
  <c r="AL408" i="13"/>
  <c r="K25" i="16" s="1"/>
  <c r="AL407" i="13"/>
  <c r="K24" i="16" s="1"/>
  <c r="AL391" i="13"/>
  <c r="K10" i="16" s="1"/>
  <c r="AL389" i="13"/>
  <c r="K8" i="16" s="1"/>
  <c r="AR45" i="13"/>
  <c r="AQ45"/>
  <c r="AP45"/>
  <c r="AO45"/>
  <c r="AN45"/>
  <c r="AM45"/>
  <c r="AG45"/>
  <c r="AF45"/>
  <c r="AE45"/>
  <c r="AD45"/>
  <c r="AC45"/>
  <c r="S45"/>
  <c r="I13" i="21" l="1"/>
  <c r="H13"/>
  <c r="AR250" i="13"/>
  <c r="V174"/>
  <c r="V113"/>
  <c r="V346"/>
  <c r="V345"/>
  <c r="V344"/>
  <c r="V343"/>
  <c r="V339"/>
  <c r="V338"/>
  <c r="V337"/>
  <c r="V336"/>
  <c r="M296"/>
  <c r="V327"/>
  <c r="V326"/>
  <c r="V335"/>
  <c r="V334"/>
  <c r="V333"/>
  <c r="V332"/>
  <c r="V322"/>
  <c r="V321"/>
  <c r="V320"/>
  <c r="V319"/>
  <c r="V318"/>
  <c r="V317"/>
  <c r="F21" i="21"/>
  <c r="J21"/>
  <c r="V305" i="13"/>
  <c r="V303"/>
  <c r="V308"/>
  <c r="V307"/>
  <c r="V306"/>
  <c r="V304"/>
  <c r="V330"/>
  <c r="V329"/>
  <c r="V328"/>
  <c r="V325"/>
  <c r="V324"/>
  <c r="V315"/>
  <c r="V314"/>
  <c r="V313"/>
  <c r="V312"/>
  <c r="V311"/>
  <c r="V310"/>
  <c r="V348"/>
  <c r="V347"/>
  <c r="V342"/>
  <c r="V341"/>
  <c r="V301"/>
  <c r="V300"/>
  <c r="V299"/>
  <c r="O273" i="20"/>
  <c r="M273"/>
  <c r="K273"/>
  <c r="I273"/>
  <c r="G273"/>
  <c r="E273"/>
  <c r="O272"/>
  <c r="M272"/>
  <c r="K272"/>
  <c r="I272"/>
  <c r="G272"/>
  <c r="E272"/>
  <c r="O271"/>
  <c r="M271"/>
  <c r="K271"/>
  <c r="I271"/>
  <c r="G271"/>
  <c r="E271"/>
  <c r="O270"/>
  <c r="M270"/>
  <c r="K270"/>
  <c r="I270"/>
  <c r="G270"/>
  <c r="E270"/>
  <c r="O269"/>
  <c r="M269"/>
  <c r="K269"/>
  <c r="I269"/>
  <c r="G269"/>
  <c r="E269"/>
  <c r="O268"/>
  <c r="M268"/>
  <c r="K268"/>
  <c r="I268"/>
  <c r="G268"/>
  <c r="E268"/>
  <c r="O267"/>
  <c r="M267"/>
  <c r="K267"/>
  <c r="I267"/>
  <c r="G267"/>
  <c r="E267"/>
  <c r="O266"/>
  <c r="M266"/>
  <c r="K266"/>
  <c r="I266"/>
  <c r="G266"/>
  <c r="E266"/>
  <c r="O265"/>
  <c r="M265"/>
  <c r="K265"/>
  <c r="I265"/>
  <c r="G265"/>
  <c r="E265"/>
  <c r="O283"/>
  <c r="M283"/>
  <c r="K283"/>
  <c r="I283"/>
  <c r="G283"/>
  <c r="E283"/>
  <c r="O282"/>
  <c r="M282"/>
  <c r="K282"/>
  <c r="I282"/>
  <c r="G282"/>
  <c r="E282"/>
  <c r="O281"/>
  <c r="M281"/>
  <c r="K281"/>
  <c r="I281"/>
  <c r="G281"/>
  <c r="E281"/>
  <c r="O280"/>
  <c r="M280"/>
  <c r="K280"/>
  <c r="I280"/>
  <c r="G280"/>
  <c r="E280"/>
  <c r="O279"/>
  <c r="M279"/>
  <c r="K279"/>
  <c r="I279"/>
  <c r="G279"/>
  <c r="E279"/>
  <c r="O278"/>
  <c r="M278"/>
  <c r="K278"/>
  <c r="I278"/>
  <c r="G278"/>
  <c r="E278"/>
  <c r="O277"/>
  <c r="M277"/>
  <c r="K277"/>
  <c r="I277"/>
  <c r="G277"/>
  <c r="E277"/>
  <c r="O276"/>
  <c r="M276"/>
  <c r="K276"/>
  <c r="I276"/>
  <c r="G276"/>
  <c r="E276"/>
  <c r="O275"/>
  <c r="M275"/>
  <c r="K275"/>
  <c r="I275"/>
  <c r="G275"/>
  <c r="E275"/>
  <c r="O274"/>
  <c r="M274"/>
  <c r="K274"/>
  <c r="I274"/>
  <c r="G274"/>
  <c r="E274"/>
  <c r="O224"/>
  <c r="M224"/>
  <c r="K224"/>
  <c r="I224"/>
  <c r="G224"/>
  <c r="E224"/>
  <c r="O223"/>
  <c r="M223"/>
  <c r="K223"/>
  <c r="I223"/>
  <c r="G223"/>
  <c r="E223"/>
  <c r="N273"/>
  <c r="L273"/>
  <c r="J273"/>
  <c r="H273"/>
  <c r="F273"/>
  <c r="D273"/>
  <c r="N272"/>
  <c r="L272"/>
  <c r="J272"/>
  <c r="H272"/>
  <c r="F272"/>
  <c r="D272"/>
  <c r="N271"/>
  <c r="L271"/>
  <c r="J271"/>
  <c r="H271"/>
  <c r="F271"/>
  <c r="D271"/>
  <c r="N270"/>
  <c r="L270"/>
  <c r="J270"/>
  <c r="H270"/>
  <c r="F270"/>
  <c r="D270"/>
  <c r="N269"/>
  <c r="L269"/>
  <c r="J269"/>
  <c r="H269"/>
  <c r="F269"/>
  <c r="D269"/>
  <c r="N268"/>
  <c r="L268"/>
  <c r="J268"/>
  <c r="H268"/>
  <c r="F268"/>
  <c r="D268"/>
  <c r="N267"/>
  <c r="L267"/>
  <c r="J267"/>
  <c r="H267"/>
  <c r="F267"/>
  <c r="D267"/>
  <c r="N266"/>
  <c r="L266"/>
  <c r="J266"/>
  <c r="H266"/>
  <c r="F266"/>
  <c r="D266"/>
  <c r="N265"/>
  <c r="L265"/>
  <c r="J265"/>
  <c r="H265"/>
  <c r="F265"/>
  <c r="D265"/>
  <c r="N283"/>
  <c r="L283"/>
  <c r="J283"/>
  <c r="H283"/>
  <c r="F283"/>
  <c r="D283"/>
  <c r="N282"/>
  <c r="L282"/>
  <c r="J282"/>
  <c r="H282"/>
  <c r="F282"/>
  <c r="D282"/>
  <c r="N281"/>
  <c r="L281"/>
  <c r="J281"/>
  <c r="H281"/>
  <c r="F281"/>
  <c r="D281"/>
  <c r="N280"/>
  <c r="L280"/>
  <c r="J280"/>
  <c r="H280"/>
  <c r="F280"/>
  <c r="D280"/>
  <c r="N279"/>
  <c r="L279"/>
  <c r="J279"/>
  <c r="H279"/>
  <c r="F279"/>
  <c r="D279"/>
  <c r="N278"/>
  <c r="L278"/>
  <c r="J278"/>
  <c r="H278"/>
  <c r="F278"/>
  <c r="D278"/>
  <c r="N277"/>
  <c r="L277"/>
  <c r="J277"/>
  <c r="H277"/>
  <c r="F277"/>
  <c r="D277"/>
  <c r="N276"/>
  <c r="L276"/>
  <c r="J276"/>
  <c r="H276"/>
  <c r="F276"/>
  <c r="D276"/>
  <c r="N275"/>
  <c r="L275"/>
  <c r="J275"/>
  <c r="H275"/>
  <c r="F275"/>
  <c r="D275"/>
  <c r="N274"/>
  <c r="L274"/>
  <c r="J274"/>
  <c r="H274"/>
  <c r="F274"/>
  <c r="D274"/>
  <c r="N224"/>
  <c r="L224"/>
  <c r="J224"/>
  <c r="H224"/>
  <c r="F224"/>
  <c r="D224"/>
  <c r="N223"/>
  <c r="L223"/>
  <c r="J223"/>
  <c r="H223"/>
  <c r="F223"/>
  <c r="D223"/>
  <c r="N222"/>
  <c r="L222"/>
  <c r="J222"/>
  <c r="H222"/>
  <c r="F222"/>
  <c r="D222"/>
  <c r="N221"/>
  <c r="L221"/>
  <c r="J221"/>
  <c r="H221"/>
  <c r="F221"/>
  <c r="D221"/>
  <c r="N220"/>
  <c r="L220"/>
  <c r="J220"/>
  <c r="H220"/>
  <c r="F220"/>
  <c r="D220"/>
  <c r="N219"/>
  <c r="L219"/>
  <c r="J219"/>
  <c r="H219"/>
  <c r="F219"/>
  <c r="D219"/>
  <c r="N217"/>
  <c r="L217"/>
  <c r="J217"/>
  <c r="H217"/>
  <c r="F217"/>
  <c r="D217"/>
  <c r="N216"/>
  <c r="L216"/>
  <c r="J216"/>
  <c r="H216"/>
  <c r="F216"/>
  <c r="D216"/>
  <c r="N233"/>
  <c r="L233"/>
  <c r="J233"/>
  <c r="H233"/>
  <c r="F233"/>
  <c r="D233"/>
  <c r="N232"/>
  <c r="L232"/>
  <c r="J232"/>
  <c r="H232"/>
  <c r="F232"/>
  <c r="D232"/>
  <c r="N231"/>
  <c r="L231"/>
  <c r="J231"/>
  <c r="H231"/>
  <c r="F231"/>
  <c r="D231"/>
  <c r="N230"/>
  <c r="L230"/>
  <c r="J230"/>
  <c r="M222"/>
  <c r="I222"/>
  <c r="E222"/>
  <c r="M221"/>
  <c r="I221"/>
  <c r="E221"/>
  <c r="M220"/>
  <c r="I220"/>
  <c r="E220"/>
  <c r="M219"/>
  <c r="I219"/>
  <c r="E219"/>
  <c r="M218"/>
  <c r="I218"/>
  <c r="E218"/>
  <c r="M217"/>
  <c r="I217"/>
  <c r="E217"/>
  <c r="M216"/>
  <c r="I216"/>
  <c r="E216"/>
  <c r="M233"/>
  <c r="I233"/>
  <c r="E233"/>
  <c r="M232"/>
  <c r="I232"/>
  <c r="E232"/>
  <c r="M231"/>
  <c r="I231"/>
  <c r="E231"/>
  <c r="M230"/>
  <c r="I230"/>
  <c r="G230"/>
  <c r="E230"/>
  <c r="O229"/>
  <c r="M229"/>
  <c r="K229"/>
  <c r="I229"/>
  <c r="G229"/>
  <c r="E229"/>
  <c r="O228"/>
  <c r="M228"/>
  <c r="K228"/>
  <c r="I228"/>
  <c r="G228"/>
  <c r="E228"/>
  <c r="O227"/>
  <c r="M227"/>
  <c r="K227"/>
  <c r="I227"/>
  <c r="G227"/>
  <c r="E227"/>
  <c r="O226"/>
  <c r="M226"/>
  <c r="K226"/>
  <c r="I226"/>
  <c r="G226"/>
  <c r="E226"/>
  <c r="O225"/>
  <c r="M225"/>
  <c r="K225"/>
  <c r="I225"/>
  <c r="G225"/>
  <c r="E225"/>
  <c r="O215"/>
  <c r="M215"/>
  <c r="K215"/>
  <c r="I215"/>
  <c r="G215"/>
  <c r="E215"/>
  <c r="O183"/>
  <c r="M183"/>
  <c r="K183"/>
  <c r="I183"/>
  <c r="G183"/>
  <c r="E183"/>
  <c r="O182"/>
  <c r="M182"/>
  <c r="K182"/>
  <c r="I182"/>
  <c r="G182"/>
  <c r="E182"/>
  <c r="O181"/>
  <c r="M181"/>
  <c r="K181"/>
  <c r="I181"/>
  <c r="G181"/>
  <c r="E181"/>
  <c r="O180"/>
  <c r="M180"/>
  <c r="K180"/>
  <c r="I180"/>
  <c r="G180"/>
  <c r="E180"/>
  <c r="O179"/>
  <c r="M179"/>
  <c r="K179"/>
  <c r="I179"/>
  <c r="G179"/>
  <c r="E179"/>
  <c r="O178"/>
  <c r="M178"/>
  <c r="K178"/>
  <c r="I178"/>
  <c r="G178"/>
  <c r="E178"/>
  <c r="O177"/>
  <c r="M177"/>
  <c r="K177"/>
  <c r="I177"/>
  <c r="G177"/>
  <c r="E177"/>
  <c r="O176"/>
  <c r="M176"/>
  <c r="K176"/>
  <c r="I176"/>
  <c r="G176"/>
  <c r="E176"/>
  <c r="M175"/>
  <c r="K175"/>
  <c r="I175"/>
  <c r="G175"/>
  <c r="E175"/>
  <c r="O192"/>
  <c r="M192"/>
  <c r="K192"/>
  <c r="I192"/>
  <c r="G192"/>
  <c r="E192"/>
  <c r="O191"/>
  <c r="M191"/>
  <c r="K191"/>
  <c r="I191"/>
  <c r="G191"/>
  <c r="E191"/>
  <c r="O190"/>
  <c r="M190"/>
  <c r="K190"/>
  <c r="I190"/>
  <c r="G190"/>
  <c r="E190"/>
  <c r="O189"/>
  <c r="M189"/>
  <c r="K189"/>
  <c r="I189"/>
  <c r="G189"/>
  <c r="E189"/>
  <c r="O188"/>
  <c r="M188"/>
  <c r="K188"/>
  <c r="I188"/>
  <c r="G188"/>
  <c r="E188"/>
  <c r="O187"/>
  <c r="M187"/>
  <c r="K187"/>
  <c r="I187"/>
  <c r="G187"/>
  <c r="E187"/>
  <c r="M186"/>
  <c r="K186"/>
  <c r="I186"/>
  <c r="G186"/>
  <c r="E186"/>
  <c r="O185"/>
  <c r="M185"/>
  <c r="K185"/>
  <c r="I185"/>
  <c r="G185"/>
  <c r="E185"/>
  <c r="M184"/>
  <c r="K184"/>
  <c r="I184"/>
  <c r="G184"/>
  <c r="E184"/>
  <c r="O174"/>
  <c r="M174"/>
  <c r="K174"/>
  <c r="I174"/>
  <c r="G174"/>
  <c r="E174"/>
  <c r="O142"/>
  <c r="M142"/>
  <c r="K142"/>
  <c r="I142"/>
  <c r="G142"/>
  <c r="E142"/>
  <c r="O141"/>
  <c r="M141"/>
  <c r="K141"/>
  <c r="I141"/>
  <c r="G141"/>
  <c r="E141"/>
  <c r="O140"/>
  <c r="M140"/>
  <c r="K140"/>
  <c r="I140"/>
  <c r="G140"/>
  <c r="E140"/>
  <c r="O139"/>
  <c r="M139"/>
  <c r="K139"/>
  <c r="I139"/>
  <c r="G139"/>
  <c r="E139"/>
  <c r="O137"/>
  <c r="M137"/>
  <c r="K137"/>
  <c r="I137"/>
  <c r="G137"/>
  <c r="E137"/>
  <c r="O136"/>
  <c r="M136"/>
  <c r="K136"/>
  <c r="I136"/>
  <c r="G136"/>
  <c r="E136"/>
  <c r="O135"/>
  <c r="M135"/>
  <c r="K135"/>
  <c r="I135"/>
  <c r="G135"/>
  <c r="E135"/>
  <c r="O134"/>
  <c r="M134"/>
  <c r="K134"/>
  <c r="I134"/>
  <c r="G134"/>
  <c r="E134"/>
  <c r="O151"/>
  <c r="M151"/>
  <c r="K151"/>
  <c r="I151"/>
  <c r="G151"/>
  <c r="E151"/>
  <c r="O150"/>
  <c r="M150"/>
  <c r="K150"/>
  <c r="I150"/>
  <c r="G150"/>
  <c r="E150"/>
  <c r="O149"/>
  <c r="M149"/>
  <c r="K149"/>
  <c r="I149"/>
  <c r="G149"/>
  <c r="E149"/>
  <c r="O222"/>
  <c r="K222"/>
  <c r="G222"/>
  <c r="O221"/>
  <c r="K221"/>
  <c r="G221"/>
  <c r="O220"/>
  <c r="K220"/>
  <c r="G220"/>
  <c r="O219"/>
  <c r="K219"/>
  <c r="G219"/>
  <c r="O218"/>
  <c r="K218"/>
  <c r="G218"/>
  <c r="O217"/>
  <c r="K217"/>
  <c r="G217"/>
  <c r="O216"/>
  <c r="K216"/>
  <c r="G216"/>
  <c r="O233"/>
  <c r="K233"/>
  <c r="G233"/>
  <c r="O232"/>
  <c r="K232"/>
  <c r="G232"/>
  <c r="O231"/>
  <c r="K231"/>
  <c r="G231"/>
  <c r="O230"/>
  <c r="K230"/>
  <c r="H230"/>
  <c r="F230"/>
  <c r="D230"/>
  <c r="N229"/>
  <c r="L229"/>
  <c r="J229"/>
  <c r="H229"/>
  <c r="F229"/>
  <c r="D229"/>
  <c r="N228"/>
  <c r="L228"/>
  <c r="J228"/>
  <c r="H228"/>
  <c r="F228"/>
  <c r="D228"/>
  <c r="N227"/>
  <c r="L227"/>
  <c r="J227"/>
  <c r="H227"/>
  <c r="F227"/>
  <c r="D227"/>
  <c r="N226"/>
  <c r="L226"/>
  <c r="J226"/>
  <c r="H226"/>
  <c r="F226"/>
  <c r="D226"/>
  <c r="N225"/>
  <c r="L225"/>
  <c r="J225"/>
  <c r="H225"/>
  <c r="F225"/>
  <c r="D225"/>
  <c r="N215"/>
  <c r="L215"/>
  <c r="J215"/>
  <c r="H215"/>
  <c r="F215"/>
  <c r="D215"/>
  <c r="N183"/>
  <c r="L183"/>
  <c r="J183"/>
  <c r="H183"/>
  <c r="F183"/>
  <c r="D183"/>
  <c r="N182"/>
  <c r="L182"/>
  <c r="J182"/>
  <c r="H182"/>
  <c r="F182"/>
  <c r="D182"/>
  <c r="N181"/>
  <c r="L181"/>
  <c r="J181"/>
  <c r="H181"/>
  <c r="F181"/>
  <c r="D181"/>
  <c r="N180"/>
  <c r="L180"/>
  <c r="J180"/>
  <c r="H180"/>
  <c r="F180"/>
  <c r="D180"/>
  <c r="N179"/>
  <c r="L179"/>
  <c r="J179"/>
  <c r="H179"/>
  <c r="F179"/>
  <c r="D179"/>
  <c r="N178"/>
  <c r="L178"/>
  <c r="J178"/>
  <c r="H178"/>
  <c r="F178"/>
  <c r="D178"/>
  <c r="N177"/>
  <c r="L177"/>
  <c r="J177"/>
  <c r="H177"/>
  <c r="F177"/>
  <c r="D177"/>
  <c r="N176"/>
  <c r="L176"/>
  <c r="J176"/>
  <c r="H176"/>
  <c r="F176"/>
  <c r="D176"/>
  <c r="L175"/>
  <c r="J175"/>
  <c r="H175"/>
  <c r="F175"/>
  <c r="D175"/>
  <c r="N192"/>
  <c r="L192"/>
  <c r="J192"/>
  <c r="H192"/>
  <c r="F192"/>
  <c r="D192"/>
  <c r="N191"/>
  <c r="L191"/>
  <c r="J191"/>
  <c r="H191"/>
  <c r="F191"/>
  <c r="D191"/>
  <c r="N190"/>
  <c r="L190"/>
  <c r="J190"/>
  <c r="H190"/>
  <c r="F190"/>
  <c r="D190"/>
  <c r="N189"/>
  <c r="L189"/>
  <c r="J189"/>
  <c r="H189"/>
  <c r="F189"/>
  <c r="D189"/>
  <c r="N188"/>
  <c r="L188"/>
  <c r="J188"/>
  <c r="H188"/>
  <c r="F188"/>
  <c r="D188"/>
  <c r="N187"/>
  <c r="L187"/>
  <c r="J187"/>
  <c r="H187"/>
  <c r="F187"/>
  <c r="D187"/>
  <c r="N186"/>
  <c r="L186"/>
  <c r="J186"/>
  <c r="H186"/>
  <c r="F186"/>
  <c r="D186"/>
  <c r="N185"/>
  <c r="L185"/>
  <c r="J185"/>
  <c r="H185"/>
  <c r="F185"/>
  <c r="D185"/>
  <c r="N184"/>
  <c r="L184"/>
  <c r="J184"/>
  <c r="H184"/>
  <c r="F184"/>
  <c r="D184"/>
  <c r="N174"/>
  <c r="L174"/>
  <c r="J174"/>
  <c r="H174"/>
  <c r="F174"/>
  <c r="D174"/>
  <c r="N142"/>
  <c r="L142"/>
  <c r="J142"/>
  <c r="H142"/>
  <c r="F142"/>
  <c r="D142"/>
  <c r="N141"/>
  <c r="L141"/>
  <c r="J141"/>
  <c r="H141"/>
  <c r="F141"/>
  <c r="D141"/>
  <c r="N140"/>
  <c r="L140"/>
  <c r="J140"/>
  <c r="H140"/>
  <c r="F140"/>
  <c r="D140"/>
  <c r="N139"/>
  <c r="L139"/>
  <c r="J139"/>
  <c r="H139"/>
  <c r="F139"/>
  <c r="D139"/>
  <c r="N137"/>
  <c r="L137"/>
  <c r="J137"/>
  <c r="F137"/>
  <c r="N136"/>
  <c r="J136"/>
  <c r="F136"/>
  <c r="N135"/>
  <c r="J135"/>
  <c r="F135"/>
  <c r="J134"/>
  <c r="F134"/>
  <c r="N151"/>
  <c r="J151"/>
  <c r="F151"/>
  <c r="N150"/>
  <c r="J150"/>
  <c r="F150"/>
  <c r="N149"/>
  <c r="J149"/>
  <c r="F149"/>
  <c r="O148"/>
  <c r="M148"/>
  <c r="K148"/>
  <c r="I148"/>
  <c r="G148"/>
  <c r="E148"/>
  <c r="O147"/>
  <c r="M147"/>
  <c r="K147"/>
  <c r="I147"/>
  <c r="G147"/>
  <c r="E147"/>
  <c r="O146"/>
  <c r="M146"/>
  <c r="K146"/>
  <c r="I146"/>
  <c r="G146"/>
  <c r="E146"/>
  <c r="O145"/>
  <c r="M145"/>
  <c r="K145"/>
  <c r="I145"/>
  <c r="G145"/>
  <c r="E145"/>
  <c r="O144"/>
  <c r="M144"/>
  <c r="K144"/>
  <c r="I144"/>
  <c r="G144"/>
  <c r="E144"/>
  <c r="O143"/>
  <c r="M143"/>
  <c r="K143"/>
  <c r="I143"/>
  <c r="G143"/>
  <c r="E143"/>
  <c r="M133"/>
  <c r="K133"/>
  <c r="I133"/>
  <c r="G133"/>
  <c r="E133"/>
  <c r="O108"/>
  <c r="M108"/>
  <c r="K108"/>
  <c r="I108"/>
  <c r="G108"/>
  <c r="E108"/>
  <c r="O107"/>
  <c r="M107"/>
  <c r="K107"/>
  <c r="I107"/>
  <c r="G107"/>
  <c r="E107"/>
  <c r="M106"/>
  <c r="K106"/>
  <c r="I106"/>
  <c r="G106"/>
  <c r="E106"/>
  <c r="O105"/>
  <c r="M105"/>
  <c r="K105"/>
  <c r="I105"/>
  <c r="G105"/>
  <c r="E105"/>
  <c r="O104"/>
  <c r="M104"/>
  <c r="K104"/>
  <c r="I104"/>
  <c r="G104"/>
  <c r="E104"/>
  <c r="O103"/>
  <c r="M103"/>
  <c r="K103"/>
  <c r="I103"/>
  <c r="G103"/>
  <c r="E103"/>
  <c r="O102"/>
  <c r="M102"/>
  <c r="K102"/>
  <c r="I102"/>
  <c r="G102"/>
  <c r="E102"/>
  <c r="O101"/>
  <c r="M101"/>
  <c r="K101"/>
  <c r="I101"/>
  <c r="G101"/>
  <c r="E101"/>
  <c r="O100"/>
  <c r="M100"/>
  <c r="K100"/>
  <c r="I100"/>
  <c r="G100"/>
  <c r="E100"/>
  <c r="O118"/>
  <c r="M118"/>
  <c r="K118"/>
  <c r="I118"/>
  <c r="G118"/>
  <c r="E118"/>
  <c r="O117"/>
  <c r="M117"/>
  <c r="K117"/>
  <c r="I117"/>
  <c r="G117"/>
  <c r="E117"/>
  <c r="O116"/>
  <c r="M116"/>
  <c r="K116"/>
  <c r="I116"/>
  <c r="G116"/>
  <c r="E116"/>
  <c r="O115"/>
  <c r="M115"/>
  <c r="K115"/>
  <c r="I115"/>
  <c r="G115"/>
  <c r="E115"/>
  <c r="O114"/>
  <c r="M114"/>
  <c r="K114"/>
  <c r="I114"/>
  <c r="G114"/>
  <c r="E114"/>
  <c r="O113"/>
  <c r="M113"/>
  <c r="K113"/>
  <c r="I113"/>
  <c r="G113"/>
  <c r="E113"/>
  <c r="O112"/>
  <c r="M112"/>
  <c r="K112"/>
  <c r="I112"/>
  <c r="G112"/>
  <c r="E112"/>
  <c r="O111"/>
  <c r="M111"/>
  <c r="K111"/>
  <c r="I111"/>
  <c r="G111"/>
  <c r="E111"/>
  <c r="O110"/>
  <c r="M110"/>
  <c r="K110"/>
  <c r="I110"/>
  <c r="G110"/>
  <c r="E110"/>
  <c r="O109"/>
  <c r="M109"/>
  <c r="K109"/>
  <c r="I109"/>
  <c r="G109"/>
  <c r="E109"/>
  <c r="O66"/>
  <c r="M66"/>
  <c r="K66"/>
  <c r="I66"/>
  <c r="G66"/>
  <c r="E66"/>
  <c r="O65"/>
  <c r="M65"/>
  <c r="K65"/>
  <c r="I65"/>
  <c r="G65"/>
  <c r="E65"/>
  <c r="O64"/>
  <c r="M64"/>
  <c r="K64"/>
  <c r="I64"/>
  <c r="G64"/>
  <c r="E64"/>
  <c r="O63"/>
  <c r="M63"/>
  <c r="K63"/>
  <c r="I63"/>
  <c r="G63"/>
  <c r="E63"/>
  <c r="O62"/>
  <c r="M62"/>
  <c r="K62"/>
  <c r="I62"/>
  <c r="G62"/>
  <c r="E62"/>
  <c r="O61"/>
  <c r="M61"/>
  <c r="K61"/>
  <c r="I61"/>
  <c r="G61"/>
  <c r="E61"/>
  <c r="O60"/>
  <c r="M60"/>
  <c r="K60"/>
  <c r="I60"/>
  <c r="G60"/>
  <c r="E60"/>
  <c r="O59"/>
  <c r="M59"/>
  <c r="K59"/>
  <c r="I59"/>
  <c r="G59"/>
  <c r="E59"/>
  <c r="O58"/>
  <c r="M58"/>
  <c r="K58"/>
  <c r="I58"/>
  <c r="G58"/>
  <c r="E58"/>
  <c r="O67"/>
  <c r="M67"/>
  <c r="K67"/>
  <c r="I67"/>
  <c r="G67"/>
  <c r="E67"/>
  <c r="O57"/>
  <c r="M57"/>
  <c r="K57"/>
  <c r="I57"/>
  <c r="G57"/>
  <c r="E57"/>
  <c r="O56"/>
  <c r="M56"/>
  <c r="K56"/>
  <c r="I56"/>
  <c r="G56"/>
  <c r="E56"/>
  <c r="O55"/>
  <c r="M55"/>
  <c r="K55"/>
  <c r="I55"/>
  <c r="G55"/>
  <c r="E55"/>
  <c r="M54"/>
  <c r="K54"/>
  <c r="I54"/>
  <c r="G54"/>
  <c r="E54"/>
  <c r="O53"/>
  <c r="M53"/>
  <c r="K53"/>
  <c r="I53"/>
  <c r="G53"/>
  <c r="E53"/>
  <c r="O52"/>
  <c r="M52"/>
  <c r="K52"/>
  <c r="I52"/>
  <c r="G52"/>
  <c r="E52"/>
  <c r="O51"/>
  <c r="M51"/>
  <c r="K51"/>
  <c r="I51"/>
  <c r="G51"/>
  <c r="E51"/>
  <c r="O50"/>
  <c r="M50"/>
  <c r="K50"/>
  <c r="I50"/>
  <c r="G50"/>
  <c r="E50"/>
  <c r="O49"/>
  <c r="M49"/>
  <c r="K49"/>
  <c r="I49"/>
  <c r="G49"/>
  <c r="E49"/>
  <c r="O19"/>
  <c r="M19"/>
  <c r="K19"/>
  <c r="I19"/>
  <c r="G19"/>
  <c r="E19"/>
  <c r="O18"/>
  <c r="M18"/>
  <c r="K18"/>
  <c r="I18"/>
  <c r="G18"/>
  <c r="E18"/>
  <c r="O17"/>
  <c r="M17"/>
  <c r="K17"/>
  <c r="I17"/>
  <c r="G17"/>
  <c r="E17"/>
  <c r="O16"/>
  <c r="M16"/>
  <c r="K16"/>
  <c r="I16"/>
  <c r="G16"/>
  <c r="E16"/>
  <c r="O15"/>
  <c r="M15"/>
  <c r="K15"/>
  <c r="I15"/>
  <c r="G15"/>
  <c r="E15"/>
  <c r="O14"/>
  <c r="M14"/>
  <c r="K14"/>
  <c r="I14"/>
  <c r="G14"/>
  <c r="E14"/>
  <c r="O13"/>
  <c r="M13"/>
  <c r="K13"/>
  <c r="I13"/>
  <c r="G13"/>
  <c r="E13"/>
  <c r="O12"/>
  <c r="M12"/>
  <c r="K12"/>
  <c r="I12"/>
  <c r="G12"/>
  <c r="E12"/>
  <c r="O11"/>
  <c r="M11"/>
  <c r="K11"/>
  <c r="I11"/>
  <c r="G11"/>
  <c r="E11"/>
  <c r="O27"/>
  <c r="M27"/>
  <c r="K27"/>
  <c r="I27"/>
  <c r="G27"/>
  <c r="E27"/>
  <c r="O26"/>
  <c r="M26"/>
  <c r="K26"/>
  <c r="I26"/>
  <c r="G26"/>
  <c r="E26"/>
  <c r="O25"/>
  <c r="M25"/>
  <c r="K25"/>
  <c r="I25"/>
  <c r="G25"/>
  <c r="E25"/>
  <c r="O24"/>
  <c r="M24"/>
  <c r="K24"/>
  <c r="I24"/>
  <c r="G24"/>
  <c r="E24"/>
  <c r="O23"/>
  <c r="M23"/>
  <c r="K23"/>
  <c r="I23"/>
  <c r="G23"/>
  <c r="E23"/>
  <c r="O22"/>
  <c r="M22"/>
  <c r="K22"/>
  <c r="I22"/>
  <c r="G22"/>
  <c r="E22"/>
  <c r="O21"/>
  <c r="M21"/>
  <c r="K21"/>
  <c r="I21"/>
  <c r="G21"/>
  <c r="E21"/>
  <c r="O20"/>
  <c r="M20"/>
  <c r="K20"/>
  <c r="I20"/>
  <c r="G20"/>
  <c r="E20"/>
  <c r="O10"/>
  <c r="M10"/>
  <c r="K10"/>
  <c r="I10"/>
  <c r="G10"/>
  <c r="E10"/>
  <c r="O9"/>
  <c r="M9"/>
  <c r="K9"/>
  <c r="I9"/>
  <c r="G9"/>
  <c r="E9"/>
  <c r="J27"/>
  <c r="D27"/>
  <c r="L26"/>
  <c r="H26"/>
  <c r="D26"/>
  <c r="L25"/>
  <c r="H25"/>
  <c r="D25"/>
  <c r="L23"/>
  <c r="H23"/>
  <c r="D23"/>
  <c r="L22"/>
  <c r="H22"/>
  <c r="D22"/>
  <c r="L21"/>
  <c r="H21"/>
  <c r="D21"/>
  <c r="L20"/>
  <c r="H20"/>
  <c r="D20"/>
  <c r="L10"/>
  <c r="H10"/>
  <c r="D10"/>
  <c r="H137"/>
  <c r="D137"/>
  <c r="L136"/>
  <c r="H136"/>
  <c r="D136"/>
  <c r="L135"/>
  <c r="H135"/>
  <c r="D135"/>
  <c r="L134"/>
  <c r="H134"/>
  <c r="D134"/>
  <c r="L151"/>
  <c r="H151"/>
  <c r="D151"/>
  <c r="L150"/>
  <c r="H150"/>
  <c r="D150"/>
  <c r="L149"/>
  <c r="H149"/>
  <c r="D149"/>
  <c r="N148"/>
  <c r="L148"/>
  <c r="J148"/>
  <c r="H148"/>
  <c r="F148"/>
  <c r="D148"/>
  <c r="N147"/>
  <c r="L147"/>
  <c r="J147"/>
  <c r="H147"/>
  <c r="F147"/>
  <c r="D147"/>
  <c r="N146"/>
  <c r="L146"/>
  <c r="J146"/>
  <c r="H146"/>
  <c r="F146"/>
  <c r="D146"/>
  <c r="N145"/>
  <c r="L145"/>
  <c r="J145"/>
  <c r="H145"/>
  <c r="F145"/>
  <c r="D145"/>
  <c r="N144"/>
  <c r="L144"/>
  <c r="J144"/>
  <c r="H144"/>
  <c r="F144"/>
  <c r="D144"/>
  <c r="N143"/>
  <c r="L143"/>
  <c r="J143"/>
  <c r="H143"/>
  <c r="F143"/>
  <c r="D143"/>
  <c r="N133"/>
  <c r="L133"/>
  <c r="J133"/>
  <c r="H133"/>
  <c r="F133"/>
  <c r="D133"/>
  <c r="N107"/>
  <c r="L107"/>
  <c r="J107"/>
  <c r="H107"/>
  <c r="F107"/>
  <c r="D107"/>
  <c r="N106"/>
  <c r="L106"/>
  <c r="J106"/>
  <c r="H106"/>
  <c r="F106"/>
  <c r="D106"/>
  <c r="N105"/>
  <c r="L105"/>
  <c r="J105"/>
  <c r="H105"/>
  <c r="F105"/>
  <c r="D105"/>
  <c r="N104"/>
  <c r="L104"/>
  <c r="J104"/>
  <c r="H104"/>
  <c r="F104"/>
  <c r="D104"/>
  <c r="N103"/>
  <c r="L103"/>
  <c r="J103"/>
  <c r="H103"/>
  <c r="F103"/>
  <c r="D103"/>
  <c r="N102"/>
  <c r="L102"/>
  <c r="J102"/>
  <c r="H102"/>
  <c r="F102"/>
  <c r="D102"/>
  <c r="N101"/>
  <c r="L101"/>
  <c r="J101"/>
  <c r="H101"/>
  <c r="F101"/>
  <c r="D101"/>
  <c r="N100"/>
  <c r="L100"/>
  <c r="J100"/>
  <c r="H100"/>
  <c r="F100"/>
  <c r="D100"/>
  <c r="N118"/>
  <c r="L118"/>
  <c r="J118"/>
  <c r="H118"/>
  <c r="F118"/>
  <c r="D118"/>
  <c r="N117"/>
  <c r="L117"/>
  <c r="J117"/>
  <c r="H117"/>
  <c r="F117"/>
  <c r="D117"/>
  <c r="N116"/>
  <c r="L116"/>
  <c r="J116"/>
  <c r="H116"/>
  <c r="F116"/>
  <c r="D116"/>
  <c r="N115"/>
  <c r="L115"/>
  <c r="J115"/>
  <c r="H115"/>
  <c r="F115"/>
  <c r="D115"/>
  <c r="N114"/>
  <c r="L114"/>
  <c r="J114"/>
  <c r="H114"/>
  <c r="F114"/>
  <c r="D114"/>
  <c r="N113"/>
  <c r="L113"/>
  <c r="J113"/>
  <c r="H113"/>
  <c r="F113"/>
  <c r="D113"/>
  <c r="N112"/>
  <c r="L112"/>
  <c r="J112"/>
  <c r="H112"/>
  <c r="F112"/>
  <c r="D112"/>
  <c r="N111"/>
  <c r="L111"/>
  <c r="J111"/>
  <c r="H111"/>
  <c r="F111"/>
  <c r="D111"/>
  <c r="N110"/>
  <c r="L110"/>
  <c r="J110"/>
  <c r="H110"/>
  <c r="F110"/>
  <c r="D110"/>
  <c r="N109"/>
  <c r="L109"/>
  <c r="J109"/>
  <c r="H109"/>
  <c r="F109"/>
  <c r="D109"/>
  <c r="N66"/>
  <c r="L66"/>
  <c r="J66"/>
  <c r="H66"/>
  <c r="F66"/>
  <c r="D66"/>
  <c r="N65"/>
  <c r="L65"/>
  <c r="J65"/>
  <c r="H65"/>
  <c r="F65"/>
  <c r="D65"/>
  <c r="N64"/>
  <c r="L64"/>
  <c r="J64"/>
  <c r="H64"/>
  <c r="F64"/>
  <c r="D64"/>
  <c r="N63"/>
  <c r="L63"/>
  <c r="J63"/>
  <c r="H63"/>
  <c r="F63"/>
  <c r="D63"/>
  <c r="N62"/>
  <c r="L62"/>
  <c r="J62"/>
  <c r="H62"/>
  <c r="F62"/>
  <c r="D62"/>
  <c r="N61"/>
  <c r="L61"/>
  <c r="J61"/>
  <c r="H61"/>
  <c r="F61"/>
  <c r="D61"/>
  <c r="N60"/>
  <c r="L60"/>
  <c r="J60"/>
  <c r="H60"/>
  <c r="F60"/>
  <c r="D60"/>
  <c r="N59"/>
  <c r="L59"/>
  <c r="J59"/>
  <c r="H59"/>
  <c r="F59"/>
  <c r="D59"/>
  <c r="N67"/>
  <c r="L67"/>
  <c r="J67"/>
  <c r="H67"/>
  <c r="F67"/>
  <c r="D67"/>
  <c r="N57"/>
  <c r="L57"/>
  <c r="J57"/>
  <c r="H57"/>
  <c r="F57"/>
  <c r="D57"/>
  <c r="N56"/>
  <c r="L56"/>
  <c r="J56"/>
  <c r="H56"/>
  <c r="F56"/>
  <c r="D56"/>
  <c r="N55"/>
  <c r="L55"/>
  <c r="J55"/>
  <c r="H55"/>
  <c r="F55"/>
  <c r="D55"/>
  <c r="N54"/>
  <c r="L54"/>
  <c r="J54"/>
  <c r="H54"/>
  <c r="F54"/>
  <c r="D54"/>
  <c r="N52"/>
  <c r="L52"/>
  <c r="J52"/>
  <c r="H52"/>
  <c r="F52"/>
  <c r="D52"/>
  <c r="N51"/>
  <c r="L51"/>
  <c r="J51"/>
  <c r="H51"/>
  <c r="F51"/>
  <c r="D51"/>
  <c r="N49"/>
  <c r="L49"/>
  <c r="J49"/>
  <c r="H49"/>
  <c r="F49"/>
  <c r="D49"/>
  <c r="N19"/>
  <c r="L19"/>
  <c r="J19"/>
  <c r="H19"/>
  <c r="F19"/>
  <c r="D19"/>
  <c r="N18"/>
  <c r="L18"/>
  <c r="J18"/>
  <c r="H18"/>
  <c r="F18"/>
  <c r="D18"/>
  <c r="N17"/>
  <c r="L17"/>
  <c r="J17"/>
  <c r="H17"/>
  <c r="F17"/>
  <c r="D17"/>
  <c r="N15"/>
  <c r="L15"/>
  <c r="J15"/>
  <c r="H15"/>
  <c r="F15"/>
  <c r="D15"/>
  <c r="N14"/>
  <c r="L14"/>
  <c r="J14"/>
  <c r="H14"/>
  <c r="F14"/>
  <c r="D14"/>
  <c r="N13"/>
  <c r="L13"/>
  <c r="J13"/>
  <c r="H13"/>
  <c r="F13"/>
  <c r="D13"/>
  <c r="N11"/>
  <c r="L11"/>
  <c r="J11"/>
  <c r="H11"/>
  <c r="F11"/>
  <c r="D11"/>
  <c r="N27"/>
  <c r="L27"/>
  <c r="H27"/>
  <c r="F27"/>
  <c r="N26"/>
  <c r="J26"/>
  <c r="F26"/>
  <c r="N25"/>
  <c r="J25"/>
  <c r="F25"/>
  <c r="N23"/>
  <c r="J23"/>
  <c r="F23"/>
  <c r="N22"/>
  <c r="J22"/>
  <c r="F22"/>
  <c r="N21"/>
  <c r="J21"/>
  <c r="F21"/>
  <c r="N20"/>
  <c r="J20"/>
  <c r="F20"/>
  <c r="N10"/>
  <c r="J10"/>
  <c r="F10"/>
  <c r="O20" i="21"/>
  <c r="E20"/>
  <c r="G19"/>
  <c r="I20"/>
  <c r="V154" i="13"/>
  <c r="V149"/>
  <c r="V151"/>
  <c r="V153"/>
  <c r="V152"/>
  <c r="K19" i="21"/>
  <c r="F19"/>
  <c r="J19"/>
  <c r="M20"/>
  <c r="V148" i="13"/>
  <c r="V147"/>
  <c r="V146"/>
  <c r="V150"/>
  <c r="V145"/>
  <c r="V144"/>
  <c r="V143"/>
  <c r="V142"/>
  <c r="F18" i="21"/>
  <c r="J18"/>
  <c r="N18"/>
  <c r="O18"/>
  <c r="E18"/>
  <c r="I18"/>
  <c r="M18"/>
  <c r="H18"/>
  <c r="L18"/>
  <c r="P18"/>
  <c r="N19"/>
  <c r="H20"/>
  <c r="L20"/>
  <c r="P20"/>
  <c r="N21"/>
  <c r="M252" i="13"/>
  <c r="V374"/>
  <c r="V372"/>
  <c r="V370"/>
  <c r="V367"/>
  <c r="V365"/>
  <c r="V363"/>
  <c r="V361"/>
  <c r="V358"/>
  <c r="V356"/>
  <c r="V354"/>
  <c r="V294"/>
  <c r="V292"/>
  <c r="V289"/>
  <c r="V287"/>
  <c r="V285"/>
  <c r="V282"/>
  <c r="V280"/>
  <c r="V278"/>
  <c r="V276"/>
  <c r="V274"/>
  <c r="V272"/>
  <c r="V270"/>
  <c r="V268"/>
  <c r="V266"/>
  <c r="V264"/>
  <c r="V262"/>
  <c r="V259"/>
  <c r="V257"/>
  <c r="V255"/>
  <c r="V253"/>
  <c r="V250"/>
  <c r="V248"/>
  <c r="V246"/>
  <c r="V243"/>
  <c r="V241"/>
  <c r="V239"/>
  <c r="V232"/>
  <c r="V230"/>
  <c r="V228"/>
  <c r="V226"/>
  <c r="V224"/>
  <c r="V221"/>
  <c r="V219"/>
  <c r="V217"/>
  <c r="V215"/>
  <c r="V212"/>
  <c r="V210"/>
  <c r="V208"/>
  <c r="V205"/>
  <c r="V203"/>
  <c r="V201"/>
  <c r="V199"/>
  <c r="V196"/>
  <c r="V194"/>
  <c r="V192"/>
  <c r="V190"/>
  <c r="V188"/>
  <c r="V185"/>
  <c r="V183"/>
  <c r="V181"/>
  <c r="V179"/>
  <c r="V177"/>
  <c r="V173"/>
  <c r="V170"/>
  <c r="V168"/>
  <c r="V165"/>
  <c r="V163"/>
  <c r="V161"/>
  <c r="V140"/>
  <c r="V138"/>
  <c r="V135"/>
  <c r="V133"/>
  <c r="V131"/>
  <c r="V129"/>
  <c r="V126"/>
  <c r="V124"/>
  <c r="V121"/>
  <c r="V119"/>
  <c r="V117"/>
  <c r="V115"/>
  <c r="V112"/>
  <c r="V109"/>
  <c r="V106"/>
  <c r="V104"/>
  <c r="V102"/>
  <c r="V99"/>
  <c r="V97"/>
  <c r="V91"/>
  <c r="V88"/>
  <c r="V86"/>
  <c r="V84"/>
  <c r="V82"/>
  <c r="V80"/>
  <c r="V77"/>
  <c r="V75"/>
  <c r="V72"/>
  <c r="V70"/>
  <c r="V68"/>
  <c r="V66"/>
  <c r="V64"/>
  <c r="V61"/>
  <c r="V58"/>
  <c r="V56"/>
  <c r="V53"/>
  <c r="V51"/>
  <c r="V45"/>
  <c r="V43"/>
  <c r="V41"/>
  <c r="V39"/>
  <c r="V37"/>
  <c r="V35"/>
  <c r="V33"/>
  <c r="V31"/>
  <c r="V29"/>
  <c r="V27"/>
  <c r="V25"/>
  <c r="V23"/>
  <c r="V21"/>
  <c r="V19"/>
  <c r="V17"/>
  <c r="V15"/>
  <c r="V13"/>
  <c r="V11"/>
  <c r="V9"/>
  <c r="V7"/>
  <c r="V5"/>
  <c r="V375"/>
  <c r="V373"/>
  <c r="V371"/>
  <c r="V369"/>
  <c r="V366"/>
  <c r="V364"/>
  <c r="V362"/>
  <c r="V359"/>
  <c r="V357"/>
  <c r="V355"/>
  <c r="V353"/>
  <c r="V293"/>
  <c r="V291"/>
  <c r="V288"/>
  <c r="V286"/>
  <c r="V283"/>
  <c r="V281"/>
  <c r="V279"/>
  <c r="V277"/>
  <c r="V275"/>
  <c r="V273"/>
  <c r="V271"/>
  <c r="V269"/>
  <c r="V267"/>
  <c r="V265"/>
  <c r="V263"/>
  <c r="V260"/>
  <c r="V258"/>
  <c r="V256"/>
  <c r="V254"/>
  <c r="V251"/>
  <c r="V249"/>
  <c r="V247"/>
  <c r="V244"/>
  <c r="V242"/>
  <c r="V240"/>
  <c r="V238"/>
  <c r="V231"/>
  <c r="V229"/>
  <c r="V227"/>
  <c r="V225"/>
  <c r="V222"/>
  <c r="V220"/>
  <c r="V218"/>
  <c r="V216"/>
  <c r="V213"/>
  <c r="V211"/>
  <c r="V209"/>
  <c r="V207"/>
  <c r="V204"/>
  <c r="V202"/>
  <c r="V200"/>
  <c r="V197"/>
  <c r="V195"/>
  <c r="V193"/>
  <c r="V191"/>
  <c r="V189"/>
  <c r="V187"/>
  <c r="V184"/>
  <c r="V182"/>
  <c r="V180"/>
  <c r="V178"/>
  <c r="V175"/>
  <c r="V171"/>
  <c r="V169"/>
  <c r="V166"/>
  <c r="V164"/>
  <c r="V162"/>
  <c r="V160"/>
  <c r="V139"/>
  <c r="V136"/>
  <c r="V134"/>
  <c r="V132"/>
  <c r="V130"/>
  <c r="V128"/>
  <c r="V125"/>
  <c r="V123"/>
  <c r="V120"/>
  <c r="V118"/>
  <c r="V116"/>
  <c r="V114"/>
  <c r="V111"/>
  <c r="V108"/>
  <c r="V105"/>
  <c r="V103"/>
  <c r="V100"/>
  <c r="V98"/>
  <c r="V92"/>
  <c r="V90"/>
  <c r="V87"/>
  <c r="V85"/>
  <c r="V83"/>
  <c r="V81"/>
  <c r="V78"/>
  <c r="V76"/>
  <c r="V73"/>
  <c r="V71"/>
  <c r="V69"/>
  <c r="V67"/>
  <c r="V65"/>
  <c r="V62"/>
  <c r="V59"/>
  <c r="V57"/>
  <c r="V54"/>
  <c r="V52"/>
  <c r="V50"/>
  <c r="V44"/>
  <c r="V42"/>
  <c r="V40"/>
  <c r="V38"/>
  <c r="V36"/>
  <c r="V34"/>
  <c r="V32"/>
  <c r="V30"/>
  <c r="V28"/>
  <c r="V26"/>
  <c r="V24"/>
  <c r="V22"/>
  <c r="V18"/>
  <c r="V14"/>
  <c r="V10"/>
  <c r="V6"/>
  <c r="V20"/>
  <c r="V16"/>
  <c r="V12"/>
  <c r="V8"/>
  <c r="U34" i="21"/>
  <c r="U8"/>
  <c r="K27"/>
  <c r="I28"/>
  <c r="H28"/>
  <c r="G29"/>
  <c r="F29"/>
  <c r="N29"/>
  <c r="I30"/>
  <c r="H30"/>
  <c r="O200" i="13"/>
  <c r="O13" i="21"/>
  <c r="M13"/>
  <c r="L13"/>
  <c r="G27"/>
  <c r="F27"/>
  <c r="O28"/>
  <c r="E28"/>
  <c r="M28"/>
  <c r="L28"/>
  <c r="K29"/>
  <c r="J29"/>
  <c r="O30"/>
  <c r="E30"/>
  <c r="M30"/>
  <c r="L30"/>
  <c r="E13"/>
  <c r="K28"/>
  <c r="J28"/>
  <c r="I29"/>
  <c r="H29"/>
  <c r="P29"/>
  <c r="K30"/>
  <c r="J30"/>
  <c r="O246" i="13"/>
  <c r="N28" i="21"/>
  <c r="M29"/>
  <c r="L29"/>
  <c r="G30"/>
  <c r="F30"/>
  <c r="N30"/>
  <c r="K13"/>
  <c r="O364" i="13"/>
  <c r="O366"/>
  <c r="M360"/>
  <c r="G10" i="21"/>
  <c r="F10"/>
  <c r="N10"/>
  <c r="F13"/>
  <c r="J13"/>
  <c r="J27"/>
  <c r="N27"/>
  <c r="G32"/>
  <c r="G13"/>
  <c r="G38"/>
  <c r="G28"/>
  <c r="F38"/>
  <c r="F28"/>
  <c r="O39"/>
  <c r="O29"/>
  <c r="E39"/>
  <c r="E29"/>
  <c r="N13"/>
  <c r="O27"/>
  <c r="E27"/>
  <c r="I27"/>
  <c r="M27"/>
  <c r="H27"/>
  <c r="L27"/>
  <c r="P27"/>
  <c r="O361" i="13"/>
  <c r="O161"/>
  <c r="O169"/>
  <c r="O255"/>
  <c r="M368"/>
  <c r="G40" i="21"/>
  <c r="F40"/>
  <c r="O225" i="13"/>
  <c r="O362"/>
  <c r="O363"/>
  <c r="O365"/>
  <c r="O367"/>
  <c r="E32" i="21"/>
  <c r="O262" i="13"/>
  <c r="O190"/>
  <c r="O208"/>
  <c r="O216"/>
  <c r="AR190"/>
  <c r="O32" i="21"/>
  <c r="F32"/>
  <c r="N32"/>
  <c r="I10"/>
  <c r="H10"/>
  <c r="I32"/>
  <c r="H32"/>
  <c r="K37"/>
  <c r="I38"/>
  <c r="H38"/>
  <c r="G39"/>
  <c r="F39"/>
  <c r="N39"/>
  <c r="I40"/>
  <c r="H40"/>
  <c r="E10"/>
  <c r="M10"/>
  <c r="L10"/>
  <c r="M32"/>
  <c r="L32"/>
  <c r="O240" i="13"/>
  <c r="O38" i="21"/>
  <c r="E38"/>
  <c r="M38"/>
  <c r="L38"/>
  <c r="K39"/>
  <c r="J39"/>
  <c r="O40"/>
  <c r="E40"/>
  <c r="M40"/>
  <c r="O91" i="13"/>
  <c r="K38" i="21"/>
  <c r="I39"/>
  <c r="H39"/>
  <c r="K40"/>
  <c r="J40"/>
  <c r="O188" i="13"/>
  <c r="I37" i="21"/>
  <c r="N38"/>
  <c r="M39"/>
  <c r="N40"/>
  <c r="L40"/>
  <c r="K10"/>
  <c r="O66" i="13"/>
  <c r="O83"/>
  <c r="L287" i="20"/>
  <c r="H287"/>
  <c r="D287"/>
  <c r="L286"/>
  <c r="H286"/>
  <c r="D286"/>
  <c r="L285"/>
  <c r="H285"/>
  <c r="D285"/>
  <c r="L284"/>
  <c r="H284"/>
  <c r="D284"/>
  <c r="L264"/>
  <c r="H264"/>
  <c r="D264"/>
  <c r="L263"/>
  <c r="H263"/>
  <c r="D263"/>
  <c r="L262"/>
  <c r="H262"/>
  <c r="D262"/>
  <c r="L261"/>
  <c r="H261"/>
  <c r="D261"/>
  <c r="L260"/>
  <c r="H260"/>
  <c r="D260"/>
  <c r="L259"/>
  <c r="H259"/>
  <c r="D259"/>
  <c r="L258"/>
  <c r="H258"/>
  <c r="D258"/>
  <c r="L257"/>
  <c r="H257"/>
  <c r="D257"/>
  <c r="L256"/>
  <c r="H256"/>
  <c r="D256"/>
  <c r="L255"/>
  <c r="H255"/>
  <c r="D255"/>
  <c r="L254"/>
  <c r="H254"/>
  <c r="D254"/>
  <c r="L246"/>
  <c r="H246"/>
  <c r="D246"/>
  <c r="L245"/>
  <c r="H245"/>
  <c r="D245"/>
  <c r="L244"/>
  <c r="H244"/>
  <c r="D244"/>
  <c r="L243"/>
  <c r="H243"/>
  <c r="D243"/>
  <c r="L241"/>
  <c r="H241"/>
  <c r="D241"/>
  <c r="L240"/>
  <c r="H240"/>
  <c r="D240"/>
  <c r="L239"/>
  <c r="H239"/>
  <c r="D239"/>
  <c r="L238"/>
  <c r="H238"/>
  <c r="D238"/>
  <c r="L236"/>
  <c r="H236"/>
  <c r="D236"/>
  <c r="L235"/>
  <c r="H235"/>
  <c r="D235"/>
  <c r="K234"/>
  <c r="G234"/>
  <c r="O214"/>
  <c r="K214"/>
  <c r="G214"/>
  <c r="O213"/>
  <c r="K213"/>
  <c r="G213"/>
  <c r="K205"/>
  <c r="G205"/>
  <c r="O204"/>
  <c r="K204"/>
  <c r="G204"/>
  <c r="K203"/>
  <c r="G203"/>
  <c r="O202"/>
  <c r="K202"/>
  <c r="G202"/>
  <c r="O201"/>
  <c r="K201"/>
  <c r="G201"/>
  <c r="O200"/>
  <c r="K200"/>
  <c r="G200"/>
  <c r="O199"/>
  <c r="K199"/>
  <c r="G199"/>
  <c r="O198"/>
  <c r="K198"/>
  <c r="G198"/>
  <c r="O197"/>
  <c r="K197"/>
  <c r="G197"/>
  <c r="O196"/>
  <c r="K196"/>
  <c r="G196"/>
  <c r="O195"/>
  <c r="K195"/>
  <c r="G195"/>
  <c r="K194"/>
  <c r="G194"/>
  <c r="O193"/>
  <c r="K193"/>
  <c r="G193"/>
  <c r="O173"/>
  <c r="K173"/>
  <c r="G173"/>
  <c r="O172"/>
  <c r="K172"/>
  <c r="G172"/>
  <c r="O164"/>
  <c r="K164"/>
  <c r="G164"/>
  <c r="O163"/>
  <c r="K163"/>
  <c r="G163"/>
  <c r="O162"/>
  <c r="K162"/>
  <c r="G162"/>
  <c r="O161"/>
  <c r="K161"/>
  <c r="G161"/>
  <c r="O160"/>
  <c r="K160"/>
  <c r="G160"/>
  <c r="O159"/>
  <c r="K159"/>
  <c r="G159"/>
  <c r="O158"/>
  <c r="K158"/>
  <c r="G158"/>
  <c r="O156"/>
  <c r="K156"/>
  <c r="G156"/>
  <c r="O155"/>
  <c r="K155"/>
  <c r="G155"/>
  <c r="O154"/>
  <c r="K154"/>
  <c r="G154"/>
  <c r="O153"/>
  <c r="K153"/>
  <c r="G153"/>
  <c r="O152"/>
  <c r="K152"/>
  <c r="G152"/>
  <c r="O132"/>
  <c r="K132"/>
  <c r="G132"/>
  <c r="O131"/>
  <c r="K131"/>
  <c r="G131"/>
  <c r="O122"/>
  <c r="K122"/>
  <c r="G122"/>
  <c r="O121"/>
  <c r="K121"/>
  <c r="G121"/>
  <c r="O120"/>
  <c r="K120"/>
  <c r="G120"/>
  <c r="O119"/>
  <c r="K119"/>
  <c r="G119"/>
  <c r="O99"/>
  <c r="K99"/>
  <c r="G99"/>
  <c r="O98"/>
  <c r="K98"/>
  <c r="G98"/>
  <c r="O97"/>
  <c r="K97"/>
  <c r="G97"/>
  <c r="O96"/>
  <c r="K96"/>
  <c r="G96"/>
  <c r="O95"/>
  <c r="K95"/>
  <c r="G95"/>
  <c r="M287"/>
  <c r="I287"/>
  <c r="E287"/>
  <c r="M286"/>
  <c r="I286"/>
  <c r="E286"/>
  <c r="M285"/>
  <c r="I285"/>
  <c r="E285"/>
  <c r="M284"/>
  <c r="I284"/>
  <c r="E284"/>
  <c r="M264"/>
  <c r="I264"/>
  <c r="E264"/>
  <c r="M263"/>
  <c r="I263"/>
  <c r="E263"/>
  <c r="M262"/>
  <c r="I262"/>
  <c r="E262"/>
  <c r="M261"/>
  <c r="I261"/>
  <c r="E261"/>
  <c r="M260"/>
  <c r="I260"/>
  <c r="E260"/>
  <c r="M259"/>
  <c r="I259"/>
  <c r="E259"/>
  <c r="M258"/>
  <c r="I258"/>
  <c r="E258"/>
  <c r="M257"/>
  <c r="I257"/>
  <c r="E257"/>
  <c r="M256"/>
  <c r="I256"/>
  <c r="E256"/>
  <c r="M255"/>
  <c r="I255"/>
  <c r="E255"/>
  <c r="M254"/>
  <c r="I254"/>
  <c r="E254"/>
  <c r="M246"/>
  <c r="I246"/>
  <c r="E246"/>
  <c r="M245"/>
  <c r="I245"/>
  <c r="E245"/>
  <c r="M244"/>
  <c r="I244"/>
  <c r="E244"/>
  <c r="M243"/>
  <c r="I243"/>
  <c r="E243"/>
  <c r="M242"/>
  <c r="I242"/>
  <c r="E242"/>
  <c r="M241"/>
  <c r="I241"/>
  <c r="E241"/>
  <c r="M240"/>
  <c r="I240"/>
  <c r="E240"/>
  <c r="M239"/>
  <c r="I239"/>
  <c r="E239"/>
  <c r="M238"/>
  <c r="I238"/>
  <c r="E238"/>
  <c r="M237"/>
  <c r="I237"/>
  <c r="E237"/>
  <c r="M236"/>
  <c r="I236"/>
  <c r="E236"/>
  <c r="M235"/>
  <c r="I235"/>
  <c r="E235"/>
  <c r="L234"/>
  <c r="H234"/>
  <c r="D234"/>
  <c r="L214"/>
  <c r="H214"/>
  <c r="D214"/>
  <c r="L213"/>
  <c r="H213"/>
  <c r="D213"/>
  <c r="L205"/>
  <c r="H205"/>
  <c r="D205"/>
  <c r="L204"/>
  <c r="H204"/>
  <c r="D204"/>
  <c r="L203"/>
  <c r="H203"/>
  <c r="D203"/>
  <c r="L202"/>
  <c r="H202"/>
  <c r="D202"/>
  <c r="L201"/>
  <c r="H201"/>
  <c r="D201"/>
  <c r="L200"/>
  <c r="H200"/>
  <c r="D200"/>
  <c r="L199"/>
  <c r="H199"/>
  <c r="D199"/>
  <c r="L198"/>
  <c r="H198"/>
  <c r="D198"/>
  <c r="L197"/>
  <c r="H197"/>
  <c r="D197"/>
  <c r="L196"/>
  <c r="H196"/>
  <c r="D196"/>
  <c r="L195"/>
  <c r="H195"/>
  <c r="D195"/>
  <c r="L194"/>
  <c r="H194"/>
  <c r="D194"/>
  <c r="L193"/>
  <c r="H193"/>
  <c r="D193"/>
  <c r="L173"/>
  <c r="H173"/>
  <c r="D173"/>
  <c r="L172"/>
  <c r="H172"/>
  <c r="D172"/>
  <c r="L164"/>
  <c r="H164"/>
  <c r="D164"/>
  <c r="L163"/>
  <c r="H163"/>
  <c r="D163"/>
  <c r="L162"/>
  <c r="H162"/>
  <c r="D162"/>
  <c r="L161"/>
  <c r="H161"/>
  <c r="D161"/>
  <c r="L160"/>
  <c r="H160"/>
  <c r="D160"/>
  <c r="L159"/>
  <c r="H159"/>
  <c r="D159"/>
  <c r="L158"/>
  <c r="H158"/>
  <c r="D158"/>
  <c r="L156"/>
  <c r="H156"/>
  <c r="D156"/>
  <c r="L155"/>
  <c r="H155"/>
  <c r="D155"/>
  <c r="L154"/>
  <c r="H154"/>
  <c r="D154"/>
  <c r="L153"/>
  <c r="H153"/>
  <c r="D153"/>
  <c r="L152"/>
  <c r="H152"/>
  <c r="D152"/>
  <c r="L132"/>
  <c r="H132"/>
  <c r="D132"/>
  <c r="L122"/>
  <c r="H122"/>
  <c r="D122"/>
  <c r="L121"/>
  <c r="H121"/>
  <c r="D121"/>
  <c r="L120"/>
  <c r="H120"/>
  <c r="D120"/>
  <c r="L119"/>
  <c r="H119"/>
  <c r="D119"/>
  <c r="L99"/>
  <c r="H99"/>
  <c r="D99"/>
  <c r="L98"/>
  <c r="H98"/>
  <c r="D98"/>
  <c r="L97"/>
  <c r="H97"/>
  <c r="D97"/>
  <c r="L96"/>
  <c r="H96"/>
  <c r="D96"/>
  <c r="L95"/>
  <c r="H95"/>
  <c r="D95"/>
  <c r="L93"/>
  <c r="H93"/>
  <c r="D93"/>
  <c r="L92"/>
  <c r="H92"/>
  <c r="D92"/>
  <c r="J91"/>
  <c r="F91"/>
  <c r="N90"/>
  <c r="J90"/>
  <c r="F90"/>
  <c r="M89"/>
  <c r="N287"/>
  <c r="J287"/>
  <c r="F287"/>
  <c r="N286"/>
  <c r="J286"/>
  <c r="F286"/>
  <c r="N285"/>
  <c r="J285"/>
  <c r="F285"/>
  <c r="N284"/>
  <c r="J284"/>
  <c r="F284"/>
  <c r="N264"/>
  <c r="J264"/>
  <c r="F264"/>
  <c r="N263"/>
  <c r="J263"/>
  <c r="F263"/>
  <c r="N262"/>
  <c r="J262"/>
  <c r="F262"/>
  <c r="N261"/>
  <c r="J261"/>
  <c r="F261"/>
  <c r="N260"/>
  <c r="J260"/>
  <c r="F260"/>
  <c r="N259"/>
  <c r="J259"/>
  <c r="F259"/>
  <c r="N258"/>
  <c r="J258"/>
  <c r="F258"/>
  <c r="N257"/>
  <c r="J257"/>
  <c r="F257"/>
  <c r="N256"/>
  <c r="J256"/>
  <c r="F256"/>
  <c r="N255"/>
  <c r="J255"/>
  <c r="F255"/>
  <c r="N254"/>
  <c r="J254"/>
  <c r="F254"/>
  <c r="N246"/>
  <c r="J246"/>
  <c r="F246"/>
  <c r="N245"/>
  <c r="J245"/>
  <c r="F245"/>
  <c r="N244"/>
  <c r="J244"/>
  <c r="F244"/>
  <c r="N243"/>
  <c r="J243"/>
  <c r="F243"/>
  <c r="N241"/>
  <c r="J241"/>
  <c r="F241"/>
  <c r="N240"/>
  <c r="J240"/>
  <c r="F240"/>
  <c r="N239"/>
  <c r="J239"/>
  <c r="F239"/>
  <c r="N238"/>
  <c r="J238"/>
  <c r="F238"/>
  <c r="N236"/>
  <c r="J236"/>
  <c r="F236"/>
  <c r="N235"/>
  <c r="J235"/>
  <c r="F235"/>
  <c r="M234"/>
  <c r="I234"/>
  <c r="E234"/>
  <c r="M214"/>
  <c r="I214"/>
  <c r="E214"/>
  <c r="M213"/>
  <c r="I213"/>
  <c r="E213"/>
  <c r="M205"/>
  <c r="I205"/>
  <c r="E205"/>
  <c r="M204"/>
  <c r="I204"/>
  <c r="E204"/>
  <c r="M203"/>
  <c r="I203"/>
  <c r="E203"/>
  <c r="M202"/>
  <c r="I202"/>
  <c r="E202"/>
  <c r="M201"/>
  <c r="I201"/>
  <c r="E201"/>
  <c r="M200"/>
  <c r="I200"/>
  <c r="E200"/>
  <c r="M199"/>
  <c r="I199"/>
  <c r="E199"/>
  <c r="M198"/>
  <c r="I198"/>
  <c r="E198"/>
  <c r="M197"/>
  <c r="I197"/>
  <c r="E197"/>
  <c r="M196"/>
  <c r="I196"/>
  <c r="E196"/>
  <c r="M195"/>
  <c r="I195"/>
  <c r="E195"/>
  <c r="M194"/>
  <c r="I194"/>
  <c r="E194"/>
  <c r="M193"/>
  <c r="I193"/>
  <c r="E193"/>
  <c r="M173"/>
  <c r="I173"/>
  <c r="E173"/>
  <c r="M172"/>
  <c r="I172"/>
  <c r="E172"/>
  <c r="M164"/>
  <c r="I164"/>
  <c r="E164"/>
  <c r="M163"/>
  <c r="I163"/>
  <c r="E163"/>
  <c r="M162"/>
  <c r="I162"/>
  <c r="E162"/>
  <c r="M161"/>
  <c r="I161"/>
  <c r="E161"/>
  <c r="M160"/>
  <c r="I160"/>
  <c r="E160"/>
  <c r="M159"/>
  <c r="I159"/>
  <c r="E159"/>
  <c r="M158"/>
  <c r="I158"/>
  <c r="E158"/>
  <c r="M156"/>
  <c r="I156"/>
  <c r="E156"/>
  <c r="M155"/>
  <c r="I155"/>
  <c r="E155"/>
  <c r="M154"/>
  <c r="I154"/>
  <c r="E154"/>
  <c r="M153"/>
  <c r="I153"/>
  <c r="E153"/>
  <c r="M152"/>
  <c r="I152"/>
  <c r="E152"/>
  <c r="M132"/>
  <c r="I132"/>
  <c r="E132"/>
  <c r="M131"/>
  <c r="I131"/>
  <c r="E131"/>
  <c r="M122"/>
  <c r="I122"/>
  <c r="E122"/>
  <c r="M121"/>
  <c r="I121"/>
  <c r="E121"/>
  <c r="M120"/>
  <c r="I120"/>
  <c r="E120"/>
  <c r="M119"/>
  <c r="I119"/>
  <c r="E119"/>
  <c r="M99"/>
  <c r="I99"/>
  <c r="E99"/>
  <c r="M98"/>
  <c r="I98"/>
  <c r="E98"/>
  <c r="M97"/>
  <c r="I97"/>
  <c r="E97"/>
  <c r="M96"/>
  <c r="I96"/>
  <c r="E96"/>
  <c r="M95"/>
  <c r="I95"/>
  <c r="E95"/>
  <c r="O287"/>
  <c r="K287"/>
  <c r="G287"/>
  <c r="O286"/>
  <c r="K286"/>
  <c r="G286"/>
  <c r="O285"/>
  <c r="K285"/>
  <c r="G285"/>
  <c r="O284"/>
  <c r="K284"/>
  <c r="G284"/>
  <c r="O264"/>
  <c r="K264"/>
  <c r="G264"/>
  <c r="O263"/>
  <c r="K263"/>
  <c r="G263"/>
  <c r="O262"/>
  <c r="K262"/>
  <c r="G262"/>
  <c r="O261"/>
  <c r="K261"/>
  <c r="G261"/>
  <c r="O260"/>
  <c r="K260"/>
  <c r="G260"/>
  <c r="O259"/>
  <c r="K259"/>
  <c r="G259"/>
  <c r="O258"/>
  <c r="K258"/>
  <c r="G258"/>
  <c r="O257"/>
  <c r="K257"/>
  <c r="G257"/>
  <c r="O256"/>
  <c r="K256"/>
  <c r="G256"/>
  <c r="O255"/>
  <c r="K255"/>
  <c r="G255"/>
  <c r="O254"/>
  <c r="K254"/>
  <c r="G254"/>
  <c r="O246"/>
  <c r="K246"/>
  <c r="G246"/>
  <c r="O245"/>
  <c r="K245"/>
  <c r="G245"/>
  <c r="O244"/>
  <c r="K244"/>
  <c r="G244"/>
  <c r="O243"/>
  <c r="K243"/>
  <c r="G243"/>
  <c r="O242"/>
  <c r="K242"/>
  <c r="G242"/>
  <c r="O241"/>
  <c r="K241"/>
  <c r="G241"/>
  <c r="O240"/>
  <c r="K240"/>
  <c r="G240"/>
  <c r="O239"/>
  <c r="K239"/>
  <c r="G239"/>
  <c r="O238"/>
  <c r="K238"/>
  <c r="G238"/>
  <c r="O237"/>
  <c r="K237"/>
  <c r="G237"/>
  <c r="O236"/>
  <c r="K236"/>
  <c r="G236"/>
  <c r="O235"/>
  <c r="K235"/>
  <c r="G235"/>
  <c r="N234"/>
  <c r="J234"/>
  <c r="F234"/>
  <c r="N214"/>
  <c r="J214"/>
  <c r="F214"/>
  <c r="N213"/>
  <c r="J213"/>
  <c r="F213"/>
  <c r="N205"/>
  <c r="J205"/>
  <c r="F205"/>
  <c r="N204"/>
  <c r="J204"/>
  <c r="F204"/>
  <c r="N203"/>
  <c r="J203"/>
  <c r="F203"/>
  <c r="N202"/>
  <c r="J202"/>
  <c r="F202"/>
  <c r="N201"/>
  <c r="J201"/>
  <c r="F201"/>
  <c r="N200"/>
  <c r="J200"/>
  <c r="F200"/>
  <c r="N199"/>
  <c r="J199"/>
  <c r="F199"/>
  <c r="N198"/>
  <c r="J198"/>
  <c r="F198"/>
  <c r="N197"/>
  <c r="J197"/>
  <c r="F197"/>
  <c r="N196"/>
  <c r="J196"/>
  <c r="F196"/>
  <c r="N195"/>
  <c r="J195"/>
  <c r="F195"/>
  <c r="N194"/>
  <c r="J194"/>
  <c r="F194"/>
  <c r="N193"/>
  <c r="J193"/>
  <c r="F193"/>
  <c r="N173"/>
  <c r="J173"/>
  <c r="F173"/>
  <c r="N172"/>
  <c r="J172"/>
  <c r="F172"/>
  <c r="N164"/>
  <c r="J164"/>
  <c r="F164"/>
  <c r="N163"/>
  <c r="J163"/>
  <c r="F163"/>
  <c r="N162"/>
  <c r="J162"/>
  <c r="F162"/>
  <c r="N161"/>
  <c r="J161"/>
  <c r="F161"/>
  <c r="N160"/>
  <c r="J160"/>
  <c r="F160"/>
  <c r="N159"/>
  <c r="J159"/>
  <c r="F159"/>
  <c r="N158"/>
  <c r="J158"/>
  <c r="F158"/>
  <c r="N156"/>
  <c r="J156"/>
  <c r="F156"/>
  <c r="N155"/>
  <c r="J155"/>
  <c r="F155"/>
  <c r="N154"/>
  <c r="J154"/>
  <c r="F154"/>
  <c r="J153"/>
  <c r="F153"/>
  <c r="J152"/>
  <c r="F152"/>
  <c r="N132"/>
  <c r="J132"/>
  <c r="F132"/>
  <c r="N122"/>
  <c r="J122"/>
  <c r="F122"/>
  <c r="N121"/>
  <c r="J121"/>
  <c r="F121"/>
  <c r="N120"/>
  <c r="J120"/>
  <c r="F120"/>
  <c r="N119"/>
  <c r="J119"/>
  <c r="F119"/>
  <c r="N99"/>
  <c r="J99"/>
  <c r="F99"/>
  <c r="N98"/>
  <c r="J98"/>
  <c r="F98"/>
  <c r="N97"/>
  <c r="J97"/>
  <c r="F97"/>
  <c r="N96"/>
  <c r="J96"/>
  <c r="F96"/>
  <c r="N95"/>
  <c r="J95"/>
  <c r="F95"/>
  <c r="N93"/>
  <c r="J93"/>
  <c r="F93"/>
  <c r="N92"/>
  <c r="J92"/>
  <c r="AF389" i="13"/>
  <c r="E8" i="16" s="1"/>
  <c r="O257" i="13"/>
  <c r="O259"/>
  <c r="J37" i="21"/>
  <c r="F8" i="20"/>
  <c r="J8"/>
  <c r="N8"/>
  <c r="K28"/>
  <c r="D29"/>
  <c r="H29"/>
  <c r="L29"/>
  <c r="D30"/>
  <c r="H30"/>
  <c r="L30"/>
  <c r="D32"/>
  <c r="H32"/>
  <c r="L32"/>
  <c r="D33"/>
  <c r="H33"/>
  <c r="L33"/>
  <c r="D34"/>
  <c r="H34"/>
  <c r="L34"/>
  <c r="D36"/>
  <c r="H36"/>
  <c r="L36"/>
  <c r="D37"/>
  <c r="H37"/>
  <c r="L37"/>
  <c r="D38"/>
  <c r="H38"/>
  <c r="L38"/>
  <c r="D39"/>
  <c r="H39"/>
  <c r="L39"/>
  <c r="D40"/>
  <c r="H40"/>
  <c r="L40"/>
  <c r="E68"/>
  <c r="I68"/>
  <c r="M68"/>
  <c r="M69"/>
  <c r="G70"/>
  <c r="K70"/>
  <c r="O70"/>
  <c r="G71"/>
  <c r="K71"/>
  <c r="O71"/>
  <c r="G73"/>
  <c r="K73"/>
  <c r="G74"/>
  <c r="K74"/>
  <c r="O74"/>
  <c r="G75"/>
  <c r="K75"/>
  <c r="O75"/>
  <c r="G76"/>
  <c r="K76"/>
  <c r="O76"/>
  <c r="G77"/>
  <c r="K77"/>
  <c r="O77"/>
  <c r="G78"/>
  <c r="K78"/>
  <c r="O78"/>
  <c r="G79"/>
  <c r="K79"/>
  <c r="O79"/>
  <c r="G80"/>
  <c r="K80"/>
  <c r="O80"/>
  <c r="G81"/>
  <c r="K81"/>
  <c r="O81"/>
  <c r="G89"/>
  <c r="K89"/>
  <c r="E90"/>
  <c r="K90"/>
  <c r="D91"/>
  <c r="I91"/>
  <c r="E92"/>
  <c r="K92"/>
  <c r="G93"/>
  <c r="O93"/>
  <c r="G69"/>
  <c r="H37" i="21"/>
  <c r="P37"/>
  <c r="L39"/>
  <c r="O291" i="13"/>
  <c r="E7" i="20"/>
  <c r="I7"/>
  <c r="M7"/>
  <c r="E8"/>
  <c r="I8"/>
  <c r="M8"/>
  <c r="E28"/>
  <c r="I28"/>
  <c r="O28"/>
  <c r="G29"/>
  <c r="K29"/>
  <c r="O29"/>
  <c r="G30"/>
  <c r="K30"/>
  <c r="O30"/>
  <c r="G31"/>
  <c r="K31"/>
  <c r="O31"/>
  <c r="G32"/>
  <c r="K32"/>
  <c r="O32"/>
  <c r="G33"/>
  <c r="K33"/>
  <c r="O33"/>
  <c r="G34"/>
  <c r="K34"/>
  <c r="O34"/>
  <c r="G35"/>
  <c r="K35"/>
  <c r="O35"/>
  <c r="G36"/>
  <c r="K36"/>
  <c r="O36"/>
  <c r="G37"/>
  <c r="K37"/>
  <c r="O37"/>
  <c r="G38"/>
  <c r="K38"/>
  <c r="O38"/>
  <c r="G39"/>
  <c r="K39"/>
  <c r="O39"/>
  <c r="G40"/>
  <c r="K40"/>
  <c r="O40"/>
  <c r="G48"/>
  <c r="K48"/>
  <c r="D68"/>
  <c r="H68"/>
  <c r="L68"/>
  <c r="F70"/>
  <c r="J70"/>
  <c r="N70"/>
  <c r="F71"/>
  <c r="J71"/>
  <c r="N71"/>
  <c r="F73"/>
  <c r="J73"/>
  <c r="N73"/>
  <c r="F74"/>
  <c r="J74"/>
  <c r="N74"/>
  <c r="F75"/>
  <c r="J75"/>
  <c r="N75"/>
  <c r="F76"/>
  <c r="J76"/>
  <c r="N76"/>
  <c r="F78"/>
  <c r="J78"/>
  <c r="N78"/>
  <c r="F79"/>
  <c r="J79"/>
  <c r="N79"/>
  <c r="F80"/>
  <c r="J80"/>
  <c r="N80"/>
  <c r="F81"/>
  <c r="J81"/>
  <c r="N81"/>
  <c r="D90"/>
  <c r="I90"/>
  <c r="O90"/>
  <c r="H91"/>
  <c r="I92"/>
  <c r="E93"/>
  <c r="M93"/>
  <c r="K91"/>
  <c r="AO389" i="13"/>
  <c r="N8" i="16" s="1"/>
  <c r="G37" i="21"/>
  <c r="F37"/>
  <c r="N37"/>
  <c r="D8" i="20"/>
  <c r="H8"/>
  <c r="L8"/>
  <c r="M28"/>
  <c r="F29"/>
  <c r="J29"/>
  <c r="N29"/>
  <c r="F30"/>
  <c r="J30"/>
  <c r="N30"/>
  <c r="F32"/>
  <c r="J32"/>
  <c r="N32"/>
  <c r="F33"/>
  <c r="J33"/>
  <c r="N33"/>
  <c r="F34"/>
  <c r="J34"/>
  <c r="N34"/>
  <c r="F36"/>
  <c r="J36"/>
  <c r="N36"/>
  <c r="F37"/>
  <c r="J37"/>
  <c r="N37"/>
  <c r="F38"/>
  <c r="J38"/>
  <c r="N38"/>
  <c r="F39"/>
  <c r="J39"/>
  <c r="N39"/>
  <c r="F40"/>
  <c r="J40"/>
  <c r="N40"/>
  <c r="O48"/>
  <c r="G68"/>
  <c r="K68"/>
  <c r="O68"/>
  <c r="I69"/>
  <c r="E70"/>
  <c r="I70"/>
  <c r="M70"/>
  <c r="E71"/>
  <c r="I71"/>
  <c r="M71"/>
  <c r="E73"/>
  <c r="I73"/>
  <c r="M73"/>
  <c r="E74"/>
  <c r="I74"/>
  <c r="M74"/>
  <c r="E75"/>
  <c r="I75"/>
  <c r="M75"/>
  <c r="E76"/>
  <c r="I76"/>
  <c r="M76"/>
  <c r="E77"/>
  <c r="I77"/>
  <c r="M77"/>
  <c r="E78"/>
  <c r="I78"/>
  <c r="M78"/>
  <c r="E79"/>
  <c r="I79"/>
  <c r="M79"/>
  <c r="E80"/>
  <c r="I80"/>
  <c r="M80"/>
  <c r="E81"/>
  <c r="I81"/>
  <c r="M81"/>
  <c r="E89"/>
  <c r="I89"/>
  <c r="O89"/>
  <c r="H90"/>
  <c r="M90"/>
  <c r="G91"/>
  <c r="M91"/>
  <c r="G92"/>
  <c r="O92"/>
  <c r="K93"/>
  <c r="J10" i="21"/>
  <c r="K69" i="20"/>
  <c r="K32" i="21"/>
  <c r="J32"/>
  <c r="O37"/>
  <c r="E37"/>
  <c r="M37"/>
  <c r="L37"/>
  <c r="J38"/>
  <c r="P39"/>
  <c r="G7" i="20"/>
  <c r="K7"/>
  <c r="O7"/>
  <c r="G8"/>
  <c r="K8"/>
  <c r="O8"/>
  <c r="G28"/>
  <c r="E29"/>
  <c r="I29"/>
  <c r="M29"/>
  <c r="E30"/>
  <c r="I30"/>
  <c r="M30"/>
  <c r="E31"/>
  <c r="I31"/>
  <c r="M31"/>
  <c r="E32"/>
  <c r="I32"/>
  <c r="M32"/>
  <c r="E33"/>
  <c r="I33"/>
  <c r="M33"/>
  <c r="E34"/>
  <c r="I34"/>
  <c r="M34"/>
  <c r="E35"/>
  <c r="I35"/>
  <c r="M35"/>
  <c r="E36"/>
  <c r="I36"/>
  <c r="M36"/>
  <c r="E37"/>
  <c r="I37"/>
  <c r="M37"/>
  <c r="E38"/>
  <c r="I38"/>
  <c r="M38"/>
  <c r="E39"/>
  <c r="I39"/>
  <c r="M39"/>
  <c r="E40"/>
  <c r="I40"/>
  <c r="M40"/>
  <c r="E48"/>
  <c r="I48"/>
  <c r="M48"/>
  <c r="F68"/>
  <c r="J68"/>
  <c r="N68"/>
  <c r="D70"/>
  <c r="H70"/>
  <c r="L70"/>
  <c r="D71"/>
  <c r="H71"/>
  <c r="L71"/>
  <c r="D73"/>
  <c r="H73"/>
  <c r="L73"/>
  <c r="D74"/>
  <c r="H74"/>
  <c r="L74"/>
  <c r="D75"/>
  <c r="H75"/>
  <c r="L75"/>
  <c r="D76"/>
  <c r="H76"/>
  <c r="L76"/>
  <c r="D78"/>
  <c r="H78"/>
  <c r="L78"/>
  <c r="D79"/>
  <c r="H79"/>
  <c r="L79"/>
  <c r="D80"/>
  <c r="H80"/>
  <c r="L80"/>
  <c r="D81"/>
  <c r="H81"/>
  <c r="L81"/>
  <c r="G90"/>
  <c r="L90"/>
  <c r="E91"/>
  <c r="L91"/>
  <c r="F92"/>
  <c r="M92"/>
  <c r="I93"/>
  <c r="O234"/>
  <c r="E69"/>
  <c r="O81" i="13"/>
  <c r="O52"/>
  <c r="O51"/>
  <c r="M261"/>
  <c r="O260"/>
  <c r="O274"/>
  <c r="O275"/>
  <c r="O276"/>
  <c r="O277"/>
  <c r="O285"/>
  <c r="O292"/>
  <c r="O369"/>
  <c r="O370"/>
  <c r="O371"/>
  <c r="O372"/>
  <c r="O373"/>
  <c r="O374"/>
  <c r="O375"/>
  <c r="M26" i="17"/>
  <c r="Q26" s="1"/>
  <c r="M29"/>
  <c r="Q29" s="1"/>
  <c r="O287" i="13"/>
  <c r="O293"/>
  <c r="AR294"/>
  <c r="P40" i="21" s="1"/>
  <c r="O288" i="13"/>
  <c r="O294"/>
  <c r="M245"/>
  <c r="M290"/>
  <c r="M176"/>
  <c r="O278"/>
  <c r="O279"/>
  <c r="O280"/>
  <c r="O281"/>
  <c r="O282"/>
  <c r="O283"/>
  <c r="O286"/>
  <c r="O273"/>
  <c r="AR283"/>
  <c r="O203" i="20" s="1"/>
  <c r="O289" i="13"/>
  <c r="M284"/>
  <c r="AC389"/>
  <c r="B8" i="16" s="1"/>
  <c r="AE389" i="13"/>
  <c r="D8" i="16" s="1"/>
  <c r="AG389" i="13"/>
  <c r="F8" i="16" s="1"/>
  <c r="AN389" i="13"/>
  <c r="M8" i="16" s="1"/>
  <c r="AP389" i="13"/>
  <c r="O8" i="16" s="1"/>
  <c r="O268" i="13"/>
  <c r="O269"/>
  <c r="O270"/>
  <c r="O271"/>
  <c r="O272"/>
  <c r="O211"/>
  <c r="O218"/>
  <c r="O222"/>
  <c r="O244"/>
  <c r="O242"/>
  <c r="O251"/>
  <c r="O250"/>
  <c r="O258"/>
  <c r="O267"/>
  <c r="O266"/>
  <c r="O265"/>
  <c r="M28" i="17"/>
  <c r="Q28" s="1"/>
  <c r="O263" i="13"/>
  <c r="O264"/>
  <c r="AD389"/>
  <c r="C8" i="16" s="1"/>
  <c r="AM389" i="13"/>
  <c r="L8" i="16" s="1"/>
  <c r="AQ389" i="13"/>
  <c r="P8" i="16" s="1"/>
  <c r="O253" i="13"/>
  <c r="O256"/>
  <c r="M23" i="17"/>
  <c r="Q23" s="1"/>
  <c r="M295" i="13"/>
  <c r="M22" i="17"/>
  <c r="M24" s="1"/>
  <c r="M19"/>
  <c r="Q19" s="1"/>
  <c r="M18"/>
  <c r="Q18" s="1"/>
  <c r="O248" i="13"/>
  <c r="O221"/>
  <c r="O239"/>
  <c r="O224"/>
  <c r="O227"/>
  <c r="O226"/>
  <c r="M223"/>
  <c r="AH226"/>
  <c r="O217"/>
  <c r="AR218"/>
  <c r="O73" i="20" s="1"/>
  <c r="O220" i="13"/>
  <c r="O219"/>
  <c r="M233"/>
  <c r="O201"/>
  <c r="O203"/>
  <c r="O184"/>
  <c r="M214"/>
  <c r="O215"/>
  <c r="O210"/>
  <c r="AR211"/>
  <c r="O212"/>
  <c r="O213"/>
  <c r="O204"/>
  <c r="O205"/>
  <c r="O182"/>
  <c r="O194"/>
  <c r="O193"/>
  <c r="O199"/>
  <c r="O202"/>
  <c r="M198"/>
  <c r="O185"/>
  <c r="O181"/>
  <c r="AR185"/>
  <c r="AR184"/>
  <c r="O183"/>
  <c r="O192"/>
  <c r="AR194"/>
  <c r="O195"/>
  <c r="O191"/>
  <c r="AH191"/>
  <c r="O178"/>
  <c r="O179"/>
  <c r="M172"/>
  <c r="O175"/>
  <c r="O170"/>
  <c r="AR170"/>
  <c r="M167"/>
  <c r="O173"/>
  <c r="O86"/>
  <c r="O88"/>
  <c r="M89"/>
  <c r="O82"/>
  <c r="AR78"/>
  <c r="O194" i="20" s="1"/>
  <c r="AR84" i="13"/>
  <c r="O69" i="20" s="1"/>
  <c r="O67" i="13"/>
  <c r="O77"/>
  <c r="O78"/>
  <c r="O84"/>
  <c r="O87"/>
  <c r="O90"/>
  <c r="O92"/>
  <c r="O75"/>
  <c r="O76"/>
  <c r="M79"/>
  <c r="M74"/>
  <c r="O71"/>
  <c r="O72"/>
  <c r="M55"/>
  <c r="O73"/>
  <c r="O58"/>
  <c r="O69"/>
  <c r="O70"/>
  <c r="AR70"/>
  <c r="O68"/>
  <c r="M63"/>
  <c r="M60"/>
  <c r="AR59"/>
  <c r="O61"/>
  <c r="O62"/>
  <c r="O59"/>
  <c r="O57"/>
  <c r="O56"/>
  <c r="O53"/>
  <c r="AR54"/>
  <c r="O133" i="20" s="1"/>
  <c r="F25" i="13"/>
  <c r="AH25" s="1"/>
  <c r="O42"/>
  <c r="F37"/>
  <c r="AH37" s="1"/>
  <c r="O17"/>
  <c r="O18"/>
  <c r="F19"/>
  <c r="AH19" s="1"/>
  <c r="N153" i="20" s="1"/>
  <c r="O20" i="13"/>
  <c r="O21"/>
  <c r="O22"/>
  <c r="O54"/>
  <c r="O35"/>
  <c r="O36"/>
  <c r="O38"/>
  <c r="O39"/>
  <c r="O40"/>
  <c r="F7"/>
  <c r="AR7" s="1"/>
  <c r="O6"/>
  <c r="O24"/>
  <c r="AL442"/>
  <c r="K57" i="16" s="1"/>
  <c r="AL439" i="13"/>
  <c r="K54" i="16" s="1"/>
  <c r="AL444" i="13"/>
  <c r="K59" i="16" s="1"/>
  <c r="K19"/>
  <c r="AH389" i="13" l="1"/>
  <c r="G8" i="16" s="1"/>
  <c r="N175" i="20"/>
  <c r="N207" s="1"/>
  <c r="M376" i="13"/>
  <c r="U21" i="21"/>
  <c r="O54" i="20"/>
  <c r="O106"/>
  <c r="N134"/>
  <c r="O184"/>
  <c r="O186"/>
  <c r="O175"/>
  <c r="U19" i="21"/>
  <c r="U20"/>
  <c r="O10"/>
  <c r="P21"/>
  <c r="P19"/>
  <c r="U18"/>
  <c r="U37"/>
  <c r="U38"/>
  <c r="U40"/>
  <c r="U32"/>
  <c r="U27"/>
  <c r="T27" s="1"/>
  <c r="U39"/>
  <c r="U13"/>
  <c r="U10"/>
  <c r="U29"/>
  <c r="U30"/>
  <c r="U28"/>
  <c r="P13"/>
  <c r="P30"/>
  <c r="P28"/>
  <c r="G207" i="20"/>
  <c r="O248"/>
  <c r="O91"/>
  <c r="J207"/>
  <c r="E248"/>
  <c r="E42"/>
  <c r="J289"/>
  <c r="G42"/>
  <c r="M42"/>
  <c r="O42"/>
  <c r="M248"/>
  <c r="I42"/>
  <c r="K289"/>
  <c r="H207"/>
  <c r="H208" s="1"/>
  <c r="H209" s="1"/>
  <c r="P10" i="21"/>
  <c r="F207" i="20"/>
  <c r="O289"/>
  <c r="E207"/>
  <c r="N289"/>
  <c r="L207"/>
  <c r="E289"/>
  <c r="K207"/>
  <c r="G248"/>
  <c r="D289"/>
  <c r="O205"/>
  <c r="K42"/>
  <c r="P38" i="21"/>
  <c r="P32"/>
  <c r="G289" i="20"/>
  <c r="M207"/>
  <c r="I248"/>
  <c r="F289"/>
  <c r="D207"/>
  <c r="M289"/>
  <c r="L289"/>
  <c r="I207"/>
  <c r="I289"/>
  <c r="K248"/>
  <c r="H289"/>
  <c r="H290" s="1"/>
  <c r="H291" s="1"/>
  <c r="AR389" i="13"/>
  <c r="Q8" i="16" s="1"/>
  <c r="Q22" i="17"/>
  <c r="Q24" s="1"/>
  <c r="O25" i="13"/>
  <c r="O7"/>
  <c r="AH7"/>
  <c r="O37"/>
  <c r="O19"/>
  <c r="AR180"/>
  <c r="AQ180"/>
  <c r="AP180"/>
  <c r="AO180"/>
  <c r="AN180"/>
  <c r="AM180"/>
  <c r="AG180"/>
  <c r="AF180"/>
  <c r="AE180"/>
  <c r="AD180"/>
  <c r="AC180"/>
  <c r="S180"/>
  <c r="F180"/>
  <c r="AR177"/>
  <c r="AQ177"/>
  <c r="AP177"/>
  <c r="AO177"/>
  <c r="AN177"/>
  <c r="AM177"/>
  <c r="AG177"/>
  <c r="AF177"/>
  <c r="AE177"/>
  <c r="AD177"/>
  <c r="AC177"/>
  <c r="S177"/>
  <c r="F177"/>
  <c r="AR65"/>
  <c r="AQ65"/>
  <c r="AP65"/>
  <c r="AO65"/>
  <c r="AN65"/>
  <c r="AM65"/>
  <c r="AG65"/>
  <c r="AF65"/>
  <c r="AE65"/>
  <c r="AD65"/>
  <c r="AC65"/>
  <c r="S65"/>
  <c r="F65"/>
  <c r="L23" i="15"/>
  <c r="L24"/>
  <c r="I24"/>
  <c r="I23"/>
  <c r="L30" i="17"/>
  <c r="N30" s="1"/>
  <c r="S30" s="1"/>
  <c r="T25"/>
  <c r="S25"/>
  <c r="R25"/>
  <c r="L25"/>
  <c r="M25" s="1"/>
  <c r="T11"/>
  <c r="S11"/>
  <c r="R11"/>
  <c r="L11"/>
  <c r="M11" s="1"/>
  <c r="Q11" s="1"/>
  <c r="L22" i="15"/>
  <c r="I22"/>
  <c r="H22"/>
  <c r="L21"/>
  <c r="H21"/>
  <c r="I21" s="1"/>
  <c r="L20"/>
  <c r="H20"/>
  <c r="I20" s="1"/>
  <c r="L19"/>
  <c r="I19"/>
  <c r="L18"/>
  <c r="I18"/>
  <c r="L17"/>
  <c r="I17"/>
  <c r="L16"/>
  <c r="I16"/>
  <c r="L15"/>
  <c r="I15"/>
  <c r="L14"/>
  <c r="I14"/>
  <c r="L13"/>
  <c r="I13"/>
  <c r="L12"/>
  <c r="I12"/>
  <c r="L11"/>
  <c r="I11"/>
  <c r="L10"/>
  <c r="I10"/>
  <c r="L9"/>
  <c r="I9"/>
  <c r="L8"/>
  <c r="I8"/>
  <c r="L7"/>
  <c r="I7"/>
  <c r="L6"/>
  <c r="I6"/>
  <c r="L5"/>
  <c r="I5"/>
  <c r="T20" i="17"/>
  <c r="S20"/>
  <c r="R20"/>
  <c r="L20"/>
  <c r="N20" s="1"/>
  <c r="T17"/>
  <c r="S17"/>
  <c r="R17"/>
  <c r="L17"/>
  <c r="N17" s="1"/>
  <c r="L14"/>
  <c r="N14" s="1"/>
  <c r="S14" s="1"/>
  <c r="T13"/>
  <c r="S13"/>
  <c r="R13"/>
  <c r="L13"/>
  <c r="N13" s="1"/>
  <c r="T10"/>
  <c r="S10"/>
  <c r="R10"/>
  <c r="L10"/>
  <c r="N10" s="1"/>
  <c r="T7"/>
  <c r="S7"/>
  <c r="R7"/>
  <c r="L7"/>
  <c r="N7" s="1"/>
  <c r="T6"/>
  <c r="S6"/>
  <c r="R6"/>
  <c r="L6"/>
  <c r="N6" s="1"/>
  <c r="D12" i="20" l="1"/>
  <c r="H12"/>
  <c r="L12"/>
  <c r="O207"/>
  <c r="F12"/>
  <c r="J12"/>
  <c r="E291"/>
  <c r="E290"/>
  <c r="M250"/>
  <c r="M249"/>
  <c r="J291"/>
  <c r="J290"/>
  <c r="G209"/>
  <c r="G208"/>
  <c r="K250"/>
  <c r="K249"/>
  <c r="I208"/>
  <c r="I209"/>
  <c r="M290"/>
  <c r="M291"/>
  <c r="F291"/>
  <c r="F290"/>
  <c r="M208"/>
  <c r="M209"/>
  <c r="G250"/>
  <c r="G249"/>
  <c r="K290"/>
  <c r="K291"/>
  <c r="M43"/>
  <c r="M44"/>
  <c r="E250"/>
  <c r="E249"/>
  <c r="I290"/>
  <c r="I291"/>
  <c r="L291"/>
  <c r="L290"/>
  <c r="D209"/>
  <c r="D208"/>
  <c r="I250"/>
  <c r="I249"/>
  <c r="G291"/>
  <c r="G290"/>
  <c r="K43"/>
  <c r="K44"/>
  <c r="D291"/>
  <c r="D290"/>
  <c r="K208"/>
  <c r="K209"/>
  <c r="L209"/>
  <c r="L208"/>
  <c r="E209"/>
  <c r="E208"/>
  <c r="F209"/>
  <c r="F208"/>
  <c r="I43"/>
  <c r="I44"/>
  <c r="G44"/>
  <c r="G43"/>
  <c r="E44"/>
  <c r="E43"/>
  <c r="J209"/>
  <c r="J208"/>
  <c r="T28" i="21"/>
  <c r="T37"/>
  <c r="D31" i="20"/>
  <c r="H31"/>
  <c r="L31"/>
  <c r="J31"/>
  <c r="F31"/>
  <c r="Q25" i="17"/>
  <c r="Q27" s="1"/>
  <c r="M27"/>
  <c r="AH65" i="13"/>
  <c r="O65"/>
  <c r="AH177"/>
  <c r="O177"/>
  <c r="AH180"/>
  <c r="O180"/>
  <c r="M186"/>
  <c r="M30" i="17"/>
  <c r="R30" s="1"/>
  <c r="N25"/>
  <c r="Q30"/>
  <c r="T30" s="1"/>
  <c r="N11"/>
  <c r="M17"/>
  <c r="M7"/>
  <c r="Q7" s="1"/>
  <c r="M13"/>
  <c r="Q13" s="1"/>
  <c r="M20"/>
  <c r="Q20" s="1"/>
  <c r="M6"/>
  <c r="M10"/>
  <c r="M12" s="1"/>
  <c r="M14"/>
  <c r="N12" i="20" l="1"/>
  <c r="N31"/>
  <c r="Q17" i="17"/>
  <c r="Q21" s="1"/>
  <c r="M21"/>
  <c r="Q10"/>
  <c r="Q6"/>
  <c r="R14"/>
  <c r="Q14"/>
  <c r="T14" s="1"/>
  <c r="AR187" i="13" l="1"/>
  <c r="AQ187"/>
  <c r="AP187"/>
  <c r="AO187"/>
  <c r="AN187"/>
  <c r="AM187"/>
  <c r="AG187"/>
  <c r="AF187"/>
  <c r="AE187"/>
  <c r="AD187"/>
  <c r="AC187"/>
  <c r="S187"/>
  <c r="F187"/>
  <c r="AH187" l="1"/>
  <c r="O187"/>
  <c r="AR207"/>
  <c r="AQ207"/>
  <c r="AP207"/>
  <c r="AO207"/>
  <c r="AN207"/>
  <c r="AM207"/>
  <c r="AG207"/>
  <c r="AF207"/>
  <c r="AE207"/>
  <c r="AD207"/>
  <c r="AC207"/>
  <c r="S207"/>
  <c r="F207"/>
  <c r="AR209"/>
  <c r="AQ209"/>
  <c r="AP209"/>
  <c r="AO209"/>
  <c r="AN209"/>
  <c r="AM209"/>
  <c r="AG209"/>
  <c r="AF209"/>
  <c r="AE209"/>
  <c r="AD209"/>
  <c r="AC209"/>
  <c r="F209"/>
  <c r="AQ228"/>
  <c r="AP228"/>
  <c r="AO228"/>
  <c r="AN228"/>
  <c r="AM228"/>
  <c r="AG228"/>
  <c r="L108" i="20" s="1"/>
  <c r="AF228" i="13"/>
  <c r="J108" i="20" s="1"/>
  <c r="AE228" i="13"/>
  <c r="H108" i="20" s="1"/>
  <c r="AD228" i="13"/>
  <c r="F108" i="20" s="1"/>
  <c r="AC228" i="13"/>
  <c r="D108" i="20" s="1"/>
  <c r="S228" i="13"/>
  <c r="AQ162"/>
  <c r="AP162"/>
  <c r="AO162"/>
  <c r="AN162"/>
  <c r="AM162"/>
  <c r="AG162"/>
  <c r="AF162"/>
  <c r="AE162"/>
  <c r="AD162"/>
  <c r="AC162"/>
  <c r="S162"/>
  <c r="F162"/>
  <c r="AQ165"/>
  <c r="AP165"/>
  <c r="AO165"/>
  <c r="AN165"/>
  <c r="AM165"/>
  <c r="AG165"/>
  <c r="AF165"/>
  <c r="AE165"/>
  <c r="AD165"/>
  <c r="AC165"/>
  <c r="S165"/>
  <c r="F165"/>
  <c r="AQ164"/>
  <c r="AP164"/>
  <c r="AO164"/>
  <c r="AN164"/>
  <c r="AM164"/>
  <c r="AG164"/>
  <c r="AF164"/>
  <c r="AE164"/>
  <c r="AD164"/>
  <c r="AC164"/>
  <c r="S164"/>
  <c r="F164"/>
  <c r="AR196"/>
  <c r="AQ196"/>
  <c r="AP196"/>
  <c r="AO196"/>
  <c r="AN196"/>
  <c r="AM196"/>
  <c r="AG196"/>
  <c r="L138" i="20" s="1"/>
  <c r="AF196" i="13"/>
  <c r="J138" i="20" s="1"/>
  <c r="AE196" i="13"/>
  <c r="H138" i="20" s="1"/>
  <c r="AD196" i="13"/>
  <c r="F138" i="20" s="1"/>
  <c r="AC196" i="13"/>
  <c r="D138" i="20" s="1"/>
  <c r="S196" i="13"/>
  <c r="F196"/>
  <c r="AR64"/>
  <c r="AQ64"/>
  <c r="AP64"/>
  <c r="AO64"/>
  <c r="AN64"/>
  <c r="AM64"/>
  <c r="AG64"/>
  <c r="AF64"/>
  <c r="AE64"/>
  <c r="AD64"/>
  <c r="AC64"/>
  <c r="S64"/>
  <c r="F64"/>
  <c r="AR85"/>
  <c r="AQ85"/>
  <c r="AP85"/>
  <c r="AO85"/>
  <c r="AN85"/>
  <c r="AM85"/>
  <c r="AG85"/>
  <c r="AF85"/>
  <c r="AE85"/>
  <c r="AD85"/>
  <c r="AC85"/>
  <c r="S85"/>
  <c r="F85"/>
  <c r="AR80"/>
  <c r="AQ80"/>
  <c r="AP80"/>
  <c r="AO80"/>
  <c r="AN80"/>
  <c r="AM80"/>
  <c r="AG80"/>
  <c r="AF80"/>
  <c r="AE80"/>
  <c r="AD80"/>
  <c r="AC80"/>
  <c r="S80"/>
  <c r="F80"/>
  <c r="F50"/>
  <c r="O50" s="1"/>
  <c r="S50"/>
  <c r="AC50"/>
  <c r="AD50"/>
  <c r="AE50"/>
  <c r="AF50"/>
  <c r="AG50"/>
  <c r="AM50"/>
  <c r="AN50"/>
  <c r="AO50"/>
  <c r="AP50"/>
  <c r="AQ50"/>
  <c r="AR50"/>
  <c r="F355"/>
  <c r="O355" s="1"/>
  <c r="AR241"/>
  <c r="AQ241"/>
  <c r="AP241"/>
  <c r="AO241"/>
  <c r="AN241"/>
  <c r="AM241"/>
  <c r="AG241"/>
  <c r="AF241"/>
  <c r="AE241"/>
  <c r="AD241"/>
  <c r="AC241"/>
  <c r="S241"/>
  <c r="F241"/>
  <c r="AR238"/>
  <c r="AQ238"/>
  <c r="AP238"/>
  <c r="AO238"/>
  <c r="AN238"/>
  <c r="AM238"/>
  <c r="AG238"/>
  <c r="AF238"/>
  <c r="AE238"/>
  <c r="AD238"/>
  <c r="AC238"/>
  <c r="S238"/>
  <c r="F238"/>
  <c r="D16" i="20" l="1"/>
  <c r="J9"/>
  <c r="F9"/>
  <c r="D9"/>
  <c r="F24" i="21"/>
  <c r="J24"/>
  <c r="N24"/>
  <c r="G16"/>
  <c r="F16" i="20"/>
  <c r="K16" i="21"/>
  <c r="J16" i="20"/>
  <c r="L28"/>
  <c r="L9"/>
  <c r="H28"/>
  <c r="H9"/>
  <c r="G24" i="21"/>
  <c r="F24" i="20"/>
  <c r="K24" i="21"/>
  <c r="J24" i="20"/>
  <c r="E24" i="21"/>
  <c r="D24" i="20"/>
  <c r="I24" i="21"/>
  <c r="H24" i="20"/>
  <c r="M24" i="21"/>
  <c r="L24" i="20"/>
  <c r="H16"/>
  <c r="L16"/>
  <c r="H24" i="21"/>
  <c r="L24"/>
  <c r="P24"/>
  <c r="E16"/>
  <c r="I16"/>
  <c r="F35"/>
  <c r="F16"/>
  <c r="J35"/>
  <c r="J16"/>
  <c r="N35"/>
  <c r="N16"/>
  <c r="M16"/>
  <c r="H16"/>
  <c r="L16"/>
  <c r="P16"/>
  <c r="E72" i="20"/>
  <c r="E83" s="1"/>
  <c r="E94"/>
  <c r="E124" s="1"/>
  <c r="I72"/>
  <c r="I83" s="1"/>
  <c r="I94"/>
  <c r="I124" s="1"/>
  <c r="M72"/>
  <c r="M83" s="1"/>
  <c r="M94"/>
  <c r="M124" s="1"/>
  <c r="G72"/>
  <c r="G83" s="1"/>
  <c r="G94"/>
  <c r="G124" s="1"/>
  <c r="K72"/>
  <c r="K83" s="1"/>
  <c r="K94"/>
  <c r="K124" s="1"/>
  <c r="D28"/>
  <c r="V382" i="13"/>
  <c r="D157" i="20"/>
  <c r="L157"/>
  <c r="K35" i="21"/>
  <c r="J35" i="20"/>
  <c r="I35" i="21"/>
  <c r="H35" i="20"/>
  <c r="F28"/>
  <c r="J157"/>
  <c r="H35" i="21"/>
  <c r="P35"/>
  <c r="G35"/>
  <c r="F35" i="20"/>
  <c r="H157"/>
  <c r="E35" i="21"/>
  <c r="D35" i="20"/>
  <c r="M35" i="21"/>
  <c r="L35" i="20"/>
  <c r="F157"/>
  <c r="L35" i="21"/>
  <c r="J28" i="20"/>
  <c r="AH50" i="13"/>
  <c r="AH238"/>
  <c r="O238"/>
  <c r="AH80"/>
  <c r="O80"/>
  <c r="AH64"/>
  <c r="O64"/>
  <c r="AH207"/>
  <c r="O207"/>
  <c r="AH241"/>
  <c r="O241"/>
  <c r="AH85"/>
  <c r="O85"/>
  <c r="AH196"/>
  <c r="N138" i="20" s="1"/>
  <c r="O196" i="13"/>
  <c r="AH164"/>
  <c r="O164"/>
  <c r="AH165"/>
  <c r="O165"/>
  <c r="AH162"/>
  <c r="O162"/>
  <c r="AH228"/>
  <c r="N108" i="20" s="1"/>
  <c r="O228" i="13"/>
  <c r="AH209"/>
  <c r="O209"/>
  <c r="AR162"/>
  <c r="M206"/>
  <c r="AR228"/>
  <c r="AR165"/>
  <c r="AR164"/>
  <c r="AB420"/>
  <c r="AB417"/>
  <c r="S359"/>
  <c r="S358"/>
  <c r="S357"/>
  <c r="S356"/>
  <c r="S355"/>
  <c r="S354"/>
  <c r="S353"/>
  <c r="S247"/>
  <c r="S171"/>
  <c r="S168"/>
  <c r="S166"/>
  <c r="S163"/>
  <c r="S160"/>
  <c r="S197"/>
  <c r="S189"/>
  <c r="S43"/>
  <c r="S41"/>
  <c r="S28"/>
  <c r="S27"/>
  <c r="S26"/>
  <c r="S23"/>
  <c r="S10"/>
  <c r="S9"/>
  <c r="S8"/>
  <c r="S5"/>
  <c r="AG359"/>
  <c r="AF359"/>
  <c r="AE359"/>
  <c r="AD359"/>
  <c r="AC359"/>
  <c r="AG358"/>
  <c r="AF358"/>
  <c r="AE358"/>
  <c r="AD358"/>
  <c r="AC358"/>
  <c r="AG357"/>
  <c r="AF357"/>
  <c r="AE357"/>
  <c r="AD357"/>
  <c r="AC357"/>
  <c r="AG356"/>
  <c r="AF356"/>
  <c r="AE356"/>
  <c r="AD356"/>
  <c r="AC356"/>
  <c r="AG355"/>
  <c r="AF355"/>
  <c r="AE355"/>
  <c r="AD355"/>
  <c r="AC355"/>
  <c r="AG354"/>
  <c r="AF354"/>
  <c r="AE354"/>
  <c r="AD354"/>
  <c r="AC354"/>
  <c r="AG353"/>
  <c r="AF353"/>
  <c r="AE353"/>
  <c r="AD353"/>
  <c r="AC353"/>
  <c r="AG247"/>
  <c r="AF247"/>
  <c r="AE247"/>
  <c r="H58" i="20" s="1"/>
  <c r="AD247" i="13"/>
  <c r="AC247"/>
  <c r="AG171"/>
  <c r="AF171"/>
  <c r="AE171"/>
  <c r="AD171"/>
  <c r="AC171"/>
  <c r="AG168"/>
  <c r="AF168"/>
  <c r="AE168"/>
  <c r="AD168"/>
  <c r="AC168"/>
  <c r="AG166"/>
  <c r="AF166"/>
  <c r="AE166"/>
  <c r="AD166"/>
  <c r="AC166"/>
  <c r="AG163"/>
  <c r="AF163"/>
  <c r="AE163"/>
  <c r="AD163"/>
  <c r="AC163"/>
  <c r="AG160"/>
  <c r="AF160"/>
  <c r="AE160"/>
  <c r="AD160"/>
  <c r="AC160"/>
  <c r="AG197"/>
  <c r="M33" i="21" s="1"/>
  <c r="AF197" i="13"/>
  <c r="K33" i="21" s="1"/>
  <c r="AE197" i="13"/>
  <c r="I33" i="21" s="1"/>
  <c r="AD197" i="13"/>
  <c r="G33" i="21" s="1"/>
  <c r="AC197" i="13"/>
  <c r="E33" i="21" s="1"/>
  <c r="AG189" i="13"/>
  <c r="AF189"/>
  <c r="AE189"/>
  <c r="AD189"/>
  <c r="AC189"/>
  <c r="AR41"/>
  <c r="AQ41"/>
  <c r="AP41"/>
  <c r="AO41"/>
  <c r="AN41"/>
  <c r="AM41"/>
  <c r="AG41"/>
  <c r="AF41"/>
  <c r="AE41"/>
  <c r="AD41"/>
  <c r="AC41"/>
  <c r="F41"/>
  <c r="AR43"/>
  <c r="AQ43"/>
  <c r="AP43"/>
  <c r="AO43"/>
  <c r="AN43"/>
  <c r="AM43"/>
  <c r="AG43"/>
  <c r="L131" i="20" s="1"/>
  <c r="AF43" i="13"/>
  <c r="J131" i="20" s="1"/>
  <c r="AE43" i="13"/>
  <c r="H131" i="20" s="1"/>
  <c r="AD43" i="13"/>
  <c r="F131" i="20" s="1"/>
  <c r="AC43" i="13"/>
  <c r="D131" i="20" s="1"/>
  <c r="F43" i="13"/>
  <c r="AQ247"/>
  <c r="N17" i="21" s="1"/>
  <c r="AP247" i="13"/>
  <c r="AO247"/>
  <c r="J17" i="21" s="1"/>
  <c r="AN247" i="13"/>
  <c r="H17" i="21" s="1"/>
  <c r="AM247" i="13"/>
  <c r="F17" i="21" s="1"/>
  <c r="F247" i="13"/>
  <c r="N26" i="21"/>
  <c r="F26"/>
  <c r="AQ171" i="13"/>
  <c r="AP171"/>
  <c r="AO171"/>
  <c r="AN171"/>
  <c r="AM171"/>
  <c r="F171"/>
  <c r="AQ168"/>
  <c r="AP168"/>
  <c r="AO168"/>
  <c r="AN168"/>
  <c r="AM168"/>
  <c r="AR163"/>
  <c r="AQ163"/>
  <c r="AP163"/>
  <c r="AO163"/>
  <c r="AN163"/>
  <c r="AM163"/>
  <c r="F163"/>
  <c r="AR166"/>
  <c r="AQ166"/>
  <c r="AP166"/>
  <c r="AO166"/>
  <c r="AN166"/>
  <c r="AM166"/>
  <c r="F166"/>
  <c r="AR160"/>
  <c r="AQ160"/>
  <c r="AP160"/>
  <c r="AO160"/>
  <c r="AN160"/>
  <c r="AM160"/>
  <c r="M234"/>
  <c r="AQ197"/>
  <c r="AP197"/>
  <c r="AO197"/>
  <c r="AN197"/>
  <c r="AM197"/>
  <c r="F197"/>
  <c r="AQ28"/>
  <c r="AP28"/>
  <c r="AO28"/>
  <c r="AN28"/>
  <c r="AM28"/>
  <c r="AG28"/>
  <c r="AF28"/>
  <c r="AE28"/>
  <c r="AD28"/>
  <c r="AC28"/>
  <c r="F28"/>
  <c r="AQ27"/>
  <c r="AP27"/>
  <c r="AO27"/>
  <c r="AN27"/>
  <c r="AM27"/>
  <c r="AG27"/>
  <c r="AF27"/>
  <c r="AE27"/>
  <c r="AD27"/>
  <c r="AC27"/>
  <c r="F27"/>
  <c r="AQ26"/>
  <c r="AP26"/>
  <c r="AO26"/>
  <c r="AN26"/>
  <c r="AM26"/>
  <c r="AG26"/>
  <c r="AF26"/>
  <c r="AE26"/>
  <c r="AD26"/>
  <c r="AC26"/>
  <c r="F26"/>
  <c r="AQ23"/>
  <c r="AP23"/>
  <c r="AO23"/>
  <c r="AN23"/>
  <c r="AM23"/>
  <c r="AG23"/>
  <c r="AF23"/>
  <c r="AE23"/>
  <c r="AD23"/>
  <c r="AC23"/>
  <c r="F23"/>
  <c r="AL387"/>
  <c r="AL388"/>
  <c r="AL392"/>
  <c r="K11" i="16" s="1"/>
  <c r="AL386" i="13"/>
  <c r="AL385"/>
  <c r="AR392"/>
  <c r="Q11" i="16" s="1"/>
  <c r="AQ392" i="13"/>
  <c r="P11" i="16" s="1"/>
  <c r="AP392" i="13"/>
  <c r="O11" i="16" s="1"/>
  <c r="AO392" i="13"/>
  <c r="N11" i="16" s="1"/>
  <c r="AN392" i="13"/>
  <c r="M11" i="16" s="1"/>
  <c r="AM392" i="13"/>
  <c r="L11" i="16" s="1"/>
  <c r="AD392" i="13"/>
  <c r="C11" i="16" s="1"/>
  <c r="AE392" i="13"/>
  <c r="D11" i="16" s="1"/>
  <c r="AF392" i="13"/>
  <c r="E11" i="16" s="1"/>
  <c r="AG392" i="13"/>
  <c r="F11" i="16" s="1"/>
  <c r="AH392" i="13"/>
  <c r="G11" i="16" s="1"/>
  <c r="AC392" i="13"/>
  <c r="B11" i="16" s="1"/>
  <c r="AR359" i="13"/>
  <c r="AQ359"/>
  <c r="AP359"/>
  <c r="AO359"/>
  <c r="AN359"/>
  <c r="AM359"/>
  <c r="AR358"/>
  <c r="AQ358"/>
  <c r="AP358"/>
  <c r="AO358"/>
  <c r="AN358"/>
  <c r="AM358"/>
  <c r="AR357"/>
  <c r="AQ357"/>
  <c r="AP357"/>
  <c r="AO357"/>
  <c r="AN357"/>
  <c r="AM357"/>
  <c r="AR356"/>
  <c r="AQ356"/>
  <c r="AP356"/>
  <c r="AO356"/>
  <c r="AN356"/>
  <c r="AM356"/>
  <c r="AR355"/>
  <c r="AQ355"/>
  <c r="AP355"/>
  <c r="AO355"/>
  <c r="AN355"/>
  <c r="AM355"/>
  <c r="AR354"/>
  <c r="AQ354"/>
  <c r="AP354"/>
  <c r="AO354"/>
  <c r="AN354"/>
  <c r="AM354"/>
  <c r="AR353"/>
  <c r="AQ353"/>
  <c r="AP353"/>
  <c r="AO353"/>
  <c r="AN353"/>
  <c r="AM353"/>
  <c r="AR189"/>
  <c r="AQ189"/>
  <c r="AP189"/>
  <c r="AO189"/>
  <c r="AN189"/>
  <c r="AM189"/>
  <c r="AC5"/>
  <c r="AM8"/>
  <c r="AN8"/>
  <c r="AO8"/>
  <c r="AP8"/>
  <c r="AQ8"/>
  <c r="AM9"/>
  <c r="AN9"/>
  <c r="AO9"/>
  <c r="AP9"/>
  <c r="AQ9"/>
  <c r="AM10"/>
  <c r="AN10"/>
  <c r="AO10"/>
  <c r="AP10"/>
  <c r="AQ10"/>
  <c r="AC8"/>
  <c r="AD8"/>
  <c r="AE8"/>
  <c r="AF8"/>
  <c r="AG8"/>
  <c r="AC9"/>
  <c r="AD9"/>
  <c r="AE9"/>
  <c r="AF9"/>
  <c r="AG9"/>
  <c r="AC10"/>
  <c r="AD10"/>
  <c r="AE10"/>
  <c r="AF10"/>
  <c r="AG10"/>
  <c r="AN5"/>
  <c r="AO5"/>
  <c r="AP5"/>
  <c r="AQ5"/>
  <c r="AM5"/>
  <c r="AD5"/>
  <c r="AE5"/>
  <c r="AF5"/>
  <c r="AG5"/>
  <c r="F9"/>
  <c r="F353"/>
  <c r="F357"/>
  <c r="F5"/>
  <c r="F8"/>
  <c r="F10"/>
  <c r="F354"/>
  <c r="AH355"/>
  <c r="F356"/>
  <c r="F358"/>
  <c r="F359"/>
  <c r="AQ434" l="1"/>
  <c r="AE434"/>
  <c r="AM412"/>
  <c r="AF412"/>
  <c r="AG434"/>
  <c r="AC434"/>
  <c r="AH412"/>
  <c r="AR434"/>
  <c r="AM434"/>
  <c r="AF434"/>
  <c r="AQ412"/>
  <c r="AG412"/>
  <c r="AN434"/>
  <c r="AD412"/>
  <c r="AC412"/>
  <c r="AO434"/>
  <c r="AH434"/>
  <c r="AD434"/>
  <c r="AE412"/>
  <c r="AQ436"/>
  <c r="AP412"/>
  <c r="AR436"/>
  <c r="Q51" i="16" s="1"/>
  <c r="AP434" i="13"/>
  <c r="AM436"/>
  <c r="AR412"/>
  <c r="AO436"/>
  <c r="N51" i="16" s="1"/>
  <c r="AN412" i="13"/>
  <c r="AO412"/>
  <c r="AN436"/>
  <c r="M51" i="16" s="1"/>
  <c r="AP436" i="13"/>
  <c r="O51" i="16" s="1"/>
  <c r="L166" i="20"/>
  <c r="L167" s="1"/>
  <c r="L50"/>
  <c r="H50"/>
  <c r="U24" i="21"/>
  <c r="T23" s="1"/>
  <c r="F218" i="20"/>
  <c r="J218"/>
  <c r="D53"/>
  <c r="H53"/>
  <c r="L53"/>
  <c r="AC377" i="13"/>
  <c r="F53" i="20"/>
  <c r="J53"/>
  <c r="F33" i="21"/>
  <c r="E138" i="20"/>
  <c r="H14" i="21"/>
  <c r="G138" i="20"/>
  <c r="L14" i="21"/>
  <c r="K138" i="20"/>
  <c r="G17" i="21"/>
  <c r="F58" i="20"/>
  <c r="K17" i="21"/>
  <c r="J58" i="20"/>
  <c r="J50"/>
  <c r="F50"/>
  <c r="D50"/>
  <c r="D218"/>
  <c r="H218"/>
  <c r="L218"/>
  <c r="N9"/>
  <c r="J33" i="21"/>
  <c r="I138" i="20"/>
  <c r="N33" i="21"/>
  <c r="M138" i="20"/>
  <c r="E17" i="21"/>
  <c r="D58" i="20"/>
  <c r="M17" i="21"/>
  <c r="L58" i="20"/>
  <c r="N24"/>
  <c r="N16"/>
  <c r="K125"/>
  <c r="K126"/>
  <c r="G126"/>
  <c r="G125"/>
  <c r="M125"/>
  <c r="M126"/>
  <c r="I125"/>
  <c r="I126"/>
  <c r="E126"/>
  <c r="E125"/>
  <c r="K85"/>
  <c r="K84"/>
  <c r="G85"/>
  <c r="G84"/>
  <c r="M85"/>
  <c r="M84"/>
  <c r="I85"/>
  <c r="I84"/>
  <c r="E85"/>
  <c r="E84"/>
  <c r="I26" i="21"/>
  <c r="I17"/>
  <c r="O24"/>
  <c r="L26"/>
  <c r="L17"/>
  <c r="L89" i="20"/>
  <c r="U16" i="21"/>
  <c r="U35"/>
  <c r="I12"/>
  <c r="O94" i="20"/>
  <c r="O124" s="1"/>
  <c r="F237"/>
  <c r="E12" i="21"/>
  <c r="M12"/>
  <c r="J26"/>
  <c r="H166" i="20"/>
  <c r="H167" s="1"/>
  <c r="H168" s="1"/>
  <c r="E26" i="21"/>
  <c r="M26"/>
  <c r="H26"/>
  <c r="J166" i="20"/>
  <c r="AE388" i="13"/>
  <c r="D7" i="16" s="1"/>
  <c r="D237" i="20"/>
  <c r="G26" i="21"/>
  <c r="F89" i="20"/>
  <c r="H12" i="21"/>
  <c r="G12"/>
  <c r="K12"/>
  <c r="F12"/>
  <c r="J12"/>
  <c r="N12"/>
  <c r="H237" i="20"/>
  <c r="L237"/>
  <c r="K26" i="21"/>
  <c r="J89" i="20"/>
  <c r="N14" i="21"/>
  <c r="F14"/>
  <c r="G14"/>
  <c r="M14"/>
  <c r="E14"/>
  <c r="L12"/>
  <c r="O16"/>
  <c r="J14"/>
  <c r="K14"/>
  <c r="I14"/>
  <c r="D166" i="20"/>
  <c r="AO391" i="13"/>
  <c r="N10" i="16" s="1"/>
  <c r="J237" i="20"/>
  <c r="F94"/>
  <c r="F124" s="1"/>
  <c r="J94"/>
  <c r="AP391" i="13"/>
  <c r="O10" i="16" s="1"/>
  <c r="D94" i="20"/>
  <c r="H94"/>
  <c r="L94"/>
  <c r="AC410" i="13"/>
  <c r="AC420" s="1"/>
  <c r="F36" i="21"/>
  <c r="AM391" i="13"/>
  <c r="L10" i="16" s="1"/>
  <c r="N36" i="21"/>
  <c r="AQ391" i="13"/>
  <c r="P10" i="16" s="1"/>
  <c r="H242" i="20"/>
  <c r="AE391" i="13"/>
  <c r="D10" i="16" s="1"/>
  <c r="D7" i="20"/>
  <c r="D42" s="1"/>
  <c r="D89"/>
  <c r="N242"/>
  <c r="F242"/>
  <c r="AD391" i="13"/>
  <c r="C10" i="16" s="1"/>
  <c r="AC391" i="13"/>
  <c r="B10" i="16" s="1"/>
  <c r="D242" i="20"/>
  <c r="L242"/>
  <c r="AG391" i="13"/>
  <c r="F10" i="16" s="1"/>
  <c r="H7" i="20"/>
  <c r="H42" s="1"/>
  <c r="H43" s="1"/>
  <c r="H44" s="1"/>
  <c r="H89"/>
  <c r="J9" i="21"/>
  <c r="H36"/>
  <c r="AN391" i="13"/>
  <c r="M10" i="16" s="1"/>
  <c r="J242" i="20"/>
  <c r="AF391" i="13"/>
  <c r="E10" i="16" s="1"/>
  <c r="F166" i="20"/>
  <c r="K9" i="21"/>
  <c r="F9"/>
  <c r="H9"/>
  <c r="L9"/>
  <c r="G31"/>
  <c r="F72" i="20"/>
  <c r="AN377" i="13"/>
  <c r="G157" i="20"/>
  <c r="G7" i="21"/>
  <c r="F48" i="20"/>
  <c r="K36" i="21"/>
  <c r="J77" i="20"/>
  <c r="F7"/>
  <c r="F42" s="1"/>
  <c r="F31" i="21"/>
  <c r="N31"/>
  <c r="F7"/>
  <c r="N7"/>
  <c r="M9"/>
  <c r="L69" i="20"/>
  <c r="F69"/>
  <c r="G9" i="21"/>
  <c r="E9"/>
  <c r="D69" i="20"/>
  <c r="E7" i="21"/>
  <c r="D48" i="20"/>
  <c r="M7" i="21"/>
  <c r="L48" i="20"/>
  <c r="I36" i="21"/>
  <c r="H77" i="20"/>
  <c r="N157"/>
  <c r="O35" i="21"/>
  <c r="N35" i="20"/>
  <c r="L31" i="21"/>
  <c r="L7"/>
  <c r="L7" i="20"/>
  <c r="L42" s="1"/>
  <c r="O72"/>
  <c r="O83" s="1"/>
  <c r="M31" i="21"/>
  <c r="L72" i="20"/>
  <c r="AM377" i="13"/>
  <c r="E157" i="20"/>
  <c r="K31" i="21"/>
  <c r="J72" i="20"/>
  <c r="AP377" i="13"/>
  <c r="K157" i="20"/>
  <c r="K7" i="21"/>
  <c r="J48" i="20"/>
  <c r="G36" i="21"/>
  <c r="F77" i="20"/>
  <c r="J7"/>
  <c r="J42" s="1"/>
  <c r="J31" i="21"/>
  <c r="L36"/>
  <c r="AO388" i="13"/>
  <c r="N7" i="16" s="1"/>
  <c r="J7" i="21"/>
  <c r="L33"/>
  <c r="E31"/>
  <c r="D72" i="20"/>
  <c r="AQ377" i="13"/>
  <c r="M157" i="20"/>
  <c r="I9" i="21"/>
  <c r="H69" i="20"/>
  <c r="I31" i="21"/>
  <c r="H72" i="20"/>
  <c r="AO377" i="13"/>
  <c r="I157" i="20"/>
  <c r="I7" i="21"/>
  <c r="H48" i="20"/>
  <c r="E36" i="21"/>
  <c r="D77" i="20"/>
  <c r="M36" i="21"/>
  <c r="L77" i="20"/>
  <c r="J69"/>
  <c r="N9" i="21"/>
  <c r="H31"/>
  <c r="J36"/>
  <c r="H7"/>
  <c r="P7"/>
  <c r="H33"/>
  <c r="N28" i="20"/>
  <c r="AE377" i="13"/>
  <c r="AE46"/>
  <c r="AG377"/>
  <c r="AG46"/>
  <c r="AD388"/>
  <c r="C7" i="16" s="1"/>
  <c r="AD377" i="13"/>
  <c r="AD46"/>
  <c r="AF388"/>
  <c r="E7" i="16" s="1"/>
  <c r="AF377" i="13"/>
  <c r="AF46"/>
  <c r="AG388"/>
  <c r="F7" i="16" s="1"/>
  <c r="AC388" i="13"/>
  <c r="B7" i="16" s="1"/>
  <c r="AQ430" i="13"/>
  <c r="AM430"/>
  <c r="AP430"/>
  <c r="AN430"/>
  <c r="AO430"/>
  <c r="AR430"/>
  <c r="AN388"/>
  <c r="M7" i="16" s="1"/>
  <c r="AP388" i="13"/>
  <c r="O7" i="16" s="1"/>
  <c r="AM388" i="13"/>
  <c r="L7" i="16" s="1"/>
  <c r="AQ388" i="13"/>
  <c r="P7" i="16" s="1"/>
  <c r="AQ387" i="13"/>
  <c r="P6" i="16" s="1"/>
  <c r="AO387" i="13"/>
  <c r="N6" i="16" s="1"/>
  <c r="AF387" i="13"/>
  <c r="E6" i="16" s="1"/>
  <c r="AD387" i="13"/>
  <c r="C6" i="16" s="1"/>
  <c r="AC387" i="13"/>
  <c r="B6" i="16" s="1"/>
  <c r="AG387" i="13"/>
  <c r="AE387"/>
  <c r="D6" i="16" s="1"/>
  <c r="AM387" i="13"/>
  <c r="L6" i="16" s="1"/>
  <c r="AP387" i="13"/>
  <c r="O6" i="16" s="1"/>
  <c r="AN387" i="13"/>
  <c r="M6" i="16" s="1"/>
  <c r="AH358" i="13"/>
  <c r="O358"/>
  <c r="AH10"/>
  <c r="O10"/>
  <c r="AH357"/>
  <c r="O357"/>
  <c r="AH27"/>
  <c r="O27"/>
  <c r="AH197"/>
  <c r="O33" i="21" s="1"/>
  <c r="O197" i="13"/>
  <c r="AH166"/>
  <c r="O166"/>
  <c r="AH168"/>
  <c r="O168"/>
  <c r="AH171"/>
  <c r="O171"/>
  <c r="AH43"/>
  <c r="O43"/>
  <c r="AH41"/>
  <c r="O41"/>
  <c r="AH189"/>
  <c r="O189"/>
  <c r="AH359"/>
  <c r="O359"/>
  <c r="AH356"/>
  <c r="O356"/>
  <c r="AH354"/>
  <c r="O354"/>
  <c r="AH8"/>
  <c r="O8"/>
  <c r="AH353"/>
  <c r="O353"/>
  <c r="AH9"/>
  <c r="O9"/>
  <c r="AH26"/>
  <c r="O26"/>
  <c r="AH28"/>
  <c r="O28"/>
  <c r="AH160"/>
  <c r="N218" i="20" s="1"/>
  <c r="O160" i="13"/>
  <c r="AH163"/>
  <c r="O163"/>
  <c r="AH23"/>
  <c r="O23"/>
  <c r="AH5"/>
  <c r="N50" i="20" s="1"/>
  <c r="O5" i="13"/>
  <c r="AH247"/>
  <c r="N58" i="20" s="1"/>
  <c r="O247" i="13"/>
  <c r="K5" i="16"/>
  <c r="AL396" i="13"/>
  <c r="K15" i="16" s="1"/>
  <c r="K6"/>
  <c r="AL397" i="13"/>
  <c r="K16" i="16" s="1"/>
  <c r="A37"/>
  <c r="AL420" i="13"/>
  <c r="K37" i="16" s="1"/>
  <c r="AL395" i="13"/>
  <c r="K14" i="16" s="1"/>
  <c r="K4"/>
  <c r="K7"/>
  <c r="AL398" i="13"/>
  <c r="K17" i="16" s="1"/>
  <c r="A34"/>
  <c r="AL417" i="13"/>
  <c r="K34" i="16" s="1"/>
  <c r="A39"/>
  <c r="AL422" i="13"/>
  <c r="K39" i="16" s="1"/>
  <c r="AN432" i="13"/>
  <c r="AP432"/>
  <c r="AN433"/>
  <c r="AN443" s="1"/>
  <c r="M58" i="16" s="1"/>
  <c r="AP433" i="13"/>
  <c r="AP443" s="1"/>
  <c r="O58" i="16" s="1"/>
  <c r="AR433" i="13"/>
  <c r="AR443" s="1"/>
  <c r="Q58" i="16" s="1"/>
  <c r="AD432" i="13"/>
  <c r="AF432"/>
  <c r="AD433"/>
  <c r="AD443" s="1"/>
  <c r="C58" i="16" s="1"/>
  <c r="AF433" i="13"/>
  <c r="AF443" s="1"/>
  <c r="E58" i="16" s="1"/>
  <c r="AH433" i="13"/>
  <c r="AH443" s="1"/>
  <c r="G58" i="16" s="1"/>
  <c r="AN408" i="13"/>
  <c r="AN418" s="1"/>
  <c r="AP408"/>
  <c r="AP418" s="1"/>
  <c r="AR408"/>
  <c r="AR418" s="1"/>
  <c r="AN409"/>
  <c r="AN419" s="1"/>
  <c r="AP409"/>
  <c r="AP419" s="1"/>
  <c r="AR409"/>
  <c r="AR419" s="1"/>
  <c r="AD408"/>
  <c r="AD418" s="1"/>
  <c r="AF408"/>
  <c r="AF418" s="1"/>
  <c r="AD409"/>
  <c r="AD419" s="1"/>
  <c r="AF409"/>
  <c r="AF419" s="1"/>
  <c r="AM432"/>
  <c r="AO432"/>
  <c r="AQ432"/>
  <c r="AM433"/>
  <c r="AM443" s="1"/>
  <c r="AO433"/>
  <c r="AO443" s="1"/>
  <c r="N58" i="16" s="1"/>
  <c r="AQ433" i="13"/>
  <c r="AQ443" s="1"/>
  <c r="P58" i="16" s="1"/>
  <c r="AC432" i="13"/>
  <c r="AE432"/>
  <c r="AG432"/>
  <c r="AC433"/>
  <c r="AC443" s="1"/>
  <c r="AE433"/>
  <c r="AE443" s="1"/>
  <c r="D58" i="16" s="1"/>
  <c r="AG433" i="13"/>
  <c r="AG443" s="1"/>
  <c r="F58" i="16" s="1"/>
  <c r="AM408" i="13"/>
  <c r="AM418" s="1"/>
  <c r="AO408"/>
  <c r="AO418" s="1"/>
  <c r="AQ408"/>
  <c r="AQ418" s="1"/>
  <c r="AM409"/>
  <c r="AM419" s="1"/>
  <c r="AO409"/>
  <c r="AO419" s="1"/>
  <c r="AQ409"/>
  <c r="AQ419" s="1"/>
  <c r="AC408"/>
  <c r="AC418" s="1"/>
  <c r="AE408"/>
  <c r="AE418" s="1"/>
  <c r="AG408"/>
  <c r="AG418" s="1"/>
  <c r="AC409"/>
  <c r="AC419" s="1"/>
  <c r="AE409"/>
  <c r="AE419" s="1"/>
  <c r="AG409"/>
  <c r="AG419" s="1"/>
  <c r="AO93"/>
  <c r="AQ46"/>
  <c r="AO46"/>
  <c r="AO414"/>
  <c r="N31" i="16" s="1"/>
  <c r="AP413" i="13"/>
  <c r="O30" i="16" s="1"/>
  <c r="AQ411" i="13"/>
  <c r="AQ421" s="1"/>
  <c r="AR410"/>
  <c r="AR420" s="1"/>
  <c r="AN410"/>
  <c r="AN420" s="1"/>
  <c r="AO407"/>
  <c r="AP429"/>
  <c r="O44" i="16" s="1"/>
  <c r="AO431" i="13"/>
  <c r="AN435"/>
  <c r="M50" i="16" s="1"/>
  <c r="AR435" i="13"/>
  <c r="Q50" i="16" s="1"/>
  <c r="P51"/>
  <c r="AM431" i="13"/>
  <c r="AM411"/>
  <c r="AM421" s="1"/>
  <c r="AQ414"/>
  <c r="P31" i="16" s="1"/>
  <c r="AR413" i="13"/>
  <c r="Q30" i="16" s="1"/>
  <c r="AN413" i="13"/>
  <c r="M30" i="16" s="1"/>
  <c r="AO411" i="13"/>
  <c r="AO421" s="1"/>
  <c r="AP410"/>
  <c r="AP420" s="1"/>
  <c r="AQ407"/>
  <c r="AN429"/>
  <c r="M44" i="16" s="1"/>
  <c r="AQ431" i="13"/>
  <c r="AP435"/>
  <c r="O50" i="16" s="1"/>
  <c r="L51"/>
  <c r="AM414" i="13"/>
  <c r="L31" i="16" s="1"/>
  <c r="AM410" i="13"/>
  <c r="AM420" s="1"/>
  <c r="AM413"/>
  <c r="L30" i="16" s="1"/>
  <c r="AM435" i="13"/>
  <c r="L50" i="16" s="1"/>
  <c r="AQ435" i="13"/>
  <c r="P50" i="16" s="1"/>
  <c r="AR431" i="13"/>
  <c r="AN431"/>
  <c r="AO429"/>
  <c r="N44" i="16" s="1"/>
  <c r="AP407" i="13"/>
  <c r="AP417" s="1"/>
  <c r="AO410"/>
  <c r="AO420" s="1"/>
  <c r="AN411"/>
  <c r="AN421" s="1"/>
  <c r="AR411"/>
  <c r="AR421" s="1"/>
  <c r="AQ413"/>
  <c r="P30" i="16" s="1"/>
  <c r="AP414" i="13"/>
  <c r="O31" i="16" s="1"/>
  <c r="AE429" i="13"/>
  <c r="D44" i="16" s="1"/>
  <c r="AG429" i="13"/>
  <c r="F44" i="16" s="1"/>
  <c r="AD431" i="13"/>
  <c r="AF431"/>
  <c r="AE435"/>
  <c r="D50" i="16" s="1"/>
  <c r="AG435" i="13"/>
  <c r="F50" i="16" s="1"/>
  <c r="AD436" i="13"/>
  <c r="C51" i="16" s="1"/>
  <c r="AF436" i="13"/>
  <c r="E51" i="16" s="1"/>
  <c r="AH436" i="13"/>
  <c r="G51" i="16" s="1"/>
  <c r="AC435" i="13"/>
  <c r="B50" i="16" s="1"/>
  <c r="AC429" i="13"/>
  <c r="B44" i="16" s="1"/>
  <c r="AE407" i="13"/>
  <c r="AG407"/>
  <c r="AG417" s="1"/>
  <c r="AD410"/>
  <c r="AD420" s="1"/>
  <c r="AF410"/>
  <c r="AF420" s="1"/>
  <c r="AE411"/>
  <c r="AE421" s="1"/>
  <c r="AG411"/>
  <c r="AG421" s="1"/>
  <c r="AD413"/>
  <c r="C30" i="16" s="1"/>
  <c r="AF413" i="13"/>
  <c r="E30" i="16" s="1"/>
  <c r="AH413" i="13"/>
  <c r="G30" i="16" s="1"/>
  <c r="AE414" i="13"/>
  <c r="D31" i="16" s="1"/>
  <c r="AG414" i="13"/>
  <c r="F31" i="16" s="1"/>
  <c r="AC414" i="13"/>
  <c r="B31" i="16" s="1"/>
  <c r="AC411" i="13"/>
  <c r="AC421" s="1"/>
  <c r="AC407"/>
  <c r="AR414"/>
  <c r="Q31" i="16" s="1"/>
  <c r="AM407" i="13"/>
  <c r="AM429"/>
  <c r="AO435"/>
  <c r="N50" i="16" s="1"/>
  <c r="AP431" i="13"/>
  <c r="AQ429"/>
  <c r="P44" i="16" s="1"/>
  <c r="AN407" i="13"/>
  <c r="AR407"/>
  <c r="AQ410"/>
  <c r="AQ420" s="1"/>
  <c r="AP411"/>
  <c r="AP421" s="1"/>
  <c r="AO413"/>
  <c r="N30" i="16" s="1"/>
  <c r="AN414" i="13"/>
  <c r="M31" i="16" s="1"/>
  <c r="AD429" i="13"/>
  <c r="C44" i="16" s="1"/>
  <c r="AF429" i="13"/>
  <c r="E44" i="16" s="1"/>
  <c r="AE431" i="13"/>
  <c r="AG431"/>
  <c r="AD435"/>
  <c r="C50" i="16" s="1"/>
  <c r="AF435" i="13"/>
  <c r="E50" i="16" s="1"/>
  <c r="AH435" i="13"/>
  <c r="G50" i="16" s="1"/>
  <c r="AE436" i="13"/>
  <c r="D51" i="16" s="1"/>
  <c r="AG436" i="13"/>
  <c r="F51" i="16" s="1"/>
  <c r="AC436" i="13"/>
  <c r="B51" i="16" s="1"/>
  <c r="AC431" i="13"/>
  <c r="AC441" s="1"/>
  <c r="AD407"/>
  <c r="AF407"/>
  <c r="AH407"/>
  <c r="AE410"/>
  <c r="AE420" s="1"/>
  <c r="AG410"/>
  <c r="AG420" s="1"/>
  <c r="AD411"/>
  <c r="AD421" s="1"/>
  <c r="AF411"/>
  <c r="AF421" s="1"/>
  <c r="AH411"/>
  <c r="AH421" s="1"/>
  <c r="AE413"/>
  <c r="D30" i="16" s="1"/>
  <c r="AG413" i="13"/>
  <c r="F30" i="16" s="1"/>
  <c r="AD414" i="13"/>
  <c r="C31" i="16" s="1"/>
  <c r="AF414" i="13"/>
  <c r="E31" i="16" s="1"/>
  <c r="AH414" i="13"/>
  <c r="G31" i="16" s="1"/>
  <c r="AC413" i="13"/>
  <c r="B30" i="16" s="1"/>
  <c r="AD430" i="13"/>
  <c r="AF430"/>
  <c r="AE430"/>
  <c r="AG430"/>
  <c r="AC430"/>
  <c r="AC440" s="1"/>
  <c r="AM46"/>
  <c r="AC46"/>
  <c r="AP46"/>
  <c r="AN46"/>
  <c r="M46"/>
  <c r="M93"/>
  <c r="AR197"/>
  <c r="AR5"/>
  <c r="AR10"/>
  <c r="AR9"/>
  <c r="AR8"/>
  <c r="AR23"/>
  <c r="AR26"/>
  <c r="AR27"/>
  <c r="AR28"/>
  <c r="AG386"/>
  <c r="AE386"/>
  <c r="AC385"/>
  <c r="B4" i="16" s="1"/>
  <c r="AC386" i="13"/>
  <c r="AF386"/>
  <c r="AR247"/>
  <c r="P17" i="21" s="1"/>
  <c r="AR168" i="13"/>
  <c r="AR171"/>
  <c r="AG385"/>
  <c r="F4" i="16" s="1"/>
  <c r="AF385" i="13"/>
  <c r="E4" i="16" s="1"/>
  <c r="AE385" i="13"/>
  <c r="D4" i="16" s="1"/>
  <c r="AD385" i="13"/>
  <c r="C4" i="16" s="1"/>
  <c r="AA377" i="13"/>
  <c r="AQ385"/>
  <c r="P4" i="16" s="1"/>
  <c r="AM376" i="13"/>
  <c r="AN376"/>
  <c r="AP376"/>
  <c r="AQ376"/>
  <c r="AS376"/>
  <c r="AC93" l="1"/>
  <c r="AD93"/>
  <c r="AD155" s="1"/>
  <c r="AN93"/>
  <c r="N53" i="20"/>
  <c r="AF93" i="13"/>
  <c r="AG93"/>
  <c r="AE93"/>
  <c r="AP155"/>
  <c r="AO155"/>
  <c r="AO233" s="1"/>
  <c r="AP93"/>
  <c r="AQ93"/>
  <c r="AM93"/>
  <c r="J248" i="20"/>
  <c r="J250" s="1"/>
  <c r="L168"/>
  <c r="L248"/>
  <c r="L249" s="1"/>
  <c r="H248"/>
  <c r="H249" s="1"/>
  <c r="H250" s="1"/>
  <c r="G166"/>
  <c r="G167" s="1"/>
  <c r="AR422" i="13"/>
  <c r="Q29" i="16"/>
  <c r="O29"/>
  <c r="AP422" i="13"/>
  <c r="G49" i="16"/>
  <c r="AH444" i="13"/>
  <c r="AN444"/>
  <c r="M49" i="16"/>
  <c r="L49"/>
  <c r="AM444" i="13"/>
  <c r="F49" i="16"/>
  <c r="AG444" i="13"/>
  <c r="P49" i="16"/>
  <c r="AQ444" i="13"/>
  <c r="C49" i="16"/>
  <c r="AD444" i="13"/>
  <c r="C29" i="16"/>
  <c r="AD422" i="13"/>
  <c r="E49" i="16"/>
  <c r="AF444" i="13"/>
  <c r="B49" i="16"/>
  <c r="AC444" i="13"/>
  <c r="AE444"/>
  <c r="D49" i="16"/>
  <c r="K166" i="20"/>
  <c r="K167" s="1"/>
  <c r="E166"/>
  <c r="E167" s="1"/>
  <c r="AN422" i="13"/>
  <c r="M39" i="16" s="1"/>
  <c r="M29"/>
  <c r="AP444" i="13"/>
  <c r="O49" i="16"/>
  <c r="D29"/>
  <c r="AE422" i="13"/>
  <c r="AC422"/>
  <c r="B29" i="16"/>
  <c r="P29"/>
  <c r="AQ422" i="13"/>
  <c r="G29" i="16"/>
  <c r="AH422" i="13"/>
  <c r="L29" i="16"/>
  <c r="AM422" i="13"/>
  <c r="L39" i="16" s="1"/>
  <c r="N29"/>
  <c r="AO422" i="13"/>
  <c r="N49" i="16"/>
  <c r="AO444" i="13"/>
  <c r="AG422"/>
  <c r="F29" i="16"/>
  <c r="AR444" i="13"/>
  <c r="Q49" i="16"/>
  <c r="E29"/>
  <c r="AF422" i="13"/>
  <c r="D38" i="16"/>
  <c r="AE399" i="13"/>
  <c r="D18" i="16" s="1"/>
  <c r="AQ399" i="13"/>
  <c r="P18" i="16" s="1"/>
  <c r="P38"/>
  <c r="B58"/>
  <c r="AI443" i="13"/>
  <c r="H58" i="16" s="1"/>
  <c r="AF399" i="13"/>
  <c r="E18" i="16" s="1"/>
  <c r="E38"/>
  <c r="AP399" i="13"/>
  <c r="O18" i="16" s="1"/>
  <c r="O38"/>
  <c r="AG399" i="13"/>
  <c r="F18" i="16" s="1"/>
  <c r="F38"/>
  <c r="AN399" i="13"/>
  <c r="M18" i="16" s="1"/>
  <c r="M38"/>
  <c r="AS443" i="13"/>
  <c r="R58" i="16" s="1"/>
  <c r="L58"/>
  <c r="C38"/>
  <c r="AD399" i="13"/>
  <c r="C18" i="16" s="1"/>
  <c r="AI421" i="13"/>
  <c r="B38" i="16"/>
  <c r="AC399" i="13"/>
  <c r="B18" i="16" s="1"/>
  <c r="G38"/>
  <c r="AH399" i="13"/>
  <c r="G18" i="16" s="1"/>
  <c r="AR399" i="13"/>
  <c r="Q18" i="16" s="1"/>
  <c r="Q38"/>
  <c r="AO399" i="13"/>
  <c r="N18" i="16" s="1"/>
  <c r="N38"/>
  <c r="L38"/>
  <c r="AS421" i="13"/>
  <c r="AM399"/>
  <c r="L18" i="16" s="1"/>
  <c r="L124" i="20"/>
  <c r="L125" s="1"/>
  <c r="I166"/>
  <c r="I168" s="1"/>
  <c r="M166"/>
  <c r="M167" s="1"/>
  <c r="F248"/>
  <c r="F250" s="1"/>
  <c r="P33" i="21"/>
  <c r="O138" i="20"/>
  <c r="K168"/>
  <c r="E168"/>
  <c r="F44"/>
  <c r="F43"/>
  <c r="F126"/>
  <c r="F125"/>
  <c r="J167"/>
  <c r="J168"/>
  <c r="J44"/>
  <c r="J43"/>
  <c r="L44"/>
  <c r="L43"/>
  <c r="F168"/>
  <c r="F167"/>
  <c r="D44"/>
  <c r="D43"/>
  <c r="D168"/>
  <c r="D167"/>
  <c r="U33" i="21"/>
  <c r="U17"/>
  <c r="T15" s="1"/>
  <c r="N77" i="20"/>
  <c r="O17" i="21"/>
  <c r="U31"/>
  <c r="U7"/>
  <c r="U9"/>
  <c r="T8" s="1"/>
  <c r="U14"/>
  <c r="U26"/>
  <c r="U12"/>
  <c r="U36"/>
  <c r="O12"/>
  <c r="N237" i="20"/>
  <c r="N248" s="1"/>
  <c r="F42" i="21"/>
  <c r="F43" s="1"/>
  <c r="D248" i="20"/>
  <c r="J124"/>
  <c r="AC397" i="13"/>
  <c r="P12" i="21"/>
  <c r="O14"/>
  <c r="P14"/>
  <c r="P26"/>
  <c r="O26"/>
  <c r="H124" i="20"/>
  <c r="H125" s="1"/>
  <c r="H126" s="1"/>
  <c r="D124"/>
  <c r="AH391" i="13"/>
  <c r="G10" i="16" s="1"/>
  <c r="N94" i="20"/>
  <c r="AR391" i="13"/>
  <c r="Q10" i="16" s="1"/>
  <c r="I42" i="21"/>
  <c r="I43" s="1"/>
  <c r="I44" s="1"/>
  <c r="K42"/>
  <c r="G24" i="16"/>
  <c r="AH417" i="13"/>
  <c r="F48" i="16"/>
  <c r="B48"/>
  <c r="D47"/>
  <c r="AE442" i="13"/>
  <c r="D57" i="16" s="1"/>
  <c r="P48"/>
  <c r="L48"/>
  <c r="N47"/>
  <c r="AO442" i="13"/>
  <c r="G48" i="16"/>
  <c r="C48"/>
  <c r="C47"/>
  <c r="AD442" i="13"/>
  <c r="C57" i="16" s="1"/>
  <c r="O48"/>
  <c r="O47"/>
  <c r="AP442" i="13"/>
  <c r="AS420"/>
  <c r="H42" i="21"/>
  <c r="J42"/>
  <c r="M42"/>
  <c r="E42"/>
  <c r="L44" i="16"/>
  <c r="AM439" i="13"/>
  <c r="D48" i="16"/>
  <c r="F47"/>
  <c r="AG442" i="13"/>
  <c r="B47" i="16"/>
  <c r="AC442" i="13"/>
  <c r="B57" i="16" s="1"/>
  <c r="N48"/>
  <c r="P47"/>
  <c r="AQ442" i="13"/>
  <c r="L47" i="16"/>
  <c r="AM442" i="13"/>
  <c r="AM398" s="1"/>
  <c r="E48" i="16"/>
  <c r="E47"/>
  <c r="AF442" i="13"/>
  <c r="E57" i="16" s="1"/>
  <c r="Q48"/>
  <c r="M48"/>
  <c r="M47"/>
  <c r="AN442" i="13"/>
  <c r="L42" i="21"/>
  <c r="N42"/>
  <c r="G42"/>
  <c r="AR388" i="13"/>
  <c r="Q7" i="16" s="1"/>
  <c r="P9" i="21"/>
  <c r="N69" i="20"/>
  <c r="P36" i="21"/>
  <c r="J83" i="20"/>
  <c r="H83"/>
  <c r="H84" s="1"/>
  <c r="H85" s="1"/>
  <c r="O36" i="21"/>
  <c r="L83" i="20"/>
  <c r="O31" i="21"/>
  <c r="N72" i="20"/>
  <c r="AI376" i="13"/>
  <c r="N7" i="20"/>
  <c r="N42" s="1"/>
  <c r="F83"/>
  <c r="AR432" i="13"/>
  <c r="O157" i="20"/>
  <c r="P31" i="21"/>
  <c r="D83" i="20"/>
  <c r="F6" i="16"/>
  <c r="E45" i="13"/>
  <c r="F45" s="1"/>
  <c r="O172"/>
  <c r="O167"/>
  <c r="AH432"/>
  <c r="AP385"/>
  <c r="O4" i="16" s="1"/>
  <c r="AN385" i="13"/>
  <c r="M4" i="16" s="1"/>
  <c r="AI93" i="13"/>
  <c r="AJ93" s="1"/>
  <c r="AI295"/>
  <c r="AS93"/>
  <c r="AL93" s="1"/>
  <c r="AR387"/>
  <c r="Q6" i="16" s="1"/>
  <c r="AO385" i="13"/>
  <c r="N4" i="16" s="1"/>
  <c r="AS233" i="13"/>
  <c r="AI233"/>
  <c r="AH431"/>
  <c r="AH441" s="1"/>
  <c r="G56" i="16" s="1"/>
  <c r="B27"/>
  <c r="B37"/>
  <c r="E28"/>
  <c r="F27"/>
  <c r="F37"/>
  <c r="C24"/>
  <c r="AD417" i="13"/>
  <c r="C34" i="16" s="1"/>
  <c r="O28"/>
  <c r="Q24"/>
  <c r="AR417" i="13"/>
  <c r="L24" i="16"/>
  <c r="AM417" i="13"/>
  <c r="L34" i="16" s="1"/>
  <c r="B24"/>
  <c r="AC417" i="13"/>
  <c r="F28" i="16"/>
  <c r="C27"/>
  <c r="C37"/>
  <c r="D24"/>
  <c r="AE417" i="13"/>
  <c r="D34" i="16" s="1"/>
  <c r="M28"/>
  <c r="L27"/>
  <c r="O27"/>
  <c r="N24"/>
  <c r="AO417" i="13"/>
  <c r="N34" i="16" s="1"/>
  <c r="Q27"/>
  <c r="AS418" i="13"/>
  <c r="G28" i="16"/>
  <c r="C28"/>
  <c r="D27"/>
  <c r="D37"/>
  <c r="E24"/>
  <c r="AF417" i="13"/>
  <c r="E34" i="16" s="1"/>
  <c r="P27"/>
  <c r="M24"/>
  <c r="AN417" i="13"/>
  <c r="M34" i="16" s="1"/>
  <c r="B28"/>
  <c r="D28"/>
  <c r="E27"/>
  <c r="E37"/>
  <c r="F24"/>
  <c r="F34"/>
  <c r="Q28"/>
  <c r="N27"/>
  <c r="P24"/>
  <c r="AQ417" i="13"/>
  <c r="P34" i="16" s="1"/>
  <c r="N28"/>
  <c r="L28"/>
  <c r="M27"/>
  <c r="P28"/>
  <c r="AS419" i="13"/>
  <c r="AR429"/>
  <c r="Q44" i="16" s="1"/>
  <c r="AH429" i="13"/>
  <c r="G44" i="16" s="1"/>
  <c r="AM385" i="13"/>
  <c r="L4" i="16" s="1"/>
  <c r="W393" i="13"/>
  <c r="W384"/>
  <c r="W395"/>
  <c r="X383"/>
  <c r="X400"/>
  <c r="W394"/>
  <c r="X394"/>
  <c r="X385"/>
  <c r="X387"/>
  <c r="X382"/>
  <c r="W382"/>
  <c r="X392"/>
  <c r="X384"/>
  <c r="X395"/>
  <c r="X386"/>
  <c r="X398"/>
  <c r="W400"/>
  <c r="W392"/>
  <c r="X393"/>
  <c r="B5" i="16"/>
  <c r="F5"/>
  <c r="M45"/>
  <c r="AN440" i="13"/>
  <c r="M55" i="16" s="1"/>
  <c r="O45"/>
  <c r="AP440" i="13"/>
  <c r="O55" i="16" s="1"/>
  <c r="F46"/>
  <c r="AG441" i="13"/>
  <c r="F56" i="16" s="1"/>
  <c r="E46"/>
  <c r="AF441" i="13"/>
  <c r="E56" i="16" s="1"/>
  <c r="N46"/>
  <c r="AO441" i="13"/>
  <c r="N56" i="16" s="1"/>
  <c r="B26"/>
  <c r="B36"/>
  <c r="P26"/>
  <c r="P36"/>
  <c r="N25"/>
  <c r="N35"/>
  <c r="E5"/>
  <c r="B45"/>
  <c r="AC396" i="13"/>
  <c r="B15" i="16" s="1"/>
  <c r="F45"/>
  <c r="AG440" i="13"/>
  <c r="F55" i="16" s="1"/>
  <c r="P45"/>
  <c r="AQ440" i="13"/>
  <c r="P55" i="16" s="1"/>
  <c r="D45"/>
  <c r="AE440" i="13"/>
  <c r="D55" i="16" s="1"/>
  <c r="E45"/>
  <c r="AF440" i="13"/>
  <c r="E55" i="16" s="1"/>
  <c r="B46"/>
  <c r="B56"/>
  <c r="D46"/>
  <c r="AE441" i="13"/>
  <c r="D56" i="16" s="1"/>
  <c r="C46"/>
  <c r="AD441" i="13"/>
  <c r="AD397" s="1"/>
  <c r="C16" i="16" s="1"/>
  <c r="O34"/>
  <c r="O24"/>
  <c r="M46"/>
  <c r="AN441" i="13"/>
  <c r="M56" i="16" s="1"/>
  <c r="D26"/>
  <c r="D36"/>
  <c r="F25"/>
  <c r="F35"/>
  <c r="B25"/>
  <c r="N26"/>
  <c r="N36"/>
  <c r="P25"/>
  <c r="P35"/>
  <c r="L25"/>
  <c r="E26"/>
  <c r="E36"/>
  <c r="C25"/>
  <c r="C35"/>
  <c r="O26"/>
  <c r="O36"/>
  <c r="Q25"/>
  <c r="Q35"/>
  <c r="M25"/>
  <c r="M35"/>
  <c r="D5"/>
  <c r="N45"/>
  <c r="AO440" i="13"/>
  <c r="N55" i="16" s="1"/>
  <c r="L45"/>
  <c r="AM440" i="13"/>
  <c r="AM396" s="1"/>
  <c r="C45" i="16"/>
  <c r="AD440" i="13"/>
  <c r="C55" i="16" s="1"/>
  <c r="O46"/>
  <c r="AP441" i="13"/>
  <c r="O56" i="16" s="1"/>
  <c r="Q46"/>
  <c r="AR441" i="13"/>
  <c r="Q56" i="16" s="1"/>
  <c r="P46"/>
  <c r="AQ441" i="13"/>
  <c r="P56" i="16" s="1"/>
  <c r="L46"/>
  <c r="AM441" i="13"/>
  <c r="AM397" s="1"/>
  <c r="L16" i="16" s="1"/>
  <c r="F26"/>
  <c r="F36"/>
  <c r="D25"/>
  <c r="D35"/>
  <c r="L26"/>
  <c r="C26"/>
  <c r="E25"/>
  <c r="E35"/>
  <c r="Q26"/>
  <c r="Q36"/>
  <c r="M26"/>
  <c r="M36"/>
  <c r="O25"/>
  <c r="O35"/>
  <c r="W385" i="13"/>
  <c r="W383"/>
  <c r="W387"/>
  <c r="W398"/>
  <c r="W386"/>
  <c r="AR386"/>
  <c r="AS295"/>
  <c r="AH430"/>
  <c r="AR385"/>
  <c r="AS46"/>
  <c r="AH385"/>
  <c r="AP386"/>
  <c r="AQ386"/>
  <c r="AO386"/>
  <c r="AN386"/>
  <c r="AM386"/>
  <c r="AD386"/>
  <c r="AD233" l="1"/>
  <c r="AD295"/>
  <c r="AN155"/>
  <c r="AP233"/>
  <c r="AO295"/>
  <c r="AO349" s="1"/>
  <c r="AM155"/>
  <c r="AE155"/>
  <c r="AG155"/>
  <c r="AG233" s="1"/>
  <c r="AF155"/>
  <c r="AQ155"/>
  <c r="AQ233" s="1"/>
  <c r="AD349"/>
  <c r="AC155"/>
  <c r="J249" i="20"/>
  <c r="G168"/>
  <c r="S32" i="21"/>
  <c r="L250" i="20"/>
  <c r="AM400" i="13"/>
  <c r="L126" i="20"/>
  <c r="AS422" i="13"/>
  <c r="AI422"/>
  <c r="AC400"/>
  <c r="B19" i="16" s="1"/>
  <c r="O166" i="20"/>
  <c r="R38" i="16"/>
  <c r="AS399" i="13"/>
  <c r="R18" i="16" s="1"/>
  <c r="T18" s="1"/>
  <c r="AI399" i="13"/>
  <c r="H18" i="16" s="1"/>
  <c r="H38"/>
  <c r="T11" i="21"/>
  <c r="I167" i="20"/>
  <c r="M168"/>
  <c r="S22" i="21"/>
  <c r="T26"/>
  <c r="F249" i="20"/>
  <c r="L84"/>
  <c r="L85"/>
  <c r="D250"/>
  <c r="D249"/>
  <c r="D85"/>
  <c r="D84"/>
  <c r="F85"/>
  <c r="F84"/>
  <c r="J84"/>
  <c r="J85"/>
  <c r="D126"/>
  <c r="D125"/>
  <c r="J126"/>
  <c r="J125"/>
  <c r="T33" i="21"/>
  <c r="S7"/>
  <c r="F44"/>
  <c r="K44"/>
  <c r="K43"/>
  <c r="P42"/>
  <c r="G44"/>
  <c r="G43"/>
  <c r="L44"/>
  <c r="L43"/>
  <c r="E44"/>
  <c r="E43"/>
  <c r="J44"/>
  <c r="J43"/>
  <c r="B34" i="16"/>
  <c r="G47"/>
  <c r="AH442" i="13"/>
  <c r="AI442" s="1"/>
  <c r="Q47" i="16"/>
  <c r="AR442" i="13"/>
  <c r="AS442" s="1"/>
  <c r="N44" i="21"/>
  <c r="N43"/>
  <c r="M44"/>
  <c r="M43"/>
  <c r="H44"/>
  <c r="H43"/>
  <c r="AS444" i="13"/>
  <c r="AI444"/>
  <c r="AL46"/>
  <c r="AS377"/>
  <c r="AH45"/>
  <c r="N152" i="20" s="1"/>
  <c r="O45" i="13"/>
  <c r="G46" i="16"/>
  <c r="AS379" i="13"/>
  <c r="AP396"/>
  <c r="O15" i="16" s="1"/>
  <c r="AR397" i="13"/>
  <c r="Q16" i="16" s="1"/>
  <c r="AQ397" i="13"/>
  <c r="P16" i="16" s="1"/>
  <c r="AG397" i="13"/>
  <c r="B16" i="16"/>
  <c r="AD396" i="13"/>
  <c r="AF397"/>
  <c r="E16" i="16" s="1"/>
  <c r="AO397" i="13"/>
  <c r="N16" i="16" s="1"/>
  <c r="AG396" i="13"/>
  <c r="F15" i="16" s="1"/>
  <c r="G34"/>
  <c r="AF398" i="13"/>
  <c r="E17" i="16" s="1"/>
  <c r="AS417" i="13"/>
  <c r="AN397"/>
  <c r="M16" i="16" s="1"/>
  <c r="AO396" i="13"/>
  <c r="N15" i="16" s="1"/>
  <c r="AE396" i="13"/>
  <c r="D15" i="16" s="1"/>
  <c r="AF396" i="13"/>
  <c r="E15" i="16" s="1"/>
  <c r="AE398" i="13"/>
  <c r="D17" i="16" s="1"/>
  <c r="AN396" i="13"/>
  <c r="AP397"/>
  <c r="O16" i="16" s="1"/>
  <c r="AQ396" i="13"/>
  <c r="P15" i="16" s="1"/>
  <c r="AE397" i="13"/>
  <c r="D16" i="16" s="1"/>
  <c r="AD398" i="13"/>
  <c r="C17" i="16" s="1"/>
  <c r="AC398" i="13"/>
  <c r="B17" i="16" s="1"/>
  <c r="W402" i="13"/>
  <c r="X402"/>
  <c r="X388"/>
  <c r="C5" i="16"/>
  <c r="L15"/>
  <c r="L5"/>
  <c r="N5"/>
  <c r="O5"/>
  <c r="G4"/>
  <c r="G45"/>
  <c r="AH440" i="13"/>
  <c r="Q45" i="16"/>
  <c r="AR440" i="13"/>
  <c r="M5" i="16"/>
  <c r="P5"/>
  <c r="Q4"/>
  <c r="Q5"/>
  <c r="C36"/>
  <c r="L36"/>
  <c r="R36"/>
  <c r="L56"/>
  <c r="AS441" i="13"/>
  <c r="R56" i="16" s="1"/>
  <c r="L55"/>
  <c r="L35"/>
  <c r="R35"/>
  <c r="B35"/>
  <c r="AI441" i="13"/>
  <c r="H56" i="16" s="1"/>
  <c r="C56"/>
  <c r="B55"/>
  <c r="W388" i="13"/>
  <c r="Q37" i="16"/>
  <c r="AI417" i="13"/>
  <c r="L37" i="16"/>
  <c r="M37"/>
  <c r="N37"/>
  <c r="Q34"/>
  <c r="N39"/>
  <c r="O39"/>
  <c r="P39"/>
  <c r="Q39"/>
  <c r="AD439" i="13"/>
  <c r="C54" i="16" s="1"/>
  <c r="AE439" i="13"/>
  <c r="D54" i="16" s="1"/>
  <c r="AF439" i="13"/>
  <c r="E54" i="16" s="1"/>
  <c r="AG439" i="13"/>
  <c r="F54" i="16" s="1"/>
  <c r="AH439" i="13"/>
  <c r="G54" i="16" s="1"/>
  <c r="F57"/>
  <c r="B59"/>
  <c r="C59"/>
  <c r="D59"/>
  <c r="E59"/>
  <c r="F59"/>
  <c r="G59"/>
  <c r="AC439" i="13"/>
  <c r="B54" i="16" s="1"/>
  <c r="L54"/>
  <c r="AN439" i="13"/>
  <c r="M54" i="16" s="1"/>
  <c r="AO439" i="13"/>
  <c r="N54" i="16" s="1"/>
  <c r="AP439" i="13"/>
  <c r="AQ439"/>
  <c r="P54" i="16" s="1"/>
  <c r="AR439" i="13"/>
  <c r="Q54" i="16" s="1"/>
  <c r="L57"/>
  <c r="M57"/>
  <c r="N57"/>
  <c r="O57"/>
  <c r="P57"/>
  <c r="L59"/>
  <c r="M59"/>
  <c r="N59"/>
  <c r="O59"/>
  <c r="P59"/>
  <c r="Q59"/>
  <c r="G39"/>
  <c r="F39"/>
  <c r="E39"/>
  <c r="D39"/>
  <c r="C39"/>
  <c r="B39"/>
  <c r="AP295" i="13" l="1"/>
  <c r="AN295"/>
  <c r="AN233"/>
  <c r="AQ295"/>
  <c r="AQ379" s="1"/>
  <c r="AL155"/>
  <c r="AG295"/>
  <c r="AP349"/>
  <c r="AP379" s="1"/>
  <c r="AQ349"/>
  <c r="AG349"/>
  <c r="AJ155"/>
  <c r="AC233"/>
  <c r="AC295"/>
  <c r="AF233"/>
  <c r="AF295" s="1"/>
  <c r="AC349"/>
  <c r="AE233"/>
  <c r="AE295" s="1"/>
  <c r="AM233"/>
  <c r="AD376"/>
  <c r="AD379" s="1"/>
  <c r="J18" i="16"/>
  <c r="Y18" s="1"/>
  <c r="X18"/>
  <c r="G57"/>
  <c r="Q57"/>
  <c r="AC395" i="13"/>
  <c r="B14" i="16" s="1"/>
  <c r="AH410" i="13"/>
  <c r="N131" i="20"/>
  <c r="N166" s="1"/>
  <c r="AH388" i="13"/>
  <c r="G7" i="16" s="1"/>
  <c r="F16"/>
  <c r="H34"/>
  <c r="Q55"/>
  <c r="AR396" i="13"/>
  <c r="Q15" i="16" s="1"/>
  <c r="G55"/>
  <c r="AG398" i="13"/>
  <c r="F17" i="16" s="1"/>
  <c r="AP400" i="13"/>
  <c r="O19" i="16" s="1"/>
  <c r="AE395" i="13"/>
  <c r="D14" i="16" s="1"/>
  <c r="AP398" i="13"/>
  <c r="O17" i="16" s="1"/>
  <c r="AR398" i="13"/>
  <c r="Q17" i="16" s="1"/>
  <c r="AQ398" i="13"/>
  <c r="P17" i="16" s="1"/>
  <c r="AG395" i="13"/>
  <c r="F14" i="16" s="1"/>
  <c r="AO398" i="13"/>
  <c r="N17" i="16" s="1"/>
  <c r="AO400" i="13"/>
  <c r="N19" i="16" s="1"/>
  <c r="AQ400" i="13"/>
  <c r="P19" i="16" s="1"/>
  <c r="O54"/>
  <c r="AP395" i="13"/>
  <c r="O14" i="16" s="1"/>
  <c r="AI440" i="13"/>
  <c r="AS440"/>
  <c r="AF400"/>
  <c r="E19" i="16" s="1"/>
  <c r="AD395" i="13"/>
  <c r="C14" i="16" s="1"/>
  <c r="AR395" i="13"/>
  <c r="Q14" i="16" s="1"/>
  <c r="AG400" i="13"/>
  <c r="F19" i="16" s="1"/>
  <c r="AN400" i="13"/>
  <c r="M19" i="16" s="1"/>
  <c r="AO395" i="13"/>
  <c r="N14" i="16" s="1"/>
  <c r="AD400" i="13"/>
  <c r="C19" i="16" s="1"/>
  <c r="AF395" i="13"/>
  <c r="E14" i="16" s="1"/>
  <c r="AN395" i="13"/>
  <c r="M14" i="16" s="1"/>
  <c r="AE400" i="13"/>
  <c r="D19" i="16" s="1"/>
  <c r="AR400" i="13"/>
  <c r="Q19" i="16" s="1"/>
  <c r="AQ395" i="13"/>
  <c r="P14" i="16" s="1"/>
  <c r="AN398" i="13"/>
  <c r="M17" i="16" s="1"/>
  <c r="AM395" i="13"/>
  <c r="L14" i="16" s="1"/>
  <c r="L17"/>
  <c r="AH400" i="13"/>
  <c r="G19" i="16" s="1"/>
  <c r="L19"/>
  <c r="AH395" i="13"/>
  <c r="G14" i="16" s="1"/>
  <c r="AS397" i="13"/>
  <c r="R16" i="16" s="1"/>
  <c r="T16" s="1"/>
  <c r="W403" i="13"/>
  <c r="X403"/>
  <c r="H57" i="16"/>
  <c r="M15"/>
  <c r="C15"/>
  <c r="R39"/>
  <c r="P37"/>
  <c r="O37"/>
  <c r="R59"/>
  <c r="R57"/>
  <c r="AS439" i="13"/>
  <c r="R54" i="16" s="1"/>
  <c r="AI439" i="13"/>
  <c r="H54" i="16" s="1"/>
  <c r="H59"/>
  <c r="R34"/>
  <c r="AN349" i="13" l="1"/>
  <c r="AN379" s="1"/>
  <c r="AL233"/>
  <c r="AC376"/>
  <c r="AJ295"/>
  <c r="AF349"/>
  <c r="AF376" s="1"/>
  <c r="AF379" s="1"/>
  <c r="AM295"/>
  <c r="AL295" s="1"/>
  <c r="AE349"/>
  <c r="AE376" s="1"/>
  <c r="AE379" s="1"/>
  <c r="AJ349"/>
  <c r="AJ233"/>
  <c r="AM349"/>
  <c r="AL349" s="1"/>
  <c r="AG376"/>
  <c r="AG379" s="1"/>
  <c r="AH420"/>
  <c r="AI420" s="1"/>
  <c r="G27" i="16"/>
  <c r="H55"/>
  <c r="AS398" i="13"/>
  <c r="R17" i="16" s="1"/>
  <c r="T17" s="1"/>
  <c r="R55"/>
  <c r="AS396" i="13"/>
  <c r="R15" i="16" s="1"/>
  <c r="T15" s="1"/>
  <c r="AS400" i="13"/>
  <c r="R19" i="16" s="1"/>
  <c r="T19" s="1"/>
  <c r="AI400" i="13"/>
  <c r="H19" i="16" s="1"/>
  <c r="AS395" i="13"/>
  <c r="R14" i="16" s="1"/>
  <c r="AI395" i="13"/>
  <c r="H39" i="16"/>
  <c r="R37"/>
  <c r="AI446" i="13"/>
  <c r="H60" i="16" s="1"/>
  <c r="AS446" i="13"/>
  <c r="R60" i="16" s="1"/>
  <c r="AM379" i="13" l="1"/>
  <c r="AC379"/>
  <c r="AJ376"/>
  <c r="AO376"/>
  <c r="T14" i="16"/>
  <c r="Y14" s="1"/>
  <c r="X14"/>
  <c r="T21"/>
  <c r="J19"/>
  <c r="Y19" s="1"/>
  <c r="X19"/>
  <c r="G37"/>
  <c r="AH398" i="13"/>
  <c r="G17" i="16" s="1"/>
  <c r="AS402" i="13"/>
  <c r="R20" i="16" s="1"/>
  <c r="T20" s="1"/>
  <c r="AS424" i="13"/>
  <c r="AS447"/>
  <c r="R61" i="16" s="1"/>
  <c r="AO379" i="13" l="1"/>
  <c r="AL376"/>
  <c r="H37" i="16"/>
  <c r="AI398" i="13"/>
  <c r="H17" i="16" s="1"/>
  <c r="R40"/>
  <c r="E44" i="13"/>
  <c r="F44" s="1"/>
  <c r="J17" i="16" l="1"/>
  <c r="Y17" s="1"/>
  <c r="X17"/>
  <c r="AH44" i="13"/>
  <c r="O44"/>
  <c r="N91" i="20" l="1"/>
  <c r="O9" i="21"/>
  <c r="O7"/>
  <c r="AH387" i="13"/>
  <c r="G6" i="16" s="1"/>
  <c r="AH409" i="13"/>
  <c r="AH419" s="1"/>
  <c r="N89" i="20"/>
  <c r="N48"/>
  <c r="N83" s="1"/>
  <c r="AH386" i="13"/>
  <c r="G5" i="16" s="1"/>
  <c r="AI46" i="13"/>
  <c r="AI379" s="1"/>
  <c r="AH408"/>
  <c r="AH418" s="1"/>
  <c r="N124" i="20" l="1"/>
  <c r="O42" i="21"/>
  <c r="G26" i="16"/>
  <c r="AI419" i="13"/>
  <c r="G25" i="16"/>
  <c r="AJ46" i="13"/>
  <c r="AI377"/>
  <c r="AI381" s="1"/>
  <c r="AH397" l="1"/>
  <c r="G16" i="16" s="1"/>
  <c r="G36"/>
  <c r="AH396" i="13"/>
  <c r="AI418"/>
  <c r="G35" i="16"/>
  <c r="AI397" i="13" l="1"/>
  <c r="H16" i="16" s="1"/>
  <c r="H36"/>
  <c r="G15"/>
  <c r="H35"/>
  <c r="AI424" i="13"/>
  <c r="AI396"/>
  <c r="J16" i="16" l="1"/>
  <c r="X16"/>
  <c r="H15"/>
  <c r="AI402" i="13"/>
  <c r="AJ381" s="1"/>
  <c r="H40" i="16"/>
  <c r="AS425" i="13"/>
  <c r="R41" i="16" s="1"/>
  <c r="J15" l="1"/>
  <c r="Y15" s="1"/>
  <c r="X15"/>
  <c r="X20" s="1"/>
  <c r="Y16"/>
  <c r="AS403" i="13"/>
  <c r="R21" i="16" s="1"/>
  <c r="H20"/>
  <c r="J20" s="1"/>
  <c r="Y20" l="1"/>
  <c r="J21"/>
</calcChain>
</file>

<file path=xl/sharedStrings.xml><?xml version="1.0" encoding="utf-8"?>
<sst xmlns="http://schemas.openxmlformats.org/spreadsheetml/2006/main" count="3394" uniqueCount="523">
  <si>
    <t>Item</t>
  </si>
  <si>
    <t>Material Amt</t>
  </si>
  <si>
    <t>Units</t>
  </si>
  <si>
    <t>Material Cost</t>
  </si>
  <si>
    <t>Material Cost/Unit</t>
  </si>
  <si>
    <t xml:space="preserve"> </t>
  </si>
  <si>
    <t>Material</t>
  </si>
  <si>
    <t>Aluminum</t>
  </si>
  <si>
    <t>hours</t>
  </si>
  <si>
    <t>N/A</t>
  </si>
  <si>
    <t>MT Time</t>
  </si>
  <si>
    <t>Shop Time</t>
  </si>
  <si>
    <t>Materials Totals</t>
  </si>
  <si>
    <t>ea.</t>
  </si>
  <si>
    <t>Shop Labor</t>
  </si>
  <si>
    <t>Tech Labor</t>
  </si>
  <si>
    <t>M&amp;S Cost</t>
  </si>
  <si>
    <t xml:space="preserve">     -Handles</t>
  </si>
  <si>
    <t xml:space="preserve">     -Box Sides</t>
  </si>
  <si>
    <t xml:space="preserve">     -Fork Truck Skids</t>
  </si>
  <si>
    <t xml:space="preserve">     -Packing</t>
  </si>
  <si>
    <t xml:space="preserve">     -Shipping Cost</t>
  </si>
  <si>
    <t>Galvanized</t>
  </si>
  <si>
    <t>sheets</t>
  </si>
  <si>
    <t>Fir 4X4</t>
  </si>
  <si>
    <t>bd/ft</t>
  </si>
  <si>
    <t>Foam</t>
  </si>
  <si>
    <t>m^3</t>
  </si>
  <si>
    <t>Eng Time</t>
  </si>
  <si>
    <t>Des Time</t>
  </si>
  <si>
    <t>Engineering</t>
  </si>
  <si>
    <t>Design</t>
  </si>
  <si>
    <t>Unit</t>
  </si>
  <si>
    <t>Labor</t>
  </si>
  <si>
    <t>Estimate</t>
  </si>
  <si>
    <t>Est Remaining</t>
  </si>
  <si>
    <t>Overage</t>
  </si>
  <si>
    <t>CMM</t>
  </si>
  <si>
    <t>lb</t>
  </si>
  <si>
    <t># (line-item-zeroing)</t>
  </si>
  <si>
    <t>Base or Contingency</t>
  </si>
  <si>
    <t>Shop</t>
  </si>
  <si>
    <t>M_Tech</t>
  </si>
  <si>
    <t>Engineer</t>
  </si>
  <si>
    <t>Designer</t>
  </si>
  <si>
    <t>YEAR</t>
  </si>
  <si>
    <t>B</t>
  </si>
  <si>
    <t>C</t>
  </si>
  <si>
    <t>BASE</t>
  </si>
  <si>
    <t>CONTINGENCY</t>
  </si>
  <si>
    <t>Shop Cost</t>
  </si>
  <si>
    <t>MT Cost</t>
  </si>
  <si>
    <t>Totals</t>
  </si>
  <si>
    <t>Material Batches</t>
  </si>
  <si>
    <t>Acceptance</t>
  </si>
  <si>
    <t>Bleed Studies</t>
  </si>
  <si>
    <t>Test</t>
  </si>
  <si>
    <t>Order</t>
  </si>
  <si>
    <t>Bagging</t>
  </si>
  <si>
    <t>m^2</t>
  </si>
  <si>
    <t>Material Batches Subtotal</t>
  </si>
  <si>
    <t>Material Test</t>
  </si>
  <si>
    <t>Labor Cost Total (includes contingency)</t>
  </si>
  <si>
    <t>Materials Sub Totals</t>
  </si>
  <si>
    <t>Tooling</t>
  </si>
  <si>
    <t>Base Labor</t>
  </si>
  <si>
    <t>Sum</t>
  </si>
  <si>
    <t xml:space="preserve">     -Packing Foam (waterjet parts)</t>
  </si>
  <si>
    <t xml:space="preserve">     -Box Fab--Carpenters not MT, but cost scaled</t>
  </si>
  <si>
    <t>Shipping Subtotal</t>
  </si>
  <si>
    <t>Base</t>
  </si>
  <si>
    <t>Contingency</t>
  </si>
  <si>
    <t>Cost With Contingency</t>
  </si>
  <si>
    <t>Base Cost</t>
  </si>
  <si>
    <t>Underage(-)</t>
  </si>
  <si>
    <t>Spent To Date</t>
  </si>
  <si>
    <t>Protot or Production</t>
  </si>
  <si>
    <t>PD</t>
  </si>
  <si>
    <t>Sum Logic Code</t>
  </si>
  <si>
    <t>TRACKING</t>
  </si>
  <si>
    <t>BPD</t>
  </si>
  <si>
    <t>BPT</t>
  </si>
  <si>
    <t>CPT</t>
  </si>
  <si>
    <t>CPD</t>
  </si>
  <si>
    <t>Production Base Cost</t>
  </si>
  <si>
    <t>Production Contingency Cost</t>
  </si>
  <si>
    <t>Percent</t>
  </si>
  <si>
    <t>Hysol Adhesive Pre-Production</t>
  </si>
  <si>
    <t>Pre-Production Base Cost</t>
  </si>
  <si>
    <t>Pre-Production Contingency Cost</t>
  </si>
  <si>
    <t>CN60</t>
  </si>
  <si>
    <t>Materials and Labor</t>
  </si>
  <si>
    <t>CF PEEK</t>
  </si>
  <si>
    <t>Steel</t>
  </si>
  <si>
    <t>Nickel Plate</t>
  </si>
  <si>
    <t>Contract</t>
  </si>
  <si>
    <t>Trim Fixture</t>
  </si>
  <si>
    <t>Lamination Tool</t>
  </si>
  <si>
    <t>Re-Machine (contingency)</t>
  </si>
  <si>
    <t>Nickel Plate (contingency)</t>
  </si>
  <si>
    <t>Tool Material CTE Study</t>
  </si>
  <si>
    <t>Ply Trim and Kit</t>
  </si>
  <si>
    <t>Material Estimates per component</t>
  </si>
  <si>
    <t>Values used to estimate Size/Cost of Batch Orders--Does not report to Cost Summary</t>
  </si>
  <si>
    <t>Descriptor</t>
  </si>
  <si>
    <t>Quantity</t>
  </si>
  <si>
    <t>CPT (microns)</t>
  </si>
  <si>
    <t>Density (g/cc)</t>
  </si>
  <si>
    <t>Finished Form</t>
  </si>
  <si>
    <t>% Waste</t>
  </si>
  <si>
    <t>Length (cm)</t>
  </si>
  <si>
    <t>Diameter/Width (cm)</t>
  </si>
  <si>
    <t>Thickness (cm)</t>
  </si>
  <si>
    <t>Volume (cc)</t>
  </si>
  <si>
    <t>Mass (g)</t>
  </si>
  <si>
    <t>Pre-Preg Area  (m^2)</t>
  </si>
  <si>
    <t>Cost Per Unit</t>
  </si>
  <si>
    <t>Choose Unit</t>
  </si>
  <si>
    <t>Cost</t>
  </si>
  <si>
    <t>Prototype Mass</t>
  </si>
  <si>
    <t>Prototype Area</t>
  </si>
  <si>
    <t>/cc</t>
  </si>
  <si>
    <t>Bulk</t>
  </si>
  <si>
    <t>/g</t>
  </si>
  <si>
    <t>Plate</t>
  </si>
  <si>
    <t>/m^2</t>
  </si>
  <si>
    <t>Round</t>
  </si>
  <si>
    <t>Mandrel</t>
  </si>
  <si>
    <t>Pipe</t>
  </si>
  <si>
    <t>n/a</t>
  </si>
  <si>
    <t>Shell</t>
  </si>
  <si>
    <t>Mandrel End Plates</t>
  </si>
  <si>
    <t>CN60 Cloth</t>
  </si>
  <si>
    <t>Laminate</t>
  </si>
  <si>
    <t>EA9396</t>
  </si>
  <si>
    <t>Adhesive</t>
  </si>
  <si>
    <t>Components</t>
  </si>
  <si>
    <t>CF HoneyComb</t>
  </si>
  <si>
    <t>6061-T6</t>
  </si>
  <si>
    <t>Prototype Composites</t>
  </si>
  <si>
    <t>Support Beam Tool</t>
  </si>
  <si>
    <t>English</t>
  </si>
  <si>
    <t>Metric</t>
  </si>
  <si>
    <t>Quoted</t>
  </si>
  <si>
    <t>lb/in^3</t>
  </si>
  <si>
    <t>g/cc</t>
  </si>
  <si>
    <t>Cost/Unit</t>
  </si>
  <si>
    <t>$/lb</t>
  </si>
  <si>
    <t>$/g</t>
  </si>
  <si>
    <t>MIC-6</t>
  </si>
  <si>
    <t>7075-T6</t>
  </si>
  <si>
    <t>Titanium</t>
  </si>
  <si>
    <t>6Al4V</t>
  </si>
  <si>
    <t>304SS</t>
  </si>
  <si>
    <t>Carbon Fiber</t>
  </si>
  <si>
    <t>M55J-UDT</t>
  </si>
  <si>
    <t>CN60-PW</t>
  </si>
  <si>
    <t>YSH80A-UDT</t>
  </si>
  <si>
    <t>$/qt</t>
  </si>
  <si>
    <t>$/cc</t>
  </si>
  <si>
    <t>EA9394</t>
  </si>
  <si>
    <t>$/bdft</t>
  </si>
  <si>
    <t>Al HoneyComb</t>
  </si>
  <si>
    <t>Nomex HC</t>
  </si>
  <si>
    <t>Support Beam Machining Tool</t>
  </si>
  <si>
    <t>Thick Laminate</t>
  </si>
  <si>
    <t>Thick Laminate Test</t>
  </si>
  <si>
    <t>PEEK</t>
  </si>
  <si>
    <t>Prototype Half Shell</t>
  </si>
  <si>
    <t>Production Half Shell</t>
  </si>
  <si>
    <t>Production Half Shell (Contingency)</t>
  </si>
  <si>
    <t>WBS</t>
  </si>
  <si>
    <t>PO/UC Number</t>
  </si>
  <si>
    <t>STAR</t>
  </si>
  <si>
    <t>Contributed Labor Excluded…</t>
  </si>
  <si>
    <t>Project Estimated Cost</t>
  </si>
  <si>
    <t>Project Estimated Contingency</t>
  </si>
  <si>
    <t>CONT</t>
  </si>
  <si>
    <t>(HIDE)</t>
  </si>
  <si>
    <t>(HIDE AS REQUIRED)</t>
  </si>
  <si>
    <t>1.2.1</t>
  </si>
  <si>
    <t>Pixel Mechanics</t>
  </si>
  <si>
    <t>1.2.1.1</t>
  </si>
  <si>
    <t>Module Support (Sector)</t>
  </si>
  <si>
    <t>1.2.1.1.1</t>
  </si>
  <si>
    <t>Sector Mechanical Prototypes</t>
  </si>
  <si>
    <t>1.2.1.1.2</t>
  </si>
  <si>
    <t>D-Tube and Kinematic Mounts</t>
  </si>
  <si>
    <t>Production Sectors</t>
  </si>
  <si>
    <t>1.2.1.2</t>
  </si>
  <si>
    <t>1.2.1.3</t>
  </si>
  <si>
    <t>1.2.1.2.1</t>
  </si>
  <si>
    <t>Prototype D-Tube</t>
  </si>
  <si>
    <t>1.2.1.2.2</t>
  </si>
  <si>
    <t>Prototype Kinematic Mounts</t>
  </si>
  <si>
    <t>1.2.1.2.3</t>
  </si>
  <si>
    <t>Production D-Tube and Kinematic Mounts</t>
  </si>
  <si>
    <t>Insertion Mechanism and Internal Service Supports</t>
  </si>
  <si>
    <t>1.2.1.3.1</t>
  </si>
  <si>
    <t>1.2.1.3.2</t>
  </si>
  <si>
    <t>1.2.1.3.3</t>
  </si>
  <si>
    <t>1.2.1.3.4</t>
  </si>
  <si>
    <t>Thermal Prototype</t>
  </si>
  <si>
    <t>Insertion Test Bed</t>
  </si>
  <si>
    <t>Prototype Insertion Mechanism</t>
  </si>
  <si>
    <t>Production Insertion Mechanism</t>
  </si>
  <si>
    <t>1.2.1.3.5</t>
  </si>
  <si>
    <t>1.2.1.3.6</t>
  </si>
  <si>
    <t>Prototype Patch Panel Bulkhead</t>
  </si>
  <si>
    <t>Production Patch Panel Bulkhead</t>
  </si>
  <si>
    <t>Description</t>
  </si>
  <si>
    <t>WBS Descriptor</t>
  </si>
  <si>
    <t>&lt;--  Copy Down from this Cell both columns A and B to update WBS list</t>
  </si>
  <si>
    <t>IF need to copy below this line to contain WBS, need to update Data Validation for cells in column "U" (WBS) AND 'Look Up' vectors  for Column "V" (Descriptor)</t>
  </si>
  <si>
    <t>This table drives values in a lookup table in the Pre- and Production Sheet, columns U and V.  It is 'copied' into that sheet at the bottom, see notes there to understand how to modify this.  'Inserting' rows does not work, only adding, so must modify whole table--5 rows are available for additions...</t>
  </si>
  <si>
    <t>R&amp;D</t>
  </si>
  <si>
    <t>Values below used only for reference--not linked to data in sheet estimate…</t>
  </si>
  <si>
    <t>Construction</t>
  </si>
  <si>
    <t>Differential</t>
  </si>
  <si>
    <t>Change This to change burden rate…</t>
  </si>
  <si>
    <t>Construction Rate does not have full Burden--currently ~81% (below) of Full Burden at LBNL (R&amp;D Rate)</t>
  </si>
  <si>
    <t>PT</t>
  </si>
  <si>
    <t>Material Volumes</t>
  </si>
  <si>
    <t>M46J</t>
  </si>
  <si>
    <t>Minimum Order Surcharge</t>
  </si>
  <si>
    <t>Order Contingency (+10% Areal)</t>
  </si>
  <si>
    <t>D-Tube Laminates</t>
  </si>
  <si>
    <t>Hysol 9396</t>
  </si>
  <si>
    <t>Hysol Adhesive Production</t>
  </si>
  <si>
    <t>Module Supports (Sectors)</t>
  </si>
  <si>
    <t>D-Tube Laminates Production</t>
  </si>
  <si>
    <t>Sector Laminates (Prototype)</t>
  </si>
  <si>
    <t>Sector Laminates Production</t>
  </si>
  <si>
    <t>Prototype Sector Tooling</t>
  </si>
  <si>
    <t>Sector Tool EDM</t>
  </si>
  <si>
    <t>Sector Tool Machined Iteration</t>
  </si>
  <si>
    <t>Sector Tool Machined Iteration (Contingency)</t>
  </si>
  <si>
    <t>Prototype Sector Laminates</t>
  </si>
  <si>
    <t>Thermal Model Laminates</t>
  </si>
  <si>
    <t>Test Insertion Laminates (Iterated Tool (?))</t>
  </si>
  <si>
    <t>Engineering Run Laminates</t>
  </si>
  <si>
    <t>Engineering Run Laminates (Contingency)</t>
  </si>
  <si>
    <t>Prototype Dovetail (Al)</t>
  </si>
  <si>
    <t>Production Sector Laminates</t>
  </si>
  <si>
    <t>Production Sector Laminates (Contingency)</t>
  </si>
  <si>
    <t>Prototype Dovetail (SLA)</t>
  </si>
  <si>
    <t>Prototype Dovetail (Al) (Iteration)</t>
  </si>
  <si>
    <t>Prototype Dovetail (SLA) (Iteration)</t>
  </si>
  <si>
    <t>Prototype Dovetail (Al) (Iteration-Contingency)</t>
  </si>
  <si>
    <t>Prototype Dovetail (SLA) (Iteration-Contingency)</t>
  </si>
  <si>
    <t>Prototype End Reinforcement (SLA)</t>
  </si>
  <si>
    <t>Prototype End Reinforcement (SLA) (Iteration)</t>
  </si>
  <si>
    <t>Prototype End Reinforcement (SLA) (Iteration-Contingency)</t>
  </si>
  <si>
    <t>Interface Parts (Prototype)</t>
  </si>
  <si>
    <t>Interface Parts (Production)</t>
  </si>
  <si>
    <t>Dovetail</t>
  </si>
  <si>
    <t>Sector Component Assembly (Prototype)</t>
  </si>
  <si>
    <t>Bonded Assembly Tool</t>
  </si>
  <si>
    <t>Bonded Assembly Tool (Iteration)</t>
  </si>
  <si>
    <t>Bonded Assembly Tool (Iteration Contingency)</t>
  </si>
  <si>
    <t>Bonded Assembly (Thermal Model)</t>
  </si>
  <si>
    <t>Bonded Assembly (Insertion Model)</t>
  </si>
  <si>
    <t>Bonded Assembly (Engineering Run)</t>
  </si>
  <si>
    <t>Bonded Assembly (Engineering Run Contingency)</t>
  </si>
  <si>
    <t>Bonded Assembly Production</t>
  </si>
  <si>
    <t>Bonded Assembly (Contingency)</t>
  </si>
  <si>
    <t>Pixel Sector Sub Total</t>
  </si>
  <si>
    <t>D-Tube</t>
  </si>
  <si>
    <t>Dovetail Transition Tooling</t>
  </si>
  <si>
    <t>Welded Tube Assembly/Machine</t>
  </si>
  <si>
    <t>Trim Tool</t>
  </si>
  <si>
    <t>Lamination Tool (Contingency)</t>
  </si>
  <si>
    <t>D-Tube Bond Tool</t>
  </si>
  <si>
    <t>Assmbly Jig (w/out Kinematic Mounts)</t>
  </si>
  <si>
    <t>Assmbly Jig (w/ Kinematic Mounts)</t>
  </si>
  <si>
    <t>Tooling D-Tube_Shell</t>
  </si>
  <si>
    <t>Half Shell Lamination</t>
  </si>
  <si>
    <t>Half Shell Bond</t>
  </si>
  <si>
    <t>Interface Parts (Duct and Dovetail Plate)</t>
  </si>
  <si>
    <t>3" Duct Thermal Model</t>
  </si>
  <si>
    <t>3" Duct Insertion Model</t>
  </si>
  <si>
    <t>3" Duct Engineering Run (contingency)</t>
  </si>
  <si>
    <t>Dovetail Plate Insertion Model</t>
  </si>
  <si>
    <t>Dovetail Plate Engineering Run</t>
  </si>
  <si>
    <t>3" Duct Production (contingency)</t>
  </si>
  <si>
    <t>Dovetail Plate Production</t>
  </si>
  <si>
    <t xml:space="preserve">3" Duct Production </t>
  </si>
  <si>
    <t>Dovetail Plate Production (contingency)</t>
  </si>
  <si>
    <t>Prototype Half Shell Iteration</t>
  </si>
  <si>
    <t>Prototype Half Shell Insertion Test Bed</t>
  </si>
  <si>
    <t>Prototype Half Shell Engineering Run (Contingency)</t>
  </si>
  <si>
    <t>Ply Trim and Kit (Contingency)</t>
  </si>
  <si>
    <t>D-Tube Laminate Fabrication</t>
  </si>
  <si>
    <t>Ply Trim and Kit Production</t>
  </si>
  <si>
    <t>Prototype Shell</t>
  </si>
  <si>
    <t>Prototype Shell Iteration</t>
  </si>
  <si>
    <t>Prototype Shell Insertion Test Bed</t>
  </si>
  <si>
    <t>Prototype Shell Engineering Run (Contingency)</t>
  </si>
  <si>
    <t>Production Shell</t>
  </si>
  <si>
    <t>Production Shell (Contingency)</t>
  </si>
  <si>
    <t>Dovetail Transition Ring Fabrication</t>
  </si>
  <si>
    <t>D-Tube Bonded Assembly (w/out mounts)</t>
  </si>
  <si>
    <t>Tool Assembly and Survey</t>
  </si>
  <si>
    <t>Prototype D-Tube Assembly First Article</t>
  </si>
  <si>
    <t>Prototype D-Tube Assembly insertion test bed</t>
  </si>
  <si>
    <t>Prototype D-Tube Assembly (Engineereing Run)</t>
  </si>
  <si>
    <t>Production D-Tube Assembly</t>
  </si>
  <si>
    <t>Production D-Tube Assembly (Contingency)</t>
  </si>
  <si>
    <t xml:space="preserve"> Kinematic Mounts</t>
  </si>
  <si>
    <t>Kinematic Mount Prototype (1/2 Detector)</t>
  </si>
  <si>
    <t>Kinematic Mount Prototype (1/2 Detector Iteration)</t>
  </si>
  <si>
    <t>Kinematic Mount Prototype (Insertion Test Bed)</t>
  </si>
  <si>
    <t>Kinematic Mount Prototype (Engineering Run)</t>
  </si>
  <si>
    <t>Kinematic Mount (Production)</t>
  </si>
  <si>
    <t>Kinematic Mount (Production Contingency)</t>
  </si>
  <si>
    <t>Sector Component Assembly (Production)</t>
  </si>
  <si>
    <t>End Reinforcement (SLA)</t>
  </si>
  <si>
    <t>Dovetail Contingency</t>
  </si>
  <si>
    <t>End Reinforcement (SLA) Contingency</t>
  </si>
  <si>
    <t>Kinematic Mount Bond Operation</t>
  </si>
  <si>
    <t>Prototype Tool Assembly and Survey (1/2 Detector)</t>
  </si>
  <si>
    <t>Iteration Tool Assembly and Survey (1/2 Detector)</t>
  </si>
  <si>
    <t>'Final' Tool Assembly and Survey (Full Detector)</t>
  </si>
  <si>
    <t>Kinematic Mount Bonded Assembly (insertion test bed)</t>
  </si>
  <si>
    <t>Kinematic Mount Bonded Assembly (Iteration)</t>
  </si>
  <si>
    <t>Kinematic Mount Bonded Assembly (Engineering Run)</t>
  </si>
  <si>
    <t>Kinematic Mount Bonded Assembly (Production)</t>
  </si>
  <si>
    <t>Kinematic Mount Bonded Assembly (Contingency)</t>
  </si>
  <si>
    <t>Level Subtotal</t>
  </si>
  <si>
    <t>Expendable</t>
  </si>
  <si>
    <t>Expendables Base</t>
  </si>
  <si>
    <t>Expendables Contingency</t>
  </si>
  <si>
    <t>Checksum</t>
  </si>
  <si>
    <t>Sector Supports/D-tube Mockup Assembly</t>
  </si>
  <si>
    <t>Sector Supports/D-tube Mockup Assembly (Iteration)</t>
  </si>
  <si>
    <t>Thermal Testing Contributed Effort</t>
  </si>
  <si>
    <t>MSC Volume Mock-up and IR Camera supports</t>
  </si>
  <si>
    <t>Thermal Testing  Base Effort</t>
  </si>
  <si>
    <t>Acrylic/Lexan</t>
  </si>
  <si>
    <t>Design Effort</t>
  </si>
  <si>
    <t>Test Bed Fabrication</t>
  </si>
  <si>
    <t>Test Bed Iteration</t>
  </si>
  <si>
    <t>Test Bed Assembly</t>
  </si>
  <si>
    <t>Item Bars</t>
  </si>
  <si>
    <t>Station Plates</t>
  </si>
  <si>
    <t>Kinematic Support Bars</t>
  </si>
  <si>
    <t>Rail Insert Supports</t>
  </si>
  <si>
    <t>Iteration</t>
  </si>
  <si>
    <t>Support Components</t>
  </si>
  <si>
    <t>Insertion Testing</t>
  </si>
  <si>
    <t>Cart Prototype</t>
  </si>
  <si>
    <t>Cart Rail Rider prototype</t>
  </si>
  <si>
    <t>Cart Rail Rider iteration</t>
  </si>
  <si>
    <t>Hardware (Bearings, Fasteners et-al)</t>
  </si>
  <si>
    <t>Hinge and Transfer Mechanism</t>
  </si>
  <si>
    <t>Hinge and Transfer Mechanism (Iteration)</t>
  </si>
  <si>
    <t>Prototype Fabrication and Assembly</t>
  </si>
  <si>
    <t>Prototype Iteration (Low Mass Design)</t>
  </si>
  <si>
    <t>Cart Rail Rider Fabrication</t>
  </si>
  <si>
    <t>Card Cage Fabrication</t>
  </si>
  <si>
    <t>Internediate Support Fabrication</t>
  </si>
  <si>
    <t>Bond Tooling Design/Fabrication</t>
  </si>
  <si>
    <t>Bonded Assembly of 1/2 cart</t>
  </si>
  <si>
    <t>Low Mass Cart</t>
  </si>
  <si>
    <t>Cart Rail Rider</t>
  </si>
  <si>
    <t>Cart Fabrication (Engineering Run)</t>
  </si>
  <si>
    <t>Cart Fabrication (Production)</t>
  </si>
  <si>
    <t>Cart Fabrication (Production Contingency)</t>
  </si>
  <si>
    <t>Insertion Mechanism and Service Supports</t>
  </si>
  <si>
    <t>Low Mass Cart Prototype</t>
  </si>
  <si>
    <t>Cart Prototype Fabrication (1/2 Detector)</t>
  </si>
  <si>
    <t>Design Effort Required for Fabrication</t>
  </si>
  <si>
    <t>Insertion Kinematic Mockup</t>
  </si>
  <si>
    <t>Design Effort Required for Cart "Integration"</t>
  </si>
  <si>
    <t>Bulkhead Prototype Fabrication (Engineering Run)</t>
  </si>
  <si>
    <t>Patch Panel Bulkhead Production</t>
  </si>
  <si>
    <t>Bulkhead Fabrication (Production)</t>
  </si>
  <si>
    <t>Bulkhead Fabrication (Contingency)</t>
  </si>
  <si>
    <t>Shipping (Engineering Run)</t>
  </si>
  <si>
    <t>Shipping (Final Production)</t>
  </si>
  <si>
    <t>M Tech</t>
  </si>
  <si>
    <t xml:space="preserve">Engineering </t>
  </si>
  <si>
    <t>M &amp; S</t>
  </si>
  <si>
    <t>Cont</t>
  </si>
  <si>
    <t>Sector Tool Machined Iteration Engineering</t>
  </si>
  <si>
    <t>Sector Tool Machined Iteration (Engineering Contingency)</t>
  </si>
  <si>
    <t>Prototype Dovetail Iteration Engineering</t>
  </si>
  <si>
    <t>Bonded Assembly Tool (Iteration Engineering)</t>
  </si>
  <si>
    <t>Bonded Assembly Tool (Iteration Contingency Engineering)</t>
  </si>
  <si>
    <t>Bonded Assembly (Engineering and Oversight)</t>
  </si>
  <si>
    <t>D-Tube Tooling Design</t>
  </si>
  <si>
    <t>Lamination Tool Design</t>
  </si>
  <si>
    <t>Prototype Half Shell Engineering</t>
  </si>
  <si>
    <t>Prototype Shell Fabrication Oversight</t>
  </si>
  <si>
    <t>Assembly and Survey Oversight</t>
  </si>
  <si>
    <t>Kinematic Mount Prototype Design (ITB)</t>
  </si>
  <si>
    <t>Kinematic Mount Prototype Design and Oversight</t>
  </si>
  <si>
    <t>Tool Assembly and Survey Engineering Oversight</t>
  </si>
  <si>
    <t>Design Effort Contributed</t>
  </si>
  <si>
    <t>Thermal Testing  Extended Test Effort</t>
  </si>
  <si>
    <t>Hours</t>
  </si>
  <si>
    <t>FTE</t>
  </si>
  <si>
    <t>Cost Approx</t>
  </si>
  <si>
    <t>D-Tube Laminates Contingency</t>
  </si>
  <si>
    <t>Sector Laminates Contingency</t>
  </si>
  <si>
    <t>1.2.3</t>
  </si>
  <si>
    <t>1.2.3.1</t>
  </si>
  <si>
    <t>1.2.3.1.1</t>
  </si>
  <si>
    <t>1.2.3.1.2</t>
  </si>
  <si>
    <t>1.2.3.2</t>
  </si>
  <si>
    <t>1.2.3.3</t>
  </si>
  <si>
    <t>1.2.3.4</t>
  </si>
  <si>
    <t>1.2.3.4.1</t>
  </si>
  <si>
    <t>1.2.3.4.2</t>
  </si>
  <si>
    <t>1.2.3.5</t>
  </si>
  <si>
    <t>Detector Assembly</t>
  </si>
  <si>
    <t>Mechanical Sector Assemblies</t>
  </si>
  <si>
    <t>Electrical Sector Assemblies</t>
  </si>
  <si>
    <t>D-Tube Assembly and Survey Tool</t>
  </si>
  <si>
    <t>Sector Mount And Survey</t>
  </si>
  <si>
    <t>Final Assembly</t>
  </si>
  <si>
    <t>Detector Half Enclosure</t>
  </si>
  <si>
    <t>Half Detector Assembly</t>
  </si>
  <si>
    <t>System Test</t>
  </si>
  <si>
    <t>Sector Assembly</t>
  </si>
  <si>
    <t>Pixel Estimate (1.2.1 and 1.2.3)</t>
  </si>
  <si>
    <t>.</t>
  </si>
  <si>
    <t>Sector Assembly and Survey</t>
  </si>
  <si>
    <t>Ladder Mount Tooling</t>
  </si>
  <si>
    <t>Ladder Mount Tool Engineering</t>
  </si>
  <si>
    <t>Ladder Mount Tool (Engineering Contingency)</t>
  </si>
  <si>
    <t>Ladder Mount Tool</t>
  </si>
  <si>
    <t>Prototype Sector Assemblies</t>
  </si>
  <si>
    <t>Thermal Model Sectors</t>
  </si>
  <si>
    <t>Test Insertion Sectors Engineering Oversight</t>
  </si>
  <si>
    <t>Test Insertion Sectors</t>
  </si>
  <si>
    <t>Engineering Run Sectors</t>
  </si>
  <si>
    <t>Engineering Run Sectors (Contingency)</t>
  </si>
  <si>
    <t>Production Sector Sectors</t>
  </si>
  <si>
    <t>Production Sector Sectors (Contingency)</t>
  </si>
  <si>
    <t>Production Sector Assemblies</t>
  </si>
  <si>
    <t>Sector Survey and Tooling</t>
  </si>
  <si>
    <t>Sector Survey Tool</t>
  </si>
  <si>
    <t>Survey Procedure Development</t>
  </si>
  <si>
    <t>Survey Tool Contingency</t>
  </si>
  <si>
    <t>Survey Procedure Contingency</t>
  </si>
  <si>
    <t>1"  Plywood</t>
  </si>
  <si>
    <t>Thermal Testing Engineering 2011</t>
  </si>
  <si>
    <t xml:space="preserve">Design Effort </t>
  </si>
  <si>
    <t>1.2.5</t>
  </si>
  <si>
    <t>1.2.5.1</t>
  </si>
  <si>
    <t>1.2.5.1.1</t>
  </si>
  <si>
    <t>1.2.5.1.2</t>
  </si>
  <si>
    <t>1.2.5.1.3</t>
  </si>
  <si>
    <t>Installation</t>
  </si>
  <si>
    <t>Pixel Installation In-Situ</t>
  </si>
  <si>
    <t>Work Platform</t>
  </si>
  <si>
    <t>Detector Installation</t>
  </si>
  <si>
    <t>Service Termination</t>
  </si>
  <si>
    <t>1.2.5.2</t>
  </si>
  <si>
    <t>1.2.5.2.1</t>
  </si>
  <si>
    <t>1.2.5.2.2</t>
  </si>
  <si>
    <t>1.2.5.2.3</t>
  </si>
  <si>
    <t>Pixel Auxiliary Acess</t>
  </si>
  <si>
    <t>Sector Mount and Survey</t>
  </si>
  <si>
    <t>Sector Survey Tool Contingency</t>
  </si>
  <si>
    <t>Sector Survey Engineering Run</t>
  </si>
  <si>
    <t>Sector Survey Engineering Run (Contingency)</t>
  </si>
  <si>
    <t>Sector Survey 2013 Install (partial 5)</t>
  </si>
  <si>
    <t>Sector Survey 2013 Install (partial 10)</t>
  </si>
  <si>
    <t>Sector Survey 2013 Install (Contingency 5 2013)</t>
  </si>
  <si>
    <t>Sector Mount and Survey Eng Run</t>
  </si>
  <si>
    <t>Sector Mount and Survey Eng Run (Contingency)</t>
  </si>
  <si>
    <t>Sector Mount and Survey 2013 Install</t>
  </si>
  <si>
    <t>Sector Mount and Survey 2013 Install (Contingency)</t>
  </si>
  <si>
    <t>Sector Mount and Survey Spare</t>
  </si>
  <si>
    <t>Sector Survey Tool Production</t>
  </si>
  <si>
    <t>Final Assembly and Installation</t>
  </si>
  <si>
    <t>Detector Half Enclosure (Engineering)</t>
  </si>
  <si>
    <t>Rail Assembly Hardware</t>
  </si>
  <si>
    <t>ITEM 80/20 Hardware</t>
  </si>
  <si>
    <t>Covers/Ducting</t>
  </si>
  <si>
    <t>Rail Assembly Hardware Contingency</t>
  </si>
  <si>
    <t>ITEM 80/20 Hardware Contingency</t>
  </si>
  <si>
    <t>Covers/Ducting Contingency</t>
  </si>
  <si>
    <t>Detector Half Enclosure Production</t>
  </si>
  <si>
    <t>Detector Assembly (Engineering)</t>
  </si>
  <si>
    <t>Handling Fixtures</t>
  </si>
  <si>
    <t>D-Tube (W/Sectors) Mount on Hinges</t>
  </si>
  <si>
    <t xml:space="preserve">Engineering Oversight </t>
  </si>
  <si>
    <t>Card Cage Assembly (and Termination)</t>
  </si>
  <si>
    <t>Bulkhead Assembly</t>
  </si>
  <si>
    <t>Detector Assembly (Production)</t>
  </si>
  <si>
    <t>D-Tube (W/Sectors) Mount on Hinges Spare</t>
  </si>
  <si>
    <t>Card Cage Assembly (and Termination) Spare</t>
  </si>
  <si>
    <t>Bulkhead Assembly Spare</t>
  </si>
  <si>
    <t>Integration into STAR</t>
  </si>
  <si>
    <t>Installation Platforms (In-Situ)</t>
  </si>
  <si>
    <t>Integration into STAR (Contingency)</t>
  </si>
  <si>
    <t>Design Effort Required for Fabrication (Contingency)</t>
  </si>
  <si>
    <t>Fabrication</t>
  </si>
  <si>
    <t>Installation into STAR</t>
  </si>
  <si>
    <t xml:space="preserve">Hardware  </t>
  </si>
  <si>
    <t>Pixel Insertion (In Situ)</t>
  </si>
  <si>
    <t>Installation (Engineering Run)</t>
  </si>
  <si>
    <t>Installation (Engineering Run) (STAR Contributed)</t>
  </si>
  <si>
    <t>Modifications</t>
  </si>
  <si>
    <t>Installation (2013)</t>
  </si>
  <si>
    <t>Installation (2013) (STAR Contributed)</t>
  </si>
  <si>
    <t>Design Effort As-Built Services</t>
  </si>
  <si>
    <t>Service Termination (Engineering)</t>
  </si>
  <si>
    <t>Service Termination (Engineering) (STAR Contributed)</t>
  </si>
  <si>
    <t>Design Effort As-Built Services (Final)</t>
  </si>
  <si>
    <t>Service Termination (2013)</t>
  </si>
  <si>
    <t>Service Termination (2013) (STAR Contributed)</t>
  </si>
  <si>
    <t>Delta</t>
  </si>
  <si>
    <t>Survey Procedure Development (contributed ENG)</t>
  </si>
  <si>
    <t>Assmbly Jig (w/out Kinematic Mounts) (CTB ENG)</t>
  </si>
  <si>
    <t>FY</t>
  </si>
  <si>
    <t>Total</t>
  </si>
  <si>
    <t>V0.9</t>
  </si>
  <si>
    <t>Plan B</t>
  </si>
  <si>
    <t>VB0.9</t>
  </si>
</sst>
</file>

<file path=xl/styles.xml><?xml version="1.0" encoding="utf-8"?>
<styleSheet xmlns="http://schemas.openxmlformats.org/spreadsheetml/2006/main">
  <numFmts count="8">
    <numFmt numFmtId="5" formatCode="&quot;$&quot;#,##0_);\(&quot;$&quot;#,##0\)"/>
    <numFmt numFmtId="6" formatCode="&quot;$&quot;#,##0_);[Red]\(&quot;$&quot;#,##0\)"/>
    <numFmt numFmtId="42" formatCode="_(&quot;$&quot;* #,##0_);_(&quot;$&quot;* \(#,##0\);_(&quot;$&quot;* &quot;-&quot;_);_(@_)"/>
    <numFmt numFmtId="164" formatCode="&quot;$&quot;#,##0"/>
    <numFmt numFmtId="165" formatCode="0.0"/>
    <numFmt numFmtId="166" formatCode="&quot;$&quot;#,##0.00"/>
    <numFmt numFmtId="167" formatCode="0.0%"/>
    <numFmt numFmtId="168" formatCode="0.000"/>
  </numFmts>
  <fonts count="28">
    <font>
      <sz val="10"/>
      <name val="Arial"/>
    </font>
    <font>
      <b/>
      <sz val="10"/>
      <name val="Arial"/>
      <family val="2"/>
    </font>
    <font>
      <b/>
      <i/>
      <sz val="10"/>
      <color indexed="10"/>
      <name val="Arial"/>
      <family val="2"/>
    </font>
    <font>
      <sz val="10"/>
      <name val="Arial"/>
      <family val="2"/>
    </font>
    <font>
      <b/>
      <sz val="14"/>
      <name val="Arial"/>
      <family val="2"/>
    </font>
    <font>
      <sz val="10"/>
      <color indexed="10"/>
      <name val="Arial"/>
      <family val="2"/>
    </font>
    <font>
      <b/>
      <sz val="10"/>
      <color indexed="10"/>
      <name val="Arial"/>
      <family val="2"/>
    </font>
    <font>
      <i/>
      <sz val="10"/>
      <name val="Arial"/>
      <family val="2"/>
    </font>
    <font>
      <strike/>
      <sz val="10"/>
      <name val="Arial"/>
      <family val="2"/>
    </font>
    <font>
      <strike/>
      <sz val="10"/>
      <name val="Arial"/>
      <family val="2"/>
    </font>
    <font>
      <b/>
      <sz val="11"/>
      <color rgb="FFFF0000"/>
      <name val="Arial"/>
      <family val="2"/>
    </font>
    <font>
      <i/>
      <sz val="10"/>
      <color indexed="10"/>
      <name val="Arial"/>
      <family val="2"/>
    </font>
    <font>
      <b/>
      <sz val="12"/>
      <color rgb="FFFF0000"/>
      <name val="Arial"/>
      <family val="2"/>
    </font>
    <font>
      <b/>
      <sz val="12"/>
      <name val="Arial"/>
      <family val="2"/>
    </font>
    <font>
      <b/>
      <sz val="10"/>
      <color indexed="53"/>
      <name val="Arial"/>
      <family val="2"/>
    </font>
    <font>
      <i/>
      <sz val="9"/>
      <name val="Arial"/>
      <family val="2"/>
    </font>
    <font>
      <sz val="12"/>
      <color rgb="FFFF0000"/>
      <name val="Arial"/>
      <family val="2"/>
    </font>
    <font>
      <sz val="10"/>
      <color indexed="53"/>
      <name val="Arial"/>
      <family val="2"/>
    </font>
    <font>
      <sz val="10"/>
      <color rgb="FFFF0000"/>
      <name val="Arial"/>
      <family val="2"/>
    </font>
    <font>
      <sz val="14"/>
      <name val="Arial"/>
      <family val="2"/>
    </font>
    <font>
      <sz val="12"/>
      <name val="Arial"/>
      <family val="2"/>
    </font>
    <font>
      <b/>
      <sz val="10"/>
      <color rgb="FFFF0000"/>
      <name val="Arial"/>
      <family val="2"/>
    </font>
    <font>
      <sz val="10"/>
      <name val="Arial"/>
      <family val="2"/>
    </font>
    <font>
      <sz val="11"/>
      <color rgb="FF9C0006"/>
      <name val="Calibri"/>
      <family val="2"/>
      <scheme val="minor"/>
    </font>
    <font>
      <sz val="11"/>
      <color rgb="FF3F3F76"/>
      <name val="Calibri"/>
      <family val="2"/>
      <scheme val="minor"/>
    </font>
    <font>
      <b/>
      <sz val="11"/>
      <color rgb="FFFA7D00"/>
      <name val="Calibri"/>
      <family val="2"/>
      <scheme val="minor"/>
    </font>
    <font>
      <sz val="9"/>
      <name val="Arial"/>
      <family val="2"/>
    </font>
    <font>
      <sz val="10"/>
      <name val="Arial"/>
      <family val="2"/>
    </font>
  </fonts>
  <fills count="6">
    <fill>
      <patternFill patternType="none"/>
    </fill>
    <fill>
      <patternFill patternType="gray125"/>
    </fill>
    <fill>
      <patternFill patternType="solid">
        <fgColor rgb="FFFFC7CE"/>
      </patternFill>
    </fill>
    <fill>
      <patternFill patternType="solid">
        <fgColor rgb="FFFFCC99"/>
      </patternFill>
    </fill>
    <fill>
      <patternFill patternType="solid">
        <fgColor rgb="FFF2F2F2"/>
      </patternFill>
    </fill>
    <fill>
      <patternFill patternType="solid">
        <fgColor rgb="FFFFFFCC"/>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s>
  <cellStyleXfs count="6">
    <xf numFmtId="0" fontId="0" fillId="0" borderId="0"/>
    <xf numFmtId="0" fontId="23" fillId="2" borderId="0" applyNumberFormat="0" applyBorder="0" applyAlignment="0" applyProtection="0"/>
    <xf numFmtId="0" fontId="24" fillId="3" borderId="38" applyNumberFormat="0" applyAlignment="0" applyProtection="0"/>
    <xf numFmtId="0" fontId="25" fillId="4" borderId="38" applyNumberFormat="0" applyAlignment="0" applyProtection="0"/>
    <xf numFmtId="0" fontId="22" fillId="5" borderId="39" applyNumberFormat="0" applyFont="0" applyAlignment="0" applyProtection="0"/>
    <xf numFmtId="42" fontId="27" fillId="0" borderId="0" applyFont="0" applyFill="0" applyBorder="0" applyAlignment="0" applyProtection="0"/>
  </cellStyleXfs>
  <cellXfs count="434">
    <xf numFmtId="0" fontId="0" fillId="0" borderId="0" xfId="0"/>
    <xf numFmtId="0" fontId="2" fillId="0" borderId="0" xfId="0" applyFont="1"/>
    <xf numFmtId="0" fontId="0" fillId="0" borderId="0" xfId="0" applyBorder="1"/>
    <xf numFmtId="0" fontId="0" fillId="0" borderId="5" xfId="0" applyBorder="1"/>
    <xf numFmtId="0" fontId="0" fillId="0" borderId="0" xfId="0" applyBorder="1" applyAlignment="1">
      <alignment horizontal="right"/>
    </xf>
    <xf numFmtId="0" fontId="0" fillId="0" borderId="5" xfId="0" applyBorder="1" applyAlignment="1">
      <alignment horizontal="right"/>
    </xf>
    <xf numFmtId="0" fontId="2" fillId="0" borderId="0" xfId="0" applyFont="1" applyAlignment="1">
      <alignment horizontal="right"/>
    </xf>
    <xf numFmtId="0" fontId="0" fillId="0" borderId="0" xfId="0" applyAlignment="1">
      <alignment horizontal="right"/>
    </xf>
    <xf numFmtId="0" fontId="4" fillId="0" borderId="0" xfId="0" applyFont="1"/>
    <xf numFmtId="0" fontId="0" fillId="0" borderId="0" xfId="0" applyFill="1" applyBorder="1"/>
    <xf numFmtId="166" fontId="0" fillId="0" borderId="0" xfId="0" applyNumberFormat="1" applyAlignment="1">
      <alignment horizontal="center"/>
    </xf>
    <xf numFmtId="166" fontId="2" fillId="0" borderId="0" xfId="0" applyNumberFormat="1" applyFont="1" applyAlignment="1">
      <alignment horizontal="center"/>
    </xf>
    <xf numFmtId="166" fontId="0" fillId="0" borderId="5" xfId="0" applyNumberFormat="1" applyBorder="1" applyAlignment="1">
      <alignment horizontal="center"/>
    </xf>
    <xf numFmtId="0" fontId="2" fillId="0" borderId="0" xfId="0" applyFont="1" applyAlignment="1">
      <alignment horizontal="right" textRotation="90"/>
    </xf>
    <xf numFmtId="0" fontId="2" fillId="0" borderId="8" xfId="0" applyFont="1" applyBorder="1" applyAlignment="1">
      <alignment horizontal="right"/>
    </xf>
    <xf numFmtId="0" fontId="0" fillId="0" borderId="5" xfId="0" applyBorder="1" applyAlignment="1">
      <alignment horizontal="left"/>
    </xf>
    <xf numFmtId="0" fontId="1" fillId="0" borderId="0" xfId="0" applyFont="1" applyFill="1" applyBorder="1" applyAlignment="1">
      <alignment horizontal="right"/>
    </xf>
    <xf numFmtId="0" fontId="2" fillId="0" borderId="0" xfId="0" applyFont="1" applyFill="1" applyBorder="1"/>
    <xf numFmtId="0" fontId="7" fillId="0" borderId="0" xfId="0" applyFont="1" applyFill="1" applyBorder="1"/>
    <xf numFmtId="0" fontId="9" fillId="0" borderId="0" xfId="0" applyFont="1"/>
    <xf numFmtId="0" fontId="3" fillId="0" borderId="0" xfId="0" applyFont="1"/>
    <xf numFmtId="0" fontId="3" fillId="0" borderId="5" xfId="0" applyFont="1" applyBorder="1"/>
    <xf numFmtId="1" fontId="0" fillId="0" borderId="0" xfId="0" applyNumberFormat="1" applyAlignment="1">
      <alignment horizontal="center"/>
    </xf>
    <xf numFmtId="1" fontId="2" fillId="0" borderId="0" xfId="0" applyNumberFormat="1" applyFont="1" applyAlignment="1">
      <alignment horizontal="center"/>
    </xf>
    <xf numFmtId="1" fontId="3" fillId="0" borderId="0" xfId="0" applyNumberFormat="1" applyFont="1" applyAlignment="1">
      <alignment horizontal="center"/>
    </xf>
    <xf numFmtId="0" fontId="2" fillId="0" borderId="20" xfId="0" applyFont="1" applyBorder="1" applyAlignment="1">
      <alignment horizontal="right"/>
    </xf>
    <xf numFmtId="0" fontId="0" fillId="0" borderId="20" xfId="0" applyBorder="1"/>
    <xf numFmtId="0" fontId="2" fillId="0" borderId="21"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0" fillId="0" borderId="9" xfId="0" applyBorder="1"/>
    <xf numFmtId="0" fontId="2" fillId="0" borderId="0" xfId="0" applyFont="1" applyBorder="1" applyAlignment="1">
      <alignment horizontal="right"/>
    </xf>
    <xf numFmtId="0" fontId="0" fillId="0" borderId="15" xfId="0" applyBorder="1" applyAlignment="1">
      <alignment horizontal="right"/>
    </xf>
    <xf numFmtId="1" fontId="3" fillId="0" borderId="11" xfId="0" applyNumberFormat="1" applyFont="1" applyBorder="1" applyAlignment="1">
      <alignment horizontal="right"/>
    </xf>
    <xf numFmtId="1" fontId="3" fillId="0" borderId="6" xfId="0" applyNumberFormat="1" applyFont="1" applyBorder="1" applyAlignment="1">
      <alignment horizontal="right"/>
    </xf>
    <xf numFmtId="0" fontId="2" fillId="0" borderId="15" xfId="0" applyFont="1" applyBorder="1" applyAlignment="1">
      <alignment horizontal="center"/>
    </xf>
    <xf numFmtId="1" fontId="11" fillId="0" borderId="11" xfId="0" applyNumberFormat="1" applyFont="1" applyBorder="1" applyAlignment="1">
      <alignment horizontal="right"/>
    </xf>
    <xf numFmtId="1" fontId="0" fillId="0" borderId="10" xfId="0" applyNumberFormat="1" applyBorder="1"/>
    <xf numFmtId="164" fontId="1" fillId="0" borderId="0" xfId="0" applyNumberFormat="1" applyFont="1" applyBorder="1" applyAlignment="1">
      <alignment horizontal="center"/>
    </xf>
    <xf numFmtId="164" fontId="1" fillId="0" borderId="0" xfId="0" applyNumberFormat="1" applyFont="1" applyBorder="1" applyAlignment="1">
      <alignment horizontal="right"/>
    </xf>
    <xf numFmtId="166" fontId="1" fillId="0" borderId="0" xfId="0" applyNumberFormat="1" applyFont="1" applyBorder="1" applyAlignment="1">
      <alignment horizontal="center"/>
    </xf>
    <xf numFmtId="1" fontId="1" fillId="0" borderId="33" xfId="0" applyNumberFormat="1" applyFont="1" applyBorder="1" applyAlignment="1">
      <alignment horizontal="center"/>
    </xf>
    <xf numFmtId="0" fontId="2" fillId="0" borderId="16" xfId="0" applyFont="1" applyBorder="1" applyAlignment="1">
      <alignment horizontal="center" textRotation="90"/>
    </xf>
    <xf numFmtId="0" fontId="2" fillId="0" borderId="12" xfId="0" applyFont="1" applyBorder="1" applyAlignment="1">
      <alignment horizontal="right"/>
    </xf>
    <xf numFmtId="166" fontId="2" fillId="0" borderId="12" xfId="0" applyNumberFormat="1" applyFont="1" applyBorder="1" applyAlignment="1">
      <alignment horizontal="center"/>
    </xf>
    <xf numFmtId="1" fontId="2" fillId="0" borderId="13" xfId="0" applyNumberFormat="1" applyFont="1" applyBorder="1" applyAlignment="1">
      <alignment horizontal="center"/>
    </xf>
    <xf numFmtId="0" fontId="3" fillId="0" borderId="0" xfId="0" applyFont="1" applyAlignment="1">
      <alignment horizontal="left" indent="2"/>
    </xf>
    <xf numFmtId="0" fontId="1" fillId="0" borderId="0" xfId="0" applyFont="1" applyAlignment="1">
      <alignment horizontal="left" indent="1"/>
    </xf>
    <xf numFmtId="0" fontId="13" fillId="0" borderId="0" xfId="0" applyFont="1" applyBorder="1"/>
    <xf numFmtId="0" fontId="13" fillId="0" borderId="0" xfId="0" applyFont="1"/>
    <xf numFmtId="0" fontId="1" fillId="0" borderId="0" xfId="0" applyFont="1"/>
    <xf numFmtId="0" fontId="1" fillId="0" borderId="14" xfId="0" applyFont="1" applyBorder="1" applyAlignment="1">
      <alignment horizontal="center"/>
    </xf>
    <xf numFmtId="0" fontId="1" fillId="0" borderId="15" xfId="0" applyFont="1" applyBorder="1" applyAlignment="1">
      <alignment horizontal="center"/>
    </xf>
    <xf numFmtId="6" fontId="14" fillId="0" borderId="4" xfId="0" applyNumberFormat="1" applyFont="1" applyBorder="1" applyAlignment="1">
      <alignment horizontal="center"/>
    </xf>
    <xf numFmtId="0" fontId="1" fillId="0" borderId="0" xfId="0" applyFont="1" applyAlignment="1">
      <alignment horizontal="center"/>
    </xf>
    <xf numFmtId="1" fontId="1" fillId="0" borderId="11" xfId="0" applyNumberFormat="1" applyFont="1" applyBorder="1" applyAlignment="1">
      <alignment horizontal="right"/>
    </xf>
    <xf numFmtId="0" fontId="1" fillId="0" borderId="0" xfId="0" applyFont="1" applyBorder="1" applyAlignment="1">
      <alignment horizontal="right"/>
    </xf>
    <xf numFmtId="0" fontId="1" fillId="0" borderId="0" xfId="0" applyNumberFormat="1" applyFont="1" applyBorder="1" applyAlignment="1">
      <alignment horizontal="right"/>
    </xf>
    <xf numFmtId="0" fontId="1" fillId="0" borderId="15" xfId="0" applyFont="1" applyBorder="1" applyAlignment="1">
      <alignment horizontal="right"/>
    </xf>
    <xf numFmtId="0" fontId="1" fillId="0" borderId="0" xfId="0" applyFont="1" applyAlignment="1">
      <alignment horizontal="right"/>
    </xf>
    <xf numFmtId="164" fontId="2" fillId="0" borderId="0" xfId="0" applyNumberFormat="1" applyFont="1" applyAlignment="1">
      <alignment horizontal="right" textRotation="90"/>
    </xf>
    <xf numFmtId="164" fontId="1" fillId="0" borderId="0" xfId="0" applyNumberFormat="1" applyFont="1" applyAlignment="1">
      <alignment horizontal="right"/>
    </xf>
    <xf numFmtId="164" fontId="1" fillId="0" borderId="11" xfId="0" applyNumberFormat="1" applyFont="1" applyBorder="1" applyAlignment="1">
      <alignment horizontal="right"/>
    </xf>
    <xf numFmtId="165" fontId="1" fillId="0" borderId="0" xfId="0" applyNumberFormat="1" applyFont="1" applyBorder="1" applyAlignment="1">
      <alignment horizontal="right"/>
    </xf>
    <xf numFmtId="165" fontId="1" fillId="0" borderId="11" xfId="0" applyNumberFormat="1" applyFont="1" applyBorder="1" applyAlignment="1">
      <alignment horizontal="right"/>
    </xf>
    <xf numFmtId="0" fontId="0" fillId="0" borderId="0" xfId="0" applyAlignment="1">
      <alignment horizontal="left" indent="2"/>
    </xf>
    <xf numFmtId="0" fontId="1" fillId="0" borderId="15" xfId="0" applyFont="1" applyBorder="1" applyAlignment="1">
      <alignment horizontal="left" indent="2"/>
    </xf>
    <xf numFmtId="1" fontId="3" fillId="0" borderId="11" xfId="0" applyNumberFormat="1" applyFont="1" applyBorder="1" applyAlignment="1">
      <alignment horizontal="left" indent="2"/>
    </xf>
    <xf numFmtId="0" fontId="3" fillId="0" borderId="0" xfId="0" applyFont="1" applyAlignment="1">
      <alignment horizontal="left" indent="3"/>
    </xf>
    <xf numFmtId="0" fontId="15" fillId="0" borderId="0" xfId="0" applyFont="1" applyAlignment="1">
      <alignment horizontal="right"/>
    </xf>
    <xf numFmtId="164" fontId="16" fillId="0" borderId="0" xfId="0" applyNumberFormat="1" applyFont="1"/>
    <xf numFmtId="164" fontId="16" fillId="0" borderId="0" xfId="0" applyNumberFormat="1" applyFont="1" applyAlignment="1">
      <alignment horizontal="right"/>
    </xf>
    <xf numFmtId="0" fontId="3" fillId="0" borderId="9" xfId="0" applyFont="1" applyBorder="1"/>
    <xf numFmtId="0" fontId="2" fillId="0" borderId="12" xfId="0" applyFont="1" applyBorder="1" applyAlignment="1">
      <alignment horizontal="center" textRotation="90"/>
    </xf>
    <xf numFmtId="0" fontId="1" fillId="0" borderId="9"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left" indent="2"/>
    </xf>
    <xf numFmtId="6" fontId="14" fillId="0" borderId="5" xfId="0" applyNumberFormat="1" applyFont="1" applyBorder="1" applyAlignment="1">
      <alignment horizontal="center"/>
    </xf>
    <xf numFmtId="0" fontId="3" fillId="0" borderId="0" xfId="0" applyFont="1" applyBorder="1" applyAlignment="1">
      <alignment horizontal="left" indent="2"/>
    </xf>
    <xf numFmtId="0" fontId="3" fillId="0" borderId="0" xfId="0" applyFont="1" applyAlignment="1">
      <alignment horizontal="center"/>
    </xf>
    <xf numFmtId="0" fontId="5" fillId="0" borderId="12" xfId="0" applyFont="1" applyBorder="1" applyAlignment="1">
      <alignment horizontal="center" textRotation="90"/>
    </xf>
    <xf numFmtId="0" fontId="0" fillId="0" borderId="0" xfId="0" applyNumberFormat="1" applyAlignment="1">
      <alignment horizontal="right"/>
    </xf>
    <xf numFmtId="0" fontId="18" fillId="0" borderId="0" xfId="0" applyFont="1" applyAlignment="1">
      <alignment horizontal="right"/>
    </xf>
    <xf numFmtId="1" fontId="0" fillId="0" borderId="0" xfId="0" applyNumberFormat="1" applyAlignment="1">
      <alignment horizontal="right"/>
    </xf>
    <xf numFmtId="164" fontId="0" fillId="0" borderId="0" xfId="0" applyNumberFormat="1" applyAlignment="1"/>
    <xf numFmtId="2" fontId="0" fillId="0" borderId="0" xfId="0" applyNumberFormat="1" applyAlignment="1">
      <alignment horizontal="right"/>
    </xf>
    <xf numFmtId="0" fontId="0" fillId="0" borderId="0" xfId="0" applyAlignment="1">
      <alignment horizontal="left"/>
    </xf>
    <xf numFmtId="0" fontId="3" fillId="0" borderId="0" xfId="0" applyFont="1" applyAlignment="1">
      <alignment horizontal="center" wrapText="1"/>
    </xf>
    <xf numFmtId="1" fontId="3" fillId="0" borderId="0" xfId="0" applyNumberFormat="1" applyFont="1" applyAlignment="1">
      <alignment horizontal="center" wrapText="1"/>
    </xf>
    <xf numFmtId="165" fontId="3" fillId="0" borderId="0" xfId="0" applyNumberFormat="1" applyFont="1" applyAlignment="1">
      <alignment horizontal="center" wrapText="1"/>
    </xf>
    <xf numFmtId="168" fontId="3" fillId="0" borderId="0" xfId="0" applyNumberFormat="1" applyFont="1" applyAlignment="1">
      <alignment horizontal="center" wrapText="1"/>
    </xf>
    <xf numFmtId="0" fontId="3" fillId="0" borderId="0" xfId="0" applyFont="1" applyAlignment="1">
      <alignment wrapText="1"/>
    </xf>
    <xf numFmtId="164" fontId="3" fillId="0" borderId="0" xfId="0" applyNumberFormat="1" applyFont="1" applyAlignment="1">
      <alignment horizontal="center" wrapText="1"/>
    </xf>
    <xf numFmtId="2" fontId="3" fillId="0" borderId="0" xfId="0" applyNumberFormat="1" applyFont="1" applyAlignment="1">
      <alignment horizontal="center" wrapText="1"/>
    </xf>
    <xf numFmtId="0" fontId="0" fillId="0" borderId="0" xfId="0" applyAlignment="1"/>
    <xf numFmtId="0" fontId="3" fillId="0" borderId="0" xfId="0" applyFont="1" applyAlignment="1">
      <alignment horizontal="right"/>
    </xf>
    <xf numFmtId="1" fontId="3" fillId="0" borderId="0" xfId="0" applyNumberFormat="1" applyFont="1" applyAlignment="1">
      <alignment wrapText="1"/>
    </xf>
    <xf numFmtId="165" fontId="3" fillId="0" borderId="0" xfId="0" applyNumberFormat="1" applyFont="1" applyAlignment="1">
      <alignment wrapText="1"/>
    </xf>
    <xf numFmtId="168" fontId="3" fillId="0" borderId="0" xfId="0" applyNumberFormat="1" applyFont="1" applyAlignment="1">
      <alignment wrapText="1"/>
    </xf>
    <xf numFmtId="0" fontId="3" fillId="0" borderId="0" xfId="0" applyFont="1" applyAlignment="1">
      <alignment horizontal="left"/>
    </xf>
    <xf numFmtId="0" fontId="20" fillId="0" borderId="0" xfId="0" applyFont="1"/>
    <xf numFmtId="0" fontId="3" fillId="0" borderId="0" xfId="0" applyFont="1" applyAlignment="1"/>
    <xf numFmtId="0" fontId="0" fillId="0" borderId="0" xfId="0" applyAlignment="1">
      <alignment horizontal="center"/>
    </xf>
    <xf numFmtId="0" fontId="0" fillId="0" borderId="0" xfId="0" applyAlignment="1">
      <alignment horizontal="left" indent="1"/>
    </xf>
    <xf numFmtId="9" fontId="0" fillId="0" borderId="0" xfId="0" applyNumberFormat="1" applyAlignment="1"/>
    <xf numFmtId="1" fontId="0" fillId="0" borderId="0" xfId="0" applyNumberFormat="1" applyAlignment="1"/>
    <xf numFmtId="165" fontId="0" fillId="0" borderId="0" xfId="0" applyNumberFormat="1" applyAlignment="1"/>
    <xf numFmtId="168" fontId="0" fillId="0" borderId="0" xfId="0" applyNumberFormat="1" applyAlignment="1"/>
    <xf numFmtId="166" fontId="0" fillId="0" borderId="0" xfId="0" applyNumberFormat="1" applyAlignment="1"/>
    <xf numFmtId="2" fontId="0" fillId="0" borderId="0" xfId="0" applyNumberFormat="1" applyAlignment="1"/>
    <xf numFmtId="0" fontId="0" fillId="0" borderId="0" xfId="0" applyFont="1" applyAlignment="1"/>
    <xf numFmtId="168" fontId="3" fillId="0" borderId="0" xfId="0" applyNumberFormat="1" applyFont="1"/>
    <xf numFmtId="2" fontId="3" fillId="0" borderId="0" xfId="0" applyNumberFormat="1" applyFont="1"/>
    <xf numFmtId="168" fontId="0" fillId="0" borderId="0" xfId="0" applyNumberFormat="1"/>
    <xf numFmtId="0" fontId="1" fillId="0" borderId="0" xfId="0" applyFont="1" applyAlignment="1">
      <alignment horizontal="left"/>
    </xf>
    <xf numFmtId="164" fontId="0" fillId="0" borderId="0" xfId="0" applyNumberFormat="1" applyAlignment="1">
      <alignment horizontal="right"/>
    </xf>
    <xf numFmtId="0" fontId="0" fillId="0" borderId="0" xfId="0" applyAlignment="1"/>
    <xf numFmtId="0" fontId="3" fillId="0" borderId="0" xfId="0" applyFont="1" applyAlignment="1"/>
    <xf numFmtId="3" fontId="0" fillId="0" borderId="0" xfId="0" applyNumberFormat="1" applyAlignment="1"/>
    <xf numFmtId="1" fontId="1" fillId="0" borderId="28" xfId="0" applyNumberFormat="1" applyFont="1" applyBorder="1" applyAlignment="1"/>
    <xf numFmtId="1" fontId="1" fillId="0" borderId="8" xfId="0" applyNumberFormat="1" applyFont="1" applyBorder="1" applyAlignment="1"/>
    <xf numFmtId="1" fontId="1" fillId="0" borderId="29" xfId="0" applyNumberFormat="1" applyFont="1" applyBorder="1" applyAlignment="1"/>
    <xf numFmtId="1" fontId="0" fillId="0" borderId="28" xfId="0" applyNumberFormat="1" applyBorder="1" applyAlignment="1"/>
    <xf numFmtId="1" fontId="0" fillId="0" borderId="8" xfId="0" applyNumberFormat="1" applyBorder="1" applyAlignment="1"/>
    <xf numFmtId="1" fontId="0" fillId="0" borderId="29" xfId="0" applyNumberFormat="1" applyBorder="1" applyAlignment="1"/>
    <xf numFmtId="3" fontId="1" fillId="0" borderId="8" xfId="0" applyNumberFormat="1" applyFont="1" applyBorder="1" applyAlignment="1"/>
    <xf numFmtId="3" fontId="0" fillId="0" borderId="8" xfId="0" applyNumberFormat="1" applyBorder="1" applyAlignment="1"/>
    <xf numFmtId="3" fontId="0" fillId="0" borderId="31" xfId="0" applyNumberFormat="1" applyBorder="1" applyAlignment="1"/>
    <xf numFmtId="164" fontId="0" fillId="0" borderId="8" xfId="0" applyNumberFormat="1" applyBorder="1" applyAlignment="1"/>
    <xf numFmtId="3" fontId="0" fillId="0" borderId="28" xfId="0" applyNumberFormat="1" applyBorder="1" applyAlignment="1"/>
    <xf numFmtId="3" fontId="0" fillId="0" borderId="29" xfId="0" applyNumberFormat="1" applyBorder="1" applyAlignment="1"/>
    <xf numFmtId="3" fontId="0" fillId="0" borderId="30" xfId="0" applyNumberFormat="1" applyBorder="1" applyAlignment="1"/>
    <xf numFmtId="3" fontId="0" fillId="0" borderId="32" xfId="0" applyNumberFormat="1" applyBorder="1" applyAlignment="1"/>
    <xf numFmtId="0" fontId="3" fillId="0" borderId="0" xfId="0" applyFont="1" applyAlignment="1">
      <alignment horizontal="left" indent="1"/>
    </xf>
    <xf numFmtId="0" fontId="24" fillId="3" borderId="38" xfId="2"/>
    <xf numFmtId="0" fontId="25" fillId="4" borderId="38" xfId="3"/>
    <xf numFmtId="10" fontId="24" fillId="3" borderId="38" xfId="2" applyNumberFormat="1"/>
    <xf numFmtId="0" fontId="3" fillId="0" borderId="0" xfId="0" applyFont="1" applyBorder="1"/>
    <xf numFmtId="0" fontId="3" fillId="0" borderId="15" xfId="0" applyFont="1" applyBorder="1" applyAlignment="1">
      <alignment horizontal="right"/>
    </xf>
    <xf numFmtId="0" fontId="3" fillId="0" borderId="0" xfId="0" applyFont="1" applyBorder="1" applyAlignment="1">
      <alignment horizontal="right"/>
    </xf>
    <xf numFmtId="0" fontId="8" fillId="0" borderId="0" xfId="0" applyFont="1"/>
    <xf numFmtId="165" fontId="2" fillId="0" borderId="0" xfId="0" applyNumberFormat="1" applyFont="1" applyAlignment="1">
      <alignment horizontal="right" textRotation="90"/>
    </xf>
    <xf numFmtId="0" fontId="3" fillId="0" borderId="0" xfId="0" applyNumberFormat="1" applyFont="1" applyBorder="1" applyAlignment="1">
      <alignment horizontal="right"/>
    </xf>
    <xf numFmtId="0" fontId="3" fillId="0" borderId="9" xfId="0" applyFont="1" applyBorder="1" applyAlignment="1">
      <alignment horizontal="left"/>
    </xf>
    <xf numFmtId="0" fontId="3" fillId="0" borderId="0" xfId="0" applyFont="1" applyBorder="1" applyAlignment="1">
      <alignment horizontal="left"/>
    </xf>
    <xf numFmtId="6" fontId="17" fillId="0" borderId="5" xfId="0" applyNumberFormat="1" applyFont="1" applyBorder="1" applyAlignment="1">
      <alignment horizontal="left"/>
    </xf>
    <xf numFmtId="0" fontId="5" fillId="0" borderId="0" xfId="0" applyFont="1" applyBorder="1" applyAlignment="1">
      <alignment horizontal="left"/>
    </xf>
    <xf numFmtId="164" fontId="3" fillId="0" borderId="0" xfId="0" applyNumberFormat="1" applyFont="1" applyBorder="1" applyAlignment="1">
      <alignment horizontal="left"/>
    </xf>
    <xf numFmtId="0" fontId="21" fillId="0" borderId="12" xfId="0" applyFont="1" applyBorder="1" applyAlignment="1">
      <alignment horizontal="center"/>
    </xf>
    <xf numFmtId="0" fontId="6" fillId="0" borderId="12" xfId="0" applyFont="1" applyBorder="1" applyAlignment="1">
      <alignment horizontal="center" wrapText="1"/>
    </xf>
    <xf numFmtId="166" fontId="0" fillId="0" borderId="0" xfId="0" applyNumberFormat="1" applyAlignment="1">
      <alignment horizontal="right"/>
    </xf>
    <xf numFmtId="1" fontId="25" fillId="4" borderId="38" xfId="3" applyNumberFormat="1" applyAlignment="1"/>
    <xf numFmtId="0" fontId="7" fillId="0" borderId="0" xfId="0" applyFont="1" applyAlignment="1">
      <alignment horizontal="right"/>
    </xf>
    <xf numFmtId="166" fontId="7" fillId="0" borderId="0" xfId="0" applyNumberFormat="1" applyFont="1" applyAlignment="1">
      <alignment horizontal="center"/>
    </xf>
    <xf numFmtId="1" fontId="7" fillId="0" borderId="0" xfId="0" applyNumberFormat="1" applyFont="1" applyAlignment="1">
      <alignment horizontal="right"/>
    </xf>
    <xf numFmtId="1" fontId="7" fillId="0" borderId="0" xfId="0" applyNumberFormat="1" applyFont="1" applyAlignment="1">
      <alignment horizontal="left"/>
    </xf>
    <xf numFmtId="165" fontId="3" fillId="0" borderId="0" xfId="0" applyNumberFormat="1" applyFont="1" applyAlignment="1">
      <alignment horizontal="center" textRotation="180"/>
    </xf>
    <xf numFmtId="165" fontId="0" fillId="0" borderId="0" xfId="0" applyNumberFormat="1" applyAlignment="1">
      <alignment horizontal="center"/>
    </xf>
    <xf numFmtId="0" fontId="1" fillId="0" borderId="0" xfId="0" applyFont="1" applyAlignment="1">
      <alignment horizontal="left" indent="2"/>
    </xf>
    <xf numFmtId="164" fontId="3" fillId="0" borderId="0" xfId="0" applyNumberFormat="1" applyFont="1" applyAlignment="1">
      <alignment horizontal="left"/>
    </xf>
    <xf numFmtId="0" fontId="8" fillId="0" borderId="0" xfId="0" applyFont="1" applyAlignment="1">
      <alignment horizontal="left" indent="2"/>
    </xf>
    <xf numFmtId="165" fontId="0" fillId="0" borderId="0" xfId="0" applyNumberFormat="1" applyAlignment="1">
      <alignment horizontal="right"/>
    </xf>
    <xf numFmtId="165" fontId="0" fillId="0" borderId="0" xfId="0" applyNumberFormat="1" applyFill="1" applyAlignment="1">
      <alignment horizontal="right"/>
    </xf>
    <xf numFmtId="0" fontId="0" fillId="0" borderId="0" xfId="0" applyFill="1" applyAlignment="1">
      <alignment horizontal="right"/>
    </xf>
    <xf numFmtId="165" fontId="2" fillId="0" borderId="0" xfId="0" applyNumberFormat="1" applyFont="1" applyFill="1" applyAlignment="1">
      <alignment horizontal="right" textRotation="90"/>
    </xf>
    <xf numFmtId="0" fontId="2" fillId="0" borderId="0" xfId="0" applyFont="1" applyAlignment="1">
      <alignment horizontal="right" textRotation="90" wrapText="1"/>
    </xf>
    <xf numFmtId="0" fontId="2" fillId="0" borderId="0" xfId="0" applyFont="1" applyFill="1" applyAlignment="1">
      <alignment horizontal="right" textRotation="90"/>
    </xf>
    <xf numFmtId="165" fontId="0" fillId="0" borderId="0" xfId="0" applyNumberFormat="1" applyBorder="1" applyAlignment="1">
      <alignment horizontal="right"/>
    </xf>
    <xf numFmtId="164" fontId="0" fillId="0" borderId="0" xfId="0" applyNumberFormat="1" applyBorder="1" applyAlignment="1">
      <alignment horizontal="right"/>
    </xf>
    <xf numFmtId="164" fontId="0" fillId="0" borderId="11" xfId="0" applyNumberFormat="1" applyBorder="1" applyAlignment="1">
      <alignment horizontal="right"/>
    </xf>
    <xf numFmtId="165" fontId="0" fillId="0" borderId="9" xfId="0" applyNumberFormat="1" applyBorder="1" applyAlignment="1">
      <alignment horizontal="right"/>
    </xf>
    <xf numFmtId="165" fontId="0" fillId="0" borderId="9" xfId="0" applyNumberFormat="1" applyFill="1" applyBorder="1" applyAlignment="1">
      <alignment horizontal="right"/>
    </xf>
    <xf numFmtId="165" fontId="0" fillId="0" borderId="10" xfId="0" applyNumberFormat="1" applyFill="1" applyBorder="1" applyAlignment="1">
      <alignment horizontal="right"/>
    </xf>
    <xf numFmtId="0" fontId="0" fillId="0" borderId="0" xfId="0" applyFill="1" applyBorder="1" applyAlignment="1">
      <alignment horizontal="right"/>
    </xf>
    <xf numFmtId="165" fontId="3" fillId="0" borderId="0" xfId="0" applyNumberFormat="1" applyFont="1" applyAlignment="1">
      <alignment horizontal="right"/>
    </xf>
    <xf numFmtId="164" fontId="3" fillId="0" borderId="0" xfId="0" applyNumberFormat="1" applyFont="1" applyAlignment="1">
      <alignment horizontal="right"/>
    </xf>
    <xf numFmtId="164" fontId="3" fillId="0" borderId="11" xfId="0" applyNumberFormat="1" applyFont="1" applyBorder="1" applyAlignment="1">
      <alignment horizontal="right"/>
    </xf>
    <xf numFmtId="165" fontId="3" fillId="0" borderId="0" xfId="0" applyNumberFormat="1" applyFont="1" applyBorder="1" applyAlignment="1">
      <alignment horizontal="right"/>
    </xf>
    <xf numFmtId="165" fontId="3" fillId="0" borderId="11" xfId="0" applyNumberFormat="1" applyFont="1" applyBorder="1" applyAlignment="1">
      <alignment horizontal="right"/>
    </xf>
    <xf numFmtId="3" fontId="3" fillId="0" borderId="0" xfId="0" applyNumberFormat="1" applyFont="1" applyAlignment="1">
      <alignment horizontal="right"/>
    </xf>
    <xf numFmtId="165" fontId="0" fillId="0" borderId="5"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5" fontId="0" fillId="0" borderId="6" xfId="0" applyNumberFormat="1" applyBorder="1" applyAlignment="1">
      <alignment horizontal="right"/>
    </xf>
    <xf numFmtId="165" fontId="0" fillId="0" borderId="11" xfId="0" applyNumberFormat="1" applyBorder="1" applyAlignment="1">
      <alignment horizontal="right"/>
    </xf>
    <xf numFmtId="3" fontId="0" fillId="0" borderId="0" xfId="0" applyNumberFormat="1" applyAlignment="1">
      <alignment horizontal="right"/>
    </xf>
    <xf numFmtId="0" fontId="13" fillId="0" borderId="0" xfId="0" applyFont="1" applyAlignment="1">
      <alignment horizontal="right"/>
    </xf>
    <xf numFmtId="164" fontId="15" fillId="0" borderId="0" xfId="0" applyNumberFormat="1" applyFont="1" applyAlignment="1">
      <alignment horizontal="right"/>
    </xf>
    <xf numFmtId="165" fontId="0" fillId="0" borderId="0" xfId="0" applyNumberFormat="1" applyAlignment="1">
      <alignment horizontal="right" indent="2"/>
    </xf>
    <xf numFmtId="0" fontId="0" fillId="0" borderId="0" xfId="0" applyAlignment="1">
      <alignment horizontal="right" indent="2"/>
    </xf>
    <xf numFmtId="164" fontId="0" fillId="0" borderId="0" xfId="0" applyNumberFormat="1" applyAlignment="1">
      <alignment horizontal="right" indent="2"/>
    </xf>
    <xf numFmtId="164" fontId="0" fillId="0" borderId="11" xfId="0" applyNumberFormat="1" applyBorder="1" applyAlignment="1">
      <alignment horizontal="right" indent="2"/>
    </xf>
    <xf numFmtId="165" fontId="0" fillId="0" borderId="0" xfId="0" applyNumberFormat="1" applyBorder="1" applyAlignment="1">
      <alignment horizontal="right" indent="2"/>
    </xf>
    <xf numFmtId="165" fontId="0" fillId="0" borderId="11" xfId="0" applyNumberFormat="1" applyBorder="1" applyAlignment="1">
      <alignment horizontal="right" indent="2"/>
    </xf>
    <xf numFmtId="3" fontId="0" fillId="0" borderId="0" xfId="0" applyNumberFormat="1" applyAlignment="1">
      <alignment horizontal="right" indent="2"/>
    </xf>
    <xf numFmtId="165" fontId="3" fillId="0" borderId="0" xfId="0" applyNumberFormat="1" applyFont="1" applyAlignment="1">
      <alignment horizontal="right" indent="2"/>
    </xf>
    <xf numFmtId="164" fontId="3" fillId="0" borderId="0" xfId="0" applyNumberFormat="1" applyFont="1" applyAlignment="1">
      <alignment horizontal="right" indent="2"/>
    </xf>
    <xf numFmtId="164" fontId="3" fillId="0" borderId="11" xfId="0" applyNumberFormat="1" applyFont="1" applyBorder="1" applyAlignment="1">
      <alignment horizontal="right" indent="2"/>
    </xf>
    <xf numFmtId="165" fontId="3" fillId="0" borderId="0" xfId="0" applyNumberFormat="1" applyFont="1" applyBorder="1" applyAlignment="1">
      <alignment horizontal="right" indent="2"/>
    </xf>
    <xf numFmtId="165" fontId="3" fillId="0" borderId="11" xfId="0" applyNumberFormat="1" applyFont="1" applyBorder="1" applyAlignment="1">
      <alignment horizontal="right" indent="2"/>
    </xf>
    <xf numFmtId="3" fontId="3" fillId="0" borderId="0" xfId="0" applyNumberFormat="1" applyFont="1" applyAlignment="1">
      <alignment horizontal="right" indent="2"/>
    </xf>
    <xf numFmtId="165" fontId="1" fillId="0" borderId="0" xfId="0" applyNumberFormat="1" applyFont="1" applyAlignment="1">
      <alignment horizontal="right"/>
    </xf>
    <xf numFmtId="3" fontId="1" fillId="0" borderId="0" xfId="0" applyNumberFormat="1" applyFont="1" applyAlignment="1">
      <alignment horizontal="right"/>
    </xf>
    <xf numFmtId="165" fontId="2"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165" fontId="2" fillId="0" borderId="0" xfId="0" applyNumberFormat="1" applyFont="1" applyAlignment="1">
      <alignment horizontal="right"/>
    </xf>
    <xf numFmtId="165" fontId="2" fillId="0" borderId="0" xfId="0" applyNumberFormat="1" applyFont="1" applyFill="1" applyAlignment="1">
      <alignment horizontal="right"/>
    </xf>
    <xf numFmtId="0" fontId="2" fillId="0" borderId="0" xfId="0" applyFont="1" applyFill="1" applyAlignment="1">
      <alignment horizontal="right"/>
    </xf>
    <xf numFmtId="165" fontId="7" fillId="0" borderId="0" xfId="0" applyNumberFormat="1" applyFont="1" applyFill="1" applyBorder="1" applyAlignment="1">
      <alignment horizontal="right"/>
    </xf>
    <xf numFmtId="164" fontId="7" fillId="0" borderId="0" xfId="0" applyNumberFormat="1" applyFont="1" applyFill="1" applyBorder="1" applyAlignment="1">
      <alignment horizontal="right"/>
    </xf>
    <xf numFmtId="165" fontId="7" fillId="0" borderId="0" xfId="0" applyNumberFormat="1" applyFont="1" applyAlignment="1">
      <alignment horizontal="right"/>
    </xf>
    <xf numFmtId="165" fontId="7" fillId="0" borderId="0" xfId="0" applyNumberFormat="1" applyFont="1" applyFill="1" applyAlignment="1">
      <alignment horizontal="right"/>
    </xf>
    <xf numFmtId="0" fontId="7" fillId="0" borderId="0" xfId="0" applyFont="1" applyFill="1" applyAlignment="1">
      <alignment horizontal="right"/>
    </xf>
    <xf numFmtId="5" fontId="2" fillId="0" borderId="0" xfId="0" applyNumberFormat="1" applyFont="1" applyAlignment="1">
      <alignment horizontal="right"/>
    </xf>
    <xf numFmtId="6" fontId="2" fillId="0" borderId="0" xfId="0" applyNumberFormat="1" applyFont="1" applyAlignment="1">
      <alignment horizontal="right"/>
    </xf>
    <xf numFmtId="165" fontId="0" fillId="0" borderId="0" xfId="0" applyNumberFormat="1" applyFill="1" applyBorder="1" applyAlignment="1">
      <alignment horizontal="right"/>
    </xf>
    <xf numFmtId="164" fontId="0" fillId="0" borderId="0" xfId="0" applyNumberFormat="1" applyFill="1" applyBorder="1" applyAlignment="1">
      <alignment horizontal="right"/>
    </xf>
    <xf numFmtId="165" fontId="0" fillId="5" borderId="39" xfId="4" applyNumberFormat="1" applyFont="1" applyAlignment="1">
      <alignment horizontal="right"/>
    </xf>
    <xf numFmtId="165" fontId="1" fillId="5" borderId="39" xfId="4" applyNumberFormat="1" applyFont="1" applyAlignment="1">
      <alignment horizontal="right"/>
    </xf>
    <xf numFmtId="164" fontId="1" fillId="0" borderId="0" xfId="0" applyNumberFormat="1" applyFont="1" applyFill="1" applyBorder="1" applyAlignment="1">
      <alignment horizontal="right"/>
    </xf>
    <xf numFmtId="165" fontId="7" fillId="5" borderId="39" xfId="4" applyNumberFormat="1" applyFont="1" applyAlignment="1">
      <alignment horizontal="right"/>
    </xf>
    <xf numFmtId="165" fontId="3" fillId="5" borderId="39" xfId="4" applyNumberFormat="1" applyFont="1" applyAlignment="1">
      <alignment horizontal="right"/>
    </xf>
    <xf numFmtId="164" fontId="8"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164" fontId="3" fillId="0" borderId="0" xfId="0" applyNumberFormat="1" applyFont="1" applyAlignment="1"/>
    <xf numFmtId="3" fontId="3" fillId="0" borderId="0" xfId="0" applyNumberFormat="1" applyFont="1" applyAlignment="1"/>
    <xf numFmtId="165" fontId="3" fillId="0" borderId="0" xfId="0" applyNumberFormat="1" applyFont="1" applyAlignment="1"/>
    <xf numFmtId="164" fontId="3" fillId="0" borderId="11" xfId="0" applyNumberFormat="1" applyFont="1" applyBorder="1" applyAlignment="1"/>
    <xf numFmtId="165" fontId="3" fillId="0" borderId="0" xfId="0" applyNumberFormat="1" applyFont="1" applyBorder="1" applyAlignment="1"/>
    <xf numFmtId="165" fontId="3" fillId="0" borderId="11" xfId="0" applyNumberFormat="1" applyFont="1" applyBorder="1" applyAlignment="1"/>
    <xf numFmtId="0" fontId="2" fillId="0" borderId="0" xfId="0" applyFont="1" applyAlignment="1">
      <alignment horizontal="left"/>
    </xf>
    <xf numFmtId="0" fontId="0" fillId="0" borderId="0" xfId="0" applyBorder="1" applyAlignment="1">
      <alignment horizontal="left"/>
    </xf>
    <xf numFmtId="0" fontId="15" fillId="0" borderId="0" xfId="0" applyFont="1" applyAlignment="1">
      <alignment horizontal="left"/>
    </xf>
    <xf numFmtId="0" fontId="7" fillId="0" borderId="0" xfId="0" applyFont="1" applyAlignment="1">
      <alignment horizontal="left"/>
    </xf>
    <xf numFmtId="0" fontId="0" fillId="5" borderId="39" xfId="4" applyFont="1" applyAlignment="1">
      <alignment horizontal="left"/>
    </xf>
    <xf numFmtId="0" fontId="2" fillId="0" borderId="0" xfId="0" applyFont="1" applyAlignment="1">
      <alignment horizontal="center"/>
    </xf>
    <xf numFmtId="0" fontId="2" fillId="0" borderId="0" xfId="0" applyFont="1" applyFill="1" applyBorder="1" applyAlignment="1">
      <alignment horizontal="left"/>
    </xf>
    <xf numFmtId="0" fontId="7" fillId="0" borderId="0" xfId="0" applyFont="1" applyFill="1" applyBorder="1" applyAlignment="1">
      <alignment horizontal="left"/>
    </xf>
    <xf numFmtId="0" fontId="0" fillId="0" borderId="0" xfId="0" applyFill="1" applyBorder="1" applyAlignment="1">
      <alignment horizontal="left"/>
    </xf>
    <xf numFmtId="0" fontId="1" fillId="0" borderId="0" xfId="0" applyFont="1" applyFill="1" applyBorder="1" applyAlignment="1">
      <alignment horizontal="left"/>
    </xf>
    <xf numFmtId="0" fontId="8" fillId="0" borderId="0" xfId="0" applyFont="1" applyFill="1" applyBorder="1" applyAlignment="1">
      <alignment horizontal="left"/>
    </xf>
    <xf numFmtId="0" fontId="5" fillId="0" borderId="0" xfId="0" applyFont="1" applyFill="1" applyBorder="1" applyAlignment="1">
      <alignment horizontal="left"/>
    </xf>
    <xf numFmtId="0" fontId="10" fillId="0" borderId="0" xfId="0" applyFont="1" applyAlignment="1">
      <alignment horizontal="right" vertical="center"/>
    </xf>
    <xf numFmtId="0" fontId="2" fillId="0" borderId="16" xfId="0" applyFont="1" applyBorder="1" applyAlignment="1">
      <alignment horizontal="right" textRotation="90"/>
    </xf>
    <xf numFmtId="0" fontId="2" fillId="0" borderId="12" xfId="0" applyFont="1" applyBorder="1" applyAlignment="1">
      <alignment horizontal="right" textRotation="90"/>
    </xf>
    <xf numFmtId="0" fontId="2" fillId="0" borderId="13" xfId="0" applyFont="1" applyBorder="1" applyAlignment="1">
      <alignment horizontal="right" textRotation="90"/>
    </xf>
    <xf numFmtId="0" fontId="0" fillId="0" borderId="9" xfId="0" applyBorder="1" applyAlignment="1">
      <alignment horizontal="right"/>
    </xf>
    <xf numFmtId="0" fontId="0" fillId="0" borderId="10" xfId="0" applyBorder="1" applyAlignment="1">
      <alignment horizontal="right"/>
    </xf>
    <xf numFmtId="0" fontId="0" fillId="0" borderId="14" xfId="0" applyBorder="1" applyAlignment="1">
      <alignment horizontal="right"/>
    </xf>
    <xf numFmtId="164" fontId="3" fillId="0" borderId="0" xfId="0" applyNumberFormat="1" applyFont="1" applyBorder="1" applyAlignment="1">
      <alignment horizontal="right"/>
    </xf>
    <xf numFmtId="0" fontId="3" fillId="0" borderId="11" xfId="0" applyFont="1" applyBorder="1" applyAlignment="1">
      <alignment horizontal="right"/>
    </xf>
    <xf numFmtId="0" fontId="8" fillId="0" borderId="11" xfId="0" applyFont="1" applyBorder="1" applyAlignment="1">
      <alignment horizontal="right"/>
    </xf>
    <xf numFmtId="164" fontId="2" fillId="0" borderId="0" xfId="0" applyNumberFormat="1" applyFont="1" applyBorder="1" applyAlignment="1">
      <alignment horizontal="right"/>
    </xf>
    <xf numFmtId="0" fontId="2" fillId="0" borderId="11" xfId="0" applyFont="1" applyBorder="1" applyAlignment="1">
      <alignment horizontal="right"/>
    </xf>
    <xf numFmtId="0" fontId="0" fillId="0" borderId="11" xfId="0" applyBorder="1" applyAlignment="1">
      <alignment horizontal="right"/>
    </xf>
    <xf numFmtId="0" fontId="9" fillId="0" borderId="11" xfId="0" applyFont="1" applyBorder="1" applyAlignment="1">
      <alignment horizontal="right"/>
    </xf>
    <xf numFmtId="0" fontId="9" fillId="0" borderId="0" xfId="0" applyFont="1" applyBorder="1" applyAlignment="1">
      <alignment horizontal="right"/>
    </xf>
    <xf numFmtId="0" fontId="8" fillId="0" borderId="0" xfId="0" applyFont="1" applyBorder="1" applyAlignment="1">
      <alignment horizontal="right"/>
    </xf>
    <xf numFmtId="0" fontId="1" fillId="0" borderId="11" xfId="0" applyFont="1" applyBorder="1" applyAlignment="1">
      <alignment horizontal="right"/>
    </xf>
    <xf numFmtId="164" fontId="0" fillId="0" borderId="4" xfId="0" applyNumberFormat="1" applyBorder="1" applyAlignment="1">
      <alignment horizontal="right"/>
    </xf>
    <xf numFmtId="3" fontId="1" fillId="0" borderId="2" xfId="0" applyNumberFormat="1" applyFont="1" applyBorder="1" applyAlignment="1">
      <alignment horizontal="right"/>
    </xf>
    <xf numFmtId="164" fontId="1" fillId="0" borderId="2" xfId="0" applyNumberFormat="1" applyFont="1" applyBorder="1" applyAlignment="1">
      <alignment horizontal="right"/>
    </xf>
    <xf numFmtId="164" fontId="1" fillId="0" borderId="3" xfId="0" applyNumberFormat="1" applyFont="1" applyBorder="1" applyAlignment="1">
      <alignment horizontal="right"/>
    </xf>
    <xf numFmtId="3" fontId="1" fillId="0" borderId="1" xfId="0" applyNumberFormat="1" applyFont="1" applyBorder="1" applyAlignment="1">
      <alignment horizontal="right"/>
    </xf>
    <xf numFmtId="164" fontId="6" fillId="0" borderId="7" xfId="0" applyNumberFormat="1" applyFont="1" applyBorder="1" applyAlignment="1">
      <alignment horizontal="right"/>
    </xf>
    <xf numFmtId="164" fontId="6" fillId="0" borderId="0" xfId="0" applyNumberFormat="1" applyFont="1" applyBorder="1" applyAlignment="1">
      <alignment horizontal="right"/>
    </xf>
    <xf numFmtId="0" fontId="0" fillId="0" borderId="21" xfId="0" applyBorder="1" applyAlignment="1">
      <alignment horizontal="right"/>
    </xf>
    <xf numFmtId="0" fontId="0" fillId="0" borderId="29" xfId="0" applyBorder="1" applyAlignment="1">
      <alignment horizontal="right"/>
    </xf>
    <xf numFmtId="0" fontId="0" fillId="0" borderId="20" xfId="0" applyBorder="1" applyAlignment="1">
      <alignment horizontal="right"/>
    </xf>
    <xf numFmtId="0" fontId="0" fillId="0" borderId="8" xfId="0" applyBorder="1" applyAlignment="1">
      <alignment horizontal="right"/>
    </xf>
    <xf numFmtId="164" fontId="0" fillId="0" borderId="8" xfId="0" applyNumberFormat="1" applyBorder="1" applyAlignment="1">
      <alignment horizontal="right"/>
    </xf>
    <xf numFmtId="0" fontId="0" fillId="0" borderId="28" xfId="0" applyBorder="1" applyAlignment="1">
      <alignment horizontal="right"/>
    </xf>
    <xf numFmtId="164" fontId="0" fillId="0" borderId="20" xfId="0" applyNumberFormat="1" applyBorder="1" applyAlignment="1">
      <alignment horizontal="right"/>
    </xf>
    <xf numFmtId="164" fontId="0" fillId="0" borderId="21" xfId="0" applyNumberFormat="1" applyBorder="1" applyAlignment="1">
      <alignment horizontal="right"/>
    </xf>
    <xf numFmtId="164" fontId="0" fillId="0" borderId="28" xfId="0" applyNumberFormat="1" applyBorder="1" applyAlignment="1">
      <alignment horizontal="right"/>
    </xf>
    <xf numFmtId="164" fontId="0" fillId="0" borderId="29" xfId="0" applyNumberFormat="1" applyBorder="1" applyAlignment="1">
      <alignment horizontal="right"/>
    </xf>
    <xf numFmtId="164" fontId="0" fillId="0" borderId="22" xfId="0" applyNumberFormat="1" applyBorder="1" applyAlignment="1">
      <alignment horizontal="right"/>
    </xf>
    <xf numFmtId="164" fontId="0" fillId="0" borderId="23" xfId="0" applyNumberFormat="1" applyBorder="1" applyAlignment="1">
      <alignment horizontal="right"/>
    </xf>
    <xf numFmtId="164" fontId="0" fillId="0" borderId="24" xfId="0" applyNumberFormat="1" applyBorder="1" applyAlignment="1">
      <alignment horizontal="right"/>
    </xf>
    <xf numFmtId="164" fontId="0" fillId="0" borderId="30" xfId="0" applyNumberFormat="1" applyBorder="1" applyAlignment="1">
      <alignment horizontal="right"/>
    </xf>
    <xf numFmtId="164" fontId="0" fillId="0" borderId="31" xfId="0" applyNumberFormat="1" applyBorder="1" applyAlignment="1">
      <alignment horizontal="right"/>
    </xf>
    <xf numFmtId="164" fontId="0" fillId="0" borderId="32" xfId="0" applyNumberFormat="1" applyBorder="1" applyAlignment="1">
      <alignment horizontal="right"/>
    </xf>
    <xf numFmtId="167" fontId="18" fillId="0" borderId="0" xfId="0" applyNumberFormat="1" applyFont="1" applyAlignment="1">
      <alignment horizontal="right"/>
    </xf>
    <xf numFmtId="3" fontId="3" fillId="0" borderId="0" xfId="0" applyNumberFormat="1" applyFont="1" applyBorder="1" applyAlignment="1">
      <alignment horizontal="right"/>
    </xf>
    <xf numFmtId="164" fontId="3" fillId="0" borderId="13" xfId="0" applyNumberFormat="1" applyFont="1" applyBorder="1" applyAlignment="1">
      <alignment horizontal="right"/>
    </xf>
    <xf numFmtId="165" fontId="3" fillId="0" borderId="12" xfId="0" applyNumberFormat="1" applyFont="1" applyBorder="1" applyAlignment="1">
      <alignment horizontal="right"/>
    </xf>
    <xf numFmtId="165" fontId="3" fillId="0" borderId="13" xfId="0" applyNumberFormat="1" applyFont="1" applyBorder="1" applyAlignment="1">
      <alignment horizontal="right"/>
    </xf>
    <xf numFmtId="0" fontId="3" fillId="0" borderId="13" xfId="0" applyFont="1" applyBorder="1" applyAlignment="1">
      <alignment horizontal="right"/>
    </xf>
    <xf numFmtId="0" fontId="3" fillId="0" borderId="16" xfId="0" applyFont="1" applyBorder="1" applyAlignment="1">
      <alignment horizontal="right"/>
    </xf>
    <xf numFmtId="0" fontId="3" fillId="0" borderId="12" xfId="0" applyFont="1" applyBorder="1" applyAlignment="1">
      <alignment horizontal="right"/>
    </xf>
    <xf numFmtId="164" fontId="0" fillId="0" borderId="10" xfId="0" applyNumberFormat="1" applyBorder="1" applyAlignment="1">
      <alignment horizontal="right"/>
    </xf>
    <xf numFmtId="0" fontId="1" fillId="0" borderId="2" xfId="0" applyFont="1" applyBorder="1" applyAlignment="1">
      <alignment horizontal="right"/>
    </xf>
    <xf numFmtId="0" fontId="0" fillId="0" borderId="17" xfId="0" applyBorder="1"/>
    <xf numFmtId="0" fontId="0" fillId="0" borderId="19" xfId="0" applyBorder="1"/>
    <xf numFmtId="0" fontId="0" fillId="0" borderId="21" xfId="0" applyBorder="1"/>
    <xf numFmtId="0" fontId="0" fillId="0" borderId="22" xfId="0" applyBorder="1"/>
    <xf numFmtId="0" fontId="0" fillId="0" borderId="24" xfId="0" applyBorder="1"/>
    <xf numFmtId="0" fontId="3" fillId="0" borderId="22" xfId="0" applyFont="1" applyBorder="1" applyAlignment="1">
      <alignment horizontal="center"/>
    </xf>
    <xf numFmtId="0" fontId="3" fillId="0" borderId="24" xfId="0" applyFont="1" applyBorder="1" applyAlignment="1">
      <alignment horizontal="center"/>
    </xf>
    <xf numFmtId="0" fontId="3" fillId="0" borderId="41" xfId="0" applyFont="1" applyBorder="1" applyAlignment="1">
      <alignment horizontal="center"/>
    </xf>
    <xf numFmtId="0" fontId="0" fillId="0" borderId="40" xfId="0" applyBorder="1"/>
    <xf numFmtId="0" fontId="0" fillId="0" borderId="4" xfId="0" applyBorder="1"/>
    <xf numFmtId="0" fontId="0" fillId="0" borderId="41" xfId="0" applyBorder="1"/>
    <xf numFmtId="0" fontId="3" fillId="0" borderId="43" xfId="0" applyFont="1" applyBorder="1" applyAlignment="1">
      <alignment horizontal="center"/>
    </xf>
    <xf numFmtId="0" fontId="0" fillId="0" borderId="42" xfId="0" applyBorder="1"/>
    <xf numFmtId="0" fontId="0" fillId="0" borderId="6" xfId="0" applyBorder="1"/>
    <xf numFmtId="0" fontId="0" fillId="0" borderId="43" xfId="0" applyBorder="1"/>
    <xf numFmtId="0" fontId="19" fillId="0" borderId="0" xfId="0" applyFont="1"/>
    <xf numFmtId="42" fontId="0" fillId="0" borderId="0" xfId="5" applyFont="1"/>
    <xf numFmtId="42" fontId="3" fillId="0" borderId="22" xfId="5" applyFont="1" applyBorder="1" applyAlignment="1">
      <alignment horizontal="center"/>
    </xf>
    <xf numFmtId="42" fontId="3" fillId="0" borderId="24" xfId="5" applyFont="1" applyBorder="1" applyAlignment="1">
      <alignment horizontal="center"/>
    </xf>
    <xf numFmtId="42" fontId="0" fillId="0" borderId="17" xfId="5" applyFont="1" applyBorder="1"/>
    <xf numFmtId="42" fontId="0" fillId="0" borderId="19" xfId="5" applyFont="1" applyBorder="1"/>
    <xf numFmtId="42" fontId="0" fillId="0" borderId="20" xfId="5" applyFont="1" applyBorder="1"/>
    <xf numFmtId="42" fontId="0" fillId="0" borderId="21" xfId="5" applyFont="1" applyBorder="1"/>
    <xf numFmtId="42" fontId="0" fillId="0" borderId="22" xfId="5" applyFont="1" applyBorder="1"/>
    <xf numFmtId="42" fontId="0" fillId="0" borderId="24" xfId="5" applyFont="1" applyBorder="1"/>
    <xf numFmtId="164" fontId="0" fillId="0" borderId="42" xfId="0" applyNumberFormat="1" applyBorder="1"/>
    <xf numFmtId="164" fontId="0" fillId="0" borderId="19" xfId="0" applyNumberFormat="1" applyBorder="1"/>
    <xf numFmtId="164" fontId="0" fillId="0" borderId="6" xfId="0" applyNumberFormat="1" applyBorder="1"/>
    <xf numFmtId="164" fontId="0" fillId="0" borderId="21" xfId="0" applyNumberFormat="1" applyBorder="1"/>
    <xf numFmtId="164" fontId="0" fillId="0" borderId="43" xfId="0" applyNumberFormat="1" applyBorder="1"/>
    <xf numFmtId="164" fontId="0" fillId="0" borderId="24" xfId="0" applyNumberFormat="1" applyBorder="1"/>
    <xf numFmtId="1" fontId="0" fillId="0" borderId="17" xfId="0" applyNumberFormat="1" applyBorder="1"/>
    <xf numFmtId="1" fontId="0" fillId="0" borderId="19" xfId="0" applyNumberFormat="1" applyBorder="1"/>
    <xf numFmtId="1" fontId="0" fillId="0" borderId="42" xfId="0" applyNumberFormat="1" applyBorder="1"/>
    <xf numFmtId="1" fontId="0" fillId="0" borderId="40" xfId="0" applyNumberFormat="1" applyBorder="1"/>
    <xf numFmtId="1" fontId="0" fillId="0" borderId="20" xfId="0" applyNumberFormat="1" applyBorder="1"/>
    <xf numFmtId="1" fontId="0" fillId="0" borderId="21" xfId="0" applyNumberFormat="1" applyBorder="1"/>
    <xf numFmtId="1" fontId="0" fillId="0" borderId="6" xfId="0" applyNumberFormat="1" applyBorder="1"/>
    <xf numFmtId="1" fontId="0" fillId="0" borderId="4" xfId="0" applyNumberFormat="1" applyBorder="1"/>
    <xf numFmtId="1" fontId="0" fillId="0" borderId="22" xfId="0" applyNumberFormat="1" applyBorder="1"/>
    <xf numFmtId="1" fontId="0" fillId="0" borderId="24" xfId="0" applyNumberFormat="1" applyBorder="1"/>
    <xf numFmtId="1" fontId="0" fillId="0" borderId="43" xfId="0" applyNumberFormat="1" applyBorder="1"/>
    <xf numFmtId="1" fontId="0" fillId="0" borderId="41" xfId="0" applyNumberFormat="1" applyBorder="1"/>
    <xf numFmtId="0" fontId="1" fillId="0" borderId="22" xfId="0" applyFont="1" applyBorder="1" applyAlignment="1">
      <alignment horizontal="center"/>
    </xf>
    <xf numFmtId="0" fontId="1" fillId="0" borderId="24" xfId="0" applyFont="1" applyBorder="1" applyAlignment="1">
      <alignment horizontal="center"/>
    </xf>
    <xf numFmtId="0" fontId="1" fillId="0" borderId="43" xfId="0" applyFont="1" applyBorder="1" applyAlignment="1">
      <alignment horizontal="center"/>
    </xf>
    <xf numFmtId="0" fontId="1" fillId="0" borderId="41" xfId="0" applyFont="1" applyBorder="1" applyAlignment="1">
      <alignment horizontal="center"/>
    </xf>
    <xf numFmtId="42" fontId="1" fillId="0" borderId="43" xfId="5" applyFont="1" applyBorder="1" applyAlignment="1">
      <alignment horizontal="center"/>
    </xf>
    <xf numFmtId="42" fontId="1" fillId="0" borderId="24" xfId="5" applyFont="1" applyBorder="1" applyAlignment="1">
      <alignment horizontal="center"/>
    </xf>
    <xf numFmtId="0" fontId="0" fillId="0" borderId="0" xfId="0"/>
    <xf numFmtId="1" fontId="3" fillId="0" borderId="0" xfId="0" applyNumberFormat="1" applyFont="1"/>
    <xf numFmtId="164" fontId="3" fillId="0" borderId="0" xfId="0" applyNumberFormat="1" applyFont="1"/>
    <xf numFmtId="2" fontId="0" fillId="0" borderId="0" xfId="0" applyNumberFormat="1"/>
    <xf numFmtId="0" fontId="3" fillId="0" borderId="0" xfId="0" applyFont="1" applyFill="1" applyBorder="1" applyAlignment="1">
      <alignment horizontal="right"/>
    </xf>
    <xf numFmtId="164" fontId="0" fillId="0" borderId="0" xfId="0" applyNumberFormat="1"/>
    <xf numFmtId="6" fontId="14" fillId="0" borderId="15" xfId="0" applyNumberFormat="1" applyFont="1" applyBorder="1" applyAlignment="1">
      <alignment horizontal="center"/>
    </xf>
    <xf numFmtId="6" fontId="14" fillId="0" borderId="0" xfId="0" applyNumberFormat="1" applyFont="1" applyBorder="1" applyAlignment="1">
      <alignment horizontal="center"/>
    </xf>
    <xf numFmtId="6" fontId="17" fillId="0" borderId="0" xfId="0" applyNumberFormat="1" applyFont="1" applyBorder="1" applyAlignment="1">
      <alignment horizontal="left"/>
    </xf>
    <xf numFmtId="0" fontId="0" fillId="0" borderId="0" xfId="0"/>
    <xf numFmtId="1" fontId="0" fillId="0" borderId="0" xfId="0" applyNumberFormat="1"/>
    <xf numFmtId="1" fontId="1" fillId="0" borderId="0" xfId="0" applyNumberFormat="1" applyFont="1"/>
    <xf numFmtId="1" fontId="7" fillId="0" borderId="0" xfId="0" applyNumberFormat="1" applyFont="1"/>
    <xf numFmtId="0" fontId="7" fillId="0" borderId="0" xfId="0" applyFont="1" applyAlignment="1">
      <alignment horizontal="left" indent="1"/>
    </xf>
    <xf numFmtId="3" fontId="2" fillId="0" borderId="0" xfId="0" applyNumberFormat="1" applyFont="1" applyAlignment="1">
      <alignment horizontal="right" wrapText="1"/>
    </xf>
    <xf numFmtId="3" fontId="0" fillId="0" borderId="0" xfId="0" applyNumberFormat="1" applyBorder="1" applyAlignment="1">
      <alignment horizontal="right"/>
    </xf>
    <xf numFmtId="3" fontId="3" fillId="0" borderId="0" xfId="0" applyNumberFormat="1" applyFont="1" applyBorder="1" applyAlignment="1">
      <alignment horizontal="left"/>
    </xf>
    <xf numFmtId="3" fontId="15" fillId="0" borderId="0" xfId="0" applyNumberFormat="1" applyFont="1" applyAlignment="1">
      <alignment horizontal="right"/>
    </xf>
    <xf numFmtId="3" fontId="1" fillId="0" borderId="9" xfId="0" applyNumberFormat="1" applyFont="1" applyBorder="1" applyAlignment="1">
      <alignment horizontal="right"/>
    </xf>
    <xf numFmtId="3" fontId="2" fillId="0" borderId="0" xfId="0" applyNumberFormat="1" applyFont="1" applyAlignment="1">
      <alignment horizontal="right"/>
    </xf>
    <xf numFmtId="3" fontId="7" fillId="0" borderId="0" xfId="0" applyNumberFormat="1" applyFont="1" applyAlignment="1">
      <alignment horizontal="right"/>
    </xf>
    <xf numFmtId="3" fontId="3" fillId="0" borderId="11" xfId="0" applyNumberFormat="1" applyFont="1" applyBorder="1" applyAlignment="1">
      <alignment horizontal="right"/>
    </xf>
    <xf numFmtId="0" fontId="7" fillId="0" borderId="0" xfId="0" applyFont="1"/>
    <xf numFmtId="0" fontId="0" fillId="0" borderId="0" xfId="0" applyAlignment="1"/>
    <xf numFmtId="0" fontId="0" fillId="0" borderId="0" xfId="0"/>
    <xf numFmtId="0" fontId="26" fillId="5" borderId="39" xfId="4" applyFont="1" applyAlignment="1">
      <alignment horizontal="right" wrapText="1"/>
    </xf>
    <xf numFmtId="0" fontId="3" fillId="0" borderId="0" xfId="0" applyFont="1" applyAlignment="1"/>
    <xf numFmtId="0" fontId="0" fillId="0" borderId="0" xfId="0" applyAlignment="1"/>
    <xf numFmtId="1" fontId="3" fillId="0" borderId="0" xfId="0" applyNumberFormat="1" applyFont="1" applyAlignment="1"/>
    <xf numFmtId="0" fontId="0" fillId="0" borderId="0" xfId="0" applyAlignment="1"/>
    <xf numFmtId="0" fontId="3" fillId="0" borderId="0" xfId="0" applyFont="1" applyAlignment="1"/>
    <xf numFmtId="165" fontId="18" fillId="0" borderId="0" xfId="0" applyNumberFormat="1" applyFont="1" applyBorder="1" applyAlignment="1">
      <alignment horizontal="right"/>
    </xf>
    <xf numFmtId="165" fontId="18" fillId="0" borderId="0" xfId="0" applyNumberFormat="1" applyFont="1" applyBorder="1" applyAlignment="1"/>
    <xf numFmtId="0" fontId="3" fillId="0" borderId="0" xfId="0" applyFont="1" applyFill="1" applyBorder="1" applyAlignment="1"/>
    <xf numFmtId="165" fontId="3" fillId="0" borderId="0" xfId="0" applyNumberFormat="1" applyFont="1" applyFill="1" applyBorder="1" applyAlignment="1">
      <alignment horizontal="right"/>
    </xf>
    <xf numFmtId="0" fontId="0" fillId="0" borderId="0" xfId="0"/>
    <xf numFmtId="0" fontId="3" fillId="0" borderId="5"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3" fillId="0" borderId="6" xfId="0" applyFont="1" applyBorder="1" applyAlignment="1">
      <alignment horizontal="left"/>
    </xf>
    <xf numFmtId="0" fontId="3" fillId="0" borderId="0" xfId="0" applyFont="1" applyAlignment="1"/>
    <xf numFmtId="0" fontId="3" fillId="5" borderId="39" xfId="4" applyFont="1" applyBorder="1" applyAlignment="1">
      <alignment horizontal="left" indent="2"/>
    </xf>
    <xf numFmtId="0" fontId="3" fillId="0" borderId="0" xfId="0" quotePrefix="1" applyFont="1" applyBorder="1" applyAlignment="1">
      <alignment horizontal="left" indent="2"/>
    </xf>
    <xf numFmtId="0" fontId="3" fillId="0" borderId="0" xfId="0" applyFont="1" applyAlignment="1">
      <alignment wrapText="1"/>
    </xf>
    <xf numFmtId="0" fontId="0" fillId="0" borderId="0" xfId="0" applyAlignment="1"/>
    <xf numFmtId="42" fontId="13" fillId="0" borderId="42" xfId="5" applyFont="1" applyBorder="1" applyAlignment="1">
      <alignment horizontal="center"/>
    </xf>
    <xf numFmtId="42" fontId="13" fillId="0" borderId="19" xfId="5" applyFont="1" applyBorder="1" applyAlignment="1">
      <alignment horizontal="center"/>
    </xf>
    <xf numFmtId="0" fontId="13" fillId="0" borderId="17" xfId="0" applyFont="1" applyBorder="1" applyAlignment="1">
      <alignment horizontal="center"/>
    </xf>
    <xf numFmtId="0" fontId="13" fillId="0" borderId="19" xfId="0" applyFont="1" applyBorder="1" applyAlignment="1">
      <alignment horizontal="center"/>
    </xf>
    <xf numFmtId="0" fontId="13" fillId="0" borderId="42" xfId="0" applyFont="1" applyBorder="1" applyAlignment="1">
      <alignment horizontal="center"/>
    </xf>
    <xf numFmtId="0" fontId="13" fillId="0" borderId="40" xfId="0" applyFont="1" applyBorder="1" applyAlignment="1">
      <alignment horizontal="center"/>
    </xf>
    <xf numFmtId="42" fontId="3" fillId="0" borderId="17" xfId="5" applyFont="1" applyBorder="1" applyAlignment="1">
      <alignment horizontal="center"/>
    </xf>
    <xf numFmtId="42" fontId="3" fillId="0" borderId="19" xfId="5" applyFont="1" applyBorder="1" applyAlignment="1">
      <alignment horizontal="center"/>
    </xf>
    <xf numFmtId="0" fontId="3" fillId="0" borderId="17" xfId="0" applyFont="1" applyBorder="1" applyAlignment="1">
      <alignment horizontal="center"/>
    </xf>
    <xf numFmtId="0" fontId="3" fillId="0" borderId="40" xfId="0" applyFont="1" applyBorder="1" applyAlignment="1">
      <alignment horizontal="center"/>
    </xf>
    <xf numFmtId="0" fontId="3" fillId="0" borderId="19" xfId="0" applyFont="1" applyBorder="1" applyAlignment="1">
      <alignment horizontal="center"/>
    </xf>
    <xf numFmtId="0" fontId="3" fillId="0" borderId="42" xfId="0" applyFont="1" applyBorder="1" applyAlignment="1">
      <alignment horizontal="center"/>
    </xf>
    <xf numFmtId="0" fontId="0" fillId="0" borderId="0" xfId="0"/>
    <xf numFmtId="1" fontId="1" fillId="0" borderId="25" xfId="0" applyNumberFormat="1"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1" fontId="1" fillId="0" borderId="28" xfId="0" applyNumberFormat="1" applyFont="1" applyBorder="1" applyAlignment="1">
      <alignment horizontal="center"/>
    </xf>
    <xf numFmtId="0" fontId="1" fillId="0" borderId="8" xfId="0" applyFont="1" applyBorder="1" applyAlignment="1">
      <alignment horizontal="center"/>
    </xf>
    <xf numFmtId="0" fontId="1" fillId="0" borderId="29" xfId="0" applyFont="1" applyBorder="1" applyAlignment="1">
      <alignment horizontal="center"/>
    </xf>
    <xf numFmtId="0" fontId="23" fillId="2" borderId="12" xfId="1" applyBorder="1" applyAlignment="1">
      <alignment horizontal="center"/>
    </xf>
    <xf numFmtId="0" fontId="3" fillId="5" borderId="39" xfId="4" applyFont="1" applyAlignment="1">
      <alignment horizontal="right"/>
    </xf>
    <xf numFmtId="0" fontId="0" fillId="5" borderId="39" xfId="4" applyFont="1" applyAlignment="1">
      <alignment horizontal="right"/>
    </xf>
    <xf numFmtId="0" fontId="26" fillId="5" borderId="39" xfId="4" applyFont="1" applyAlignment="1">
      <alignment horizontal="right" wrapText="1"/>
    </xf>
    <xf numFmtId="0" fontId="12" fillId="0" borderId="36" xfId="0" applyFont="1" applyBorder="1" applyAlignment="1">
      <alignment horizontal="center"/>
    </xf>
    <xf numFmtId="0" fontId="12" fillId="0" borderId="5" xfId="0" applyFont="1" applyBorder="1" applyAlignment="1">
      <alignment horizontal="center"/>
    </xf>
    <xf numFmtId="0" fontId="12" fillId="0" borderId="37" xfId="0" applyFont="1" applyBorder="1" applyAlignment="1">
      <alignment horizontal="center"/>
    </xf>
    <xf numFmtId="0" fontId="12" fillId="0" borderId="34" xfId="0" applyFont="1" applyBorder="1" applyAlignment="1">
      <alignment horizontal="center"/>
    </xf>
    <xf numFmtId="0" fontId="12" fillId="0" borderId="35" xfId="0" applyFont="1" applyBorder="1" applyAlignment="1">
      <alignment horizontal="center"/>
    </xf>
    <xf numFmtId="166" fontId="12" fillId="0" borderId="14" xfId="0" applyNumberFormat="1"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0" fillId="0" borderId="14"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 fillId="0" borderId="0" xfId="0" applyFont="1" applyAlignment="1"/>
    <xf numFmtId="0" fontId="0" fillId="0" borderId="0" xfId="0" applyAlignment="1">
      <alignment wrapText="1"/>
    </xf>
    <xf numFmtId="0" fontId="24" fillId="3" borderId="38" xfId="2" applyAlignment="1"/>
    <xf numFmtId="0" fontId="19" fillId="0" borderId="0" xfId="0" applyFont="1" applyAlignment="1"/>
    <xf numFmtId="0" fontId="3" fillId="0" borderId="0" xfId="0" applyFont="1" applyAlignment="1"/>
    <xf numFmtId="1" fontId="18" fillId="0" borderId="11" xfId="0" applyNumberFormat="1" applyFont="1" applyBorder="1" applyAlignment="1">
      <alignment horizontal="right"/>
    </xf>
  </cellXfs>
  <cellStyles count="6">
    <cellStyle name="Bad" xfId="1" builtinId="27"/>
    <cellStyle name="Calculation" xfId="3" builtinId="22"/>
    <cellStyle name="Currency [0]" xfId="5" builtinId="7"/>
    <cellStyle name="Input" xfId="2" builtinId="20"/>
    <cellStyle name="Normal" xfId="0" builtinId="0"/>
    <cellStyle name="Note" xfId="4" builtinId="10"/>
  </cellStyles>
  <dxfs count="8">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tyles" Target="styles.xml"/><Relationship Id="rId5" Type="http://schemas.openxmlformats.org/officeDocument/2006/relationships/chartsheet" Target="chartsheets/sheet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layout/>
    </c:title>
    <c:plotArea>
      <c:layout/>
      <c:areaChart>
        <c:grouping val="stacked"/>
        <c:ser>
          <c:idx val="1"/>
          <c:order val="0"/>
          <c:tx>
            <c:v>Base Cost</c:v>
          </c:tx>
          <c:spPr>
            <a:solidFill>
              <a:srgbClr val="C00000">
                <a:alpha val="53000"/>
              </a:srgbClr>
            </a:solidFill>
          </c:spPr>
          <c:cat>
            <c:numRef>
              <c:f>SUMMARY!$A$34:$A$39</c:f>
              <c:numCache>
                <c:formatCode>0</c:formatCode>
                <c:ptCount val="6"/>
                <c:pt idx="0">
                  <c:v>2009</c:v>
                </c:pt>
                <c:pt idx="1">
                  <c:v>2010</c:v>
                </c:pt>
                <c:pt idx="2">
                  <c:v>2011</c:v>
                </c:pt>
                <c:pt idx="3">
                  <c:v>2012</c:v>
                </c:pt>
                <c:pt idx="4">
                  <c:v>2013</c:v>
                </c:pt>
                <c:pt idx="5">
                  <c:v>2014</c:v>
                </c:pt>
              </c:numCache>
            </c:numRef>
          </c:cat>
          <c:val>
            <c:numRef>
              <c:f>SUMMARY!$H$14:$H$19</c:f>
              <c:numCache>
                <c:formatCode>#,##0</c:formatCode>
                <c:ptCount val="6"/>
                <c:pt idx="0">
                  <c:v>0</c:v>
                </c:pt>
                <c:pt idx="1">
                  <c:v>318824.98</c:v>
                </c:pt>
                <c:pt idx="2">
                  <c:v>306981.87</c:v>
                </c:pt>
                <c:pt idx="3">
                  <c:v>371229.93</c:v>
                </c:pt>
                <c:pt idx="4">
                  <c:v>427113.51</c:v>
                </c:pt>
                <c:pt idx="5">
                  <c:v>57652.960000000006</c:v>
                </c:pt>
              </c:numCache>
            </c:numRef>
          </c:val>
        </c:ser>
        <c:ser>
          <c:idx val="2"/>
          <c:order val="1"/>
          <c:tx>
            <c:v>Contingency</c:v>
          </c:tx>
          <c:spPr>
            <a:solidFill>
              <a:srgbClr val="00B050">
                <a:alpha val="24000"/>
              </a:srgbClr>
            </a:solidFill>
            <a:ln w="9525" cmpd="sng">
              <a:solidFill>
                <a:schemeClr val="tx1"/>
              </a:solidFill>
            </a:ln>
          </c:spPr>
          <c:cat>
            <c:numRef>
              <c:f>SUMMARY!$A$34:$A$39</c:f>
              <c:numCache>
                <c:formatCode>0</c:formatCode>
                <c:ptCount val="6"/>
                <c:pt idx="0">
                  <c:v>2009</c:v>
                </c:pt>
                <c:pt idx="1">
                  <c:v>2010</c:v>
                </c:pt>
                <c:pt idx="2">
                  <c:v>2011</c:v>
                </c:pt>
                <c:pt idx="3">
                  <c:v>2012</c:v>
                </c:pt>
                <c:pt idx="4">
                  <c:v>2013</c:v>
                </c:pt>
                <c:pt idx="5">
                  <c:v>2014</c:v>
                </c:pt>
              </c:numCache>
            </c:numRef>
          </c:cat>
          <c:val>
            <c:numRef>
              <c:f>SUMMARY!$R$14:$R$19</c:f>
              <c:numCache>
                <c:formatCode>#,##0</c:formatCode>
                <c:ptCount val="6"/>
                <c:pt idx="0">
                  <c:v>0</c:v>
                </c:pt>
                <c:pt idx="1">
                  <c:v>11745</c:v>
                </c:pt>
                <c:pt idx="2">
                  <c:v>115463.485</c:v>
                </c:pt>
                <c:pt idx="3">
                  <c:v>121048.28000000001</c:v>
                </c:pt>
                <c:pt idx="4">
                  <c:v>246406.97000000003</c:v>
                </c:pt>
                <c:pt idx="5">
                  <c:v>0</c:v>
                </c:pt>
              </c:numCache>
            </c:numRef>
          </c:val>
        </c:ser>
        <c:dLbls/>
        <c:axId val="151458176"/>
        <c:axId val="151461248"/>
      </c:areaChart>
      <c:catAx>
        <c:axId val="151458176"/>
        <c:scaling>
          <c:orientation val="minMax"/>
        </c:scaling>
        <c:axPos val="b"/>
        <c:numFmt formatCode="0" sourceLinked="1"/>
        <c:majorTickMark val="none"/>
        <c:tickLblPos val="nextTo"/>
        <c:crossAx val="151461248"/>
        <c:crosses val="autoZero"/>
        <c:auto val="1"/>
        <c:lblAlgn val="ctr"/>
        <c:lblOffset val="100"/>
      </c:catAx>
      <c:valAx>
        <c:axId val="151461248"/>
        <c:scaling>
          <c:orientation val="minMax"/>
        </c:scaling>
        <c:axPos val="l"/>
        <c:majorGridlines/>
        <c:numFmt formatCode="#,##0" sourceLinked="1"/>
        <c:majorTickMark val="none"/>
        <c:tickLblPos val="nextTo"/>
        <c:crossAx val="151458176"/>
        <c:crosses val="autoZero"/>
        <c:crossBetween val="midCat"/>
      </c:valAx>
      <c:dTable>
        <c:showHorzBorder val="1"/>
        <c:showVertBorder val="1"/>
        <c:showOutline val="1"/>
        <c:showKeys val="1"/>
      </c:dTable>
    </c:plotArea>
    <c:plotVisOnly val="1"/>
  </c:chart>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layout/>
    </c:title>
    <c:plotArea>
      <c:layout/>
      <c:areaChart>
        <c:grouping val="stacked"/>
        <c:ser>
          <c:idx val="5"/>
          <c:order val="0"/>
          <c:tx>
            <c:strRef>
              <c:f>SUMMARY!$G$13</c:f>
              <c:strCache>
                <c:ptCount val="1"/>
                <c:pt idx="0">
                  <c:v>M&amp;S Cost</c:v>
                </c:pt>
              </c:strCache>
            </c:strRef>
          </c:tx>
          <c:cat>
            <c:numRef>
              <c:f>SUMMARY!$A$14:$A$19</c:f>
              <c:numCache>
                <c:formatCode>0</c:formatCode>
                <c:ptCount val="6"/>
                <c:pt idx="0">
                  <c:v>2009</c:v>
                </c:pt>
                <c:pt idx="1">
                  <c:v>2010</c:v>
                </c:pt>
                <c:pt idx="2">
                  <c:v>2011</c:v>
                </c:pt>
                <c:pt idx="3">
                  <c:v>2012</c:v>
                </c:pt>
                <c:pt idx="4">
                  <c:v>2013</c:v>
                </c:pt>
                <c:pt idx="5">
                  <c:v>2014</c:v>
                </c:pt>
              </c:numCache>
            </c:numRef>
          </c:cat>
          <c:val>
            <c:numRef>
              <c:f>SUMMARY!$G$14:$G$19</c:f>
              <c:numCache>
                <c:formatCode>#,##0</c:formatCode>
                <c:ptCount val="6"/>
                <c:pt idx="0">
                  <c:v>0</c:v>
                </c:pt>
                <c:pt idx="1">
                  <c:v>31556.5</c:v>
                </c:pt>
                <c:pt idx="2">
                  <c:v>22027.5</c:v>
                </c:pt>
                <c:pt idx="3">
                  <c:v>48703.5</c:v>
                </c:pt>
                <c:pt idx="4">
                  <c:v>49654.5</c:v>
                </c:pt>
                <c:pt idx="5">
                  <c:v>7420</c:v>
                </c:pt>
              </c:numCache>
            </c:numRef>
          </c:val>
        </c:ser>
        <c:ser>
          <c:idx val="11"/>
          <c:order val="1"/>
          <c:tx>
            <c:v>M&amp;S Cont.</c:v>
          </c:tx>
          <c:spPr>
            <a:ln w="25400">
              <a:noFill/>
            </a:ln>
          </c:spPr>
          <c:cat>
            <c:numRef>
              <c:f>SUMMARY!$A$14:$A$19</c:f>
              <c:numCache>
                <c:formatCode>0</c:formatCode>
                <c:ptCount val="6"/>
                <c:pt idx="0">
                  <c:v>2009</c:v>
                </c:pt>
                <c:pt idx="1">
                  <c:v>2010</c:v>
                </c:pt>
                <c:pt idx="2">
                  <c:v>2011</c:v>
                </c:pt>
                <c:pt idx="3">
                  <c:v>2012</c:v>
                </c:pt>
                <c:pt idx="4">
                  <c:v>2013</c:v>
                </c:pt>
                <c:pt idx="5">
                  <c:v>2014</c:v>
                </c:pt>
              </c:numCache>
            </c:numRef>
          </c:cat>
          <c:val>
            <c:numRef>
              <c:f>SUMMARY!$Q$14:$Q$19</c:f>
              <c:numCache>
                <c:formatCode>#,##0</c:formatCode>
                <c:ptCount val="6"/>
                <c:pt idx="0">
                  <c:v>0</c:v>
                </c:pt>
                <c:pt idx="1">
                  <c:v>153</c:v>
                </c:pt>
                <c:pt idx="2">
                  <c:v>28945</c:v>
                </c:pt>
                <c:pt idx="3">
                  <c:v>1820</c:v>
                </c:pt>
                <c:pt idx="4">
                  <c:v>23639</c:v>
                </c:pt>
                <c:pt idx="5">
                  <c:v>0</c:v>
                </c:pt>
              </c:numCache>
            </c:numRef>
          </c:val>
        </c:ser>
        <c:ser>
          <c:idx val="0"/>
          <c:order val="2"/>
          <c:tx>
            <c:strRef>
              <c:f>SUMMARY!$B$13</c:f>
              <c:strCache>
                <c:ptCount val="1"/>
                <c:pt idx="0">
                  <c:v>Shop Cost</c:v>
                </c:pt>
              </c:strCache>
            </c:strRef>
          </c:tx>
          <c:cat>
            <c:numRef>
              <c:f>SUMMARY!$A$14:$A$19</c:f>
              <c:numCache>
                <c:formatCode>0</c:formatCode>
                <c:ptCount val="6"/>
                <c:pt idx="0">
                  <c:v>2009</c:v>
                </c:pt>
                <c:pt idx="1">
                  <c:v>2010</c:v>
                </c:pt>
                <c:pt idx="2">
                  <c:v>2011</c:v>
                </c:pt>
                <c:pt idx="3">
                  <c:v>2012</c:v>
                </c:pt>
                <c:pt idx="4">
                  <c:v>2013</c:v>
                </c:pt>
                <c:pt idx="5">
                  <c:v>2014</c:v>
                </c:pt>
              </c:numCache>
            </c:numRef>
          </c:cat>
          <c:val>
            <c:numRef>
              <c:f>SUMMARY!$B$14:$B$19</c:f>
              <c:numCache>
                <c:formatCode>#,##0</c:formatCode>
                <c:ptCount val="6"/>
                <c:pt idx="0">
                  <c:v>0</c:v>
                </c:pt>
                <c:pt idx="1">
                  <c:v>28526.400000000001</c:v>
                </c:pt>
                <c:pt idx="2">
                  <c:v>25925.760000000002</c:v>
                </c:pt>
                <c:pt idx="3">
                  <c:v>71833.86</c:v>
                </c:pt>
                <c:pt idx="4">
                  <c:v>78305.850000000006</c:v>
                </c:pt>
                <c:pt idx="5">
                  <c:v>1632.96</c:v>
                </c:pt>
              </c:numCache>
            </c:numRef>
          </c:val>
        </c:ser>
        <c:ser>
          <c:idx val="6"/>
          <c:order val="3"/>
          <c:tx>
            <c:v>SHOP Cont</c:v>
          </c:tx>
          <c:spPr>
            <a:ln w="25400">
              <a:noFill/>
            </a:ln>
          </c:spPr>
          <c:cat>
            <c:numRef>
              <c:f>SUMMARY!$A$14:$A$19</c:f>
              <c:numCache>
                <c:formatCode>0</c:formatCode>
                <c:ptCount val="6"/>
                <c:pt idx="0">
                  <c:v>2009</c:v>
                </c:pt>
                <c:pt idx="1">
                  <c:v>2010</c:v>
                </c:pt>
                <c:pt idx="2">
                  <c:v>2011</c:v>
                </c:pt>
                <c:pt idx="3">
                  <c:v>2012</c:v>
                </c:pt>
                <c:pt idx="4">
                  <c:v>2013</c:v>
                </c:pt>
                <c:pt idx="5">
                  <c:v>2014</c:v>
                </c:pt>
              </c:numCache>
            </c:numRef>
          </c:cat>
          <c:val>
            <c:numRef>
              <c:f>SUMMARY!$L$14:$L$19</c:f>
              <c:numCache>
                <c:formatCode>#,##0</c:formatCode>
                <c:ptCount val="6"/>
                <c:pt idx="0">
                  <c:v>0</c:v>
                </c:pt>
                <c:pt idx="1">
                  <c:v>6048</c:v>
                </c:pt>
                <c:pt idx="2">
                  <c:v>23838.885000000002</c:v>
                </c:pt>
                <c:pt idx="3">
                  <c:v>23065.56</c:v>
                </c:pt>
                <c:pt idx="4">
                  <c:v>75244.05</c:v>
                </c:pt>
                <c:pt idx="5">
                  <c:v>0</c:v>
                </c:pt>
              </c:numCache>
            </c:numRef>
          </c:val>
        </c:ser>
        <c:ser>
          <c:idx val="2"/>
          <c:order val="4"/>
          <c:tx>
            <c:strRef>
              <c:f>SUMMARY!$D$13</c:f>
              <c:strCache>
                <c:ptCount val="1"/>
                <c:pt idx="0">
                  <c:v>CMM</c:v>
                </c:pt>
              </c:strCache>
            </c:strRef>
          </c:tx>
          <c:cat>
            <c:numRef>
              <c:f>SUMMARY!$A$14:$A$19</c:f>
              <c:numCache>
                <c:formatCode>0</c:formatCode>
                <c:ptCount val="6"/>
                <c:pt idx="0">
                  <c:v>2009</c:v>
                </c:pt>
                <c:pt idx="1">
                  <c:v>2010</c:v>
                </c:pt>
                <c:pt idx="2">
                  <c:v>2011</c:v>
                </c:pt>
                <c:pt idx="3">
                  <c:v>2012</c:v>
                </c:pt>
                <c:pt idx="4">
                  <c:v>2013</c:v>
                </c:pt>
                <c:pt idx="5">
                  <c:v>2014</c:v>
                </c:pt>
              </c:numCache>
            </c:numRef>
          </c:cat>
          <c:val>
            <c:numRef>
              <c:f>SUMMARY!$D$14:$D$19</c:f>
              <c:numCache>
                <c:formatCode>#,##0</c:formatCode>
                <c:ptCount val="6"/>
                <c:pt idx="0">
                  <c:v>0</c:v>
                </c:pt>
                <c:pt idx="1">
                  <c:v>12267.36</c:v>
                </c:pt>
                <c:pt idx="2">
                  <c:v>10563.84</c:v>
                </c:pt>
                <c:pt idx="3">
                  <c:v>12655.44</c:v>
                </c:pt>
                <c:pt idx="4">
                  <c:v>25719.119999999999</c:v>
                </c:pt>
                <c:pt idx="5">
                  <c:v>4082.4</c:v>
                </c:pt>
              </c:numCache>
            </c:numRef>
          </c:val>
        </c:ser>
        <c:ser>
          <c:idx val="8"/>
          <c:order val="5"/>
          <c:tx>
            <c:v>CMM Cont</c:v>
          </c:tx>
          <c:spPr>
            <a:ln w="25400">
              <a:noFill/>
            </a:ln>
          </c:spPr>
          <c:cat>
            <c:numRef>
              <c:f>SUMMARY!$A$14:$A$19</c:f>
              <c:numCache>
                <c:formatCode>0</c:formatCode>
                <c:ptCount val="6"/>
                <c:pt idx="0">
                  <c:v>2009</c:v>
                </c:pt>
                <c:pt idx="1">
                  <c:v>2010</c:v>
                </c:pt>
                <c:pt idx="2">
                  <c:v>2011</c:v>
                </c:pt>
                <c:pt idx="3">
                  <c:v>2012</c:v>
                </c:pt>
                <c:pt idx="4">
                  <c:v>2013</c:v>
                </c:pt>
                <c:pt idx="5">
                  <c:v>2014</c:v>
                </c:pt>
              </c:numCache>
            </c:numRef>
          </c:cat>
          <c:val>
            <c:numRef>
              <c:f>SUMMARY!$N$14:$N$19</c:f>
              <c:numCache>
                <c:formatCode>#,##0</c:formatCode>
                <c:ptCount val="6"/>
                <c:pt idx="0">
                  <c:v>0</c:v>
                </c:pt>
                <c:pt idx="1">
                  <c:v>0</c:v>
                </c:pt>
                <c:pt idx="2">
                  <c:v>6914.88</c:v>
                </c:pt>
                <c:pt idx="3">
                  <c:v>6123.6</c:v>
                </c:pt>
                <c:pt idx="4">
                  <c:v>3265.92</c:v>
                </c:pt>
                <c:pt idx="5">
                  <c:v>0</c:v>
                </c:pt>
              </c:numCache>
            </c:numRef>
          </c:val>
        </c:ser>
        <c:ser>
          <c:idx val="1"/>
          <c:order val="6"/>
          <c:tx>
            <c:strRef>
              <c:f>SUMMARY!$C$13</c:f>
              <c:strCache>
                <c:ptCount val="1"/>
                <c:pt idx="0">
                  <c:v>MT Cost</c:v>
                </c:pt>
              </c:strCache>
            </c:strRef>
          </c:tx>
          <c:cat>
            <c:numRef>
              <c:f>SUMMARY!$A$14:$A$19</c:f>
              <c:numCache>
                <c:formatCode>0</c:formatCode>
                <c:ptCount val="6"/>
                <c:pt idx="0">
                  <c:v>2009</c:v>
                </c:pt>
                <c:pt idx="1">
                  <c:v>2010</c:v>
                </c:pt>
                <c:pt idx="2">
                  <c:v>2011</c:v>
                </c:pt>
                <c:pt idx="3">
                  <c:v>2012</c:v>
                </c:pt>
                <c:pt idx="4">
                  <c:v>2013</c:v>
                </c:pt>
                <c:pt idx="5">
                  <c:v>2014</c:v>
                </c:pt>
              </c:numCache>
            </c:numRef>
          </c:cat>
          <c:val>
            <c:numRef>
              <c:f>SUMMARY!$C$14:$C$19</c:f>
              <c:numCache>
                <c:formatCode>#,##0</c:formatCode>
                <c:ptCount val="6"/>
                <c:pt idx="0">
                  <c:v>0</c:v>
                </c:pt>
                <c:pt idx="1">
                  <c:v>82445.22</c:v>
                </c:pt>
                <c:pt idx="2">
                  <c:v>83164.77</c:v>
                </c:pt>
                <c:pt idx="3">
                  <c:v>96804.63</c:v>
                </c:pt>
                <c:pt idx="4">
                  <c:v>171009.54</c:v>
                </c:pt>
                <c:pt idx="5">
                  <c:v>26535.600000000002</c:v>
                </c:pt>
              </c:numCache>
            </c:numRef>
          </c:val>
        </c:ser>
        <c:ser>
          <c:idx val="7"/>
          <c:order val="7"/>
          <c:tx>
            <c:v>MT Cont</c:v>
          </c:tx>
          <c:spPr>
            <a:ln w="25400">
              <a:noFill/>
            </a:ln>
          </c:spPr>
          <c:cat>
            <c:numRef>
              <c:f>SUMMARY!$A$14:$A$19</c:f>
              <c:numCache>
                <c:formatCode>0</c:formatCode>
                <c:ptCount val="6"/>
                <c:pt idx="0">
                  <c:v>2009</c:v>
                </c:pt>
                <c:pt idx="1">
                  <c:v>2010</c:v>
                </c:pt>
                <c:pt idx="2">
                  <c:v>2011</c:v>
                </c:pt>
                <c:pt idx="3">
                  <c:v>2012</c:v>
                </c:pt>
                <c:pt idx="4">
                  <c:v>2013</c:v>
                </c:pt>
                <c:pt idx="5">
                  <c:v>2014</c:v>
                </c:pt>
              </c:numCache>
            </c:numRef>
          </c:cat>
          <c:val>
            <c:numRef>
              <c:f>SUMMARY!$M$14:$M$19</c:f>
              <c:numCache>
                <c:formatCode>#,##0</c:formatCode>
                <c:ptCount val="6"/>
                <c:pt idx="0">
                  <c:v>0</c:v>
                </c:pt>
                <c:pt idx="1">
                  <c:v>3744</c:v>
                </c:pt>
                <c:pt idx="2">
                  <c:v>13707.720000000001</c:v>
                </c:pt>
                <c:pt idx="3">
                  <c:v>33738.120000000003</c:v>
                </c:pt>
                <c:pt idx="4">
                  <c:v>76050.000000000015</c:v>
                </c:pt>
                <c:pt idx="5">
                  <c:v>0</c:v>
                </c:pt>
              </c:numCache>
            </c:numRef>
          </c:val>
        </c:ser>
        <c:ser>
          <c:idx val="3"/>
          <c:order val="8"/>
          <c:tx>
            <c:strRef>
              <c:f>SUMMARY!$E$13</c:f>
              <c:strCache>
                <c:ptCount val="1"/>
                <c:pt idx="0">
                  <c:v>Engineering</c:v>
                </c:pt>
              </c:strCache>
            </c:strRef>
          </c:tx>
          <c:cat>
            <c:numRef>
              <c:f>SUMMARY!$A$14:$A$19</c:f>
              <c:numCache>
                <c:formatCode>0</c:formatCode>
                <c:ptCount val="6"/>
                <c:pt idx="0">
                  <c:v>2009</c:v>
                </c:pt>
                <c:pt idx="1">
                  <c:v>2010</c:v>
                </c:pt>
                <c:pt idx="2">
                  <c:v>2011</c:v>
                </c:pt>
                <c:pt idx="3">
                  <c:v>2012</c:v>
                </c:pt>
                <c:pt idx="4">
                  <c:v>2013</c:v>
                </c:pt>
                <c:pt idx="5">
                  <c:v>2014</c:v>
                </c:pt>
              </c:numCache>
            </c:numRef>
          </c:cat>
          <c:val>
            <c:numRef>
              <c:f>SUMMARY!$E$14:$E$19</c:f>
              <c:numCache>
                <c:formatCode>#,##0</c:formatCode>
                <c:ptCount val="6"/>
                <c:pt idx="0">
                  <c:v>0</c:v>
                </c:pt>
                <c:pt idx="1">
                  <c:v>164029.5</c:v>
                </c:pt>
                <c:pt idx="2">
                  <c:v>165300</c:v>
                </c:pt>
                <c:pt idx="3">
                  <c:v>139612.5</c:v>
                </c:pt>
                <c:pt idx="4">
                  <c:v>102424.50000000001</c:v>
                </c:pt>
                <c:pt idx="5">
                  <c:v>17982.000000000004</c:v>
                </c:pt>
              </c:numCache>
            </c:numRef>
          </c:val>
        </c:ser>
        <c:ser>
          <c:idx val="9"/>
          <c:order val="9"/>
          <c:tx>
            <c:v>ENG Cont</c:v>
          </c:tx>
          <c:spPr>
            <a:ln w="25400">
              <a:noFill/>
            </a:ln>
          </c:spPr>
          <c:cat>
            <c:numRef>
              <c:f>SUMMARY!$A$14:$A$19</c:f>
              <c:numCache>
                <c:formatCode>0</c:formatCode>
                <c:ptCount val="6"/>
                <c:pt idx="0">
                  <c:v>2009</c:v>
                </c:pt>
                <c:pt idx="1">
                  <c:v>2010</c:v>
                </c:pt>
                <c:pt idx="2">
                  <c:v>2011</c:v>
                </c:pt>
                <c:pt idx="3">
                  <c:v>2012</c:v>
                </c:pt>
                <c:pt idx="4">
                  <c:v>2013</c:v>
                </c:pt>
                <c:pt idx="5">
                  <c:v>2014</c:v>
                </c:pt>
              </c:numCache>
            </c:numRef>
          </c:cat>
          <c:val>
            <c:numRef>
              <c:f>SUMMARY!$O$14:$O$19</c:f>
              <c:numCache>
                <c:formatCode>#,##0</c:formatCode>
                <c:ptCount val="6"/>
                <c:pt idx="0">
                  <c:v>0</c:v>
                </c:pt>
                <c:pt idx="1">
                  <c:v>1800</c:v>
                </c:pt>
                <c:pt idx="2">
                  <c:v>42057</c:v>
                </c:pt>
                <c:pt idx="3">
                  <c:v>56301.000000000007</c:v>
                </c:pt>
                <c:pt idx="4">
                  <c:v>68208</c:v>
                </c:pt>
                <c:pt idx="5">
                  <c:v>0</c:v>
                </c:pt>
              </c:numCache>
            </c:numRef>
          </c:val>
        </c:ser>
        <c:dLbls/>
        <c:axId val="163082624"/>
        <c:axId val="163085696"/>
      </c:areaChart>
      <c:catAx>
        <c:axId val="163082624"/>
        <c:scaling>
          <c:orientation val="minMax"/>
        </c:scaling>
        <c:axPos val="b"/>
        <c:numFmt formatCode="0" sourceLinked="1"/>
        <c:majorTickMark val="none"/>
        <c:tickLblPos val="nextTo"/>
        <c:crossAx val="163085696"/>
        <c:crosses val="autoZero"/>
        <c:auto val="1"/>
        <c:lblAlgn val="ctr"/>
        <c:lblOffset val="100"/>
      </c:catAx>
      <c:valAx>
        <c:axId val="163085696"/>
        <c:scaling>
          <c:orientation val="minMax"/>
        </c:scaling>
        <c:axPos val="l"/>
        <c:majorGridlines/>
        <c:numFmt formatCode="&quot;$&quot;#,##0" sourceLinked="0"/>
        <c:majorTickMark val="none"/>
        <c:tickLblPos val="nextTo"/>
        <c:crossAx val="163082624"/>
        <c:crosses val="autoZero"/>
        <c:crossBetween val="midCat"/>
      </c:valAx>
      <c:dTable>
        <c:showHorzBorder val="1"/>
        <c:showVertBorder val="1"/>
        <c:showOutline val="1"/>
        <c:showKeys val="1"/>
      </c:dTable>
    </c:plotArea>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zoomScale="132" workbookViewId="0" zoomToFit="1"/>
  </sheetViews>
  <pageMargins left="0.28999999999999998" right="0.34" top="0.75" bottom="0.75" header="0.3" footer="0.3"/>
  <pageSetup orientation="landscape" r:id="rId1"/>
  <headerFooter>
    <oddHeader>&amp;A</oddHeader>
    <oddFooter>&amp;F</oddFooter>
  </headerFooter>
  <drawing r:id="rId2"/>
</chartsheet>
</file>

<file path=xl/chartsheets/sheet2.xml><?xml version="1.0" encoding="utf-8"?>
<chartsheet xmlns="http://schemas.openxmlformats.org/spreadsheetml/2006/main" xmlns:r="http://schemas.openxmlformats.org/officeDocument/2006/relationships">
  <sheetPr/>
  <sheetViews>
    <sheetView zoomScale="124" workbookViewId="0" zoomToFit="1"/>
  </sheetViews>
  <pageMargins left="0.37" right="0.28000000000000003" top="0.56000000000000005" bottom="0.48" header="0.2" footer="0.3"/>
  <pageSetup orientation="landscape" r:id="rId1"/>
  <headerFooter>
    <oddHeader>&amp;C&amp;16&amp;A&amp;R&amp;F</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19844" y="-6615"/>
    <xdr:ext cx="9307651" cy="60857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1719" cy="629708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D1:E41"/>
  <sheetViews>
    <sheetView workbookViewId="0">
      <selection activeCell="D8" sqref="D8:D41"/>
    </sheetView>
  </sheetViews>
  <sheetFormatPr defaultRowHeight="12.75"/>
  <cols>
    <col min="4" max="4" width="14.5703125" customWidth="1"/>
    <col min="5" max="5" width="44" bestFit="1" customWidth="1"/>
  </cols>
  <sheetData>
    <row r="1" spans="4:5">
      <c r="D1" s="386" t="s">
        <v>214</v>
      </c>
      <c r="E1" s="387"/>
    </row>
    <row r="2" spans="4:5" ht="12.75" customHeight="1">
      <c r="D2" s="387"/>
      <c r="E2" s="387"/>
    </row>
    <row r="3" spans="4:5">
      <c r="D3" s="387"/>
      <c r="E3" s="387"/>
    </row>
    <row r="4" spans="4:5">
      <c r="D4" s="387"/>
      <c r="E4" s="387"/>
    </row>
    <row r="5" spans="4:5">
      <c r="D5" s="387"/>
      <c r="E5" s="387"/>
    </row>
    <row r="7" spans="4:5">
      <c r="D7" s="50" t="s">
        <v>171</v>
      </c>
      <c r="E7" s="50" t="s">
        <v>210</v>
      </c>
    </row>
    <row r="8" spans="4:5">
      <c r="D8" s="20" t="s">
        <v>180</v>
      </c>
      <c r="E8" s="20" t="s">
        <v>181</v>
      </c>
    </row>
    <row r="9" spans="4:5">
      <c r="D9" s="134" t="s">
        <v>182</v>
      </c>
      <c r="E9" s="20" t="s">
        <v>183</v>
      </c>
    </row>
    <row r="10" spans="4:5">
      <c r="D10" s="46" t="s">
        <v>184</v>
      </c>
      <c r="E10" s="20" t="s">
        <v>185</v>
      </c>
    </row>
    <row r="11" spans="4:5">
      <c r="D11" s="46" t="s">
        <v>186</v>
      </c>
      <c r="E11" s="20" t="s">
        <v>188</v>
      </c>
    </row>
    <row r="12" spans="4:5">
      <c r="D12" s="134" t="s">
        <v>189</v>
      </c>
      <c r="E12" s="20" t="s">
        <v>187</v>
      </c>
    </row>
    <row r="13" spans="4:5">
      <c r="D13" s="46" t="s">
        <v>191</v>
      </c>
      <c r="E13" s="20" t="s">
        <v>192</v>
      </c>
    </row>
    <row r="14" spans="4:5">
      <c r="D14" s="46" t="s">
        <v>193</v>
      </c>
      <c r="E14" s="20" t="s">
        <v>194</v>
      </c>
    </row>
    <row r="15" spans="4:5">
      <c r="D15" s="46" t="s">
        <v>195</v>
      </c>
      <c r="E15" s="20" t="s">
        <v>196</v>
      </c>
    </row>
    <row r="16" spans="4:5">
      <c r="D16" s="134" t="s">
        <v>190</v>
      </c>
      <c r="E16" s="20" t="s">
        <v>197</v>
      </c>
    </row>
    <row r="17" spans="4:5">
      <c r="D17" s="46" t="s">
        <v>198</v>
      </c>
      <c r="E17" s="20" t="s">
        <v>202</v>
      </c>
    </row>
    <row r="18" spans="4:5">
      <c r="D18" s="46" t="s">
        <v>199</v>
      </c>
      <c r="E18" s="20" t="s">
        <v>203</v>
      </c>
    </row>
    <row r="19" spans="4:5">
      <c r="D19" s="46" t="s">
        <v>200</v>
      </c>
      <c r="E19" s="20" t="s">
        <v>204</v>
      </c>
    </row>
    <row r="20" spans="4:5">
      <c r="D20" s="46" t="s">
        <v>201</v>
      </c>
      <c r="E20" s="20" t="s">
        <v>205</v>
      </c>
    </row>
    <row r="21" spans="4:5">
      <c r="D21" s="46" t="s">
        <v>206</v>
      </c>
      <c r="E21" s="20" t="s">
        <v>208</v>
      </c>
    </row>
    <row r="22" spans="4:5">
      <c r="D22" s="46" t="s">
        <v>207</v>
      </c>
      <c r="E22" s="20" t="s">
        <v>209</v>
      </c>
    </row>
    <row r="23" spans="4:5">
      <c r="D23" s="100" t="s">
        <v>405</v>
      </c>
      <c r="E23" s="20" t="s">
        <v>415</v>
      </c>
    </row>
    <row r="24" spans="4:5">
      <c r="D24" s="134" t="s">
        <v>406</v>
      </c>
      <c r="E24" s="20" t="s">
        <v>424</v>
      </c>
    </row>
    <row r="25" spans="4:5">
      <c r="D25" s="46" t="s">
        <v>407</v>
      </c>
      <c r="E25" s="20" t="s">
        <v>416</v>
      </c>
    </row>
    <row r="26" spans="4:5">
      <c r="D26" s="46" t="s">
        <v>408</v>
      </c>
      <c r="E26" s="20" t="s">
        <v>417</v>
      </c>
    </row>
    <row r="27" spans="4:5">
      <c r="D27" s="134" t="s">
        <v>409</v>
      </c>
      <c r="E27" s="20" t="s">
        <v>418</v>
      </c>
    </row>
    <row r="28" spans="4:5">
      <c r="D28" s="134" t="s">
        <v>410</v>
      </c>
      <c r="E28" s="20" t="s">
        <v>419</v>
      </c>
    </row>
    <row r="29" spans="4:5" s="343" customFormat="1">
      <c r="D29" s="134" t="s">
        <v>411</v>
      </c>
      <c r="E29" s="20" t="s">
        <v>420</v>
      </c>
    </row>
    <row r="30" spans="4:5">
      <c r="D30" s="46" t="s">
        <v>412</v>
      </c>
      <c r="E30" s="20" t="s">
        <v>421</v>
      </c>
    </row>
    <row r="31" spans="4:5">
      <c r="D31" s="46" t="s">
        <v>413</v>
      </c>
      <c r="E31" s="20" t="s">
        <v>422</v>
      </c>
    </row>
    <row r="32" spans="4:5">
      <c r="D32" s="134" t="s">
        <v>414</v>
      </c>
      <c r="E32" s="20" t="s">
        <v>423</v>
      </c>
    </row>
    <row r="33" spans="4:5">
      <c r="D33" s="100" t="s">
        <v>449</v>
      </c>
      <c r="E33" s="20" t="s">
        <v>454</v>
      </c>
    </row>
    <row r="34" spans="4:5">
      <c r="D34" s="134" t="s">
        <v>450</v>
      </c>
      <c r="E34" s="20" t="s">
        <v>455</v>
      </c>
    </row>
    <row r="35" spans="4:5">
      <c r="D35" s="46" t="s">
        <v>451</v>
      </c>
      <c r="E35" s="20" t="s">
        <v>456</v>
      </c>
    </row>
    <row r="36" spans="4:5">
      <c r="D36" s="46" t="s">
        <v>452</v>
      </c>
      <c r="E36" s="20" t="s">
        <v>457</v>
      </c>
    </row>
    <row r="37" spans="4:5">
      <c r="D37" s="46" t="s">
        <v>453</v>
      </c>
      <c r="E37" s="20" t="s">
        <v>458</v>
      </c>
    </row>
    <row r="38" spans="4:5">
      <c r="D38" s="134" t="s">
        <v>459</v>
      </c>
      <c r="E38" s="20" t="s">
        <v>463</v>
      </c>
    </row>
    <row r="39" spans="4:5">
      <c r="D39" s="46" t="s">
        <v>460</v>
      </c>
      <c r="E39" s="20" t="s">
        <v>456</v>
      </c>
    </row>
    <row r="40" spans="4:5">
      <c r="D40" s="46" t="s">
        <v>461</v>
      </c>
      <c r="E40" s="20" t="s">
        <v>457</v>
      </c>
    </row>
    <row r="41" spans="4:5">
      <c r="D41" s="46" t="s">
        <v>462</v>
      </c>
      <c r="E41" s="20" t="s">
        <v>458</v>
      </c>
    </row>
  </sheetData>
  <mergeCells count="1">
    <mergeCell ref="D1:E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C4:U44"/>
  <sheetViews>
    <sheetView workbookViewId="0">
      <selection activeCell="Q46" sqref="Q46"/>
    </sheetView>
  </sheetViews>
  <sheetFormatPr defaultRowHeight="12.75"/>
  <cols>
    <col min="1" max="1" width="2.140625" customWidth="1"/>
    <col min="2" max="2" width="2.28515625" customWidth="1"/>
    <col min="3" max="3" width="11.7109375" bestFit="1" customWidth="1"/>
    <col min="4" max="4" width="44" bestFit="1" customWidth="1"/>
    <col min="18" max="18" width="11.7109375" bestFit="1" customWidth="1"/>
    <col min="19" max="19" width="6" style="352" bestFit="1" customWidth="1"/>
    <col min="20" max="20" width="5.5703125" style="352" bestFit="1" customWidth="1"/>
    <col min="21" max="21" width="5.85546875" customWidth="1"/>
  </cols>
  <sheetData>
    <row r="4" spans="3:21" ht="13.5" thickBot="1"/>
    <row r="5" spans="3:21" s="101" customFormat="1" ht="16.5" thickTop="1">
      <c r="E5" s="390" t="s">
        <v>41</v>
      </c>
      <c r="F5" s="391"/>
      <c r="G5" s="392" t="s">
        <v>380</v>
      </c>
      <c r="H5" s="393"/>
      <c r="I5" s="390" t="s">
        <v>37</v>
      </c>
      <c r="J5" s="391"/>
      <c r="K5" s="392" t="s">
        <v>381</v>
      </c>
      <c r="L5" s="393"/>
      <c r="M5" s="390" t="s">
        <v>31</v>
      </c>
      <c r="N5" s="391"/>
      <c r="O5" s="388" t="s">
        <v>382</v>
      </c>
      <c r="P5" s="389"/>
    </row>
    <row r="6" spans="3:21" s="50" customFormat="1" ht="13.5" thickBot="1">
      <c r="C6" s="50" t="s">
        <v>171</v>
      </c>
      <c r="D6" s="50" t="s">
        <v>210</v>
      </c>
      <c r="E6" s="337" t="s">
        <v>70</v>
      </c>
      <c r="F6" s="338" t="s">
        <v>383</v>
      </c>
      <c r="G6" s="339" t="s">
        <v>70</v>
      </c>
      <c r="H6" s="340" t="s">
        <v>383</v>
      </c>
      <c r="I6" s="337" t="s">
        <v>70</v>
      </c>
      <c r="J6" s="338" t="s">
        <v>383</v>
      </c>
      <c r="K6" s="339" t="s">
        <v>70</v>
      </c>
      <c r="L6" s="340" t="s">
        <v>383</v>
      </c>
      <c r="M6" s="337" t="s">
        <v>70</v>
      </c>
      <c r="N6" s="338" t="s">
        <v>383</v>
      </c>
      <c r="O6" s="341" t="s">
        <v>70</v>
      </c>
      <c r="P6" s="342" t="s">
        <v>383</v>
      </c>
      <c r="S6" s="50" t="s">
        <v>400</v>
      </c>
    </row>
    <row r="7" spans="3:21" ht="13.5" thickTop="1">
      <c r="C7" s="20" t="s">
        <v>180</v>
      </c>
      <c r="D7" s="20" t="s">
        <v>181</v>
      </c>
      <c r="E7" s="325">
        <f>SUMIF('Pre- and Production'!$U$5:$U$375, 'WBS Summary'!$C7,'Pre- and Production'!AC$5:AC$375)</f>
        <v>40</v>
      </c>
      <c r="F7" s="326">
        <f>SUMIF('Pre- and Production'!$U$5:$U$375, 'WBS Summary'!$C7,'Pre- and Production'!AM$5:AM$375)</f>
        <v>0</v>
      </c>
      <c r="G7" s="327">
        <f>SUMIF('Pre- and Production'!$U$5:$U$375, 'WBS Summary'!$C7,'Pre- and Production'!AD$5:AD$375)</f>
        <v>143</v>
      </c>
      <c r="H7" s="328">
        <f>SUMIF('Pre- and Production'!$U$5:$U$375, 'WBS Summary'!$C7,'Pre- and Production'!AN$5:AN$375)</f>
        <v>0</v>
      </c>
      <c r="I7" s="325">
        <f>SUMIF('Pre- and Production'!$U$5:$U$375, 'WBS Summary'!$C7,'Pre- and Production'!AE$5:AE$375)</f>
        <v>0</v>
      </c>
      <c r="J7" s="326">
        <f>SUMIF('Pre- and Production'!$U$5:$U$375, 'WBS Summary'!$C7,'Pre- and Production'!AO$5:AO$375)</f>
        <v>0</v>
      </c>
      <c r="K7" s="327">
        <f>SUMIF('Pre- and Production'!$U$5:$U$375, 'WBS Summary'!$C7,'Pre- and Production'!AF$5:AF$375)</f>
        <v>0</v>
      </c>
      <c r="L7" s="328">
        <f>SUMIF('Pre- and Production'!$U$5:$U$375, 'WBS Summary'!$C7,'Pre- and Production'!AP$5:AP$375)</f>
        <v>0</v>
      </c>
      <c r="M7" s="325">
        <f>SUMIF('Pre- and Production'!$U$5:$U$375, 'WBS Summary'!$C7,'Pre- and Production'!AG$5:AG$375)</f>
        <v>0</v>
      </c>
      <c r="N7" s="326">
        <f>SUMIF('Pre- and Production'!$U$5:$U$375, 'WBS Summary'!$C7,'Pre- and Production'!AQ$5:AQ$375)</f>
        <v>0</v>
      </c>
      <c r="O7" s="319">
        <f ca="1">SUMIF('Pre- and Production'!$U$5:$U$375, 'WBS Summary'!$C7,'Pre- and Production'!AH$5:AH$375)</f>
        <v>26702.5</v>
      </c>
      <c r="P7" s="320">
        <f>SUMIF('Pre- and Production'!$U$5:$U$375, 'WBS Summary'!$C7,'Pre- and Production'!AR$5:AR$375)</f>
        <v>0</v>
      </c>
      <c r="R7" s="50" t="s">
        <v>180</v>
      </c>
      <c r="S7" s="354">
        <f>SUM(U7:U21)</f>
        <v>8458.75</v>
      </c>
      <c r="T7" s="50"/>
      <c r="U7" s="354">
        <f>SUM(E7:N7)</f>
        <v>183</v>
      </c>
    </row>
    <row r="8" spans="3:21">
      <c r="C8" s="134" t="s">
        <v>182</v>
      </c>
      <c r="D8" s="20" t="s">
        <v>183</v>
      </c>
      <c r="E8" s="329">
        <f>SUMIF('Pre- and Production'!$U$5:$U$375, 'WBS Summary'!$C8,'Pre- and Production'!AC$5:AC$375)</f>
        <v>0</v>
      </c>
      <c r="F8" s="330">
        <f>SUMIF('Pre- and Production'!$U$5:$U$375, 'WBS Summary'!$C8,'Pre- and Production'!AM$5:AM$375)</f>
        <v>0</v>
      </c>
      <c r="G8" s="331">
        <f>SUMIF('Pre- and Production'!$U$5:$U$375, 'WBS Summary'!$C8,'Pre- and Production'!AD$5:AD$375)</f>
        <v>0</v>
      </c>
      <c r="H8" s="332">
        <f>SUMIF('Pre- and Production'!$U$5:$U$375, 'WBS Summary'!$C8,'Pre- and Production'!AN$5:AN$375)</f>
        <v>0</v>
      </c>
      <c r="I8" s="329">
        <f>SUMIF('Pre- and Production'!$U$5:$U$375, 'WBS Summary'!$C8,'Pre- and Production'!AE$5:AE$375)</f>
        <v>0</v>
      </c>
      <c r="J8" s="330">
        <f>SUMIF('Pre- and Production'!$U$5:$U$375, 'WBS Summary'!$C8,'Pre- and Production'!AO$5:AO$375)</f>
        <v>0</v>
      </c>
      <c r="K8" s="331">
        <f>SUMIF('Pre- and Production'!$U$5:$U$375, 'WBS Summary'!$C8,'Pre- and Production'!AF$5:AF$375)</f>
        <v>0</v>
      </c>
      <c r="L8" s="332">
        <f>SUMIF('Pre- and Production'!$U$5:$U$375, 'WBS Summary'!$C8,'Pre- and Production'!AP$5:AP$375)</f>
        <v>0</v>
      </c>
      <c r="M8" s="329">
        <f>SUMIF('Pre- and Production'!$U$5:$U$375, 'WBS Summary'!$C8,'Pre- and Production'!AG$5:AG$375)</f>
        <v>0</v>
      </c>
      <c r="N8" s="330">
        <f>SUMIF('Pre- and Production'!$U$5:$U$375, 'WBS Summary'!$C8,'Pre- and Production'!AQ$5:AQ$375)</f>
        <v>0</v>
      </c>
      <c r="O8" s="321">
        <f>SUMIF('Pre- and Production'!$U$5:$U$375, 'WBS Summary'!$C8,'Pre- and Production'!AH$5:AH$375)</f>
        <v>0</v>
      </c>
      <c r="P8" s="322">
        <f>SUMIF('Pre- and Production'!$U$5:$U$375, 'WBS Summary'!$C8,'Pre- and Production'!AR$5:AR$375)</f>
        <v>0</v>
      </c>
      <c r="R8" s="356" t="s">
        <v>182</v>
      </c>
      <c r="T8" s="355">
        <f>SUM(U8:U10)</f>
        <v>1438.75</v>
      </c>
      <c r="U8" s="355">
        <f t="shared" ref="U8:U40" si="0">SUM(E8:N8)</f>
        <v>0</v>
      </c>
    </row>
    <row r="9" spans="3:21">
      <c r="C9" s="46" t="s">
        <v>184</v>
      </c>
      <c r="D9" s="20" t="s">
        <v>185</v>
      </c>
      <c r="E9" s="329">
        <f>SUMIF('Pre- and Production'!$U$5:$U$375, 'WBS Summary'!$C9,'Pre- and Production'!AC$5:AC$375)</f>
        <v>54.75</v>
      </c>
      <c r="F9" s="330">
        <f>SUMIF('Pre- and Production'!$U$5:$U$375, 'WBS Summary'!$C9,'Pre- and Production'!AM$5:AM$375)</f>
        <v>109</v>
      </c>
      <c r="G9" s="331">
        <f>SUMIF('Pre- and Production'!$U$5:$U$375, 'WBS Summary'!$C9,'Pre- and Production'!AD$5:AD$375)</f>
        <v>32</v>
      </c>
      <c r="H9" s="332">
        <f>SUMIF('Pre- and Production'!$U$5:$U$375, 'WBS Summary'!$C9,'Pre- and Production'!AN$5:AN$375)</f>
        <v>44</v>
      </c>
      <c r="I9" s="329">
        <f>SUMIF('Pre- and Production'!$U$5:$U$375, 'WBS Summary'!$C9,'Pre- and Production'!AE$5:AE$375)</f>
        <v>0</v>
      </c>
      <c r="J9" s="330">
        <f>SUMIF('Pre- and Production'!$U$5:$U$375, 'WBS Summary'!$C9,'Pre- and Production'!AO$5:AO$375)</f>
        <v>0</v>
      </c>
      <c r="K9" s="331">
        <f>SUMIF('Pre- and Production'!$U$5:$U$375, 'WBS Summary'!$C9,'Pre- and Production'!AF$5:AF$375)</f>
        <v>100</v>
      </c>
      <c r="L9" s="332">
        <f>SUMIF('Pre- and Production'!$U$5:$U$375, 'WBS Summary'!$C9,'Pre- and Production'!AP$5:AP$375)</f>
        <v>128</v>
      </c>
      <c r="M9" s="329">
        <f>SUMIF('Pre- and Production'!$U$5:$U$375, 'WBS Summary'!$C9,'Pre- and Production'!AG$5:AG$375)</f>
        <v>0</v>
      </c>
      <c r="N9" s="330">
        <f>SUMIF('Pre- and Production'!$U$5:$U$375, 'WBS Summary'!$C9,'Pre- and Production'!AQ$5:AQ$375)</f>
        <v>0</v>
      </c>
      <c r="O9" s="321">
        <f>SUMIF('Pre- and Production'!$U$5:$U$375, 'WBS Summary'!$C9,'Pre- and Production'!AH$5:AH$375)</f>
        <v>1500</v>
      </c>
      <c r="P9" s="322">
        <f>SUMIF('Pre- and Production'!$U$5:$U$375, 'WBS Summary'!$C9,'Pre- and Production'!AR$5:AR$375)</f>
        <v>2544</v>
      </c>
      <c r="R9" s="46" t="s">
        <v>184</v>
      </c>
      <c r="U9" s="353">
        <f t="shared" si="0"/>
        <v>467.75</v>
      </c>
    </row>
    <row r="10" spans="3:21">
      <c r="C10" s="46" t="s">
        <v>186</v>
      </c>
      <c r="D10" s="20" t="s">
        <v>188</v>
      </c>
      <c r="E10" s="329">
        <f>SUMIF('Pre- and Production'!$U$5:$U$375, 'WBS Summary'!$C10,'Pre- and Production'!AC$5:AC$375)</f>
        <v>387.5</v>
      </c>
      <c r="F10" s="330">
        <f>SUMIF('Pre- and Production'!$U$5:$U$375, 'WBS Summary'!$C10,'Pre- and Production'!AM$5:AM$375)</f>
        <v>77.5</v>
      </c>
      <c r="G10" s="331">
        <f>SUMIF('Pre- and Production'!$U$5:$U$375, 'WBS Summary'!$C10,'Pre- and Production'!AD$5:AD$375)</f>
        <v>224</v>
      </c>
      <c r="H10" s="332">
        <f>SUMIF('Pre- and Production'!$U$5:$U$375, 'WBS Summary'!$C10,'Pre- and Production'!AN$5:AN$375)</f>
        <v>14</v>
      </c>
      <c r="I10" s="329">
        <f>SUMIF('Pre- and Production'!$U$5:$U$375, 'WBS Summary'!$C10,'Pre- and Production'!AE$5:AE$375)</f>
        <v>0</v>
      </c>
      <c r="J10" s="330">
        <f>SUMIF('Pre- and Production'!$U$5:$U$375, 'WBS Summary'!$C10,'Pre- and Production'!AO$5:AO$375)</f>
        <v>0</v>
      </c>
      <c r="K10" s="331">
        <f>SUMIF('Pre- and Production'!$U$5:$U$375, 'WBS Summary'!$C10,'Pre- and Production'!AF$5:AF$375)</f>
        <v>159</v>
      </c>
      <c r="L10" s="332">
        <f>SUMIF('Pre- and Production'!$U$5:$U$375, 'WBS Summary'!$C10,'Pre- and Production'!AP$5:AP$375)</f>
        <v>109</v>
      </c>
      <c r="M10" s="329">
        <f>SUMIF('Pre- and Production'!$U$5:$U$375, 'WBS Summary'!$C10,'Pre- and Production'!AG$5:AG$375)</f>
        <v>0</v>
      </c>
      <c r="N10" s="330">
        <f>SUMIF('Pre- and Production'!$U$5:$U$375, 'WBS Summary'!$C10,'Pre- and Production'!AQ$5:AQ$375)</f>
        <v>0</v>
      </c>
      <c r="O10" s="321">
        <f>SUMIF('Pre- and Production'!$U$5:$U$375, 'WBS Summary'!$C10,'Pre- and Production'!AH$5:AH$375)</f>
        <v>25552.5</v>
      </c>
      <c r="P10" s="322">
        <f>SUMIF('Pre- and Production'!$U$5:$U$375, 'WBS Summary'!$C10,'Pre- and Production'!AR$5:AR$375)</f>
        <v>21632.5</v>
      </c>
      <c r="R10" s="46" t="s">
        <v>186</v>
      </c>
      <c r="U10" s="353">
        <f t="shared" si="0"/>
        <v>971</v>
      </c>
    </row>
    <row r="11" spans="3:21" s="343" customFormat="1">
      <c r="C11" s="134" t="s">
        <v>189</v>
      </c>
      <c r="D11" s="20" t="s">
        <v>187</v>
      </c>
      <c r="E11" s="329">
        <f>SUMIF('Pre- and Production'!$U$5:$U$375, 'WBS Summary'!$C11,'Pre- and Production'!AC$5:AC$375)</f>
        <v>0</v>
      </c>
      <c r="F11" s="330">
        <f>SUMIF('Pre- and Production'!$U$5:$U$375, 'WBS Summary'!$C11,'Pre- and Production'!AM$5:AM$375)</f>
        <v>0</v>
      </c>
      <c r="G11" s="331">
        <f>SUMIF('Pre- and Production'!$U$5:$U$375, 'WBS Summary'!$C11,'Pre- and Production'!AD$5:AD$375)</f>
        <v>0</v>
      </c>
      <c r="H11" s="332">
        <f>SUMIF('Pre- and Production'!$U$5:$U$375, 'WBS Summary'!$C11,'Pre- and Production'!AN$5:AN$375)</f>
        <v>0</v>
      </c>
      <c r="I11" s="329">
        <f>SUMIF('Pre- and Production'!$U$5:$U$375, 'WBS Summary'!$C11,'Pre- and Production'!AE$5:AE$375)</f>
        <v>0</v>
      </c>
      <c r="J11" s="330">
        <f>SUMIF('Pre- and Production'!$U$5:$U$375, 'WBS Summary'!$C11,'Pre- and Production'!AO$5:AO$375)</f>
        <v>0</v>
      </c>
      <c r="K11" s="331">
        <f>SUMIF('Pre- and Production'!$U$5:$U$375, 'WBS Summary'!$C11,'Pre- and Production'!AF$5:AF$375)</f>
        <v>0</v>
      </c>
      <c r="L11" s="332">
        <f>SUMIF('Pre- and Production'!$U$5:$U$375, 'WBS Summary'!$C11,'Pre- and Production'!AP$5:AP$375)</f>
        <v>0</v>
      </c>
      <c r="M11" s="329">
        <f>SUMIF('Pre- and Production'!$U$5:$U$375, 'WBS Summary'!$C11,'Pre- and Production'!AG$5:AG$375)</f>
        <v>0</v>
      </c>
      <c r="N11" s="330">
        <f>SUMIF('Pre- and Production'!$U$5:$U$375, 'WBS Summary'!$C11,'Pre- and Production'!AQ$5:AQ$375)</f>
        <v>0</v>
      </c>
      <c r="O11" s="321">
        <f>SUMIF('Pre- and Production'!$U$5:$U$375, 'WBS Summary'!$C11,'Pre- and Production'!AH$5:AH$375)</f>
        <v>0</v>
      </c>
      <c r="P11" s="322">
        <f>SUMIF('Pre- and Production'!$U$5:$U$375, 'WBS Summary'!$C11,'Pre- and Production'!AR$5:AR$375)</f>
        <v>0</v>
      </c>
      <c r="R11" s="356" t="s">
        <v>189</v>
      </c>
      <c r="S11" s="352"/>
      <c r="T11" s="355">
        <f>SUM(U11:U14)</f>
        <v>2575</v>
      </c>
      <c r="U11" s="355">
        <f t="shared" si="0"/>
        <v>0</v>
      </c>
    </row>
    <row r="12" spans="3:21" s="343" customFormat="1">
      <c r="C12" s="46" t="s">
        <v>191</v>
      </c>
      <c r="D12" s="20" t="s">
        <v>192</v>
      </c>
      <c r="E12" s="329">
        <f>SUMIF('Pre- and Production'!$U$5:$U$375, 'WBS Summary'!$C12,'Pre- and Production'!AC$5:AC$375)</f>
        <v>166</v>
      </c>
      <c r="F12" s="330">
        <f>SUMIF('Pre- and Production'!$U$5:$U$375, 'WBS Summary'!$C12,'Pre- and Production'!AM$5:AM$375)</f>
        <v>52</v>
      </c>
      <c r="G12" s="331">
        <f>SUMIF('Pre- and Production'!$U$5:$U$375, 'WBS Summary'!$C12,'Pre- and Production'!AD$5:AD$375)</f>
        <v>382</v>
      </c>
      <c r="H12" s="332">
        <f>SUMIF('Pre- and Production'!$U$5:$U$375, 'WBS Summary'!$C12,'Pre- and Production'!AN$5:AN$375)</f>
        <v>270</v>
      </c>
      <c r="I12" s="329">
        <f>SUMIF('Pre- and Production'!$U$5:$U$375, 'WBS Summary'!$C12,'Pre- and Production'!AE$5:AE$375)</f>
        <v>4</v>
      </c>
      <c r="J12" s="330">
        <f>SUMIF('Pre- and Production'!$U$5:$U$375, 'WBS Summary'!$C12,'Pre- and Production'!AO$5:AO$375)</f>
        <v>0</v>
      </c>
      <c r="K12" s="331">
        <f>SUMIF('Pre- and Production'!$U$5:$U$375, 'WBS Summary'!$C12,'Pre- and Production'!AF$5:AF$375)</f>
        <v>409</v>
      </c>
      <c r="L12" s="332">
        <f>SUMIF('Pre- and Production'!$U$5:$U$375, 'WBS Summary'!$C12,'Pre- and Production'!AP$5:AP$375)</f>
        <v>179</v>
      </c>
      <c r="M12" s="329">
        <f>SUMIF('Pre- and Production'!$U$5:$U$375, 'WBS Summary'!$C12,'Pre- and Production'!AG$5:AG$375)</f>
        <v>0</v>
      </c>
      <c r="N12" s="330">
        <f>SUMIF('Pre- and Production'!$U$5:$U$375, 'WBS Summary'!$C12,'Pre- and Production'!AQ$5:AQ$375)</f>
        <v>0</v>
      </c>
      <c r="O12" s="321">
        <f>SUMIF('Pre- and Production'!$U$5:$U$375, 'WBS Summary'!$C12,'Pre- and Production'!AH$5:AH$375)</f>
        <v>16632.5</v>
      </c>
      <c r="P12" s="322">
        <f>SUMIF('Pre- and Production'!$U$5:$U$375, 'WBS Summary'!$C12,'Pre- and Production'!AR$5:AR$375)</f>
        <v>11592.5</v>
      </c>
      <c r="R12" s="46" t="s">
        <v>191</v>
      </c>
      <c r="S12" s="352"/>
      <c r="T12" s="352"/>
      <c r="U12" s="353">
        <f t="shared" si="0"/>
        <v>1462</v>
      </c>
    </row>
    <row r="13" spans="3:21" s="343" customFormat="1">
      <c r="C13" s="46" t="s">
        <v>193</v>
      </c>
      <c r="D13" s="20" t="s">
        <v>194</v>
      </c>
      <c r="E13" s="329">
        <f>SUMIF('Pre- and Production'!$U$5:$U$375, 'WBS Summary'!$C13,'Pre- and Production'!AC$5:AC$375)</f>
        <v>132</v>
      </c>
      <c r="F13" s="330">
        <f>SUMIF('Pre- and Production'!$U$5:$U$375, 'WBS Summary'!$C13,'Pre- and Production'!AM$5:AM$375)</f>
        <v>48</v>
      </c>
      <c r="G13" s="331">
        <f>SUMIF('Pre- and Production'!$U$5:$U$375, 'WBS Summary'!$C13,'Pre- and Production'!AD$5:AD$375)</f>
        <v>0</v>
      </c>
      <c r="H13" s="332">
        <f>SUMIF('Pre- and Production'!$U$5:$U$375, 'WBS Summary'!$C13,'Pre- and Production'!AN$5:AN$375)</f>
        <v>0</v>
      </c>
      <c r="I13" s="329">
        <f>SUMIF('Pre- and Production'!$U$5:$U$375, 'WBS Summary'!$C13,'Pre- and Production'!AE$5:AE$375)</f>
        <v>0</v>
      </c>
      <c r="J13" s="330">
        <f>SUMIF('Pre- and Production'!$U$5:$U$375, 'WBS Summary'!$C13,'Pre- and Production'!AO$5:AO$375)</f>
        <v>0</v>
      </c>
      <c r="K13" s="331">
        <f>SUMIF('Pre- and Production'!$U$5:$U$375, 'WBS Summary'!$C13,'Pre- and Production'!AF$5:AF$375)</f>
        <v>230</v>
      </c>
      <c r="L13" s="332">
        <f>SUMIF('Pre- and Production'!$U$5:$U$375, 'WBS Summary'!$C13,'Pre- and Production'!AP$5:AP$375)</f>
        <v>12</v>
      </c>
      <c r="M13" s="329">
        <f>SUMIF('Pre- and Production'!$U$5:$U$375, 'WBS Summary'!$C13,'Pre- and Production'!AG$5:AG$375)</f>
        <v>0</v>
      </c>
      <c r="N13" s="330">
        <f>SUMIF('Pre- and Production'!$U$5:$U$375, 'WBS Summary'!$C13,'Pre- and Production'!AQ$5:AQ$375)</f>
        <v>0</v>
      </c>
      <c r="O13" s="321">
        <f>SUMIF('Pre- and Production'!$U$5:$U$375, 'WBS Summary'!$C13,'Pre- and Production'!AH$5:AH$375)</f>
        <v>240</v>
      </c>
      <c r="P13" s="322">
        <f>SUMIF('Pre- and Production'!$U$5:$U$375, 'WBS Summary'!$C13,'Pre- and Production'!AR$5:AR$375)</f>
        <v>48</v>
      </c>
      <c r="R13" s="46" t="s">
        <v>193</v>
      </c>
      <c r="S13" s="352"/>
      <c r="T13" s="352"/>
      <c r="U13" s="353">
        <f t="shared" si="0"/>
        <v>422</v>
      </c>
    </row>
    <row r="14" spans="3:21" s="343" customFormat="1">
      <c r="C14" s="46" t="s">
        <v>195</v>
      </c>
      <c r="D14" s="20" t="s">
        <v>196</v>
      </c>
      <c r="E14" s="329">
        <f>SUMIF('Pre- and Production'!$U$5:$U$375, 'WBS Summary'!$C14,'Pre- and Production'!AC$5:AC$375)</f>
        <v>80</v>
      </c>
      <c r="F14" s="330">
        <f>SUMIF('Pre- and Production'!$U$5:$U$375, 'WBS Summary'!$C14,'Pre- and Production'!AM$5:AM$375)</f>
        <v>112</v>
      </c>
      <c r="G14" s="331">
        <f>SUMIF('Pre- and Production'!$U$5:$U$375, 'WBS Summary'!$C14,'Pre- and Production'!AD$5:AD$375)</f>
        <v>182</v>
      </c>
      <c r="H14" s="332">
        <f>SUMIF('Pre- and Production'!$U$5:$U$375, 'WBS Summary'!$C14,'Pre- and Production'!AN$5:AN$375)</f>
        <v>128</v>
      </c>
      <c r="I14" s="329">
        <f>SUMIF('Pre- and Production'!$U$5:$U$375, 'WBS Summary'!$C14,'Pre- and Production'!AE$5:AE$375)</f>
        <v>0</v>
      </c>
      <c r="J14" s="330">
        <f>SUMIF('Pre- and Production'!$U$5:$U$375, 'WBS Summary'!$C14,'Pre- and Production'!AO$5:AO$375)</f>
        <v>0</v>
      </c>
      <c r="K14" s="331">
        <f>SUMIF('Pre- and Production'!$U$5:$U$375, 'WBS Summary'!$C14,'Pre- and Production'!AF$5:AF$375)</f>
        <v>87</v>
      </c>
      <c r="L14" s="332">
        <f>SUMIF('Pre- and Production'!$U$5:$U$375, 'WBS Summary'!$C14,'Pre- and Production'!AP$5:AP$375)</f>
        <v>102</v>
      </c>
      <c r="M14" s="329">
        <f>SUMIF('Pre- and Production'!$U$5:$U$375, 'WBS Summary'!$C14,'Pre- and Production'!AG$5:AG$375)</f>
        <v>0</v>
      </c>
      <c r="N14" s="330">
        <f>SUMIF('Pre- and Production'!$U$5:$U$375, 'WBS Summary'!$C14,'Pre- and Production'!AQ$5:AQ$375)</f>
        <v>0</v>
      </c>
      <c r="O14" s="321">
        <f>SUMIF('Pre- and Production'!$U$5:$U$375, 'WBS Summary'!$C14,'Pre- and Production'!AH$5:AH$375)</f>
        <v>13034.5</v>
      </c>
      <c r="P14" s="322">
        <f>SUMIF('Pre- and Production'!$U$5:$U$375, 'WBS Summary'!$C14,'Pre- and Production'!AR$5:AR$375)</f>
        <v>1796</v>
      </c>
      <c r="R14" s="46" t="s">
        <v>195</v>
      </c>
      <c r="S14" s="352"/>
      <c r="T14" s="352"/>
      <c r="U14" s="353">
        <f t="shared" si="0"/>
        <v>691</v>
      </c>
    </row>
    <row r="15" spans="3:21" s="343" customFormat="1">
      <c r="C15" s="134" t="s">
        <v>190</v>
      </c>
      <c r="D15" s="20" t="s">
        <v>197</v>
      </c>
      <c r="E15" s="329">
        <f>SUMIF('Pre- and Production'!$U$5:$U$375, 'WBS Summary'!$C15,'Pre- and Production'!AC$5:AC$375)</f>
        <v>0</v>
      </c>
      <c r="F15" s="330">
        <f>SUMIF('Pre- and Production'!$U$5:$U$375, 'WBS Summary'!$C15,'Pre- and Production'!AM$5:AM$375)</f>
        <v>0</v>
      </c>
      <c r="G15" s="331">
        <f>SUMIF('Pre- and Production'!$U$5:$U$375, 'WBS Summary'!$C15,'Pre- and Production'!AD$5:AD$375)</f>
        <v>0</v>
      </c>
      <c r="H15" s="332">
        <f>SUMIF('Pre- and Production'!$U$5:$U$375, 'WBS Summary'!$C15,'Pre- and Production'!AN$5:AN$375)</f>
        <v>0</v>
      </c>
      <c r="I15" s="329">
        <f>SUMIF('Pre- and Production'!$U$5:$U$375, 'WBS Summary'!$C15,'Pre- and Production'!AE$5:AE$375)</f>
        <v>0</v>
      </c>
      <c r="J15" s="330">
        <f>SUMIF('Pre- and Production'!$U$5:$U$375, 'WBS Summary'!$C15,'Pre- and Production'!AO$5:AO$375)</f>
        <v>0</v>
      </c>
      <c r="K15" s="331">
        <f>SUMIF('Pre- and Production'!$U$5:$U$375, 'WBS Summary'!$C15,'Pre- and Production'!AF$5:AF$375)</f>
        <v>0</v>
      </c>
      <c r="L15" s="332">
        <f>SUMIF('Pre- and Production'!$U$5:$U$375, 'WBS Summary'!$C15,'Pre- and Production'!AP$5:AP$375)</f>
        <v>0</v>
      </c>
      <c r="M15" s="329">
        <f>SUMIF('Pre- and Production'!$U$5:$U$375, 'WBS Summary'!$C15,'Pre- and Production'!AG$5:AG$375)</f>
        <v>0</v>
      </c>
      <c r="N15" s="330">
        <f>SUMIF('Pre- and Production'!$U$5:$U$375, 'WBS Summary'!$C15,'Pre- and Production'!AQ$5:AQ$375)</f>
        <v>0</v>
      </c>
      <c r="O15" s="321">
        <f>SUMIF('Pre- and Production'!$U$5:$U$375, 'WBS Summary'!$C15,'Pre- and Production'!AH$5:AH$375)</f>
        <v>0</v>
      </c>
      <c r="P15" s="322">
        <f>SUMIF('Pre- and Production'!$U$5:$U$375, 'WBS Summary'!$C15,'Pre- and Production'!AR$5:AR$375)</f>
        <v>0</v>
      </c>
      <c r="R15" s="356" t="s">
        <v>190</v>
      </c>
      <c r="S15" s="352"/>
      <c r="T15" s="355">
        <f>SUM(U15:U21)</f>
        <v>4262</v>
      </c>
      <c r="U15" s="355">
        <f t="shared" si="0"/>
        <v>0</v>
      </c>
    </row>
    <row r="16" spans="3:21" s="343" customFormat="1">
      <c r="C16" s="46" t="s">
        <v>198</v>
      </c>
      <c r="D16" s="20" t="s">
        <v>202</v>
      </c>
      <c r="E16" s="329">
        <f>SUMIF('Pre- and Production'!$U$5:$U$375, 'WBS Summary'!$C16,'Pre- and Production'!AC$5:AC$375)</f>
        <v>0</v>
      </c>
      <c r="F16" s="330">
        <f>SUMIF('Pre- and Production'!$U$5:$U$375, 'WBS Summary'!$C16,'Pre- and Production'!AM$5:AM$375)</f>
        <v>0</v>
      </c>
      <c r="G16" s="331">
        <f>SUMIF('Pre- and Production'!$U$5:$U$375, 'WBS Summary'!$C16,'Pre- and Production'!AD$5:AD$375)</f>
        <v>80</v>
      </c>
      <c r="H16" s="332">
        <f>SUMIF('Pre- and Production'!$U$5:$U$375, 'WBS Summary'!$C16,'Pre- and Production'!AN$5:AN$375)</f>
        <v>0</v>
      </c>
      <c r="I16" s="329">
        <f>SUMIF('Pre- and Production'!$U$5:$U$375, 'WBS Summary'!$C16,'Pre- and Production'!AE$5:AE$375)</f>
        <v>0</v>
      </c>
      <c r="J16" s="330">
        <f>SUMIF('Pre- and Production'!$U$5:$U$375, 'WBS Summary'!$C16,'Pre- and Production'!AO$5:AO$375)</f>
        <v>0</v>
      </c>
      <c r="K16" s="331">
        <f>SUMIF('Pre- and Production'!$U$5:$U$375, 'WBS Summary'!$C16,'Pre- and Production'!AF$5:AF$375)</f>
        <v>0</v>
      </c>
      <c r="L16" s="332">
        <f>SUMIF('Pre- and Production'!$U$5:$U$375, 'WBS Summary'!$C16,'Pre- and Production'!AP$5:AP$375)</f>
        <v>0</v>
      </c>
      <c r="M16" s="329">
        <f>SUMIF('Pre- and Production'!$U$5:$U$375, 'WBS Summary'!$C16,'Pre- and Production'!AG$5:AG$375)</f>
        <v>0</v>
      </c>
      <c r="N16" s="330">
        <f>SUMIF('Pre- and Production'!$U$5:$U$375, 'WBS Summary'!$C16,'Pre- and Production'!AQ$5:AQ$375)</f>
        <v>0</v>
      </c>
      <c r="O16" s="321">
        <f>SUMIF('Pre- and Production'!$U$5:$U$375, 'WBS Summary'!$C16,'Pre- and Production'!AH$5:AH$375)</f>
        <v>0</v>
      </c>
      <c r="P16" s="322">
        <f>SUMIF('Pre- and Production'!$U$5:$U$375, 'WBS Summary'!$C16,'Pre- and Production'!AR$5:AR$375)</f>
        <v>0</v>
      </c>
      <c r="R16" s="46" t="s">
        <v>198</v>
      </c>
      <c r="S16" s="352"/>
      <c r="T16" s="352"/>
      <c r="U16" s="353">
        <f t="shared" si="0"/>
        <v>80</v>
      </c>
    </row>
    <row r="17" spans="3:21" s="352" customFormat="1">
      <c r="C17" s="46" t="s">
        <v>199</v>
      </c>
      <c r="D17" s="20" t="s">
        <v>203</v>
      </c>
      <c r="E17" s="329">
        <f>SUMIF('Pre- and Production'!$U$5:$U$375, 'WBS Summary'!$C17,'Pre- and Production'!AC$5:AC$375)</f>
        <v>104</v>
      </c>
      <c r="F17" s="330">
        <f>SUMIF('Pre- and Production'!$U$5:$U$375, 'WBS Summary'!$C17,'Pre- and Production'!AM$5:AM$375)</f>
        <v>60</v>
      </c>
      <c r="G17" s="331">
        <f>SUMIF('Pre- and Production'!$U$5:$U$375, 'WBS Summary'!$C17,'Pre- and Production'!AD$5:AD$375)</f>
        <v>648</v>
      </c>
      <c r="H17" s="332">
        <f>SUMIF('Pre- and Production'!$U$5:$U$375, 'WBS Summary'!$C17,'Pre- and Production'!AN$5:AN$375)</f>
        <v>80</v>
      </c>
      <c r="I17" s="329">
        <f>SUMIF('Pre- and Production'!$U$5:$U$375, 'WBS Summary'!$C17,'Pre- and Production'!AE$5:AE$375)</f>
        <v>80</v>
      </c>
      <c r="J17" s="330">
        <f>SUMIF('Pre- and Production'!$U$5:$U$375, 'WBS Summary'!$C17,'Pre- and Production'!AO$5:AO$375)</f>
        <v>16</v>
      </c>
      <c r="K17" s="331">
        <f>SUMIF('Pre- and Production'!$U$5:$U$375, 'WBS Summary'!$C17,'Pre- and Production'!AF$5:AF$375)</f>
        <v>838</v>
      </c>
      <c r="L17" s="332">
        <f>SUMIF('Pre- and Production'!$U$5:$U$375, 'WBS Summary'!$C17,'Pre- and Production'!AP$5:AP$375)</f>
        <v>60</v>
      </c>
      <c r="M17" s="329">
        <f>SUMIF('Pre- and Production'!$U$5:$U$375, 'WBS Summary'!$C17,'Pre- and Production'!AG$5:AG$375)</f>
        <v>0</v>
      </c>
      <c r="N17" s="330">
        <f>SUMIF('Pre- and Production'!$U$5:$U$375, 'WBS Summary'!$C17,'Pre- and Production'!AQ$5:AQ$375)</f>
        <v>0</v>
      </c>
      <c r="O17" s="321">
        <f>SUMIF('Pre- and Production'!$U$5:$U$375, 'WBS Summary'!$C17,'Pre- and Production'!AH$5:AH$375)</f>
        <v>19400</v>
      </c>
      <c r="P17" s="322">
        <f>SUMIF('Pre- and Production'!$U$5:$U$375, 'WBS Summary'!$C17,'Pre- and Production'!AR$5:AR$375)</f>
        <v>960</v>
      </c>
      <c r="R17" s="46" t="s">
        <v>199</v>
      </c>
      <c r="U17" s="353">
        <f t="shared" si="0"/>
        <v>1886</v>
      </c>
    </row>
    <row r="18" spans="3:21" s="352" customFormat="1">
      <c r="C18" s="46" t="s">
        <v>200</v>
      </c>
      <c r="D18" s="20" t="s">
        <v>204</v>
      </c>
      <c r="E18" s="329">
        <f>SUMIF('Pre- and Production'!$U$5:$U$375, 'WBS Summary'!$C18,'Pre- and Production'!AC$5:AC$375)</f>
        <v>120</v>
      </c>
      <c r="F18" s="330">
        <f>SUMIF('Pre- and Production'!$U$5:$U$375, 'WBS Summary'!$C18,'Pre- and Production'!AM$5:AM$375)</f>
        <v>0</v>
      </c>
      <c r="G18" s="331">
        <f>SUMIF('Pre- and Production'!$U$5:$U$375, 'WBS Summary'!$C18,'Pre- and Production'!AD$5:AD$375)</f>
        <v>192</v>
      </c>
      <c r="H18" s="332">
        <f>SUMIF('Pre- and Production'!$U$5:$U$375, 'WBS Summary'!$C18,'Pre- and Production'!AN$5:AN$375)</f>
        <v>0</v>
      </c>
      <c r="I18" s="329">
        <f>SUMIF('Pre- and Production'!$U$5:$U$375, 'WBS Summary'!$C18,'Pre- and Production'!AE$5:AE$375)</f>
        <v>0</v>
      </c>
      <c r="J18" s="330">
        <f>SUMIF('Pre- and Production'!$U$5:$U$375, 'WBS Summary'!$C18,'Pre- and Production'!AO$5:AO$375)</f>
        <v>0</v>
      </c>
      <c r="K18" s="331">
        <f>SUMIF('Pre- and Production'!$U$5:$U$375, 'WBS Summary'!$C18,'Pre- and Production'!AF$5:AF$375)</f>
        <v>476</v>
      </c>
      <c r="L18" s="332">
        <f>SUMIF('Pre- and Production'!$U$5:$U$375, 'WBS Summary'!$C18,'Pre- and Production'!AP$5:AP$375)</f>
        <v>0</v>
      </c>
      <c r="M18" s="329">
        <f>SUMIF('Pre- and Production'!$U$5:$U$375, 'WBS Summary'!$C18,'Pre- and Production'!AG$5:AG$375)</f>
        <v>0</v>
      </c>
      <c r="N18" s="330">
        <f>SUMIF('Pre- and Production'!$U$5:$U$375, 'WBS Summary'!$C18,'Pre- and Production'!AQ$5:AQ$375)</f>
        <v>0</v>
      </c>
      <c r="O18" s="321">
        <f>SUMIF('Pre- and Production'!$U$5:$U$375, 'WBS Summary'!$C18,'Pre- and Production'!AH$5:AH$375)</f>
        <v>2300</v>
      </c>
      <c r="P18" s="322">
        <f>SUMIF('Pre- and Production'!$U$5:$U$375, 'WBS Summary'!$C18,'Pre- and Production'!AR$5:AR$375)</f>
        <v>0</v>
      </c>
      <c r="R18" s="46" t="s">
        <v>200</v>
      </c>
      <c r="U18" s="353">
        <f t="shared" si="0"/>
        <v>788</v>
      </c>
    </row>
    <row r="19" spans="3:21" s="352" customFormat="1">
      <c r="C19" s="46" t="s">
        <v>201</v>
      </c>
      <c r="D19" s="20" t="s">
        <v>205</v>
      </c>
      <c r="E19" s="329">
        <f>SUMIF('Pre- and Production'!$U$5:$U$375, 'WBS Summary'!$C19,'Pre- and Production'!AC$5:AC$375)</f>
        <v>64</v>
      </c>
      <c r="F19" s="330">
        <f>SUMIF('Pre- and Production'!$U$5:$U$375, 'WBS Summary'!$C19,'Pre- and Production'!AM$5:AM$375)</f>
        <v>96</v>
      </c>
      <c r="G19" s="331">
        <f>SUMIF('Pre- and Production'!$U$5:$U$375, 'WBS Summary'!$C19,'Pre- and Production'!AD$5:AD$375)</f>
        <v>112</v>
      </c>
      <c r="H19" s="332">
        <f>SUMIF('Pre- and Production'!$U$5:$U$375, 'WBS Summary'!$C19,'Pre- and Production'!AN$5:AN$375)</f>
        <v>112</v>
      </c>
      <c r="I19" s="329">
        <f>SUMIF('Pre- and Production'!$U$5:$U$375, 'WBS Summary'!$C19,'Pre- and Production'!AE$5:AE$375)</f>
        <v>0</v>
      </c>
      <c r="J19" s="330">
        <f>SUMIF('Pre- and Production'!$U$5:$U$375, 'WBS Summary'!$C19,'Pre- and Production'!AO$5:AO$375)</f>
        <v>0</v>
      </c>
      <c r="K19" s="331">
        <f>SUMIF('Pre- and Production'!$U$5:$U$375, 'WBS Summary'!$C19,'Pre- and Production'!AF$5:AF$375)</f>
        <v>72</v>
      </c>
      <c r="L19" s="332">
        <f>SUMIF('Pre- and Production'!$U$5:$U$375, 'WBS Summary'!$C19,'Pre- and Production'!AP$5:AP$375)</f>
        <v>112</v>
      </c>
      <c r="M19" s="329">
        <f>SUMIF('Pre- and Production'!$U$5:$U$375, 'WBS Summary'!$C19,'Pre- and Production'!AG$5:AG$375)</f>
        <v>0</v>
      </c>
      <c r="N19" s="330">
        <f>SUMIF('Pre- and Production'!$U$5:$U$375, 'WBS Summary'!$C19,'Pre- and Production'!AQ$5:AQ$375)</f>
        <v>0</v>
      </c>
      <c r="O19" s="321">
        <f>SUMIF('Pre- and Production'!$U$5:$U$375, 'WBS Summary'!$C19,'Pre- and Production'!AH$5:AH$375)</f>
        <v>1160</v>
      </c>
      <c r="P19" s="322">
        <f>SUMIF('Pre- and Production'!$U$5:$U$375, 'WBS Summary'!$C19,'Pre- and Production'!AR$5:AR$375)</f>
        <v>1160</v>
      </c>
      <c r="R19" s="46" t="s">
        <v>201</v>
      </c>
      <c r="U19" s="353">
        <f t="shared" si="0"/>
        <v>568</v>
      </c>
    </row>
    <row r="20" spans="3:21" s="352" customFormat="1">
      <c r="C20" s="46" t="s">
        <v>206</v>
      </c>
      <c r="D20" s="20" t="s">
        <v>208</v>
      </c>
      <c r="E20" s="329">
        <f>SUMIF('Pre- and Production'!$U$5:$U$375, 'WBS Summary'!$C20,'Pre- and Production'!AC$5:AC$375)</f>
        <v>56</v>
      </c>
      <c r="F20" s="330">
        <f>SUMIF('Pre- and Production'!$U$5:$U$375, 'WBS Summary'!$C20,'Pre- and Production'!AM$5:AM$375)</f>
        <v>0</v>
      </c>
      <c r="G20" s="331">
        <f>SUMIF('Pre- and Production'!$U$5:$U$375, 'WBS Summary'!$C20,'Pre- and Production'!AD$5:AD$375)</f>
        <v>116</v>
      </c>
      <c r="H20" s="332">
        <f>SUMIF('Pre- and Production'!$U$5:$U$375, 'WBS Summary'!$C20,'Pre- and Production'!AN$5:AN$375)</f>
        <v>0</v>
      </c>
      <c r="I20" s="329">
        <f>SUMIF('Pre- and Production'!$U$5:$U$375, 'WBS Summary'!$C20,'Pre- and Production'!AE$5:AE$375)</f>
        <v>0</v>
      </c>
      <c r="J20" s="330">
        <f>SUMIF('Pre- and Production'!$U$5:$U$375, 'WBS Summary'!$C20,'Pre- and Production'!AO$5:AO$375)</f>
        <v>0</v>
      </c>
      <c r="K20" s="331">
        <f>SUMIF('Pre- and Production'!$U$5:$U$375, 'WBS Summary'!$C20,'Pre- and Production'!AF$5:AF$375)</f>
        <v>152</v>
      </c>
      <c r="L20" s="332">
        <f>SUMIF('Pre- and Production'!$U$5:$U$375, 'WBS Summary'!$C20,'Pre- and Production'!AP$5:AP$375)</f>
        <v>0</v>
      </c>
      <c r="M20" s="329">
        <f>SUMIF('Pre- and Production'!$U$5:$U$375, 'WBS Summary'!$C20,'Pre- and Production'!AG$5:AG$375)</f>
        <v>8</v>
      </c>
      <c r="N20" s="330">
        <f>SUMIF('Pre- and Production'!$U$5:$U$375, 'WBS Summary'!$C20,'Pre- and Production'!AQ$5:AQ$375)</f>
        <v>0</v>
      </c>
      <c r="O20" s="321">
        <f>SUMIF('Pre- and Production'!$U$5:$U$375, 'WBS Summary'!$C20,'Pre- and Production'!AH$5:AH$375)</f>
        <v>3280</v>
      </c>
      <c r="P20" s="322">
        <f>SUMIF('Pre- and Production'!$U$5:$U$375, 'WBS Summary'!$C20,'Pre- and Production'!AR$5:AR$375)</f>
        <v>0</v>
      </c>
      <c r="R20" s="46" t="s">
        <v>206</v>
      </c>
      <c r="U20" s="353">
        <f t="shared" si="0"/>
        <v>332</v>
      </c>
    </row>
    <row r="21" spans="3:21" s="352" customFormat="1">
      <c r="C21" s="46" t="s">
        <v>207</v>
      </c>
      <c r="D21" s="20" t="s">
        <v>209</v>
      </c>
      <c r="E21" s="329">
        <f>SUMIF('Pre- and Production'!$U$5:$U$375, 'WBS Summary'!$C21,'Pre- and Production'!AC$5:AC$375)</f>
        <v>96</v>
      </c>
      <c r="F21" s="330">
        <f>SUMIF('Pre- and Production'!$U$5:$U$375, 'WBS Summary'!$C21,'Pre- and Production'!AM$5:AM$375)</f>
        <v>48</v>
      </c>
      <c r="G21" s="331">
        <f>SUMIF('Pre- and Production'!$U$5:$U$375, 'WBS Summary'!$C21,'Pre- and Production'!AD$5:AD$375)</f>
        <v>248</v>
      </c>
      <c r="H21" s="332">
        <f>SUMIF('Pre- and Production'!$U$5:$U$375, 'WBS Summary'!$C21,'Pre- and Production'!AN$5:AN$375)</f>
        <v>120</v>
      </c>
      <c r="I21" s="329">
        <f>SUMIF('Pre- and Production'!$U$5:$U$375, 'WBS Summary'!$C21,'Pre- and Production'!AE$5:AE$375)</f>
        <v>0</v>
      </c>
      <c r="J21" s="330">
        <f>SUMIF('Pre- and Production'!$U$5:$U$375, 'WBS Summary'!$C21,'Pre- and Production'!AO$5:AO$375)</f>
        <v>0</v>
      </c>
      <c r="K21" s="331">
        <f>SUMIF('Pre- and Production'!$U$5:$U$375, 'WBS Summary'!$C21,'Pre- and Production'!AF$5:AF$375)</f>
        <v>72</v>
      </c>
      <c r="L21" s="332">
        <f>SUMIF('Pre- and Production'!$U$5:$U$375, 'WBS Summary'!$C21,'Pre- and Production'!AP$5:AP$375)</f>
        <v>16</v>
      </c>
      <c r="M21" s="329">
        <f>SUMIF('Pre- and Production'!$U$5:$U$375, 'WBS Summary'!$C21,'Pre- and Production'!AG$5:AG$375)</f>
        <v>8</v>
      </c>
      <c r="N21" s="330">
        <f>SUMIF('Pre- and Production'!$U$5:$U$375, 'WBS Summary'!$C21,'Pre- and Production'!AQ$5:AQ$375)</f>
        <v>0</v>
      </c>
      <c r="O21" s="321">
        <f>SUMIF('Pre- and Production'!$U$5:$U$375, 'WBS Summary'!$C21,'Pre- and Production'!AH$5:AH$375)</f>
        <v>3280</v>
      </c>
      <c r="P21" s="322">
        <f>SUMIF('Pre- and Production'!$U$5:$U$375, 'WBS Summary'!$C21,'Pre- and Production'!AR$5:AR$375)</f>
        <v>640</v>
      </c>
      <c r="R21" s="46" t="s">
        <v>207</v>
      </c>
      <c r="U21" s="353">
        <f t="shared" si="0"/>
        <v>608</v>
      </c>
    </row>
    <row r="22" spans="3:21" s="352" customFormat="1">
      <c r="C22" s="100" t="s">
        <v>405</v>
      </c>
      <c r="D22" s="20" t="s">
        <v>415</v>
      </c>
      <c r="E22" s="329">
        <f>SUMIF('Pre- and Production'!$U$5:$U$375, 'WBS Summary'!$C22,'Pre- and Production'!AC$5:AC$375)</f>
        <v>0</v>
      </c>
      <c r="F22" s="330">
        <f>SUMIF('Pre- and Production'!$U$5:$U$375, 'WBS Summary'!$C22,'Pre- and Production'!AM$5:AM$375)</f>
        <v>0</v>
      </c>
      <c r="G22" s="331">
        <f>SUMIF('Pre- and Production'!$U$5:$U$375, 'WBS Summary'!$C22,'Pre- and Production'!AD$5:AD$375)</f>
        <v>0</v>
      </c>
      <c r="H22" s="332">
        <f>SUMIF('Pre- and Production'!$U$5:$U$375, 'WBS Summary'!$C22,'Pre- and Production'!AN$5:AN$375)</f>
        <v>0</v>
      </c>
      <c r="I22" s="329">
        <f>SUMIF('Pre- and Production'!$U$5:$U$375, 'WBS Summary'!$C22,'Pre- and Production'!AE$5:AE$375)</f>
        <v>0</v>
      </c>
      <c r="J22" s="330">
        <f>SUMIF('Pre- and Production'!$U$5:$U$375, 'WBS Summary'!$C22,'Pre- and Production'!AO$5:AO$375)</f>
        <v>0</v>
      </c>
      <c r="K22" s="331">
        <f>SUMIF('Pre- and Production'!$U$5:$U$375, 'WBS Summary'!$C22,'Pre- and Production'!AF$5:AF$375)</f>
        <v>0</v>
      </c>
      <c r="L22" s="332">
        <f>SUMIF('Pre- and Production'!$U$5:$U$375, 'WBS Summary'!$C22,'Pre- and Production'!AP$5:AP$375)</f>
        <v>0</v>
      </c>
      <c r="M22" s="329">
        <f>SUMIF('Pre- and Production'!$U$5:$U$375, 'WBS Summary'!$C22,'Pre- and Production'!AG$5:AG$375)</f>
        <v>0</v>
      </c>
      <c r="N22" s="330">
        <f>SUMIF('Pre- and Production'!$U$5:$U$375, 'WBS Summary'!$C22,'Pre- and Production'!AQ$5:AQ$375)</f>
        <v>0</v>
      </c>
      <c r="O22" s="321">
        <f>SUMIF('Pre- and Production'!$U$5:$U$375, 'WBS Summary'!$C22,'Pre- and Production'!AH$5:AH$375)</f>
        <v>0</v>
      </c>
      <c r="P22" s="322">
        <f>SUMIF('Pre- and Production'!$U$5:$U$375, 'WBS Summary'!$C22,'Pre- and Production'!AR$5:AR$375)</f>
        <v>0</v>
      </c>
      <c r="R22" s="115" t="s">
        <v>405</v>
      </c>
      <c r="S22" s="354">
        <f>SUM(U22:U31)</f>
        <v>6056.75</v>
      </c>
      <c r="T22" s="50"/>
      <c r="U22" s="354">
        <f t="shared" si="0"/>
        <v>0</v>
      </c>
    </row>
    <row r="23" spans="3:21" s="352" customFormat="1">
      <c r="C23" s="134" t="s">
        <v>406</v>
      </c>
      <c r="D23" s="20" t="s">
        <v>424</v>
      </c>
      <c r="E23" s="329">
        <f>SUMIF('Pre- and Production'!$U$5:$U$375, 'WBS Summary'!$C23,'Pre- and Production'!AC$5:AC$375)</f>
        <v>0</v>
      </c>
      <c r="F23" s="330">
        <f>SUMIF('Pre- and Production'!$U$5:$U$375, 'WBS Summary'!$C23,'Pre- and Production'!AM$5:AM$375)</f>
        <v>0</v>
      </c>
      <c r="G23" s="331">
        <f>SUMIF('Pre- and Production'!$U$5:$U$375, 'WBS Summary'!$C23,'Pre- and Production'!AD$5:AD$375)</f>
        <v>0</v>
      </c>
      <c r="H23" s="332">
        <f>SUMIF('Pre- and Production'!$U$5:$U$375, 'WBS Summary'!$C23,'Pre- and Production'!AN$5:AN$375)</f>
        <v>0</v>
      </c>
      <c r="I23" s="329">
        <f>SUMIF('Pre- and Production'!$U$5:$U$375, 'WBS Summary'!$C23,'Pre- and Production'!AE$5:AE$375)</f>
        <v>0</v>
      </c>
      <c r="J23" s="330">
        <f>SUMIF('Pre- and Production'!$U$5:$U$375, 'WBS Summary'!$C23,'Pre- and Production'!AO$5:AO$375)</f>
        <v>0</v>
      </c>
      <c r="K23" s="331">
        <f>SUMIF('Pre- and Production'!$U$5:$U$375, 'WBS Summary'!$C23,'Pre- and Production'!AF$5:AF$375)</f>
        <v>0</v>
      </c>
      <c r="L23" s="332">
        <f>SUMIF('Pre- and Production'!$U$5:$U$375, 'WBS Summary'!$C23,'Pre- and Production'!AP$5:AP$375)</f>
        <v>0</v>
      </c>
      <c r="M23" s="329">
        <f>SUMIF('Pre- and Production'!$U$5:$U$375, 'WBS Summary'!$C23,'Pre- and Production'!AG$5:AG$375)</f>
        <v>0</v>
      </c>
      <c r="N23" s="330">
        <f>SUMIF('Pre- and Production'!$U$5:$U$375, 'WBS Summary'!$C23,'Pre- and Production'!AQ$5:AQ$375)</f>
        <v>0</v>
      </c>
      <c r="O23" s="321">
        <f>SUMIF('Pre- and Production'!$U$5:$U$375, 'WBS Summary'!$C23,'Pre- and Production'!AH$5:AH$375)</f>
        <v>0</v>
      </c>
      <c r="P23" s="322">
        <f>SUMIF('Pre- and Production'!$U$5:$U$375, 'WBS Summary'!$C23,'Pre- and Production'!AR$5:AR$375)</f>
        <v>0</v>
      </c>
      <c r="R23" s="356" t="s">
        <v>406</v>
      </c>
      <c r="T23" s="355">
        <f>SUM(U23:U25)</f>
        <v>2406.75</v>
      </c>
      <c r="U23" s="355">
        <f t="shared" si="0"/>
        <v>0</v>
      </c>
    </row>
    <row r="24" spans="3:21" s="352" customFormat="1">
      <c r="C24" s="46" t="s">
        <v>407</v>
      </c>
      <c r="D24" s="20" t="s">
        <v>416</v>
      </c>
      <c r="E24" s="329">
        <f>SUMIF('Pre- and Production'!$U$5:$U$375, 'WBS Summary'!$C24,'Pre- and Production'!AC$5:AC$375)</f>
        <v>352</v>
      </c>
      <c r="F24" s="330">
        <f>SUMIF('Pre- and Production'!$U$5:$U$375, 'WBS Summary'!$C24,'Pre- and Production'!AM$5:AM$375)</f>
        <v>516.75</v>
      </c>
      <c r="G24" s="331">
        <f>SUMIF('Pre- and Production'!$U$5:$U$375, 'WBS Summary'!$C24,'Pre- and Production'!AD$5:AD$375)</f>
        <v>236</v>
      </c>
      <c r="H24" s="332">
        <f>SUMIF('Pre- and Production'!$U$5:$U$375, 'WBS Summary'!$C24,'Pre- and Production'!AN$5:AN$375)</f>
        <v>148</v>
      </c>
      <c r="I24" s="329">
        <f>SUMIF('Pre- and Production'!$U$5:$U$375, 'WBS Summary'!$C24,'Pre- and Production'!AE$5:AE$375)</f>
        <v>56</v>
      </c>
      <c r="J24" s="330">
        <f>SUMIF('Pre- and Production'!$U$5:$U$375, 'WBS Summary'!$C24,'Pre- and Production'!AO$5:AO$375)</f>
        <v>48</v>
      </c>
      <c r="K24" s="331">
        <f>SUMIF('Pre- and Production'!$U$5:$U$375, 'WBS Summary'!$C24,'Pre- and Production'!AF$5:AF$375)</f>
        <v>264</v>
      </c>
      <c r="L24" s="332">
        <f>SUMIF('Pre- and Production'!$U$5:$U$375, 'WBS Summary'!$C24,'Pre- and Production'!AP$5:AP$375)</f>
        <v>296</v>
      </c>
      <c r="M24" s="329">
        <f>SUMIF('Pre- and Production'!$U$5:$U$375, 'WBS Summary'!$C24,'Pre- and Production'!AG$5:AG$375)</f>
        <v>0</v>
      </c>
      <c r="N24" s="330">
        <f>SUMIF('Pre- and Production'!$U$5:$U$375, 'WBS Summary'!$C24,'Pre- and Production'!AQ$5:AQ$375)</f>
        <v>0</v>
      </c>
      <c r="O24" s="321">
        <f>SUMIF('Pre- and Production'!$U$5:$U$375, 'WBS Summary'!$C24,'Pre- and Production'!AH$5:AH$375)</f>
        <v>2560</v>
      </c>
      <c r="P24" s="322">
        <f>SUMIF('Pre- and Production'!$U$5:$U$375, 'WBS Summary'!$C24,'Pre- and Production'!AR$5:AR$375)</f>
        <v>4344</v>
      </c>
      <c r="R24" s="46" t="s">
        <v>407</v>
      </c>
      <c r="U24" s="353">
        <f t="shared" si="0"/>
        <v>1916.75</v>
      </c>
    </row>
    <row r="25" spans="3:21" s="352" customFormat="1">
      <c r="C25" s="46" t="s">
        <v>408</v>
      </c>
      <c r="D25" s="20" t="s">
        <v>417</v>
      </c>
      <c r="E25" s="329">
        <f>SUMIF('Pre- and Production'!$U$5:$U$375, 'WBS Summary'!$C25,'Pre- and Production'!AC$5:AC$375)</f>
        <v>0</v>
      </c>
      <c r="F25" s="330">
        <f>SUMIF('Pre- and Production'!$U$5:$U$375, 'WBS Summary'!$C25,'Pre- and Production'!AM$5:AM$375)</f>
        <v>0</v>
      </c>
      <c r="G25" s="331">
        <f>SUMIF('Pre- and Production'!$U$5:$U$375, 'WBS Summary'!$C25,'Pre- and Production'!AD$5:AD$375)</f>
        <v>300</v>
      </c>
      <c r="H25" s="332">
        <f>SUMIF('Pre- and Production'!$U$5:$U$375, 'WBS Summary'!$C25,'Pre- and Production'!AN$5:AN$375)</f>
        <v>120</v>
      </c>
      <c r="I25" s="329">
        <f>SUMIF('Pre- and Production'!$U$5:$U$375, 'WBS Summary'!$C25,'Pre- and Production'!AE$5:AE$375)</f>
        <v>0</v>
      </c>
      <c r="J25" s="330">
        <f>SUMIF('Pre- and Production'!$U$5:$U$375, 'WBS Summary'!$C25,'Pre- and Production'!AO$5:AO$375)</f>
        <v>0</v>
      </c>
      <c r="K25" s="331">
        <f>SUMIF('Pre- and Production'!$U$5:$U$375, 'WBS Summary'!$C25,'Pre- and Production'!AF$5:AF$375)</f>
        <v>50</v>
      </c>
      <c r="L25" s="332">
        <f>SUMIF('Pre- and Production'!$U$5:$U$375, 'WBS Summary'!$C25,'Pre- and Production'!AP$5:AP$375)</f>
        <v>20</v>
      </c>
      <c r="M25" s="329">
        <f>SUMIF('Pre- and Production'!$U$5:$U$375, 'WBS Summary'!$C25,'Pre- and Production'!AG$5:AG$375)</f>
        <v>0</v>
      </c>
      <c r="N25" s="330">
        <f>SUMIF('Pre- and Production'!$U$5:$U$375, 'WBS Summary'!$C25,'Pre- and Production'!AQ$5:AQ$375)</f>
        <v>0</v>
      </c>
      <c r="O25" s="321">
        <f>SUMIF('Pre- and Production'!$U$5:$U$375, 'WBS Summary'!$C25,'Pre- and Production'!AH$5:AH$375)</f>
        <v>0</v>
      </c>
      <c r="P25" s="322">
        <f>SUMIF('Pre- and Production'!$U$5:$U$375, 'WBS Summary'!$C25,'Pre- and Production'!AR$5:AR$375)</f>
        <v>0</v>
      </c>
      <c r="R25" s="46" t="s">
        <v>408</v>
      </c>
      <c r="U25" s="353">
        <f t="shared" si="0"/>
        <v>490</v>
      </c>
    </row>
    <row r="26" spans="3:21" s="343" customFormat="1">
      <c r="C26" s="134" t="s">
        <v>409</v>
      </c>
      <c r="D26" s="20" t="s">
        <v>418</v>
      </c>
      <c r="E26" s="329">
        <f>SUMIF('Pre- and Production'!$U$5:$U$375, 'WBS Summary'!$C26,'Pre- and Production'!AC$5:AC$375)</f>
        <v>0</v>
      </c>
      <c r="F26" s="330">
        <f>SUMIF('Pre- and Production'!$U$5:$U$375, 'WBS Summary'!$C26,'Pre- and Production'!AM$5:AM$375)</f>
        <v>0</v>
      </c>
      <c r="G26" s="331">
        <f>SUMIF('Pre- and Production'!$U$5:$U$375, 'WBS Summary'!$C26,'Pre- and Production'!AD$5:AD$375)</f>
        <v>256</v>
      </c>
      <c r="H26" s="332">
        <f>SUMIF('Pre- and Production'!$U$5:$U$375, 'WBS Summary'!$C26,'Pre- and Production'!AN$5:AN$375)</f>
        <v>48</v>
      </c>
      <c r="I26" s="329">
        <f>SUMIF('Pre- and Production'!$U$5:$U$375, 'WBS Summary'!$C26,'Pre- and Production'!AE$5:AE$375)</f>
        <v>96</v>
      </c>
      <c r="J26" s="330">
        <f>SUMIF('Pre- and Production'!$U$5:$U$375, 'WBS Summary'!$C26,'Pre- and Production'!AO$5:AO$375)</f>
        <v>16</v>
      </c>
      <c r="K26" s="331">
        <f>SUMIF('Pre- and Production'!$U$5:$U$375, 'WBS Summary'!$C26,'Pre- and Production'!AF$5:AF$375)</f>
        <v>120</v>
      </c>
      <c r="L26" s="332">
        <f>SUMIF('Pre- and Production'!$U$5:$U$375, 'WBS Summary'!$C26,'Pre- and Production'!AP$5:AP$375)</f>
        <v>8</v>
      </c>
      <c r="M26" s="329">
        <f>SUMIF('Pre- and Production'!$U$5:$U$375, 'WBS Summary'!$C26,'Pre- and Production'!AG$5:AG$375)</f>
        <v>0</v>
      </c>
      <c r="N26" s="330">
        <f>SUMIF('Pre- and Production'!$U$5:$U$375, 'WBS Summary'!$C26,'Pre- and Production'!AQ$5:AQ$375)</f>
        <v>0</v>
      </c>
      <c r="O26" s="321">
        <f>SUMIF('Pre- and Production'!$U$5:$U$375, 'WBS Summary'!$C26,'Pre- and Production'!AH$5:AH$375)</f>
        <v>0</v>
      </c>
      <c r="P26" s="322">
        <f>SUMIF('Pre- and Production'!$U$5:$U$375, 'WBS Summary'!$C26,'Pre- and Production'!AR$5:AR$375)</f>
        <v>0</v>
      </c>
      <c r="R26" s="356" t="s">
        <v>409</v>
      </c>
      <c r="S26" s="365"/>
      <c r="T26" s="355">
        <f>U26</f>
        <v>544</v>
      </c>
      <c r="U26" s="355">
        <f t="shared" si="0"/>
        <v>544</v>
      </c>
    </row>
    <row r="27" spans="3:21" s="343" customFormat="1">
      <c r="C27" s="134" t="s">
        <v>410</v>
      </c>
      <c r="D27" s="20" t="s">
        <v>419</v>
      </c>
      <c r="E27" s="329">
        <f>SUMIF('Pre- and Production'!$U$5:$U$375, 'WBS Summary'!$C27,'Pre- and Production'!AC$5:AC$375)</f>
        <v>0</v>
      </c>
      <c r="F27" s="330">
        <f>SUMIF('Pre- and Production'!$U$5:$U$375, 'WBS Summary'!$C27,'Pre- and Production'!AM$5:AM$375)</f>
        <v>40</v>
      </c>
      <c r="G27" s="331">
        <f>SUMIF('Pre- and Production'!$U$5:$U$375, 'WBS Summary'!$C27,'Pre- and Production'!AD$5:AD$375)</f>
        <v>226</v>
      </c>
      <c r="H27" s="332">
        <f>SUMIF('Pre- and Production'!$U$5:$U$375, 'WBS Summary'!$C27,'Pre- and Production'!AN$5:AN$375)</f>
        <v>102</v>
      </c>
      <c r="I27" s="329">
        <f>SUMIF('Pre- and Production'!$U$5:$U$375, 'WBS Summary'!$C27,'Pre- and Production'!AE$5:AE$375)</f>
        <v>384</v>
      </c>
      <c r="J27" s="330">
        <f>SUMIF('Pre- and Production'!$U$5:$U$375, 'WBS Summary'!$C27,'Pre- and Production'!AO$5:AO$375)</f>
        <v>76</v>
      </c>
      <c r="K27" s="331">
        <f>SUMIF('Pre- and Production'!$U$5:$U$375, 'WBS Summary'!$C27,'Pre- and Production'!AF$5:AF$375)</f>
        <v>388</v>
      </c>
      <c r="L27" s="332">
        <f>SUMIF('Pre- and Production'!$U$5:$U$375, 'WBS Summary'!$C27,'Pre- and Production'!AP$5:AP$375)</f>
        <v>86</v>
      </c>
      <c r="M27" s="329">
        <f>SUMIF('Pre- and Production'!$U$5:$U$375, 'WBS Summary'!$C27,'Pre- and Production'!AG$5:AG$375)</f>
        <v>0</v>
      </c>
      <c r="N27" s="330">
        <f>SUMIF('Pre- and Production'!$U$5:$U$375, 'WBS Summary'!$C27,'Pre- and Production'!AQ$5:AQ$375)</f>
        <v>0</v>
      </c>
      <c r="O27" s="321">
        <f>SUMIF('Pre- and Production'!$U$5:$U$375, 'WBS Summary'!$C27,'Pre- and Production'!AH$5:AH$375)</f>
        <v>240</v>
      </c>
      <c r="P27" s="322">
        <f>SUMIF('Pre- and Production'!$U$5:$U$375, 'WBS Summary'!$C27,'Pre- and Production'!AR$5:AR$375)</f>
        <v>240</v>
      </c>
      <c r="R27" s="356" t="s">
        <v>410</v>
      </c>
      <c r="S27" s="365"/>
      <c r="T27" s="355">
        <f>U27</f>
        <v>1302</v>
      </c>
      <c r="U27" s="355">
        <f t="shared" si="0"/>
        <v>1302</v>
      </c>
    </row>
    <row r="28" spans="3:21" s="343" customFormat="1">
      <c r="C28" s="134" t="s">
        <v>411</v>
      </c>
      <c r="D28" s="20" t="s">
        <v>420</v>
      </c>
      <c r="E28" s="329">
        <f>SUMIF('Pre- and Production'!$U$5:$U$375, 'WBS Summary'!$C28,'Pre- and Production'!AC$5:AC$375)</f>
        <v>0</v>
      </c>
      <c r="F28" s="330">
        <f>SUMIF('Pre- and Production'!$U$5:$U$375, 'WBS Summary'!$C28,'Pre- and Production'!AM$5:AM$375)</f>
        <v>0</v>
      </c>
      <c r="G28" s="331">
        <f>SUMIF('Pre- and Production'!$U$5:$U$375, 'WBS Summary'!$C28,'Pre- and Production'!AD$5:AD$375)</f>
        <v>0</v>
      </c>
      <c r="H28" s="332">
        <f>SUMIF('Pre- and Production'!$U$5:$U$375, 'WBS Summary'!$C28,'Pre- and Production'!AN$5:AN$375)</f>
        <v>0</v>
      </c>
      <c r="I28" s="329">
        <f>SUMIF('Pre- and Production'!$U$5:$U$375, 'WBS Summary'!$C28,'Pre- and Production'!AE$5:AE$375)</f>
        <v>0</v>
      </c>
      <c r="J28" s="330">
        <f>SUMIF('Pre- and Production'!$U$5:$U$375, 'WBS Summary'!$C28,'Pre- and Production'!AO$5:AO$375)</f>
        <v>0</v>
      </c>
      <c r="K28" s="331">
        <f>SUMIF('Pre- and Production'!$U$5:$U$375, 'WBS Summary'!$C28,'Pre- and Production'!AF$5:AF$375)</f>
        <v>0</v>
      </c>
      <c r="L28" s="332">
        <f>SUMIF('Pre- and Production'!$U$5:$U$375, 'WBS Summary'!$C28,'Pre- and Production'!AP$5:AP$375)</f>
        <v>0</v>
      </c>
      <c r="M28" s="329">
        <f>SUMIF('Pre- and Production'!$U$5:$U$375, 'WBS Summary'!$C28,'Pre- and Production'!AG$5:AG$375)</f>
        <v>0</v>
      </c>
      <c r="N28" s="330">
        <f>SUMIF('Pre- and Production'!$U$5:$U$375, 'WBS Summary'!$C28,'Pre- and Production'!AQ$5:AQ$375)</f>
        <v>0</v>
      </c>
      <c r="O28" s="321">
        <f>SUMIF('Pre- and Production'!$U$5:$U$375, 'WBS Summary'!$C28,'Pre- and Production'!AH$5:AH$375)</f>
        <v>0</v>
      </c>
      <c r="P28" s="322">
        <f>SUMIF('Pre- and Production'!$U$5:$U$375, 'WBS Summary'!$C28,'Pre- and Production'!AR$5:AR$375)</f>
        <v>0</v>
      </c>
      <c r="R28" s="356" t="s">
        <v>411</v>
      </c>
      <c r="S28" s="352"/>
      <c r="T28" s="355">
        <f>SUM(U28:U30)</f>
        <v>1804</v>
      </c>
      <c r="U28" s="355">
        <f t="shared" si="0"/>
        <v>0</v>
      </c>
    </row>
    <row r="29" spans="3:21" s="343" customFormat="1">
      <c r="C29" s="46" t="s">
        <v>412</v>
      </c>
      <c r="D29" s="20" t="s">
        <v>421</v>
      </c>
      <c r="E29" s="329">
        <f>SUMIF('Pre- and Production'!$U$5:$U$375, 'WBS Summary'!$C29,'Pre- and Production'!AC$5:AC$375)</f>
        <v>64</v>
      </c>
      <c r="F29" s="330">
        <f>SUMIF('Pre- and Production'!$U$5:$U$375, 'WBS Summary'!$C29,'Pre- and Production'!AM$5:AM$375)</f>
        <v>64</v>
      </c>
      <c r="G29" s="331">
        <f>SUMIF('Pre- and Production'!$U$5:$U$375, 'WBS Summary'!$C29,'Pre- and Production'!AD$5:AD$375)</f>
        <v>256</v>
      </c>
      <c r="H29" s="332">
        <f>SUMIF('Pre- and Production'!$U$5:$U$375, 'WBS Summary'!$C29,'Pre- and Production'!AN$5:AN$375)</f>
        <v>128</v>
      </c>
      <c r="I29" s="329">
        <f>SUMIF('Pre- and Production'!$U$5:$U$375, 'WBS Summary'!$C29,'Pre- and Production'!AE$5:AE$375)</f>
        <v>0</v>
      </c>
      <c r="J29" s="330">
        <f>SUMIF('Pre- and Production'!$U$5:$U$375, 'WBS Summary'!$C29,'Pre- and Production'!AO$5:AO$375)</f>
        <v>0</v>
      </c>
      <c r="K29" s="331">
        <f>SUMIF('Pre- and Production'!$U$5:$U$375, 'WBS Summary'!$C29,'Pre- and Production'!AF$5:AF$375)</f>
        <v>96</v>
      </c>
      <c r="L29" s="332">
        <f>SUMIF('Pre- and Production'!$U$5:$U$375, 'WBS Summary'!$C29,'Pre- and Production'!AP$5:AP$375)</f>
        <v>48</v>
      </c>
      <c r="M29" s="329">
        <f>SUMIF('Pre- and Production'!$U$5:$U$375, 'WBS Summary'!$C29,'Pre- and Production'!AG$5:AG$375)</f>
        <v>0</v>
      </c>
      <c r="N29" s="330">
        <f>SUMIF('Pre- and Production'!$U$5:$U$375, 'WBS Summary'!$C29,'Pre- and Production'!AQ$5:AQ$375)</f>
        <v>0</v>
      </c>
      <c r="O29" s="321">
        <f>SUMIF('Pre- and Production'!$U$5:$U$375, 'WBS Summary'!$C29,'Pre- and Production'!AH$5:AH$375)</f>
        <v>19200</v>
      </c>
      <c r="P29" s="322">
        <f>SUMIF('Pre- and Production'!$U$5:$U$375, 'WBS Summary'!$C29,'Pre- and Production'!AR$5:AR$375)</f>
        <v>9600</v>
      </c>
      <c r="R29" s="46" t="s">
        <v>412</v>
      </c>
      <c r="S29" s="352"/>
      <c r="T29" s="352"/>
      <c r="U29" s="353">
        <f t="shared" si="0"/>
        <v>656</v>
      </c>
    </row>
    <row r="30" spans="3:21">
      <c r="C30" s="46" t="s">
        <v>413</v>
      </c>
      <c r="D30" s="20" t="s">
        <v>422</v>
      </c>
      <c r="E30" s="329">
        <f>SUMIF('Pre- and Production'!$U$5:$U$375, 'WBS Summary'!$C30,'Pre- and Production'!AC$5:AC$375)</f>
        <v>40</v>
      </c>
      <c r="F30" s="330">
        <f>SUMIF('Pre- and Production'!$U$5:$U$375, 'WBS Summary'!$C30,'Pre- and Production'!AM$5:AM$375)</f>
        <v>0</v>
      </c>
      <c r="G30" s="331">
        <f>SUMIF('Pre- and Production'!$U$5:$U$375, 'WBS Summary'!$C30,'Pre- and Production'!AD$5:AD$375)</f>
        <v>648</v>
      </c>
      <c r="H30" s="332">
        <f>SUMIF('Pre- and Production'!$U$5:$U$375, 'WBS Summary'!$C30,'Pre- and Production'!AN$5:AN$375)</f>
        <v>0</v>
      </c>
      <c r="I30" s="329">
        <f>SUMIF('Pre- and Production'!$U$5:$U$375, 'WBS Summary'!$C30,'Pre- and Production'!AE$5:AE$375)</f>
        <v>0</v>
      </c>
      <c r="J30" s="330">
        <f>SUMIF('Pre- and Production'!$U$5:$U$375, 'WBS Summary'!$C30,'Pre- and Production'!AO$5:AO$375)</f>
        <v>0</v>
      </c>
      <c r="K30" s="331">
        <f>SUMIF('Pre- and Production'!$U$5:$U$375, 'WBS Summary'!$C30,'Pre- and Production'!AF$5:AF$375)</f>
        <v>460</v>
      </c>
      <c r="L30" s="332">
        <f>SUMIF('Pre- and Production'!$U$5:$U$375, 'WBS Summary'!$C30,'Pre- and Production'!AP$5:AP$375)</f>
        <v>0</v>
      </c>
      <c r="M30" s="329">
        <f>SUMIF('Pre- and Production'!$U$5:$U$375, 'WBS Summary'!$C30,'Pre- and Production'!AG$5:AG$375)</f>
        <v>0</v>
      </c>
      <c r="N30" s="330">
        <f>SUMIF('Pre- and Production'!$U$5:$U$375, 'WBS Summary'!$C30,'Pre- and Production'!AQ$5:AQ$375)</f>
        <v>0</v>
      </c>
      <c r="O30" s="321">
        <f>SUMIF('Pre- and Production'!$U$5:$U$375, 'WBS Summary'!$C30,'Pre- and Production'!AH$5:AH$375)</f>
        <v>2200</v>
      </c>
      <c r="P30" s="322">
        <f>SUMIF('Pre- and Production'!$U$5:$U$375, 'WBS Summary'!$C30,'Pre- and Production'!AR$5:AR$375)</f>
        <v>0</v>
      </c>
      <c r="R30" s="46" t="s">
        <v>413</v>
      </c>
      <c r="U30" s="353">
        <f t="shared" si="0"/>
        <v>1148</v>
      </c>
    </row>
    <row r="31" spans="3:21">
      <c r="C31" s="134" t="s">
        <v>414</v>
      </c>
      <c r="D31" s="20" t="s">
        <v>423</v>
      </c>
      <c r="E31" s="329">
        <f>SUMIF('Pre- and Production'!$U$5:$U$375, 'WBS Summary'!$C31,'Pre- and Production'!AC$5:AC$375)</f>
        <v>0</v>
      </c>
      <c r="F31" s="330">
        <f>SUMIF('Pre- and Production'!$U$5:$U$375, 'WBS Summary'!$C31,'Pre- and Production'!AM$5:AM$375)</f>
        <v>0</v>
      </c>
      <c r="G31" s="331">
        <f>SUMIF('Pre- and Production'!$U$5:$U$375, 'WBS Summary'!$C31,'Pre- and Production'!AD$5:AD$375)</f>
        <v>0</v>
      </c>
      <c r="H31" s="332">
        <f>SUMIF('Pre- and Production'!$U$5:$U$375, 'WBS Summary'!$C31,'Pre- and Production'!AN$5:AN$375)</f>
        <v>0</v>
      </c>
      <c r="I31" s="329">
        <f>SUMIF('Pre- and Production'!$U$5:$U$375, 'WBS Summary'!$C31,'Pre- and Production'!AE$5:AE$375)</f>
        <v>0</v>
      </c>
      <c r="J31" s="330">
        <f>SUMIF('Pre- and Production'!$U$5:$U$375, 'WBS Summary'!$C31,'Pre- and Production'!AO$5:AO$375)</f>
        <v>0</v>
      </c>
      <c r="K31" s="331">
        <f>SUMIF('Pre- and Production'!$U$5:$U$375, 'WBS Summary'!$C31,'Pre- and Production'!AF$5:AF$375)</f>
        <v>0</v>
      </c>
      <c r="L31" s="332">
        <f>SUMIF('Pre- and Production'!$U$5:$U$375, 'WBS Summary'!$C31,'Pre- and Production'!AP$5:AP$375)</f>
        <v>0</v>
      </c>
      <c r="M31" s="329">
        <f>SUMIF('Pre- and Production'!$U$5:$U$375, 'WBS Summary'!$C31,'Pre- and Production'!AG$5:AG$375)</f>
        <v>0</v>
      </c>
      <c r="N31" s="330">
        <f>SUMIF('Pre- and Production'!$U$5:$U$375, 'WBS Summary'!$C31,'Pre- and Production'!AQ$5:AQ$375)</f>
        <v>0</v>
      </c>
      <c r="O31" s="321">
        <f>SUMIF('Pre- and Production'!$U$5:$U$375, 'WBS Summary'!$C31,'Pre- and Production'!AH$5:AH$375)</f>
        <v>0</v>
      </c>
      <c r="P31" s="322">
        <f>SUMIF('Pre- and Production'!$U$5:$U$375, 'WBS Summary'!$C31,'Pre- and Production'!AR$5:AR$375)</f>
        <v>0</v>
      </c>
      <c r="R31" s="134" t="s">
        <v>414</v>
      </c>
      <c r="U31" s="353">
        <f t="shared" si="0"/>
        <v>0</v>
      </c>
    </row>
    <row r="32" spans="3:21">
      <c r="C32" s="100" t="s">
        <v>449</v>
      </c>
      <c r="D32" s="20" t="s">
        <v>454</v>
      </c>
      <c r="E32" s="329">
        <f>SUMIF('Pre- and Production'!$U$5:$U$375, 'WBS Summary'!$C32,'Pre- and Production'!AC$5:AC$375)</f>
        <v>0</v>
      </c>
      <c r="F32" s="330">
        <f>SUMIF('Pre- and Production'!$U$5:$U$375, 'WBS Summary'!$C32,'Pre- and Production'!AM$5:AM$375)</f>
        <v>0</v>
      </c>
      <c r="G32" s="331">
        <f>SUMIF('Pre- and Production'!$U$5:$U$375, 'WBS Summary'!$C32,'Pre- and Production'!AD$5:AD$375)</f>
        <v>0</v>
      </c>
      <c r="H32" s="332">
        <f>SUMIF('Pre- and Production'!$U$5:$U$375, 'WBS Summary'!$C32,'Pre- and Production'!AN$5:AN$375)</f>
        <v>0</v>
      </c>
      <c r="I32" s="329">
        <f>SUMIF('Pre- and Production'!$U$5:$U$375, 'WBS Summary'!$C32,'Pre- and Production'!AE$5:AE$375)</f>
        <v>0</v>
      </c>
      <c r="J32" s="330">
        <f>SUMIF('Pre- and Production'!$U$5:$U$375, 'WBS Summary'!$C32,'Pre- and Production'!AO$5:AO$375)</f>
        <v>0</v>
      </c>
      <c r="K32" s="331">
        <f>SUMIF('Pre- and Production'!$U$5:$U$375, 'WBS Summary'!$C32,'Pre- and Production'!AF$5:AF$375)</f>
        <v>0</v>
      </c>
      <c r="L32" s="332">
        <f>SUMIF('Pre- and Production'!$U$5:$U$375, 'WBS Summary'!$C32,'Pre- and Production'!AP$5:AP$375)</f>
        <v>0</v>
      </c>
      <c r="M32" s="329">
        <f>SUMIF('Pre- and Production'!$U$5:$U$375, 'WBS Summary'!$C32,'Pre- and Production'!AG$5:AG$375)</f>
        <v>0</v>
      </c>
      <c r="N32" s="330">
        <f>SUMIF('Pre- and Production'!$U$5:$U$375, 'WBS Summary'!$C32,'Pre- and Production'!AQ$5:AQ$375)</f>
        <v>0</v>
      </c>
      <c r="O32" s="321">
        <f>SUMIF('Pre- and Production'!$U$5:$U$375, 'WBS Summary'!$C32,'Pre- and Production'!AH$5:AH$375)</f>
        <v>0</v>
      </c>
      <c r="P32" s="322">
        <f>SUMIF('Pre- and Production'!$U$5:$U$375, 'WBS Summary'!$C32,'Pre- and Production'!AR$5:AR$375)</f>
        <v>0</v>
      </c>
      <c r="R32" s="115" t="s">
        <v>449</v>
      </c>
      <c r="S32" s="354">
        <f>SUM(U32:U40)</f>
        <v>1904</v>
      </c>
      <c r="T32" s="50"/>
      <c r="U32" s="354">
        <f t="shared" si="0"/>
        <v>0</v>
      </c>
    </row>
    <row r="33" spans="3:21">
      <c r="C33" s="134" t="s">
        <v>450</v>
      </c>
      <c r="D33" s="20" t="s">
        <v>455</v>
      </c>
      <c r="E33" s="329">
        <f>SUMIF('Pre- and Production'!$U$5:$U$375, 'WBS Summary'!$C33,'Pre- and Production'!AC$5:AC$375)</f>
        <v>0</v>
      </c>
      <c r="F33" s="330">
        <f>SUMIF('Pre- and Production'!$U$5:$U$375, 'WBS Summary'!$C33,'Pre- and Production'!AM$5:AM$375)</f>
        <v>0</v>
      </c>
      <c r="G33" s="331">
        <f>SUMIF('Pre- and Production'!$U$5:$U$375, 'WBS Summary'!$C33,'Pre- and Production'!AD$5:AD$375)</f>
        <v>0</v>
      </c>
      <c r="H33" s="332">
        <f>SUMIF('Pre- and Production'!$U$5:$U$375, 'WBS Summary'!$C33,'Pre- and Production'!AN$5:AN$375)</f>
        <v>0</v>
      </c>
      <c r="I33" s="329">
        <f>SUMIF('Pre- and Production'!$U$5:$U$375, 'WBS Summary'!$C33,'Pre- and Production'!AE$5:AE$375)</f>
        <v>0</v>
      </c>
      <c r="J33" s="330">
        <f>SUMIF('Pre- and Production'!$U$5:$U$375, 'WBS Summary'!$C33,'Pre- and Production'!AO$5:AO$375)</f>
        <v>0</v>
      </c>
      <c r="K33" s="331">
        <f>SUMIF('Pre- and Production'!$U$5:$U$375, 'WBS Summary'!$C33,'Pre- and Production'!AF$5:AF$375)</f>
        <v>0</v>
      </c>
      <c r="L33" s="332">
        <f>SUMIF('Pre- and Production'!$U$5:$U$375, 'WBS Summary'!$C33,'Pre- and Production'!AP$5:AP$375)</f>
        <v>0</v>
      </c>
      <c r="M33" s="329">
        <f>SUMIF('Pre- and Production'!$U$5:$U$375, 'WBS Summary'!$C33,'Pre- and Production'!AG$5:AG$375)</f>
        <v>0</v>
      </c>
      <c r="N33" s="330">
        <f>SUMIF('Pre- and Production'!$U$5:$U$375, 'WBS Summary'!$C33,'Pre- and Production'!AQ$5:AQ$375)</f>
        <v>0</v>
      </c>
      <c r="O33" s="321">
        <f>SUMIF('Pre- and Production'!$U$5:$U$375, 'WBS Summary'!$C33,'Pre- and Production'!AH$5:AH$375)</f>
        <v>0</v>
      </c>
      <c r="P33" s="322">
        <f>SUMIF('Pre- and Production'!$U$5:$U$375, 'WBS Summary'!$C33,'Pre- and Production'!AR$5:AR$375)</f>
        <v>0</v>
      </c>
      <c r="R33" s="356" t="s">
        <v>450</v>
      </c>
      <c r="T33" s="355">
        <f>SUM(U33:U36)</f>
        <v>1904</v>
      </c>
      <c r="U33" s="355">
        <f t="shared" si="0"/>
        <v>0</v>
      </c>
    </row>
    <row r="34" spans="3:21">
      <c r="C34" s="46" t="s">
        <v>451</v>
      </c>
      <c r="D34" s="20" t="s">
        <v>456</v>
      </c>
      <c r="E34" s="329">
        <f>SUMIF('Pre- and Production'!$U$5:$U$375, 'WBS Summary'!$C34,'Pre- and Production'!AC$5:AC$375)</f>
        <v>40</v>
      </c>
      <c r="F34" s="330">
        <f>SUMIF('Pre- and Production'!$U$5:$U$375, 'WBS Summary'!$C34,'Pre- and Production'!AM$5:AM$375)</f>
        <v>0</v>
      </c>
      <c r="G34" s="331">
        <f>SUMIF('Pre- and Production'!$U$5:$U$375, 'WBS Summary'!$C34,'Pre- and Production'!AD$5:AD$375)</f>
        <v>120</v>
      </c>
      <c r="H34" s="332">
        <f>SUMIF('Pre- and Production'!$U$5:$U$375, 'WBS Summary'!$C34,'Pre- and Production'!AN$5:AN$375)</f>
        <v>0</v>
      </c>
      <c r="I34" s="329">
        <f>SUMIF('Pre- and Production'!$U$5:$U$375, 'WBS Summary'!$C34,'Pre- and Production'!AE$5:AE$375)</f>
        <v>0</v>
      </c>
      <c r="J34" s="330">
        <f>SUMIF('Pre- and Production'!$U$5:$U$375, 'WBS Summary'!$C34,'Pre- and Production'!AO$5:AO$375)</f>
        <v>0</v>
      </c>
      <c r="K34" s="331">
        <f>SUMIF('Pre- and Production'!$U$5:$U$375, 'WBS Summary'!$C34,'Pre- and Production'!AF$5:AF$375)</f>
        <v>384</v>
      </c>
      <c r="L34" s="332">
        <f>SUMIF('Pre- and Production'!$U$5:$U$375, 'WBS Summary'!$C34,'Pre- and Production'!AP$5:AP$375)</f>
        <v>280</v>
      </c>
      <c r="M34" s="329">
        <f>SUMIF('Pre- and Production'!$U$5:$U$375, 'WBS Summary'!$C34,'Pre- and Production'!AG$5:AG$375)</f>
        <v>0</v>
      </c>
      <c r="N34" s="330">
        <f>SUMIF('Pre- and Production'!$U$5:$U$375, 'WBS Summary'!$C34,'Pre- and Production'!AQ$5:AQ$375)</f>
        <v>0</v>
      </c>
      <c r="O34" s="321">
        <f>SUMIF('Pre- and Production'!$U$5:$U$375, 'WBS Summary'!$C34,'Pre- and Production'!AH$5:AH$375)</f>
        <v>18000</v>
      </c>
      <c r="P34" s="322">
        <f>SUMIF('Pre- and Production'!$U$5:$U$375, 'WBS Summary'!$C34,'Pre- and Production'!AR$5:AR$375)</f>
        <v>0</v>
      </c>
      <c r="R34" s="46" t="s">
        <v>451</v>
      </c>
      <c r="U34" s="353">
        <f t="shared" si="0"/>
        <v>824</v>
      </c>
    </row>
    <row r="35" spans="3:21">
      <c r="C35" s="46" t="s">
        <v>452</v>
      </c>
      <c r="D35" s="20" t="s">
        <v>457</v>
      </c>
      <c r="E35" s="329">
        <f>SUMIF('Pre- and Production'!$U$5:$U$375, 'WBS Summary'!$C35,'Pre- and Production'!AC$5:AC$375)</f>
        <v>40</v>
      </c>
      <c r="F35" s="330">
        <f>SUMIF('Pre- and Production'!$U$5:$U$375, 'WBS Summary'!$C35,'Pre- and Production'!AM$5:AM$375)</f>
        <v>40</v>
      </c>
      <c r="G35" s="331">
        <f>SUMIF('Pre- and Production'!$U$5:$U$375, 'WBS Summary'!$C35,'Pre- and Production'!AD$5:AD$375)</f>
        <v>220</v>
      </c>
      <c r="H35" s="332">
        <f>SUMIF('Pre- and Production'!$U$5:$U$375, 'WBS Summary'!$C35,'Pre- and Production'!AN$5:AN$375)</f>
        <v>60</v>
      </c>
      <c r="I35" s="329">
        <f>SUMIF('Pre- and Production'!$U$5:$U$375, 'WBS Summary'!$C35,'Pre- and Production'!AE$5:AE$375)</f>
        <v>0</v>
      </c>
      <c r="J35" s="330">
        <f>SUMIF('Pre- and Production'!$U$5:$U$375, 'WBS Summary'!$C35,'Pre- and Production'!AO$5:AO$375)</f>
        <v>0</v>
      </c>
      <c r="K35" s="331">
        <f>SUMIF('Pre- and Production'!$U$5:$U$375, 'WBS Summary'!$C35,'Pre- and Production'!AF$5:AF$375)</f>
        <v>216</v>
      </c>
      <c r="L35" s="332">
        <f>SUMIF('Pre- and Production'!$U$5:$U$375, 'WBS Summary'!$C35,'Pre- and Production'!AP$5:AP$375)</f>
        <v>56</v>
      </c>
      <c r="M35" s="329">
        <f>SUMIF('Pre- and Production'!$U$5:$U$375, 'WBS Summary'!$C35,'Pre- and Production'!AG$5:AG$375)</f>
        <v>0</v>
      </c>
      <c r="N35" s="330">
        <f>SUMIF('Pre- and Production'!$U$5:$U$375, 'WBS Summary'!$C35,'Pre- and Production'!AQ$5:AQ$375)</f>
        <v>0</v>
      </c>
      <c r="O35" s="321">
        <f>SUMIF('Pre- and Production'!$U$5:$U$375, 'WBS Summary'!$C35,'Pre- and Production'!AH$5:AH$375)</f>
        <v>2800</v>
      </c>
      <c r="P35" s="322">
        <f>SUMIF('Pre- and Production'!$U$5:$U$375, 'WBS Summary'!$C35,'Pre- and Production'!AR$5:AR$375)</f>
        <v>2800</v>
      </c>
      <c r="R35" s="46" t="s">
        <v>452</v>
      </c>
      <c r="U35" s="353">
        <f t="shared" si="0"/>
        <v>632</v>
      </c>
    </row>
    <row r="36" spans="3:21">
      <c r="C36" s="46" t="s">
        <v>453</v>
      </c>
      <c r="D36" s="20" t="s">
        <v>458</v>
      </c>
      <c r="E36" s="329">
        <f>SUMIF('Pre- and Production'!$U$5:$U$375, 'WBS Summary'!$C36,'Pre- and Production'!AC$5:AC$375)</f>
        <v>96</v>
      </c>
      <c r="F36" s="330">
        <f>SUMIF('Pre- and Production'!$U$5:$U$375, 'WBS Summary'!$C36,'Pre- and Production'!AM$5:AM$375)</f>
        <v>48</v>
      </c>
      <c r="G36" s="331">
        <f>SUMIF('Pre- and Production'!$U$5:$U$375, 'WBS Summary'!$C36,'Pre- and Production'!AD$5:AD$375)</f>
        <v>128</v>
      </c>
      <c r="H36" s="332">
        <f>SUMIF('Pre- and Production'!$U$5:$U$375, 'WBS Summary'!$C36,'Pre- and Production'!AN$5:AN$375)</f>
        <v>48</v>
      </c>
      <c r="I36" s="329">
        <f>SUMIF('Pre- and Production'!$U$5:$U$375, 'WBS Summary'!$C36,'Pre- and Production'!AE$5:AE$375)</f>
        <v>0</v>
      </c>
      <c r="J36" s="330">
        <f>SUMIF('Pre- and Production'!$U$5:$U$375, 'WBS Summary'!$C36,'Pre- and Production'!AO$5:AO$375)</f>
        <v>0</v>
      </c>
      <c r="K36" s="331">
        <f>SUMIF('Pre- and Production'!$U$5:$U$375, 'WBS Summary'!$C36,'Pre- and Production'!AF$5:AF$375)</f>
        <v>112</v>
      </c>
      <c r="L36" s="332">
        <f>SUMIF('Pre- and Production'!$U$5:$U$375, 'WBS Summary'!$C36,'Pre- and Production'!AP$5:AP$375)</f>
        <v>16</v>
      </c>
      <c r="M36" s="329">
        <f>SUMIF('Pre- and Production'!$U$5:$U$375, 'WBS Summary'!$C36,'Pre- and Production'!AG$5:AG$375)</f>
        <v>0</v>
      </c>
      <c r="N36" s="330">
        <f>SUMIF('Pre- and Production'!$U$5:$U$375, 'WBS Summary'!$C36,'Pre- and Production'!AQ$5:AQ$375)</f>
        <v>0</v>
      </c>
      <c r="O36" s="321">
        <f>SUMIF('Pre- and Production'!$U$5:$U$375, 'WBS Summary'!$C36,'Pre- and Production'!AH$5:AH$375)</f>
        <v>1280</v>
      </c>
      <c r="P36" s="322">
        <f>SUMIF('Pre- and Production'!$U$5:$U$375, 'WBS Summary'!$C36,'Pre- and Production'!AR$5:AR$375)</f>
        <v>640</v>
      </c>
      <c r="R36" s="46" t="s">
        <v>453</v>
      </c>
      <c r="U36" s="353">
        <f t="shared" si="0"/>
        <v>448</v>
      </c>
    </row>
    <row r="37" spans="3:21">
      <c r="C37" s="134" t="s">
        <v>459</v>
      </c>
      <c r="D37" s="20" t="s">
        <v>463</v>
      </c>
      <c r="E37" s="329">
        <f>SUMIF('Pre- and Production'!$U$5:$U$375, 'WBS Summary'!$C37,'Pre- and Production'!AC$5:AC$375)</f>
        <v>0</v>
      </c>
      <c r="F37" s="330">
        <f>SUMIF('Pre- and Production'!$U$5:$U$375, 'WBS Summary'!$C37,'Pre- and Production'!AM$5:AM$375)</f>
        <v>0</v>
      </c>
      <c r="G37" s="331">
        <f>SUMIF('Pre- and Production'!$U$5:$U$375, 'WBS Summary'!$C37,'Pre- and Production'!AD$5:AD$375)</f>
        <v>0</v>
      </c>
      <c r="H37" s="332">
        <f>SUMIF('Pre- and Production'!$U$5:$U$375, 'WBS Summary'!$C37,'Pre- and Production'!AN$5:AN$375)</f>
        <v>0</v>
      </c>
      <c r="I37" s="329">
        <f>SUMIF('Pre- and Production'!$U$5:$U$375, 'WBS Summary'!$C37,'Pre- and Production'!AE$5:AE$375)</f>
        <v>0</v>
      </c>
      <c r="J37" s="330">
        <f>SUMIF('Pre- and Production'!$U$5:$U$375, 'WBS Summary'!$C37,'Pre- and Production'!AO$5:AO$375)</f>
        <v>0</v>
      </c>
      <c r="K37" s="331">
        <f>SUMIF('Pre- and Production'!$U$5:$U$375, 'WBS Summary'!$C37,'Pre- and Production'!AF$5:AF$375)</f>
        <v>0</v>
      </c>
      <c r="L37" s="332">
        <f>SUMIF('Pre- and Production'!$U$5:$U$375, 'WBS Summary'!$C37,'Pre- and Production'!AP$5:AP$375)</f>
        <v>0</v>
      </c>
      <c r="M37" s="329">
        <f>SUMIF('Pre- and Production'!$U$5:$U$375, 'WBS Summary'!$C37,'Pre- and Production'!AG$5:AG$375)</f>
        <v>0</v>
      </c>
      <c r="N37" s="330">
        <f>SUMIF('Pre- and Production'!$U$5:$U$375, 'WBS Summary'!$C37,'Pre- and Production'!AQ$5:AQ$375)</f>
        <v>0</v>
      </c>
      <c r="O37" s="321">
        <f>SUMIF('Pre- and Production'!$U$5:$U$375, 'WBS Summary'!$C37,'Pre- and Production'!AH$5:AH$375)</f>
        <v>0</v>
      </c>
      <c r="P37" s="322">
        <f>SUMIF('Pre- and Production'!$U$5:$U$375, 'WBS Summary'!$C37,'Pre- and Production'!AR$5:AR$375)</f>
        <v>0</v>
      </c>
      <c r="R37" s="356" t="s">
        <v>459</v>
      </c>
      <c r="T37" s="355">
        <f>SUM(U37:U40)</f>
        <v>0</v>
      </c>
      <c r="U37" s="355">
        <f t="shared" si="0"/>
        <v>0</v>
      </c>
    </row>
    <row r="38" spans="3:21">
      <c r="C38" s="46" t="s">
        <v>460</v>
      </c>
      <c r="D38" s="20" t="s">
        <v>456</v>
      </c>
      <c r="E38" s="329">
        <f>SUMIF('Pre- and Production'!$U$5:$U$375, 'WBS Summary'!$C38,'Pre- and Production'!AC$5:AC$375)</f>
        <v>0</v>
      </c>
      <c r="F38" s="330">
        <f>SUMIF('Pre- and Production'!$U$5:$U$375, 'WBS Summary'!$C38,'Pre- and Production'!AM$5:AM$375)</f>
        <v>0</v>
      </c>
      <c r="G38" s="331">
        <f>SUMIF('Pre- and Production'!$U$5:$U$375, 'WBS Summary'!$C38,'Pre- and Production'!AD$5:AD$375)</f>
        <v>0</v>
      </c>
      <c r="H38" s="332">
        <f>SUMIF('Pre- and Production'!$U$5:$U$375, 'WBS Summary'!$C38,'Pre- and Production'!AN$5:AN$375)</f>
        <v>0</v>
      </c>
      <c r="I38" s="329">
        <f>SUMIF('Pre- and Production'!$U$5:$U$375, 'WBS Summary'!$C38,'Pre- and Production'!AE$5:AE$375)</f>
        <v>0</v>
      </c>
      <c r="J38" s="330">
        <f>SUMIF('Pre- and Production'!$U$5:$U$375, 'WBS Summary'!$C38,'Pre- and Production'!AO$5:AO$375)</f>
        <v>0</v>
      </c>
      <c r="K38" s="331">
        <f>SUMIF('Pre- and Production'!$U$5:$U$375, 'WBS Summary'!$C38,'Pre- and Production'!AF$5:AF$375)</f>
        <v>0</v>
      </c>
      <c r="L38" s="332">
        <f>SUMIF('Pre- and Production'!$U$5:$U$375, 'WBS Summary'!$C38,'Pre- and Production'!AP$5:AP$375)</f>
        <v>0</v>
      </c>
      <c r="M38" s="329">
        <f>SUMIF('Pre- and Production'!$U$5:$U$375, 'WBS Summary'!$C38,'Pre- and Production'!AG$5:AG$375)</f>
        <v>0</v>
      </c>
      <c r="N38" s="330">
        <f>SUMIF('Pre- and Production'!$U$5:$U$375, 'WBS Summary'!$C38,'Pre- and Production'!AQ$5:AQ$375)</f>
        <v>0</v>
      </c>
      <c r="O38" s="321">
        <f>SUMIF('Pre- and Production'!$U$5:$U$375, 'WBS Summary'!$C38,'Pre- and Production'!AH$5:AH$375)</f>
        <v>0</v>
      </c>
      <c r="P38" s="322">
        <f>SUMIF('Pre- and Production'!$U$5:$U$375, 'WBS Summary'!$C38,'Pre- and Production'!AR$5:AR$375)</f>
        <v>0</v>
      </c>
      <c r="R38" s="46" t="s">
        <v>460</v>
      </c>
      <c r="U38" s="353">
        <f t="shared" si="0"/>
        <v>0</v>
      </c>
    </row>
    <row r="39" spans="3:21">
      <c r="C39" s="46" t="s">
        <v>461</v>
      </c>
      <c r="D39" s="20" t="s">
        <v>457</v>
      </c>
      <c r="E39" s="329">
        <f>SUMIF('Pre- and Production'!$U$5:$U$375, 'WBS Summary'!$C39,'Pre- and Production'!AC$5:AC$375)</f>
        <v>0</v>
      </c>
      <c r="F39" s="330">
        <f>SUMIF('Pre- and Production'!$U$5:$U$375, 'WBS Summary'!$C39,'Pre- and Production'!AM$5:AM$375)</f>
        <v>0</v>
      </c>
      <c r="G39" s="331">
        <f>SUMIF('Pre- and Production'!$U$5:$U$375, 'WBS Summary'!$C39,'Pre- and Production'!AD$5:AD$375)</f>
        <v>0</v>
      </c>
      <c r="H39" s="332">
        <f>SUMIF('Pre- and Production'!$U$5:$U$375, 'WBS Summary'!$C39,'Pre- and Production'!AN$5:AN$375)</f>
        <v>0</v>
      </c>
      <c r="I39" s="329">
        <f>SUMIF('Pre- and Production'!$U$5:$U$375, 'WBS Summary'!$C39,'Pre- and Production'!AE$5:AE$375)</f>
        <v>0</v>
      </c>
      <c r="J39" s="330">
        <f>SUMIF('Pre- and Production'!$U$5:$U$375, 'WBS Summary'!$C39,'Pre- and Production'!AO$5:AO$375)</f>
        <v>0</v>
      </c>
      <c r="K39" s="331">
        <f>SUMIF('Pre- and Production'!$U$5:$U$375, 'WBS Summary'!$C39,'Pre- and Production'!AF$5:AF$375)</f>
        <v>0</v>
      </c>
      <c r="L39" s="332">
        <f>SUMIF('Pre- and Production'!$U$5:$U$375, 'WBS Summary'!$C39,'Pre- and Production'!AP$5:AP$375)</f>
        <v>0</v>
      </c>
      <c r="M39" s="329">
        <f>SUMIF('Pre- and Production'!$U$5:$U$375, 'WBS Summary'!$C39,'Pre- and Production'!AG$5:AG$375)</f>
        <v>0</v>
      </c>
      <c r="N39" s="330">
        <f>SUMIF('Pre- and Production'!$U$5:$U$375, 'WBS Summary'!$C39,'Pre- and Production'!AQ$5:AQ$375)</f>
        <v>0</v>
      </c>
      <c r="O39" s="321">
        <f>SUMIF('Pre- and Production'!$U$5:$U$375, 'WBS Summary'!$C39,'Pre- and Production'!AH$5:AH$375)</f>
        <v>0</v>
      </c>
      <c r="P39" s="322">
        <f>SUMIF('Pre- and Production'!$U$5:$U$375, 'WBS Summary'!$C39,'Pre- and Production'!AR$5:AR$375)</f>
        <v>0</v>
      </c>
      <c r="R39" s="46" t="s">
        <v>461</v>
      </c>
      <c r="U39" s="353">
        <f t="shared" si="0"/>
        <v>0</v>
      </c>
    </row>
    <row r="40" spans="3:21" ht="13.5" thickBot="1">
      <c r="C40" s="46" t="s">
        <v>462</v>
      </c>
      <c r="D40" s="20" t="s">
        <v>458</v>
      </c>
      <c r="E40" s="333">
        <f>SUMIF('Pre- and Production'!$U$5:$U$375, 'WBS Summary'!$C40,'Pre- and Production'!AC$5:AC$375)</f>
        <v>0</v>
      </c>
      <c r="F40" s="334">
        <f>SUMIF('Pre- and Production'!$U$5:$U$375, 'WBS Summary'!$C40,'Pre- and Production'!AM$5:AM$375)</f>
        <v>0</v>
      </c>
      <c r="G40" s="335">
        <f>SUMIF('Pre- and Production'!$U$5:$U$375, 'WBS Summary'!$C40,'Pre- and Production'!AD$5:AD$375)</f>
        <v>0</v>
      </c>
      <c r="H40" s="336">
        <f>SUMIF('Pre- and Production'!$U$5:$U$375, 'WBS Summary'!$C40,'Pre- and Production'!AN$5:AN$375)</f>
        <v>0</v>
      </c>
      <c r="I40" s="333">
        <f>SUMIF('Pre- and Production'!$U$5:$U$375, 'WBS Summary'!$C40,'Pre- and Production'!AE$5:AE$375)</f>
        <v>0</v>
      </c>
      <c r="J40" s="334">
        <f>SUMIF('Pre- and Production'!$U$5:$U$375, 'WBS Summary'!$C40,'Pre- and Production'!AO$5:AO$375)</f>
        <v>0</v>
      </c>
      <c r="K40" s="335">
        <f>SUMIF('Pre- and Production'!$U$5:$U$375, 'WBS Summary'!$C40,'Pre- and Production'!AF$5:AF$375)</f>
        <v>0</v>
      </c>
      <c r="L40" s="336">
        <f>SUMIF('Pre- and Production'!$U$5:$U$375, 'WBS Summary'!$C40,'Pre- and Production'!AP$5:AP$375)</f>
        <v>0</v>
      </c>
      <c r="M40" s="333">
        <f>SUMIF('Pre- and Production'!$U$5:$U$375, 'WBS Summary'!$C40,'Pre- and Production'!AG$5:AG$375)</f>
        <v>0</v>
      </c>
      <c r="N40" s="334">
        <f>SUMIF('Pre- and Production'!$U$5:$U$375, 'WBS Summary'!$C40,'Pre- and Production'!AQ$5:AQ$375)</f>
        <v>0</v>
      </c>
      <c r="O40" s="323">
        <f>SUMIF('Pre- and Production'!$U$5:$U$375, 'WBS Summary'!$C40,'Pre- and Production'!AH$5:AH$375)</f>
        <v>0</v>
      </c>
      <c r="P40" s="324">
        <f>SUMIF('Pre- and Production'!$U$5:$U$375, 'WBS Summary'!$C40,'Pre- and Production'!AR$5:AR$375)</f>
        <v>0</v>
      </c>
      <c r="R40" s="46" t="s">
        <v>462</v>
      </c>
      <c r="U40" s="353">
        <f t="shared" si="0"/>
        <v>0</v>
      </c>
    </row>
    <row r="41" spans="3:21" ht="13.5" thickTop="1"/>
    <row r="42" spans="3:21">
      <c r="D42" s="96" t="s">
        <v>400</v>
      </c>
      <c r="E42" s="344">
        <f>SUM(E7:E40)</f>
        <v>1932.25</v>
      </c>
      <c r="F42" s="344">
        <f t="shared" ref="F42:P42" si="1">SUM(F7:F40)</f>
        <v>1311.25</v>
      </c>
      <c r="G42" s="344">
        <f t="shared" si="1"/>
        <v>4749</v>
      </c>
      <c r="H42" s="344">
        <f t="shared" si="1"/>
        <v>1422</v>
      </c>
      <c r="I42" s="344">
        <f t="shared" si="1"/>
        <v>620</v>
      </c>
      <c r="J42" s="344">
        <f t="shared" si="1"/>
        <v>156</v>
      </c>
      <c r="K42" s="344">
        <f t="shared" si="1"/>
        <v>4685</v>
      </c>
      <c r="L42" s="344">
        <f t="shared" si="1"/>
        <v>1528</v>
      </c>
      <c r="M42" s="344">
        <f t="shared" si="1"/>
        <v>16</v>
      </c>
      <c r="N42" s="344">
        <f t="shared" si="1"/>
        <v>0</v>
      </c>
      <c r="O42" s="345">
        <f t="shared" ca="1" si="1"/>
        <v>159362</v>
      </c>
      <c r="P42" s="345">
        <f t="shared" si="1"/>
        <v>57997</v>
      </c>
    </row>
    <row r="43" spans="3:21">
      <c r="D43" s="96" t="s">
        <v>401</v>
      </c>
      <c r="E43" s="346">
        <f>E42/1720</f>
        <v>1.1234011627906977</v>
      </c>
      <c r="F43" s="346">
        <f t="shared" ref="F43:N43" si="2">F42/1720</f>
        <v>0.76235465116279066</v>
      </c>
      <c r="G43" s="346">
        <f t="shared" si="2"/>
        <v>2.761046511627907</v>
      </c>
      <c r="H43" s="346">
        <f t="shared" si="2"/>
        <v>0.82674418604651168</v>
      </c>
      <c r="I43" s="346">
        <f t="shared" si="2"/>
        <v>0.36046511627906974</v>
      </c>
      <c r="J43" s="346">
        <f t="shared" si="2"/>
        <v>9.0697674418604657E-2</v>
      </c>
      <c r="K43" s="346">
        <f>K42/1720</f>
        <v>2.7238372093023258</v>
      </c>
      <c r="L43" s="346">
        <f t="shared" si="2"/>
        <v>0.88837209302325582</v>
      </c>
      <c r="M43" s="346">
        <f t="shared" si="2"/>
        <v>9.3023255813953487E-3</v>
      </c>
      <c r="N43" s="346">
        <f t="shared" si="2"/>
        <v>0</v>
      </c>
      <c r="O43" s="343"/>
      <c r="P43" s="343"/>
    </row>
    <row r="44" spans="3:21">
      <c r="D44" s="347" t="s">
        <v>402</v>
      </c>
      <c r="E44" s="348">
        <f>E42*Shop</f>
        <v>197205.435</v>
      </c>
      <c r="F44" s="348">
        <f>F42*Shop</f>
        <v>133826.17500000002</v>
      </c>
      <c r="G44" s="348">
        <f>G42*M_Tech</f>
        <v>450062.73000000004</v>
      </c>
      <c r="H44" s="348">
        <f>H42*M_Tech</f>
        <v>134762.94</v>
      </c>
      <c r="I44" s="348">
        <f>I43*CMM</f>
        <v>36.789069767441859</v>
      </c>
      <c r="J44" s="348">
        <f>J42*CMM</f>
        <v>15921.36</v>
      </c>
      <c r="K44" s="348">
        <f>K42*ENG</f>
        <v>569227.50000000012</v>
      </c>
      <c r="L44" s="348">
        <f>L42*ENG</f>
        <v>185652.00000000003</v>
      </c>
      <c r="M44" s="348">
        <f>M42*DES</f>
        <v>1620</v>
      </c>
      <c r="N44" s="348">
        <f>N42*DES</f>
        <v>0</v>
      </c>
      <c r="O44" s="343"/>
      <c r="P44" s="343"/>
    </row>
  </sheetData>
  <mergeCells count="6">
    <mergeCell ref="O5:P5"/>
    <mergeCell ref="E5:F5"/>
    <mergeCell ref="G5:H5"/>
    <mergeCell ref="I5:J5"/>
    <mergeCell ref="K5:L5"/>
    <mergeCell ref="M5:N5"/>
  </mergeCells>
  <pageMargins left="0.39" right="0.47" top="0.75" bottom="0.75" header="0.3" footer="0.3"/>
  <pageSetup scale="6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4:AE291"/>
  <sheetViews>
    <sheetView workbookViewId="0">
      <selection activeCell="V45" sqref="V45"/>
    </sheetView>
  </sheetViews>
  <sheetFormatPr defaultRowHeight="12.75"/>
  <cols>
    <col min="3" max="3" width="12.5703125" customWidth="1"/>
    <col min="5" max="5" width="7.7109375" customWidth="1"/>
    <col min="14" max="15" width="9.140625" style="310"/>
  </cols>
  <sheetData>
    <row r="4" spans="2:31" ht="18.75" thickBot="1">
      <c r="B4" s="309">
        <v>2009</v>
      </c>
    </row>
    <row r="5" spans="2:31" ht="13.5" thickTop="1">
      <c r="D5" s="396" t="s">
        <v>41</v>
      </c>
      <c r="E5" s="397"/>
      <c r="F5" s="396" t="s">
        <v>380</v>
      </c>
      <c r="G5" s="398"/>
      <c r="H5" s="399" t="s">
        <v>37</v>
      </c>
      <c r="I5" s="397"/>
      <c r="J5" s="396" t="s">
        <v>381</v>
      </c>
      <c r="K5" s="398"/>
      <c r="L5" s="399" t="s">
        <v>31</v>
      </c>
      <c r="M5" s="397"/>
      <c r="N5" s="394" t="s">
        <v>382</v>
      </c>
      <c r="O5" s="395"/>
      <c r="T5" s="400"/>
      <c r="U5" s="400"/>
      <c r="V5" s="400"/>
      <c r="W5" s="400"/>
      <c r="X5" s="400"/>
      <c r="Y5" s="400"/>
      <c r="Z5" s="400"/>
      <c r="AA5" s="400"/>
      <c r="AB5" s="400"/>
      <c r="AC5" s="400"/>
      <c r="AD5" s="400"/>
      <c r="AE5" s="400"/>
    </row>
    <row r="6" spans="2:31" ht="13.5" thickBot="1">
      <c r="D6" s="299" t="s">
        <v>70</v>
      </c>
      <c r="E6" s="301" t="s">
        <v>383</v>
      </c>
      <c r="F6" s="299" t="s">
        <v>70</v>
      </c>
      <c r="G6" s="300" t="s">
        <v>383</v>
      </c>
      <c r="H6" s="305" t="s">
        <v>70</v>
      </c>
      <c r="I6" s="301" t="s">
        <v>383</v>
      </c>
      <c r="J6" s="299" t="s">
        <v>70</v>
      </c>
      <c r="K6" s="300" t="s">
        <v>383</v>
      </c>
      <c r="L6" s="305" t="s">
        <v>70</v>
      </c>
      <c r="M6" s="301" t="s">
        <v>383</v>
      </c>
      <c r="N6" s="311" t="s">
        <v>70</v>
      </c>
      <c r="O6" s="312" t="s">
        <v>383</v>
      </c>
    </row>
    <row r="7" spans="2:31" ht="13.5" thickTop="1">
      <c r="C7" s="20" t="s">
        <v>180</v>
      </c>
      <c r="D7" s="294">
        <f>SUMIF('Pre- and Production'!$T$4:$T$376, CONCATENATE(LEFT('WBS Summary by Year'!D$6,1),'WBS Summary by Year'!$C7,'WBS Summary by Year'!$B$4),'Pre- and Production'!AC$4:AC$376)</f>
        <v>0</v>
      </c>
      <c r="E7" s="302">
        <f>SUMIF('Pre- and Production'!$T$4:$T$376, CONCATENATE(LEFT('WBS Summary by Year'!E$6,1),'WBS Summary by Year'!$C7,'WBS Summary by Year'!$B$4),'Pre- and Production'!AM$4:AM$376)</f>
        <v>0</v>
      </c>
      <c r="F7" s="294">
        <f>SUMIF('Pre- and Production'!$T$4:$T$376, CONCATENATE(LEFT('WBS Summary by Year'!F$6,1),'WBS Summary by Year'!$C7,'WBS Summary by Year'!$B$4),'Pre- and Production'!AD$4:AD$376)</f>
        <v>0</v>
      </c>
      <c r="G7" s="295">
        <f>SUMIF('Pre- and Production'!$T$4:$T$376, CONCATENATE(LEFT('WBS Summary by Year'!G$6,1),'WBS Summary by Year'!$C7,'WBS Summary by Year'!$B$4),'Pre- and Production'!AN$4:AN$376)</f>
        <v>0</v>
      </c>
      <c r="H7" s="306">
        <f>SUMIF('Pre- and Production'!$T$4:$T$376, CONCATENATE(LEFT('WBS Summary by Year'!H$6,1),'WBS Summary by Year'!$C7,'WBS Summary by Year'!$B$4),'Pre- and Production'!AE$4:AE$376)</f>
        <v>0</v>
      </c>
      <c r="I7" s="302">
        <f>SUMIF('Pre- and Production'!$T$4:$T$376, CONCATENATE(LEFT('WBS Summary by Year'!I$6,1),'WBS Summary by Year'!$C7,'WBS Summary by Year'!$B$4),'Pre- and Production'!AO$4:AO$376)</f>
        <v>0</v>
      </c>
      <c r="J7" s="294">
        <f>SUMIF('Pre- and Production'!$T$4:$T$376, CONCATENATE(LEFT('WBS Summary by Year'!J$6,1),'WBS Summary by Year'!$C7,'WBS Summary by Year'!$B$4),'Pre- and Production'!AF$4:AFI$376)</f>
        <v>0</v>
      </c>
      <c r="K7" s="295">
        <f>SUMIF('Pre- and Production'!$T$4:$T$376, CONCATENATE(LEFT('WBS Summary by Year'!K$6,1),'WBS Summary by Year'!$C7,'WBS Summary by Year'!$B$4),'Pre- and Production'!AP$4:AP$376)</f>
        <v>0</v>
      </c>
      <c r="L7" s="306">
        <f>SUMIF('Pre- and Production'!$T$4:$T$376, CONCATENATE(LEFT('WBS Summary by Year'!L$6,1),'WBS Summary by Year'!$C7,'WBS Summary by Year'!$B$4),'Pre- and Production'!AG$4:AG$376)</f>
        <v>0</v>
      </c>
      <c r="M7" s="302">
        <f>SUMIF('Pre- and Production'!$T$4:$T$376, CONCATENATE(LEFT('WBS Summary by Year'!M$6,1),'WBS Summary by Year'!$C7,'WBS Summary by Year'!$B$4),'Pre- and Production'!AQ$4:AQ$376)</f>
        <v>0</v>
      </c>
      <c r="N7" s="313">
        <f>SUMIF('Pre- and Production'!$T$4:$T$376, CONCATENATE(LEFT('WBS Summary by Year'!N$6,1),'WBS Summary by Year'!$C7,'WBS Summary by Year'!$B$4),'Pre- and Production'!AH$4:AH$376)</f>
        <v>0</v>
      </c>
      <c r="O7" s="314">
        <f>SUMIF('Pre- and Production'!$T$4:$T$376, CONCATENATE(LEFT('WBS Summary by Year'!O$6,1),'WBS Summary by Year'!$C7,'WBS Summary by Year'!$B$4),'Pre- and Production'!AR$4:AR$376)</f>
        <v>0</v>
      </c>
    </row>
    <row r="8" spans="2:31">
      <c r="C8" s="134" t="s">
        <v>182</v>
      </c>
      <c r="D8" s="26">
        <f>SUMIF('Pre- and Production'!$T$4:$T$376, CONCATENATE(LEFT('WBS Summary by Year'!D$6,1),'WBS Summary by Year'!$C8,'WBS Summary by Year'!$B$4),'Pre- and Production'!AC$4:AC$376)</f>
        <v>0</v>
      </c>
      <c r="E8" s="303">
        <f>SUMIF('Pre- and Production'!$T$4:$T$376, CONCATENATE(LEFT('WBS Summary by Year'!E$6,1),'WBS Summary by Year'!$C8,'WBS Summary by Year'!$B$4),'Pre- and Production'!AM$4:AM$376)</f>
        <v>0</v>
      </c>
      <c r="F8" s="26">
        <f>SUMIF('Pre- and Production'!$T$4:$T$376, CONCATENATE(LEFT('WBS Summary by Year'!F$6,1),'WBS Summary by Year'!$C8,'WBS Summary by Year'!$B$4),'Pre- and Production'!AD$4:AD$376)</f>
        <v>0</v>
      </c>
      <c r="G8" s="296">
        <f>SUMIF('Pre- and Production'!$T$4:$T$376, CONCATENATE(LEFT('WBS Summary by Year'!G$6,1),'WBS Summary by Year'!$C8,'WBS Summary by Year'!$B$4),'Pre- and Production'!AN$4:AN$376)</f>
        <v>0</v>
      </c>
      <c r="H8" s="307">
        <f>SUMIF('Pre- and Production'!$T$4:$T$376, CONCATENATE(LEFT('WBS Summary by Year'!H$6,1),'WBS Summary by Year'!$C8,'WBS Summary by Year'!$B$4),'Pre- and Production'!AE$4:AE$376)</f>
        <v>0</v>
      </c>
      <c r="I8" s="303">
        <f>SUMIF('Pre- and Production'!$T$4:$T$376, CONCATENATE(LEFT('WBS Summary by Year'!I$6,1),'WBS Summary by Year'!$C8,'WBS Summary by Year'!$B$4),'Pre- and Production'!AO$4:AO$376)</f>
        <v>0</v>
      </c>
      <c r="J8" s="26">
        <f>SUMIF('Pre- and Production'!$T$4:$T$376, CONCATENATE(LEFT('WBS Summary by Year'!J$6,1),'WBS Summary by Year'!$C8,'WBS Summary by Year'!$B$4),'Pre- and Production'!AF$4:AFI$376)</f>
        <v>0</v>
      </c>
      <c r="K8" s="296">
        <f>SUMIF('Pre- and Production'!$T$4:$T$376, CONCATENATE(LEFT('WBS Summary by Year'!K$6,1),'WBS Summary by Year'!$C8,'WBS Summary by Year'!$B$4),'Pre- and Production'!AP$4:AP$376)</f>
        <v>0</v>
      </c>
      <c r="L8" s="307">
        <f>SUMIF('Pre- and Production'!$T$4:$T$376, CONCATENATE(LEFT('WBS Summary by Year'!L$6,1),'WBS Summary by Year'!$C8,'WBS Summary by Year'!$B$4),'Pre- and Production'!AG$4:AG$376)</f>
        <v>0</v>
      </c>
      <c r="M8" s="303">
        <f>SUMIF('Pre- and Production'!$T$4:$T$376, CONCATENATE(LEFT('WBS Summary by Year'!M$6,1),'WBS Summary by Year'!$C8,'WBS Summary by Year'!$B$4),'Pre- and Production'!AQ$4:AQ$376)</f>
        <v>0</v>
      </c>
      <c r="N8" s="315">
        <f>SUMIF('Pre- and Production'!$T$4:$T$376, CONCATENATE(LEFT('WBS Summary by Year'!N$6,1),'WBS Summary by Year'!$C8,'WBS Summary by Year'!$B$4),'Pre- and Production'!AH$4:AH$376)</f>
        <v>0</v>
      </c>
      <c r="O8" s="316">
        <f>SUMIF('Pre- and Production'!$T$4:$T$376, CONCATENATE(LEFT('WBS Summary by Year'!O$6,1),'WBS Summary by Year'!$C8,'WBS Summary by Year'!$B$4),'Pre- and Production'!AR$4:AR$376)</f>
        <v>0</v>
      </c>
    </row>
    <row r="9" spans="2:31" s="352" customFormat="1">
      <c r="C9" s="46" t="s">
        <v>184</v>
      </c>
      <c r="D9" s="26">
        <f>SUMIF('Pre- and Production'!$T$4:$T$376, CONCATENATE(LEFT('WBS Summary by Year'!D$6,1),'WBS Summary by Year'!$C9,'WBS Summary by Year'!$B$4),'Pre- and Production'!AC$4:AC$376)</f>
        <v>0</v>
      </c>
      <c r="E9" s="303">
        <f>SUMIF('Pre- and Production'!$T$4:$T$376, CONCATENATE(LEFT('WBS Summary by Year'!E$6,1),'WBS Summary by Year'!$C9,'WBS Summary by Year'!$B$4),'Pre- and Production'!AM$4:AM$376)</f>
        <v>0</v>
      </c>
      <c r="F9" s="26">
        <f>SUMIF('Pre- and Production'!$T$4:$T$376, CONCATENATE(LEFT('WBS Summary by Year'!F$6,1),'WBS Summary by Year'!$C9,'WBS Summary by Year'!$B$4),'Pre- and Production'!AD$4:AD$376)</f>
        <v>0</v>
      </c>
      <c r="G9" s="296">
        <f>SUMIF('Pre- and Production'!$T$4:$T$376, CONCATENATE(LEFT('WBS Summary by Year'!G$6,1),'WBS Summary by Year'!$C9,'WBS Summary by Year'!$B$4),'Pre- and Production'!AN$4:AN$376)</f>
        <v>0</v>
      </c>
      <c r="H9" s="307">
        <f>SUMIF('Pre- and Production'!$T$4:$T$376, CONCATENATE(LEFT('WBS Summary by Year'!H$6,1),'WBS Summary by Year'!$C9,'WBS Summary by Year'!$B$4),'Pre- and Production'!AE$4:AE$376)</f>
        <v>0</v>
      </c>
      <c r="I9" s="303">
        <f>SUMIF('Pre- and Production'!$T$4:$T$376, CONCATENATE(LEFT('WBS Summary by Year'!I$6,1),'WBS Summary by Year'!$C9,'WBS Summary by Year'!$B$4),'Pre- and Production'!AO$4:AO$376)</f>
        <v>0</v>
      </c>
      <c r="J9" s="26">
        <f>SUMIF('Pre- and Production'!$T$4:$T$376, CONCATENATE(LEFT('WBS Summary by Year'!J$6,1),'WBS Summary by Year'!$C9,'WBS Summary by Year'!$B$4),'Pre- and Production'!AF$4:AFI$376)</f>
        <v>0</v>
      </c>
      <c r="K9" s="296">
        <f>SUMIF('Pre- and Production'!$T$4:$T$376, CONCATENATE(LEFT('WBS Summary by Year'!K$6,1),'WBS Summary by Year'!$C9,'WBS Summary by Year'!$B$4),'Pre- and Production'!AP$4:AP$376)</f>
        <v>0</v>
      </c>
      <c r="L9" s="307">
        <f>SUMIF('Pre- and Production'!$T$4:$T$376, CONCATENATE(LEFT('WBS Summary by Year'!L$6,1),'WBS Summary by Year'!$C9,'WBS Summary by Year'!$B$4),'Pre- and Production'!AG$4:AG$376)</f>
        <v>0</v>
      </c>
      <c r="M9" s="303">
        <f>SUMIF('Pre- and Production'!$T$4:$T$376, CONCATENATE(LEFT('WBS Summary by Year'!M$6,1),'WBS Summary by Year'!$C9,'WBS Summary by Year'!$B$4),'Pre- and Production'!AQ$4:AQ$376)</f>
        <v>0</v>
      </c>
      <c r="N9" s="315">
        <f>SUMIF('Pre- and Production'!$T$4:$T$376, CONCATENATE(LEFT('WBS Summary by Year'!N$6,1),'WBS Summary by Year'!$C9,'WBS Summary by Year'!$B$4),'Pre- and Production'!AH$4:AH$376)</f>
        <v>0</v>
      </c>
      <c r="O9" s="316">
        <f>SUMIF('Pre- and Production'!$T$4:$T$376, CONCATENATE(LEFT('WBS Summary by Year'!O$6,1),'WBS Summary by Year'!$C9,'WBS Summary by Year'!$B$4),'Pre- and Production'!AR$4:AR$376)</f>
        <v>0</v>
      </c>
    </row>
    <row r="10" spans="2:31" s="352" customFormat="1">
      <c r="C10" s="46" t="s">
        <v>186</v>
      </c>
      <c r="D10" s="26">
        <f>SUMIF('Pre- and Production'!$T$4:$T$376, CONCATENATE(LEFT('WBS Summary by Year'!D$6,1),'WBS Summary by Year'!$C10,'WBS Summary by Year'!$B$4),'Pre- and Production'!AC$4:AC$376)</f>
        <v>0</v>
      </c>
      <c r="E10" s="303">
        <f>SUMIF('Pre- and Production'!$T$4:$T$376, CONCATENATE(LEFT('WBS Summary by Year'!E$6,1),'WBS Summary by Year'!$C10,'WBS Summary by Year'!$B$4),'Pre- and Production'!AM$4:AM$376)</f>
        <v>0</v>
      </c>
      <c r="F10" s="26">
        <f>SUMIF('Pre- and Production'!$T$4:$T$376, CONCATENATE(LEFT('WBS Summary by Year'!F$6,1),'WBS Summary by Year'!$C10,'WBS Summary by Year'!$B$4),'Pre- and Production'!AD$4:AD$376)</f>
        <v>0</v>
      </c>
      <c r="G10" s="296">
        <f>SUMIF('Pre- and Production'!$T$4:$T$376, CONCATENATE(LEFT('WBS Summary by Year'!G$6,1),'WBS Summary by Year'!$C10,'WBS Summary by Year'!$B$4),'Pre- and Production'!AN$4:AN$376)</f>
        <v>0</v>
      </c>
      <c r="H10" s="307">
        <f>SUMIF('Pre- and Production'!$T$4:$T$376, CONCATENATE(LEFT('WBS Summary by Year'!H$6,1),'WBS Summary by Year'!$C10,'WBS Summary by Year'!$B$4),'Pre- and Production'!AE$4:AE$376)</f>
        <v>0</v>
      </c>
      <c r="I10" s="303">
        <f>SUMIF('Pre- and Production'!$T$4:$T$376, CONCATENATE(LEFT('WBS Summary by Year'!I$6,1),'WBS Summary by Year'!$C10,'WBS Summary by Year'!$B$4),'Pre- and Production'!AO$4:AO$376)</f>
        <v>0</v>
      </c>
      <c r="J10" s="26">
        <f>SUMIF('Pre- and Production'!$T$4:$T$376, CONCATENATE(LEFT('WBS Summary by Year'!J$6,1),'WBS Summary by Year'!$C10,'WBS Summary by Year'!$B$4),'Pre- and Production'!AF$4:AFI$376)</f>
        <v>0</v>
      </c>
      <c r="K10" s="296">
        <f>SUMIF('Pre- and Production'!$T$4:$T$376, CONCATENATE(LEFT('WBS Summary by Year'!K$6,1),'WBS Summary by Year'!$C10,'WBS Summary by Year'!$B$4),'Pre- and Production'!AP$4:AP$376)</f>
        <v>0</v>
      </c>
      <c r="L10" s="307">
        <f>SUMIF('Pre- and Production'!$T$4:$T$376, CONCATENATE(LEFT('WBS Summary by Year'!L$6,1),'WBS Summary by Year'!$C10,'WBS Summary by Year'!$B$4),'Pre- and Production'!AG$4:AG$376)</f>
        <v>0</v>
      </c>
      <c r="M10" s="303">
        <f>SUMIF('Pre- and Production'!$T$4:$T$376, CONCATENATE(LEFT('WBS Summary by Year'!M$6,1),'WBS Summary by Year'!$C10,'WBS Summary by Year'!$B$4),'Pre- and Production'!AQ$4:AQ$376)</f>
        <v>0</v>
      </c>
      <c r="N10" s="315">
        <f>SUMIF('Pre- and Production'!$T$4:$T$376, CONCATENATE(LEFT('WBS Summary by Year'!N$6,1),'WBS Summary by Year'!$C10,'WBS Summary by Year'!$B$4),'Pre- and Production'!AH$4:AH$376)</f>
        <v>0</v>
      </c>
      <c r="O10" s="316">
        <f>SUMIF('Pre- and Production'!$T$4:$T$376, CONCATENATE(LEFT('WBS Summary by Year'!O$6,1),'WBS Summary by Year'!$C10,'WBS Summary by Year'!$B$4),'Pre- and Production'!AR$4:AR$376)</f>
        <v>0</v>
      </c>
    </row>
    <row r="11" spans="2:31" s="352" customFormat="1">
      <c r="C11" s="134" t="s">
        <v>189</v>
      </c>
      <c r="D11" s="26">
        <f>SUMIF('Pre- and Production'!$T$4:$T$376, CONCATENATE(LEFT('WBS Summary by Year'!D$6,1),'WBS Summary by Year'!$C11,'WBS Summary by Year'!$B$4),'Pre- and Production'!AC$4:AC$376)</f>
        <v>0</v>
      </c>
      <c r="E11" s="303">
        <f>SUMIF('Pre- and Production'!$T$4:$T$376, CONCATENATE(LEFT('WBS Summary by Year'!E$6,1),'WBS Summary by Year'!$C11,'WBS Summary by Year'!$B$4),'Pre- and Production'!AM$4:AM$376)</f>
        <v>0</v>
      </c>
      <c r="F11" s="26">
        <f>SUMIF('Pre- and Production'!$T$4:$T$376, CONCATENATE(LEFT('WBS Summary by Year'!F$6,1),'WBS Summary by Year'!$C11,'WBS Summary by Year'!$B$4),'Pre- and Production'!AD$4:AD$376)</f>
        <v>0</v>
      </c>
      <c r="G11" s="296">
        <f>SUMIF('Pre- and Production'!$T$4:$T$376, CONCATENATE(LEFT('WBS Summary by Year'!G$6,1),'WBS Summary by Year'!$C11,'WBS Summary by Year'!$B$4),'Pre- and Production'!AN$4:AN$376)</f>
        <v>0</v>
      </c>
      <c r="H11" s="307">
        <f>SUMIF('Pre- and Production'!$T$4:$T$376, CONCATENATE(LEFT('WBS Summary by Year'!H$6,1),'WBS Summary by Year'!$C11,'WBS Summary by Year'!$B$4),'Pre- and Production'!AE$4:AE$376)</f>
        <v>0</v>
      </c>
      <c r="I11" s="303">
        <f>SUMIF('Pre- and Production'!$T$4:$T$376, CONCATENATE(LEFT('WBS Summary by Year'!I$6,1),'WBS Summary by Year'!$C11,'WBS Summary by Year'!$B$4),'Pre- and Production'!AO$4:AO$376)</f>
        <v>0</v>
      </c>
      <c r="J11" s="26">
        <f>SUMIF('Pre- and Production'!$T$4:$T$376, CONCATENATE(LEFT('WBS Summary by Year'!J$6,1),'WBS Summary by Year'!$C11,'WBS Summary by Year'!$B$4),'Pre- and Production'!AF$4:AFI$376)</f>
        <v>0</v>
      </c>
      <c r="K11" s="296">
        <f>SUMIF('Pre- and Production'!$T$4:$T$376, CONCATENATE(LEFT('WBS Summary by Year'!K$6,1),'WBS Summary by Year'!$C11,'WBS Summary by Year'!$B$4),'Pre- and Production'!AP$4:AP$376)</f>
        <v>0</v>
      </c>
      <c r="L11" s="307">
        <f>SUMIF('Pre- and Production'!$T$4:$T$376, CONCATENATE(LEFT('WBS Summary by Year'!L$6,1),'WBS Summary by Year'!$C11,'WBS Summary by Year'!$B$4),'Pre- and Production'!AG$4:AG$376)</f>
        <v>0</v>
      </c>
      <c r="M11" s="303">
        <f>SUMIF('Pre- and Production'!$T$4:$T$376, CONCATENATE(LEFT('WBS Summary by Year'!M$6,1),'WBS Summary by Year'!$C11,'WBS Summary by Year'!$B$4),'Pre- and Production'!AQ$4:AQ$376)</f>
        <v>0</v>
      </c>
      <c r="N11" s="315">
        <f>SUMIF('Pre- and Production'!$T$4:$T$376, CONCATENATE(LEFT('WBS Summary by Year'!N$6,1),'WBS Summary by Year'!$C11,'WBS Summary by Year'!$B$4),'Pre- and Production'!AH$4:AH$376)</f>
        <v>0</v>
      </c>
      <c r="O11" s="316">
        <f>SUMIF('Pre- and Production'!$T$4:$T$376, CONCATENATE(LEFT('WBS Summary by Year'!O$6,1),'WBS Summary by Year'!$C11,'WBS Summary by Year'!$B$4),'Pre- and Production'!AR$4:AR$376)</f>
        <v>0</v>
      </c>
    </row>
    <row r="12" spans="2:31" s="352" customFormat="1">
      <c r="C12" s="46" t="s">
        <v>191</v>
      </c>
      <c r="D12" s="26">
        <f>SUMIF('Pre- and Production'!$T$4:$T$376, CONCATENATE(LEFT('WBS Summary by Year'!D$6,1),'WBS Summary by Year'!$C12,'WBS Summary by Year'!$B$4),'Pre- and Production'!AC$4:AC$376)</f>
        <v>0</v>
      </c>
      <c r="E12" s="303">
        <f>SUMIF('Pre- and Production'!$T$4:$T$376, CONCATENATE(LEFT('WBS Summary by Year'!E$6,1),'WBS Summary by Year'!$C12,'WBS Summary by Year'!$B$4),'Pre- and Production'!AM$4:AM$376)</f>
        <v>0</v>
      </c>
      <c r="F12" s="26">
        <f>SUMIF('Pre- and Production'!$T$4:$T$376, CONCATENATE(LEFT('WBS Summary by Year'!F$6,1),'WBS Summary by Year'!$C12,'WBS Summary by Year'!$B$4),'Pre- and Production'!AD$4:AD$376)</f>
        <v>0</v>
      </c>
      <c r="G12" s="296">
        <f>SUMIF('Pre- and Production'!$T$4:$T$376, CONCATENATE(LEFT('WBS Summary by Year'!G$6,1),'WBS Summary by Year'!$C12,'WBS Summary by Year'!$B$4),'Pre- and Production'!AN$4:AN$376)</f>
        <v>0</v>
      </c>
      <c r="H12" s="307">
        <f>SUMIF('Pre- and Production'!$T$4:$T$376, CONCATENATE(LEFT('WBS Summary by Year'!H$6,1),'WBS Summary by Year'!$C12,'WBS Summary by Year'!$B$4),'Pre- and Production'!AE$4:AE$376)</f>
        <v>0</v>
      </c>
      <c r="I12" s="303">
        <f>SUMIF('Pre- and Production'!$T$4:$T$376, CONCATENATE(LEFT('WBS Summary by Year'!I$6,1),'WBS Summary by Year'!$C12,'WBS Summary by Year'!$B$4),'Pre- and Production'!AO$4:AO$376)</f>
        <v>0</v>
      </c>
      <c r="J12" s="26">
        <f>SUMIF('Pre- and Production'!$T$4:$T$376, CONCATENATE(LEFT('WBS Summary by Year'!J$6,1),'WBS Summary by Year'!$C12,'WBS Summary by Year'!$B$4),'Pre- and Production'!AF$4:AFI$376)</f>
        <v>0</v>
      </c>
      <c r="K12" s="296">
        <f>SUMIF('Pre- and Production'!$T$4:$T$376, CONCATENATE(LEFT('WBS Summary by Year'!K$6,1),'WBS Summary by Year'!$C12,'WBS Summary by Year'!$B$4),'Pre- and Production'!AP$4:AP$376)</f>
        <v>0</v>
      </c>
      <c r="L12" s="307">
        <f>SUMIF('Pre- and Production'!$T$4:$T$376, CONCATENATE(LEFT('WBS Summary by Year'!L$6,1),'WBS Summary by Year'!$C12,'WBS Summary by Year'!$B$4),'Pre- and Production'!AG$4:AG$376)</f>
        <v>0</v>
      </c>
      <c r="M12" s="303">
        <f>SUMIF('Pre- and Production'!$T$4:$T$376, CONCATENATE(LEFT('WBS Summary by Year'!M$6,1),'WBS Summary by Year'!$C12,'WBS Summary by Year'!$B$4),'Pre- and Production'!AQ$4:AQ$376)</f>
        <v>0</v>
      </c>
      <c r="N12" s="315">
        <f>SUMIF('Pre- and Production'!$T$4:$T$376, CONCATENATE(LEFT('WBS Summary by Year'!N$6,1),'WBS Summary by Year'!$C12,'WBS Summary by Year'!$B$4),'Pre- and Production'!AH$4:AH$376)</f>
        <v>0</v>
      </c>
      <c r="O12" s="316">
        <f>SUMIF('Pre- and Production'!$T$4:$T$376, CONCATENATE(LEFT('WBS Summary by Year'!O$6,1),'WBS Summary by Year'!$C12,'WBS Summary by Year'!$B$4),'Pre- and Production'!AR$4:AR$376)</f>
        <v>0</v>
      </c>
    </row>
    <row r="13" spans="2:31" s="352" customFormat="1">
      <c r="C13" s="46" t="s">
        <v>193</v>
      </c>
      <c r="D13" s="26">
        <f>SUMIF('Pre- and Production'!$T$4:$T$376, CONCATENATE(LEFT('WBS Summary by Year'!D$6,1),'WBS Summary by Year'!$C13,'WBS Summary by Year'!$B$4),'Pre- and Production'!AC$4:AC$376)</f>
        <v>0</v>
      </c>
      <c r="E13" s="303">
        <f>SUMIF('Pre- and Production'!$T$4:$T$376, CONCATENATE(LEFT('WBS Summary by Year'!E$6,1),'WBS Summary by Year'!$C13,'WBS Summary by Year'!$B$4),'Pre- and Production'!AM$4:AM$376)</f>
        <v>0</v>
      </c>
      <c r="F13" s="26">
        <f>SUMIF('Pre- and Production'!$T$4:$T$376, CONCATENATE(LEFT('WBS Summary by Year'!F$6,1),'WBS Summary by Year'!$C13,'WBS Summary by Year'!$B$4),'Pre- and Production'!AD$4:AD$376)</f>
        <v>0</v>
      </c>
      <c r="G13" s="296">
        <f>SUMIF('Pre- and Production'!$T$4:$T$376, CONCATENATE(LEFT('WBS Summary by Year'!G$6,1),'WBS Summary by Year'!$C13,'WBS Summary by Year'!$B$4),'Pre- and Production'!AN$4:AN$376)</f>
        <v>0</v>
      </c>
      <c r="H13" s="307">
        <f>SUMIF('Pre- and Production'!$T$4:$T$376, CONCATENATE(LEFT('WBS Summary by Year'!H$6,1),'WBS Summary by Year'!$C13,'WBS Summary by Year'!$B$4),'Pre- and Production'!AE$4:AE$376)</f>
        <v>0</v>
      </c>
      <c r="I13" s="303">
        <f>SUMIF('Pre- and Production'!$T$4:$T$376, CONCATENATE(LEFT('WBS Summary by Year'!I$6,1),'WBS Summary by Year'!$C13,'WBS Summary by Year'!$B$4),'Pre- and Production'!AO$4:AO$376)</f>
        <v>0</v>
      </c>
      <c r="J13" s="26">
        <f>SUMIF('Pre- and Production'!$T$4:$T$376, CONCATENATE(LEFT('WBS Summary by Year'!J$6,1),'WBS Summary by Year'!$C13,'WBS Summary by Year'!$B$4),'Pre- and Production'!AF$4:AFI$376)</f>
        <v>0</v>
      </c>
      <c r="K13" s="296">
        <f>SUMIF('Pre- and Production'!$T$4:$T$376, CONCATENATE(LEFT('WBS Summary by Year'!K$6,1),'WBS Summary by Year'!$C13,'WBS Summary by Year'!$B$4),'Pre- and Production'!AP$4:AP$376)</f>
        <v>0</v>
      </c>
      <c r="L13" s="307">
        <f>SUMIF('Pre- and Production'!$T$4:$T$376, CONCATENATE(LEFT('WBS Summary by Year'!L$6,1),'WBS Summary by Year'!$C13,'WBS Summary by Year'!$B$4),'Pre- and Production'!AG$4:AG$376)</f>
        <v>0</v>
      </c>
      <c r="M13" s="303">
        <f>SUMIF('Pre- and Production'!$T$4:$T$376, CONCATENATE(LEFT('WBS Summary by Year'!M$6,1),'WBS Summary by Year'!$C13,'WBS Summary by Year'!$B$4),'Pre- and Production'!AQ$4:AQ$376)</f>
        <v>0</v>
      </c>
      <c r="N13" s="315">
        <f>SUMIF('Pre- and Production'!$T$4:$T$376, CONCATENATE(LEFT('WBS Summary by Year'!N$6,1),'WBS Summary by Year'!$C13,'WBS Summary by Year'!$B$4),'Pre- and Production'!AH$4:AH$376)</f>
        <v>0</v>
      </c>
      <c r="O13" s="316">
        <f>SUMIF('Pre- and Production'!$T$4:$T$376, CONCATENATE(LEFT('WBS Summary by Year'!O$6,1),'WBS Summary by Year'!$C13,'WBS Summary by Year'!$B$4),'Pre- and Production'!AR$4:AR$376)</f>
        <v>0</v>
      </c>
    </row>
    <row r="14" spans="2:31" s="352" customFormat="1">
      <c r="C14" s="46" t="s">
        <v>195</v>
      </c>
      <c r="D14" s="26">
        <f>SUMIF('Pre- and Production'!$T$4:$T$376, CONCATENATE(LEFT('WBS Summary by Year'!D$6,1),'WBS Summary by Year'!$C14,'WBS Summary by Year'!$B$4),'Pre- and Production'!AC$4:AC$376)</f>
        <v>0</v>
      </c>
      <c r="E14" s="303">
        <f>SUMIF('Pre- and Production'!$T$4:$T$376, CONCATENATE(LEFT('WBS Summary by Year'!E$6,1),'WBS Summary by Year'!$C14,'WBS Summary by Year'!$B$4),'Pre- and Production'!AM$4:AM$376)</f>
        <v>0</v>
      </c>
      <c r="F14" s="26">
        <f>SUMIF('Pre- and Production'!$T$4:$T$376, CONCATENATE(LEFT('WBS Summary by Year'!F$6,1),'WBS Summary by Year'!$C14,'WBS Summary by Year'!$B$4),'Pre- and Production'!AD$4:AD$376)</f>
        <v>0</v>
      </c>
      <c r="G14" s="296">
        <f>SUMIF('Pre- and Production'!$T$4:$T$376, CONCATENATE(LEFT('WBS Summary by Year'!G$6,1),'WBS Summary by Year'!$C14,'WBS Summary by Year'!$B$4),'Pre- and Production'!AN$4:AN$376)</f>
        <v>0</v>
      </c>
      <c r="H14" s="307">
        <f>SUMIF('Pre- and Production'!$T$4:$T$376, CONCATENATE(LEFT('WBS Summary by Year'!H$6,1),'WBS Summary by Year'!$C14,'WBS Summary by Year'!$B$4),'Pre- and Production'!AE$4:AE$376)</f>
        <v>0</v>
      </c>
      <c r="I14" s="303">
        <f>SUMIF('Pre- and Production'!$T$4:$T$376, CONCATENATE(LEFT('WBS Summary by Year'!I$6,1),'WBS Summary by Year'!$C14,'WBS Summary by Year'!$B$4),'Pre- and Production'!AO$4:AO$376)</f>
        <v>0</v>
      </c>
      <c r="J14" s="26">
        <f>SUMIF('Pre- and Production'!$T$4:$T$376, CONCATENATE(LEFT('WBS Summary by Year'!J$6,1),'WBS Summary by Year'!$C14,'WBS Summary by Year'!$B$4),'Pre- and Production'!AF$4:AFI$376)</f>
        <v>0</v>
      </c>
      <c r="K14" s="296">
        <f>SUMIF('Pre- and Production'!$T$4:$T$376, CONCATENATE(LEFT('WBS Summary by Year'!K$6,1),'WBS Summary by Year'!$C14,'WBS Summary by Year'!$B$4),'Pre- and Production'!AP$4:AP$376)</f>
        <v>0</v>
      </c>
      <c r="L14" s="307">
        <f>SUMIF('Pre- and Production'!$T$4:$T$376, CONCATENATE(LEFT('WBS Summary by Year'!L$6,1),'WBS Summary by Year'!$C14,'WBS Summary by Year'!$B$4),'Pre- and Production'!AG$4:AG$376)</f>
        <v>0</v>
      </c>
      <c r="M14" s="303">
        <f>SUMIF('Pre- and Production'!$T$4:$T$376, CONCATENATE(LEFT('WBS Summary by Year'!M$6,1),'WBS Summary by Year'!$C14,'WBS Summary by Year'!$B$4),'Pre- and Production'!AQ$4:AQ$376)</f>
        <v>0</v>
      </c>
      <c r="N14" s="315">
        <f>SUMIF('Pre- and Production'!$T$4:$T$376, CONCATENATE(LEFT('WBS Summary by Year'!N$6,1),'WBS Summary by Year'!$C14,'WBS Summary by Year'!$B$4),'Pre- and Production'!AH$4:AH$376)</f>
        <v>0</v>
      </c>
      <c r="O14" s="316">
        <f>SUMIF('Pre- and Production'!$T$4:$T$376, CONCATENATE(LEFT('WBS Summary by Year'!O$6,1),'WBS Summary by Year'!$C14,'WBS Summary by Year'!$B$4),'Pre- and Production'!AR$4:AR$376)</f>
        <v>0</v>
      </c>
    </row>
    <row r="15" spans="2:31" s="352" customFormat="1">
      <c r="C15" s="134" t="s">
        <v>190</v>
      </c>
      <c r="D15" s="26">
        <f>SUMIF('Pre- and Production'!$T$4:$T$376, CONCATENATE(LEFT('WBS Summary by Year'!D$6,1),'WBS Summary by Year'!$C15,'WBS Summary by Year'!$B$4),'Pre- and Production'!AC$4:AC$376)</f>
        <v>0</v>
      </c>
      <c r="E15" s="303">
        <f>SUMIF('Pre- and Production'!$T$4:$T$376, CONCATENATE(LEFT('WBS Summary by Year'!E$6,1),'WBS Summary by Year'!$C15,'WBS Summary by Year'!$B$4),'Pre- and Production'!AM$4:AM$376)</f>
        <v>0</v>
      </c>
      <c r="F15" s="26">
        <f>SUMIF('Pre- and Production'!$T$4:$T$376, CONCATENATE(LEFT('WBS Summary by Year'!F$6,1),'WBS Summary by Year'!$C15,'WBS Summary by Year'!$B$4),'Pre- and Production'!AD$4:AD$376)</f>
        <v>0</v>
      </c>
      <c r="G15" s="296">
        <f>SUMIF('Pre- and Production'!$T$4:$T$376, CONCATENATE(LEFT('WBS Summary by Year'!G$6,1),'WBS Summary by Year'!$C15,'WBS Summary by Year'!$B$4),'Pre- and Production'!AN$4:AN$376)</f>
        <v>0</v>
      </c>
      <c r="H15" s="307">
        <f>SUMIF('Pre- and Production'!$T$4:$T$376, CONCATENATE(LEFT('WBS Summary by Year'!H$6,1),'WBS Summary by Year'!$C15,'WBS Summary by Year'!$B$4),'Pre- and Production'!AE$4:AE$376)</f>
        <v>0</v>
      </c>
      <c r="I15" s="303">
        <f>SUMIF('Pre- and Production'!$T$4:$T$376, CONCATENATE(LEFT('WBS Summary by Year'!I$6,1),'WBS Summary by Year'!$C15,'WBS Summary by Year'!$B$4),'Pre- and Production'!AO$4:AO$376)</f>
        <v>0</v>
      </c>
      <c r="J15" s="26">
        <f>SUMIF('Pre- and Production'!$T$4:$T$376, CONCATENATE(LEFT('WBS Summary by Year'!J$6,1),'WBS Summary by Year'!$C15,'WBS Summary by Year'!$B$4),'Pre- and Production'!AF$4:AFI$376)</f>
        <v>0</v>
      </c>
      <c r="K15" s="296">
        <f>SUMIF('Pre- and Production'!$T$4:$T$376, CONCATENATE(LEFT('WBS Summary by Year'!K$6,1),'WBS Summary by Year'!$C15,'WBS Summary by Year'!$B$4),'Pre- and Production'!AP$4:AP$376)</f>
        <v>0</v>
      </c>
      <c r="L15" s="307">
        <f>SUMIF('Pre- and Production'!$T$4:$T$376, CONCATENATE(LEFT('WBS Summary by Year'!L$6,1),'WBS Summary by Year'!$C15,'WBS Summary by Year'!$B$4),'Pre- and Production'!AG$4:AG$376)</f>
        <v>0</v>
      </c>
      <c r="M15" s="303">
        <f>SUMIF('Pre- and Production'!$T$4:$T$376, CONCATENATE(LEFT('WBS Summary by Year'!M$6,1),'WBS Summary by Year'!$C15,'WBS Summary by Year'!$B$4),'Pre- and Production'!AQ$4:AQ$376)</f>
        <v>0</v>
      </c>
      <c r="N15" s="315">
        <f>SUMIF('Pre- and Production'!$T$4:$T$376, CONCATENATE(LEFT('WBS Summary by Year'!N$6,1),'WBS Summary by Year'!$C15,'WBS Summary by Year'!$B$4),'Pre- and Production'!AH$4:AH$376)</f>
        <v>0</v>
      </c>
      <c r="O15" s="316">
        <f>SUMIF('Pre- and Production'!$T$4:$T$376, CONCATENATE(LEFT('WBS Summary by Year'!O$6,1),'WBS Summary by Year'!$C15,'WBS Summary by Year'!$B$4),'Pre- and Production'!AR$4:AR$376)</f>
        <v>0</v>
      </c>
    </row>
    <row r="16" spans="2:31" s="352" customFormat="1">
      <c r="C16" s="46" t="s">
        <v>198</v>
      </c>
      <c r="D16" s="26">
        <f>SUMIF('Pre- and Production'!$T$4:$T$376, CONCATENATE(LEFT('WBS Summary by Year'!D$6,1),'WBS Summary by Year'!$C16,'WBS Summary by Year'!$B$4),'Pre- and Production'!AC$4:AC$376)</f>
        <v>0</v>
      </c>
      <c r="E16" s="303">
        <f>SUMIF('Pre- and Production'!$T$4:$T$376, CONCATENATE(LEFT('WBS Summary by Year'!E$6,1),'WBS Summary by Year'!$C16,'WBS Summary by Year'!$B$4),'Pre- and Production'!AM$4:AM$376)</f>
        <v>0</v>
      </c>
      <c r="F16" s="26">
        <f>SUMIF('Pre- and Production'!$T$4:$T$376, CONCATENATE(LEFT('WBS Summary by Year'!F$6,1),'WBS Summary by Year'!$C16,'WBS Summary by Year'!$B$4),'Pre- and Production'!AD$4:AD$376)</f>
        <v>0</v>
      </c>
      <c r="G16" s="296">
        <f>SUMIF('Pre- and Production'!$T$4:$T$376, CONCATENATE(LEFT('WBS Summary by Year'!G$6,1),'WBS Summary by Year'!$C16,'WBS Summary by Year'!$B$4),'Pre- and Production'!AN$4:AN$376)</f>
        <v>0</v>
      </c>
      <c r="H16" s="307">
        <f>SUMIF('Pre- and Production'!$T$4:$T$376, CONCATENATE(LEFT('WBS Summary by Year'!H$6,1),'WBS Summary by Year'!$C16,'WBS Summary by Year'!$B$4),'Pre- and Production'!AE$4:AE$376)</f>
        <v>0</v>
      </c>
      <c r="I16" s="303">
        <f>SUMIF('Pre- and Production'!$T$4:$T$376, CONCATENATE(LEFT('WBS Summary by Year'!I$6,1),'WBS Summary by Year'!$C16,'WBS Summary by Year'!$B$4),'Pre- and Production'!AO$4:AO$376)</f>
        <v>0</v>
      </c>
      <c r="J16" s="26">
        <f>SUMIF('Pre- and Production'!$T$4:$T$376, CONCATENATE(LEFT('WBS Summary by Year'!J$6,1),'WBS Summary by Year'!$C16,'WBS Summary by Year'!$B$4),'Pre- and Production'!AF$4:AFI$376)</f>
        <v>0</v>
      </c>
      <c r="K16" s="296">
        <f>SUMIF('Pre- and Production'!$T$4:$T$376, CONCATENATE(LEFT('WBS Summary by Year'!K$6,1),'WBS Summary by Year'!$C16,'WBS Summary by Year'!$B$4),'Pre- and Production'!AP$4:AP$376)</f>
        <v>0</v>
      </c>
      <c r="L16" s="307">
        <f>SUMIF('Pre- and Production'!$T$4:$T$376, CONCATENATE(LEFT('WBS Summary by Year'!L$6,1),'WBS Summary by Year'!$C16,'WBS Summary by Year'!$B$4),'Pre- and Production'!AG$4:AG$376)</f>
        <v>0</v>
      </c>
      <c r="M16" s="303">
        <f>SUMIF('Pre- and Production'!$T$4:$T$376, CONCATENATE(LEFT('WBS Summary by Year'!M$6,1),'WBS Summary by Year'!$C16,'WBS Summary by Year'!$B$4),'Pre- and Production'!AQ$4:AQ$376)</f>
        <v>0</v>
      </c>
      <c r="N16" s="315">
        <f>SUMIF('Pre- and Production'!$T$4:$T$376, CONCATENATE(LEFT('WBS Summary by Year'!N$6,1),'WBS Summary by Year'!$C16,'WBS Summary by Year'!$B$4),'Pre- and Production'!AH$4:AH$376)</f>
        <v>0</v>
      </c>
      <c r="O16" s="316">
        <f>SUMIF('Pre- and Production'!$T$4:$T$376, CONCATENATE(LEFT('WBS Summary by Year'!O$6,1),'WBS Summary by Year'!$C16,'WBS Summary by Year'!$B$4),'Pre- and Production'!AR$4:AR$376)</f>
        <v>0</v>
      </c>
    </row>
    <row r="17" spans="3:15" s="352" customFormat="1">
      <c r="C17" s="46" t="s">
        <v>199</v>
      </c>
      <c r="D17" s="26">
        <f>SUMIF('Pre- and Production'!$T$4:$T$376, CONCATENATE(LEFT('WBS Summary by Year'!D$6,1),'WBS Summary by Year'!$C17,'WBS Summary by Year'!$B$4),'Pre- and Production'!AC$4:AC$376)</f>
        <v>0</v>
      </c>
      <c r="E17" s="303">
        <f>SUMIF('Pre- and Production'!$T$4:$T$376, CONCATENATE(LEFT('WBS Summary by Year'!E$6,1),'WBS Summary by Year'!$C17,'WBS Summary by Year'!$B$4),'Pre- and Production'!AM$4:AM$376)</f>
        <v>0</v>
      </c>
      <c r="F17" s="26">
        <f>SUMIF('Pre- and Production'!$T$4:$T$376, CONCATENATE(LEFT('WBS Summary by Year'!F$6,1),'WBS Summary by Year'!$C17,'WBS Summary by Year'!$B$4),'Pre- and Production'!AD$4:AD$376)</f>
        <v>0</v>
      </c>
      <c r="G17" s="296">
        <f>SUMIF('Pre- and Production'!$T$4:$T$376, CONCATENATE(LEFT('WBS Summary by Year'!G$6,1),'WBS Summary by Year'!$C17,'WBS Summary by Year'!$B$4),'Pre- and Production'!AN$4:AN$376)</f>
        <v>0</v>
      </c>
      <c r="H17" s="307">
        <f>SUMIF('Pre- and Production'!$T$4:$T$376, CONCATENATE(LEFT('WBS Summary by Year'!H$6,1),'WBS Summary by Year'!$C17,'WBS Summary by Year'!$B$4),'Pre- and Production'!AE$4:AE$376)</f>
        <v>0</v>
      </c>
      <c r="I17" s="303">
        <f>SUMIF('Pre- and Production'!$T$4:$T$376, CONCATENATE(LEFT('WBS Summary by Year'!I$6,1),'WBS Summary by Year'!$C17,'WBS Summary by Year'!$B$4),'Pre- and Production'!AO$4:AO$376)</f>
        <v>0</v>
      </c>
      <c r="J17" s="26">
        <f>SUMIF('Pre- and Production'!$T$4:$T$376, CONCATENATE(LEFT('WBS Summary by Year'!J$6,1),'WBS Summary by Year'!$C17,'WBS Summary by Year'!$B$4),'Pre- and Production'!AF$4:AFI$376)</f>
        <v>0</v>
      </c>
      <c r="K17" s="296">
        <f>SUMIF('Pre- and Production'!$T$4:$T$376, CONCATENATE(LEFT('WBS Summary by Year'!K$6,1),'WBS Summary by Year'!$C17,'WBS Summary by Year'!$B$4),'Pre- and Production'!AP$4:AP$376)</f>
        <v>0</v>
      </c>
      <c r="L17" s="307">
        <f>SUMIF('Pre- and Production'!$T$4:$T$376, CONCATENATE(LEFT('WBS Summary by Year'!L$6,1),'WBS Summary by Year'!$C17,'WBS Summary by Year'!$B$4),'Pre- and Production'!AG$4:AG$376)</f>
        <v>0</v>
      </c>
      <c r="M17" s="303">
        <f>SUMIF('Pre- and Production'!$T$4:$T$376, CONCATENATE(LEFT('WBS Summary by Year'!M$6,1),'WBS Summary by Year'!$C17,'WBS Summary by Year'!$B$4),'Pre- and Production'!AQ$4:AQ$376)</f>
        <v>0</v>
      </c>
      <c r="N17" s="315">
        <f>SUMIF('Pre- and Production'!$T$4:$T$376, CONCATENATE(LEFT('WBS Summary by Year'!N$6,1),'WBS Summary by Year'!$C17,'WBS Summary by Year'!$B$4),'Pre- and Production'!AH$4:AH$376)</f>
        <v>0</v>
      </c>
      <c r="O17" s="316">
        <f>SUMIF('Pre- and Production'!$T$4:$T$376, CONCATENATE(LEFT('WBS Summary by Year'!O$6,1),'WBS Summary by Year'!$C17,'WBS Summary by Year'!$B$4),'Pre- and Production'!AR$4:AR$376)</f>
        <v>0</v>
      </c>
    </row>
    <row r="18" spans="3:15" s="352" customFormat="1">
      <c r="C18" s="46" t="s">
        <v>200</v>
      </c>
      <c r="D18" s="26">
        <f>SUMIF('Pre- and Production'!$T$4:$T$376, CONCATENATE(LEFT('WBS Summary by Year'!D$6,1),'WBS Summary by Year'!$C18,'WBS Summary by Year'!$B$4),'Pre- and Production'!AC$4:AC$376)</f>
        <v>0</v>
      </c>
      <c r="E18" s="303">
        <f>SUMIF('Pre- and Production'!$T$4:$T$376, CONCATENATE(LEFT('WBS Summary by Year'!E$6,1),'WBS Summary by Year'!$C18,'WBS Summary by Year'!$B$4),'Pre- and Production'!AM$4:AM$376)</f>
        <v>0</v>
      </c>
      <c r="F18" s="26">
        <f>SUMIF('Pre- and Production'!$T$4:$T$376, CONCATENATE(LEFT('WBS Summary by Year'!F$6,1),'WBS Summary by Year'!$C18,'WBS Summary by Year'!$B$4),'Pre- and Production'!AD$4:AD$376)</f>
        <v>0</v>
      </c>
      <c r="G18" s="296">
        <f>SUMIF('Pre- and Production'!$T$4:$T$376, CONCATENATE(LEFT('WBS Summary by Year'!G$6,1),'WBS Summary by Year'!$C18,'WBS Summary by Year'!$B$4),'Pre- and Production'!AN$4:AN$376)</f>
        <v>0</v>
      </c>
      <c r="H18" s="307">
        <f>SUMIF('Pre- and Production'!$T$4:$T$376, CONCATENATE(LEFT('WBS Summary by Year'!H$6,1),'WBS Summary by Year'!$C18,'WBS Summary by Year'!$B$4),'Pre- and Production'!AE$4:AE$376)</f>
        <v>0</v>
      </c>
      <c r="I18" s="303">
        <f>SUMIF('Pre- and Production'!$T$4:$T$376, CONCATENATE(LEFT('WBS Summary by Year'!I$6,1),'WBS Summary by Year'!$C18,'WBS Summary by Year'!$B$4),'Pre- and Production'!AO$4:AO$376)</f>
        <v>0</v>
      </c>
      <c r="J18" s="26">
        <f>SUMIF('Pre- and Production'!$T$4:$T$376, CONCATENATE(LEFT('WBS Summary by Year'!J$6,1),'WBS Summary by Year'!$C18,'WBS Summary by Year'!$B$4),'Pre- and Production'!AF$4:AFI$376)</f>
        <v>0</v>
      </c>
      <c r="K18" s="296">
        <f>SUMIF('Pre- and Production'!$T$4:$T$376, CONCATENATE(LEFT('WBS Summary by Year'!K$6,1),'WBS Summary by Year'!$C18,'WBS Summary by Year'!$B$4),'Pre- and Production'!AP$4:AP$376)</f>
        <v>0</v>
      </c>
      <c r="L18" s="307">
        <f>SUMIF('Pre- and Production'!$T$4:$T$376, CONCATENATE(LEFT('WBS Summary by Year'!L$6,1),'WBS Summary by Year'!$C18,'WBS Summary by Year'!$B$4),'Pre- and Production'!AG$4:AG$376)</f>
        <v>0</v>
      </c>
      <c r="M18" s="303">
        <f>SUMIF('Pre- and Production'!$T$4:$T$376, CONCATENATE(LEFT('WBS Summary by Year'!M$6,1),'WBS Summary by Year'!$C18,'WBS Summary by Year'!$B$4),'Pre- and Production'!AQ$4:AQ$376)</f>
        <v>0</v>
      </c>
      <c r="N18" s="315">
        <f>SUMIF('Pre- and Production'!$T$4:$T$376, CONCATENATE(LEFT('WBS Summary by Year'!N$6,1),'WBS Summary by Year'!$C18,'WBS Summary by Year'!$B$4),'Pre- and Production'!AH$4:AH$376)</f>
        <v>0</v>
      </c>
      <c r="O18" s="316">
        <f>SUMIF('Pre- and Production'!$T$4:$T$376, CONCATENATE(LEFT('WBS Summary by Year'!O$6,1),'WBS Summary by Year'!$C18,'WBS Summary by Year'!$B$4),'Pre- and Production'!AR$4:AR$376)</f>
        <v>0</v>
      </c>
    </row>
    <row r="19" spans="3:15" s="352" customFormat="1">
      <c r="C19" s="46" t="s">
        <v>201</v>
      </c>
      <c r="D19" s="26">
        <f>SUMIF('Pre- and Production'!$T$4:$T$376, CONCATENATE(LEFT('WBS Summary by Year'!D$6,1),'WBS Summary by Year'!$C19,'WBS Summary by Year'!$B$4),'Pre- and Production'!AC$4:AC$376)</f>
        <v>0</v>
      </c>
      <c r="E19" s="303">
        <f>SUMIF('Pre- and Production'!$T$4:$T$376, CONCATENATE(LEFT('WBS Summary by Year'!E$6,1),'WBS Summary by Year'!$C19,'WBS Summary by Year'!$B$4),'Pre- and Production'!AM$4:AM$376)</f>
        <v>0</v>
      </c>
      <c r="F19" s="26">
        <f>SUMIF('Pre- and Production'!$T$4:$T$376, CONCATENATE(LEFT('WBS Summary by Year'!F$6,1),'WBS Summary by Year'!$C19,'WBS Summary by Year'!$B$4),'Pre- and Production'!AD$4:AD$376)</f>
        <v>0</v>
      </c>
      <c r="G19" s="296">
        <f>SUMIF('Pre- and Production'!$T$4:$T$376, CONCATENATE(LEFT('WBS Summary by Year'!G$6,1),'WBS Summary by Year'!$C19,'WBS Summary by Year'!$B$4),'Pre- and Production'!AN$4:AN$376)</f>
        <v>0</v>
      </c>
      <c r="H19" s="307">
        <f>SUMIF('Pre- and Production'!$T$4:$T$376, CONCATENATE(LEFT('WBS Summary by Year'!H$6,1),'WBS Summary by Year'!$C19,'WBS Summary by Year'!$B$4),'Pre- and Production'!AE$4:AE$376)</f>
        <v>0</v>
      </c>
      <c r="I19" s="303">
        <f>SUMIF('Pre- and Production'!$T$4:$T$376, CONCATENATE(LEFT('WBS Summary by Year'!I$6,1),'WBS Summary by Year'!$C19,'WBS Summary by Year'!$B$4),'Pre- and Production'!AO$4:AO$376)</f>
        <v>0</v>
      </c>
      <c r="J19" s="26">
        <f>SUMIF('Pre- and Production'!$T$4:$T$376, CONCATENATE(LEFT('WBS Summary by Year'!J$6,1),'WBS Summary by Year'!$C19,'WBS Summary by Year'!$B$4),'Pre- and Production'!AF$4:AFI$376)</f>
        <v>0</v>
      </c>
      <c r="K19" s="296">
        <f>SUMIF('Pre- and Production'!$T$4:$T$376, CONCATENATE(LEFT('WBS Summary by Year'!K$6,1),'WBS Summary by Year'!$C19,'WBS Summary by Year'!$B$4),'Pre- and Production'!AP$4:AP$376)</f>
        <v>0</v>
      </c>
      <c r="L19" s="307">
        <f>SUMIF('Pre- and Production'!$T$4:$T$376, CONCATENATE(LEFT('WBS Summary by Year'!L$6,1),'WBS Summary by Year'!$C19,'WBS Summary by Year'!$B$4),'Pre- and Production'!AG$4:AG$376)</f>
        <v>0</v>
      </c>
      <c r="M19" s="303">
        <f>SUMIF('Pre- and Production'!$T$4:$T$376, CONCATENATE(LEFT('WBS Summary by Year'!M$6,1),'WBS Summary by Year'!$C19,'WBS Summary by Year'!$B$4),'Pre- and Production'!AQ$4:AQ$376)</f>
        <v>0</v>
      </c>
      <c r="N19" s="315">
        <f>SUMIF('Pre- and Production'!$T$4:$T$376, CONCATENATE(LEFT('WBS Summary by Year'!N$6,1),'WBS Summary by Year'!$C19,'WBS Summary by Year'!$B$4),'Pre- and Production'!AH$4:AH$376)</f>
        <v>0</v>
      </c>
      <c r="O19" s="316">
        <f>SUMIF('Pre- and Production'!$T$4:$T$376, CONCATENATE(LEFT('WBS Summary by Year'!O$6,1),'WBS Summary by Year'!$C19,'WBS Summary by Year'!$B$4),'Pre- and Production'!AR$4:AR$376)</f>
        <v>0</v>
      </c>
    </row>
    <row r="20" spans="3:15" s="352" customFormat="1">
      <c r="C20" s="46" t="s">
        <v>206</v>
      </c>
      <c r="D20" s="26">
        <f>SUMIF('Pre- and Production'!$T$4:$T$376, CONCATENATE(LEFT('WBS Summary by Year'!D$6,1),'WBS Summary by Year'!$C20,'WBS Summary by Year'!$B$4),'Pre- and Production'!AC$4:AC$376)</f>
        <v>0</v>
      </c>
      <c r="E20" s="303">
        <f>SUMIF('Pre- and Production'!$T$4:$T$376, CONCATENATE(LEFT('WBS Summary by Year'!E$6,1),'WBS Summary by Year'!$C20,'WBS Summary by Year'!$B$4),'Pre- and Production'!AM$4:AM$376)</f>
        <v>0</v>
      </c>
      <c r="F20" s="26">
        <f>SUMIF('Pre- and Production'!$T$4:$T$376, CONCATENATE(LEFT('WBS Summary by Year'!F$6,1),'WBS Summary by Year'!$C20,'WBS Summary by Year'!$B$4),'Pre- and Production'!AD$4:AD$376)</f>
        <v>0</v>
      </c>
      <c r="G20" s="296">
        <f>SUMIF('Pre- and Production'!$T$4:$T$376, CONCATENATE(LEFT('WBS Summary by Year'!G$6,1),'WBS Summary by Year'!$C20,'WBS Summary by Year'!$B$4),'Pre- and Production'!AN$4:AN$376)</f>
        <v>0</v>
      </c>
      <c r="H20" s="307">
        <f>SUMIF('Pre- and Production'!$T$4:$T$376, CONCATENATE(LEFT('WBS Summary by Year'!H$6,1),'WBS Summary by Year'!$C20,'WBS Summary by Year'!$B$4),'Pre- and Production'!AE$4:AE$376)</f>
        <v>0</v>
      </c>
      <c r="I20" s="303">
        <f>SUMIF('Pre- and Production'!$T$4:$T$376, CONCATENATE(LEFT('WBS Summary by Year'!I$6,1),'WBS Summary by Year'!$C20,'WBS Summary by Year'!$B$4),'Pre- and Production'!AO$4:AO$376)</f>
        <v>0</v>
      </c>
      <c r="J20" s="26">
        <f>SUMIF('Pre- and Production'!$T$4:$T$376, CONCATENATE(LEFT('WBS Summary by Year'!J$6,1),'WBS Summary by Year'!$C20,'WBS Summary by Year'!$B$4),'Pre- and Production'!AF$4:AFI$376)</f>
        <v>0</v>
      </c>
      <c r="K20" s="296">
        <f>SUMIF('Pre- and Production'!$T$4:$T$376, CONCATENATE(LEFT('WBS Summary by Year'!K$6,1),'WBS Summary by Year'!$C20,'WBS Summary by Year'!$B$4),'Pre- and Production'!AP$4:AP$376)</f>
        <v>0</v>
      </c>
      <c r="L20" s="307">
        <f>SUMIF('Pre- and Production'!$T$4:$T$376, CONCATENATE(LEFT('WBS Summary by Year'!L$6,1),'WBS Summary by Year'!$C20,'WBS Summary by Year'!$B$4),'Pre- and Production'!AG$4:AG$376)</f>
        <v>0</v>
      </c>
      <c r="M20" s="303">
        <f>SUMIF('Pre- and Production'!$T$4:$T$376, CONCATENATE(LEFT('WBS Summary by Year'!M$6,1),'WBS Summary by Year'!$C20,'WBS Summary by Year'!$B$4),'Pre- and Production'!AQ$4:AQ$376)</f>
        <v>0</v>
      </c>
      <c r="N20" s="315">
        <f>SUMIF('Pre- and Production'!$T$4:$T$376, CONCATENATE(LEFT('WBS Summary by Year'!N$6,1),'WBS Summary by Year'!$C20,'WBS Summary by Year'!$B$4),'Pre- and Production'!AH$4:AH$376)</f>
        <v>0</v>
      </c>
      <c r="O20" s="316">
        <f>SUMIF('Pre- and Production'!$T$4:$T$376, CONCATENATE(LEFT('WBS Summary by Year'!O$6,1),'WBS Summary by Year'!$C20,'WBS Summary by Year'!$B$4),'Pre- and Production'!AR$4:AR$376)</f>
        <v>0</v>
      </c>
    </row>
    <row r="21" spans="3:15" s="352" customFormat="1">
      <c r="C21" s="46" t="s">
        <v>207</v>
      </c>
      <c r="D21" s="26">
        <f>SUMIF('Pre- and Production'!$T$4:$T$376, CONCATENATE(LEFT('WBS Summary by Year'!D$6,1),'WBS Summary by Year'!$C21,'WBS Summary by Year'!$B$4),'Pre- and Production'!AC$4:AC$376)</f>
        <v>0</v>
      </c>
      <c r="E21" s="303">
        <f>SUMIF('Pre- and Production'!$T$4:$T$376, CONCATENATE(LEFT('WBS Summary by Year'!E$6,1),'WBS Summary by Year'!$C21,'WBS Summary by Year'!$B$4),'Pre- and Production'!AM$4:AM$376)</f>
        <v>0</v>
      </c>
      <c r="F21" s="26">
        <f>SUMIF('Pre- and Production'!$T$4:$T$376, CONCATENATE(LEFT('WBS Summary by Year'!F$6,1),'WBS Summary by Year'!$C21,'WBS Summary by Year'!$B$4),'Pre- and Production'!AD$4:AD$376)</f>
        <v>0</v>
      </c>
      <c r="G21" s="296">
        <f>SUMIF('Pre- and Production'!$T$4:$T$376, CONCATENATE(LEFT('WBS Summary by Year'!G$6,1),'WBS Summary by Year'!$C21,'WBS Summary by Year'!$B$4),'Pre- and Production'!AN$4:AN$376)</f>
        <v>0</v>
      </c>
      <c r="H21" s="307">
        <f>SUMIF('Pre- and Production'!$T$4:$T$376, CONCATENATE(LEFT('WBS Summary by Year'!H$6,1),'WBS Summary by Year'!$C21,'WBS Summary by Year'!$B$4),'Pre- and Production'!AE$4:AE$376)</f>
        <v>0</v>
      </c>
      <c r="I21" s="303">
        <f>SUMIF('Pre- and Production'!$T$4:$T$376, CONCATENATE(LEFT('WBS Summary by Year'!I$6,1),'WBS Summary by Year'!$C21,'WBS Summary by Year'!$B$4),'Pre- and Production'!AO$4:AO$376)</f>
        <v>0</v>
      </c>
      <c r="J21" s="26">
        <f>SUMIF('Pre- and Production'!$T$4:$T$376, CONCATENATE(LEFT('WBS Summary by Year'!J$6,1),'WBS Summary by Year'!$C21,'WBS Summary by Year'!$B$4),'Pre- and Production'!AF$4:AFI$376)</f>
        <v>0</v>
      </c>
      <c r="K21" s="296">
        <f>SUMIF('Pre- and Production'!$T$4:$T$376, CONCATENATE(LEFT('WBS Summary by Year'!K$6,1),'WBS Summary by Year'!$C21,'WBS Summary by Year'!$B$4),'Pre- and Production'!AP$4:AP$376)</f>
        <v>0</v>
      </c>
      <c r="L21" s="307">
        <f>SUMIF('Pre- and Production'!$T$4:$T$376, CONCATENATE(LEFT('WBS Summary by Year'!L$6,1),'WBS Summary by Year'!$C21,'WBS Summary by Year'!$B$4),'Pre- and Production'!AG$4:AG$376)</f>
        <v>0</v>
      </c>
      <c r="M21" s="303">
        <f>SUMIF('Pre- and Production'!$T$4:$T$376, CONCATENATE(LEFT('WBS Summary by Year'!M$6,1),'WBS Summary by Year'!$C21,'WBS Summary by Year'!$B$4),'Pre- and Production'!AQ$4:AQ$376)</f>
        <v>0</v>
      </c>
      <c r="N21" s="315">
        <f>SUMIF('Pre- and Production'!$T$4:$T$376, CONCATENATE(LEFT('WBS Summary by Year'!N$6,1),'WBS Summary by Year'!$C21,'WBS Summary by Year'!$B$4),'Pre- and Production'!AH$4:AH$376)</f>
        <v>0</v>
      </c>
      <c r="O21" s="316">
        <f>SUMIF('Pre- and Production'!$T$4:$T$376, CONCATENATE(LEFT('WBS Summary by Year'!O$6,1),'WBS Summary by Year'!$C21,'WBS Summary by Year'!$B$4),'Pre- and Production'!AR$4:AR$376)</f>
        <v>0</v>
      </c>
    </row>
    <row r="22" spans="3:15" s="352" customFormat="1">
      <c r="C22" s="100" t="s">
        <v>405</v>
      </c>
      <c r="D22" s="26">
        <f>SUMIF('Pre- and Production'!$T$4:$T$376, CONCATENATE(LEFT('WBS Summary by Year'!D$6,1),'WBS Summary by Year'!$C22,'WBS Summary by Year'!$B$4),'Pre- and Production'!AC$4:AC$376)</f>
        <v>0</v>
      </c>
      <c r="E22" s="303">
        <f>SUMIF('Pre- and Production'!$T$4:$T$376, CONCATENATE(LEFT('WBS Summary by Year'!E$6,1),'WBS Summary by Year'!$C22,'WBS Summary by Year'!$B$4),'Pre- and Production'!AM$4:AM$376)</f>
        <v>0</v>
      </c>
      <c r="F22" s="26">
        <f>SUMIF('Pre- and Production'!$T$4:$T$376, CONCATENATE(LEFT('WBS Summary by Year'!F$6,1),'WBS Summary by Year'!$C22,'WBS Summary by Year'!$B$4),'Pre- and Production'!AD$4:AD$376)</f>
        <v>0</v>
      </c>
      <c r="G22" s="296">
        <f>SUMIF('Pre- and Production'!$T$4:$T$376, CONCATENATE(LEFT('WBS Summary by Year'!G$6,1),'WBS Summary by Year'!$C22,'WBS Summary by Year'!$B$4),'Pre- and Production'!AN$4:AN$376)</f>
        <v>0</v>
      </c>
      <c r="H22" s="307">
        <f>SUMIF('Pre- and Production'!$T$4:$T$376, CONCATENATE(LEFT('WBS Summary by Year'!H$6,1),'WBS Summary by Year'!$C22,'WBS Summary by Year'!$B$4),'Pre- and Production'!AE$4:AE$376)</f>
        <v>0</v>
      </c>
      <c r="I22" s="303">
        <f>SUMIF('Pre- and Production'!$T$4:$T$376, CONCATENATE(LEFT('WBS Summary by Year'!I$6,1),'WBS Summary by Year'!$C22,'WBS Summary by Year'!$B$4),'Pre- and Production'!AO$4:AO$376)</f>
        <v>0</v>
      </c>
      <c r="J22" s="26">
        <f>SUMIF('Pre- and Production'!$T$4:$T$376, CONCATENATE(LEFT('WBS Summary by Year'!J$6,1),'WBS Summary by Year'!$C22,'WBS Summary by Year'!$B$4),'Pre- and Production'!AF$4:AFI$376)</f>
        <v>0</v>
      </c>
      <c r="K22" s="296">
        <f>SUMIF('Pre- and Production'!$T$4:$T$376, CONCATENATE(LEFT('WBS Summary by Year'!K$6,1),'WBS Summary by Year'!$C22,'WBS Summary by Year'!$B$4),'Pre- and Production'!AP$4:AP$376)</f>
        <v>0</v>
      </c>
      <c r="L22" s="307">
        <f>SUMIF('Pre- and Production'!$T$4:$T$376, CONCATENATE(LEFT('WBS Summary by Year'!L$6,1),'WBS Summary by Year'!$C22,'WBS Summary by Year'!$B$4),'Pre- and Production'!AG$4:AG$376)</f>
        <v>0</v>
      </c>
      <c r="M22" s="303">
        <f>SUMIF('Pre- and Production'!$T$4:$T$376, CONCATENATE(LEFT('WBS Summary by Year'!M$6,1),'WBS Summary by Year'!$C22,'WBS Summary by Year'!$B$4),'Pre- and Production'!AQ$4:AQ$376)</f>
        <v>0</v>
      </c>
      <c r="N22" s="315">
        <f>SUMIF('Pre- and Production'!$T$4:$T$376, CONCATENATE(LEFT('WBS Summary by Year'!N$6,1),'WBS Summary by Year'!$C22,'WBS Summary by Year'!$B$4),'Pre- and Production'!AH$4:AH$376)</f>
        <v>0</v>
      </c>
      <c r="O22" s="316">
        <f>SUMIF('Pre- and Production'!$T$4:$T$376, CONCATENATE(LEFT('WBS Summary by Year'!O$6,1),'WBS Summary by Year'!$C22,'WBS Summary by Year'!$B$4),'Pre- and Production'!AR$4:AR$376)</f>
        <v>0</v>
      </c>
    </row>
    <row r="23" spans="3:15" s="352" customFormat="1">
      <c r="C23" s="134" t="s">
        <v>406</v>
      </c>
      <c r="D23" s="26">
        <f>SUMIF('Pre- and Production'!$T$4:$T$376, CONCATENATE(LEFT('WBS Summary by Year'!D$6,1),'WBS Summary by Year'!$C23,'WBS Summary by Year'!$B$4),'Pre- and Production'!AC$4:AC$376)</f>
        <v>0</v>
      </c>
      <c r="E23" s="303">
        <f>SUMIF('Pre- and Production'!$T$4:$T$376, CONCATENATE(LEFT('WBS Summary by Year'!E$6,1),'WBS Summary by Year'!$C23,'WBS Summary by Year'!$B$4),'Pre- and Production'!AM$4:AM$376)</f>
        <v>0</v>
      </c>
      <c r="F23" s="26">
        <f>SUMIF('Pre- and Production'!$T$4:$T$376, CONCATENATE(LEFT('WBS Summary by Year'!F$6,1),'WBS Summary by Year'!$C23,'WBS Summary by Year'!$B$4),'Pre- and Production'!AD$4:AD$376)</f>
        <v>0</v>
      </c>
      <c r="G23" s="296">
        <f>SUMIF('Pre- and Production'!$T$4:$T$376, CONCATENATE(LEFT('WBS Summary by Year'!G$6,1),'WBS Summary by Year'!$C23,'WBS Summary by Year'!$B$4),'Pre- and Production'!AN$4:AN$376)</f>
        <v>0</v>
      </c>
      <c r="H23" s="307">
        <f>SUMIF('Pre- and Production'!$T$4:$T$376, CONCATENATE(LEFT('WBS Summary by Year'!H$6,1),'WBS Summary by Year'!$C23,'WBS Summary by Year'!$B$4),'Pre- and Production'!AE$4:AE$376)</f>
        <v>0</v>
      </c>
      <c r="I23" s="303">
        <f>SUMIF('Pre- and Production'!$T$4:$T$376, CONCATENATE(LEFT('WBS Summary by Year'!I$6,1),'WBS Summary by Year'!$C23,'WBS Summary by Year'!$B$4),'Pre- and Production'!AO$4:AO$376)</f>
        <v>0</v>
      </c>
      <c r="J23" s="26">
        <f>SUMIF('Pre- and Production'!$T$4:$T$376, CONCATENATE(LEFT('WBS Summary by Year'!J$6,1),'WBS Summary by Year'!$C23,'WBS Summary by Year'!$B$4),'Pre- and Production'!AF$4:AFI$376)</f>
        <v>0</v>
      </c>
      <c r="K23" s="296">
        <f>SUMIF('Pre- and Production'!$T$4:$T$376, CONCATENATE(LEFT('WBS Summary by Year'!K$6,1),'WBS Summary by Year'!$C23,'WBS Summary by Year'!$B$4),'Pre- and Production'!AP$4:AP$376)</f>
        <v>0</v>
      </c>
      <c r="L23" s="307">
        <f>SUMIF('Pre- and Production'!$T$4:$T$376, CONCATENATE(LEFT('WBS Summary by Year'!L$6,1),'WBS Summary by Year'!$C23,'WBS Summary by Year'!$B$4),'Pre- and Production'!AG$4:AG$376)</f>
        <v>0</v>
      </c>
      <c r="M23" s="303">
        <f>SUMIF('Pre- and Production'!$T$4:$T$376, CONCATENATE(LEFT('WBS Summary by Year'!M$6,1),'WBS Summary by Year'!$C23,'WBS Summary by Year'!$B$4),'Pre- and Production'!AQ$4:AQ$376)</f>
        <v>0</v>
      </c>
      <c r="N23" s="315">
        <f>SUMIF('Pre- and Production'!$T$4:$T$376, CONCATENATE(LEFT('WBS Summary by Year'!N$6,1),'WBS Summary by Year'!$C23,'WBS Summary by Year'!$B$4),'Pre- and Production'!AH$4:AH$376)</f>
        <v>0</v>
      </c>
      <c r="O23" s="316">
        <f>SUMIF('Pre- and Production'!$T$4:$T$376, CONCATENATE(LEFT('WBS Summary by Year'!O$6,1),'WBS Summary by Year'!$C23,'WBS Summary by Year'!$B$4),'Pre- and Production'!AR$4:AR$376)</f>
        <v>0</v>
      </c>
    </row>
    <row r="24" spans="3:15" s="352" customFormat="1">
      <c r="C24" s="46" t="s">
        <v>407</v>
      </c>
      <c r="D24" s="26">
        <f>SUMIF('Pre- and Production'!$T$4:$T$376, CONCATENATE(LEFT('WBS Summary by Year'!D$6,1),'WBS Summary by Year'!$C24,'WBS Summary by Year'!$B$4),'Pre- and Production'!AC$4:AC$376)</f>
        <v>0</v>
      </c>
      <c r="E24" s="303">
        <f>SUMIF('Pre- and Production'!$T$4:$T$376, CONCATENATE(LEFT('WBS Summary by Year'!E$6,1),'WBS Summary by Year'!$C24,'WBS Summary by Year'!$B$4),'Pre- and Production'!AM$4:AM$376)</f>
        <v>0</v>
      </c>
      <c r="F24" s="26">
        <f>SUMIF('Pre- and Production'!$T$4:$T$376, CONCATENATE(LEFT('WBS Summary by Year'!F$6,1),'WBS Summary by Year'!$C24,'WBS Summary by Year'!$B$4),'Pre- and Production'!AD$4:AD$376)</f>
        <v>0</v>
      </c>
      <c r="G24" s="296">
        <f>SUMIF('Pre- and Production'!$T$4:$T$376, CONCATENATE(LEFT('WBS Summary by Year'!G$6,1),'WBS Summary by Year'!$C24,'WBS Summary by Year'!$B$4),'Pre- and Production'!AN$4:AN$376)</f>
        <v>0</v>
      </c>
      <c r="H24" s="307">
        <f>SUMIF('Pre- and Production'!$T$4:$T$376, CONCATENATE(LEFT('WBS Summary by Year'!H$6,1),'WBS Summary by Year'!$C24,'WBS Summary by Year'!$B$4),'Pre- and Production'!AE$4:AE$376)</f>
        <v>0</v>
      </c>
      <c r="I24" s="303">
        <f>SUMIF('Pre- and Production'!$T$4:$T$376, CONCATENATE(LEFT('WBS Summary by Year'!I$6,1),'WBS Summary by Year'!$C24,'WBS Summary by Year'!$B$4),'Pre- and Production'!AO$4:AO$376)</f>
        <v>0</v>
      </c>
      <c r="J24" s="26">
        <f>SUMIF('Pre- and Production'!$T$4:$T$376, CONCATENATE(LEFT('WBS Summary by Year'!J$6,1),'WBS Summary by Year'!$C24,'WBS Summary by Year'!$B$4),'Pre- and Production'!AF$4:AFI$376)</f>
        <v>0</v>
      </c>
      <c r="K24" s="296">
        <f>SUMIF('Pre- and Production'!$T$4:$T$376, CONCATENATE(LEFT('WBS Summary by Year'!K$6,1),'WBS Summary by Year'!$C24,'WBS Summary by Year'!$B$4),'Pre- and Production'!AP$4:AP$376)</f>
        <v>0</v>
      </c>
      <c r="L24" s="307">
        <f>SUMIF('Pre- and Production'!$T$4:$T$376, CONCATENATE(LEFT('WBS Summary by Year'!L$6,1),'WBS Summary by Year'!$C24,'WBS Summary by Year'!$B$4),'Pre- and Production'!AG$4:AG$376)</f>
        <v>0</v>
      </c>
      <c r="M24" s="303">
        <f>SUMIF('Pre- and Production'!$T$4:$T$376, CONCATENATE(LEFT('WBS Summary by Year'!M$6,1),'WBS Summary by Year'!$C24,'WBS Summary by Year'!$B$4),'Pre- and Production'!AQ$4:AQ$376)</f>
        <v>0</v>
      </c>
      <c r="N24" s="315">
        <f>SUMIF('Pre- and Production'!$T$4:$T$376, CONCATENATE(LEFT('WBS Summary by Year'!N$6,1),'WBS Summary by Year'!$C24,'WBS Summary by Year'!$B$4),'Pre- and Production'!AH$4:AH$376)</f>
        <v>0</v>
      </c>
      <c r="O24" s="316">
        <f>SUMIF('Pre- and Production'!$T$4:$T$376, CONCATENATE(LEFT('WBS Summary by Year'!O$6,1),'WBS Summary by Year'!$C24,'WBS Summary by Year'!$B$4),'Pre- and Production'!AR$4:AR$376)</f>
        <v>0</v>
      </c>
    </row>
    <row r="25" spans="3:15" s="352" customFormat="1">
      <c r="C25" s="46" t="s">
        <v>408</v>
      </c>
      <c r="D25" s="26">
        <f>SUMIF('Pre- and Production'!$T$4:$T$376, CONCATENATE(LEFT('WBS Summary by Year'!D$6,1),'WBS Summary by Year'!$C25,'WBS Summary by Year'!$B$4),'Pre- and Production'!AC$4:AC$376)</f>
        <v>0</v>
      </c>
      <c r="E25" s="303">
        <f>SUMIF('Pre- and Production'!$T$4:$T$376, CONCATENATE(LEFT('WBS Summary by Year'!E$6,1),'WBS Summary by Year'!$C25,'WBS Summary by Year'!$B$4),'Pre- and Production'!AM$4:AM$376)</f>
        <v>0</v>
      </c>
      <c r="F25" s="26">
        <f>SUMIF('Pre- and Production'!$T$4:$T$376, CONCATENATE(LEFT('WBS Summary by Year'!F$6,1),'WBS Summary by Year'!$C25,'WBS Summary by Year'!$B$4),'Pre- and Production'!AD$4:AD$376)</f>
        <v>0</v>
      </c>
      <c r="G25" s="296">
        <f>SUMIF('Pre- and Production'!$T$4:$T$376, CONCATENATE(LEFT('WBS Summary by Year'!G$6,1),'WBS Summary by Year'!$C25,'WBS Summary by Year'!$B$4),'Pre- and Production'!AN$4:AN$376)</f>
        <v>0</v>
      </c>
      <c r="H25" s="307">
        <f>SUMIF('Pre- and Production'!$T$4:$T$376, CONCATENATE(LEFT('WBS Summary by Year'!H$6,1),'WBS Summary by Year'!$C25,'WBS Summary by Year'!$B$4),'Pre- and Production'!AE$4:AE$376)</f>
        <v>0</v>
      </c>
      <c r="I25" s="303">
        <f>SUMIF('Pre- and Production'!$T$4:$T$376, CONCATENATE(LEFT('WBS Summary by Year'!I$6,1),'WBS Summary by Year'!$C25,'WBS Summary by Year'!$B$4),'Pre- and Production'!AO$4:AO$376)</f>
        <v>0</v>
      </c>
      <c r="J25" s="26">
        <f>SUMIF('Pre- and Production'!$T$4:$T$376, CONCATENATE(LEFT('WBS Summary by Year'!J$6,1),'WBS Summary by Year'!$C25,'WBS Summary by Year'!$B$4),'Pre- and Production'!AF$4:AFI$376)</f>
        <v>0</v>
      </c>
      <c r="K25" s="296">
        <f>SUMIF('Pre- and Production'!$T$4:$T$376, CONCATENATE(LEFT('WBS Summary by Year'!K$6,1),'WBS Summary by Year'!$C25,'WBS Summary by Year'!$B$4),'Pre- and Production'!AP$4:AP$376)</f>
        <v>0</v>
      </c>
      <c r="L25" s="307">
        <f>SUMIF('Pre- and Production'!$T$4:$T$376, CONCATENATE(LEFT('WBS Summary by Year'!L$6,1),'WBS Summary by Year'!$C25,'WBS Summary by Year'!$B$4),'Pre- and Production'!AG$4:AG$376)</f>
        <v>0</v>
      </c>
      <c r="M25" s="303">
        <f>SUMIF('Pre- and Production'!$T$4:$T$376, CONCATENATE(LEFT('WBS Summary by Year'!M$6,1),'WBS Summary by Year'!$C25,'WBS Summary by Year'!$B$4),'Pre- and Production'!AQ$4:AQ$376)</f>
        <v>0</v>
      </c>
      <c r="N25" s="315">
        <f>SUMIF('Pre- and Production'!$T$4:$T$376, CONCATENATE(LEFT('WBS Summary by Year'!N$6,1),'WBS Summary by Year'!$C25,'WBS Summary by Year'!$B$4),'Pre- and Production'!AH$4:AH$376)</f>
        <v>0</v>
      </c>
      <c r="O25" s="316">
        <f>SUMIF('Pre- and Production'!$T$4:$T$376, CONCATENATE(LEFT('WBS Summary by Year'!O$6,1),'WBS Summary by Year'!$C25,'WBS Summary by Year'!$B$4),'Pre- and Production'!AR$4:AR$376)</f>
        <v>0</v>
      </c>
    </row>
    <row r="26" spans="3:15" s="352" customFormat="1">
      <c r="C26" s="134" t="s">
        <v>409</v>
      </c>
      <c r="D26" s="26">
        <f>SUMIF('Pre- and Production'!$T$4:$T$376, CONCATENATE(LEFT('WBS Summary by Year'!D$6,1),'WBS Summary by Year'!$C26,'WBS Summary by Year'!$B$4),'Pre- and Production'!AC$4:AC$376)</f>
        <v>0</v>
      </c>
      <c r="E26" s="303">
        <f>SUMIF('Pre- and Production'!$T$4:$T$376, CONCATENATE(LEFT('WBS Summary by Year'!E$6,1),'WBS Summary by Year'!$C26,'WBS Summary by Year'!$B$4),'Pre- and Production'!AM$4:AM$376)</f>
        <v>0</v>
      </c>
      <c r="F26" s="26">
        <f>SUMIF('Pre- and Production'!$T$4:$T$376, CONCATENATE(LEFT('WBS Summary by Year'!F$6,1),'WBS Summary by Year'!$C26,'WBS Summary by Year'!$B$4),'Pre- and Production'!AD$4:AD$376)</f>
        <v>0</v>
      </c>
      <c r="G26" s="296">
        <f>SUMIF('Pre- and Production'!$T$4:$T$376, CONCATENATE(LEFT('WBS Summary by Year'!G$6,1),'WBS Summary by Year'!$C26,'WBS Summary by Year'!$B$4),'Pre- and Production'!AN$4:AN$376)</f>
        <v>0</v>
      </c>
      <c r="H26" s="307">
        <f>SUMIF('Pre- and Production'!$T$4:$T$376, CONCATENATE(LEFT('WBS Summary by Year'!H$6,1),'WBS Summary by Year'!$C26,'WBS Summary by Year'!$B$4),'Pre- and Production'!AE$4:AE$376)</f>
        <v>0</v>
      </c>
      <c r="I26" s="303">
        <f>SUMIF('Pre- and Production'!$T$4:$T$376, CONCATENATE(LEFT('WBS Summary by Year'!I$6,1),'WBS Summary by Year'!$C26,'WBS Summary by Year'!$B$4),'Pre- and Production'!AO$4:AO$376)</f>
        <v>0</v>
      </c>
      <c r="J26" s="26">
        <f>SUMIF('Pre- and Production'!$T$4:$T$376, CONCATENATE(LEFT('WBS Summary by Year'!J$6,1),'WBS Summary by Year'!$C26,'WBS Summary by Year'!$B$4),'Pre- and Production'!AF$4:AFI$376)</f>
        <v>0</v>
      </c>
      <c r="K26" s="296">
        <f>SUMIF('Pre- and Production'!$T$4:$T$376, CONCATENATE(LEFT('WBS Summary by Year'!K$6,1),'WBS Summary by Year'!$C26,'WBS Summary by Year'!$B$4),'Pre- and Production'!AP$4:AP$376)</f>
        <v>0</v>
      </c>
      <c r="L26" s="307">
        <f>SUMIF('Pre- and Production'!$T$4:$T$376, CONCATENATE(LEFT('WBS Summary by Year'!L$6,1),'WBS Summary by Year'!$C26,'WBS Summary by Year'!$B$4),'Pre- and Production'!AG$4:AG$376)</f>
        <v>0</v>
      </c>
      <c r="M26" s="303">
        <f>SUMIF('Pre- and Production'!$T$4:$T$376, CONCATENATE(LEFT('WBS Summary by Year'!M$6,1),'WBS Summary by Year'!$C26,'WBS Summary by Year'!$B$4),'Pre- and Production'!AQ$4:AQ$376)</f>
        <v>0</v>
      </c>
      <c r="N26" s="315">
        <f>SUMIF('Pre- and Production'!$T$4:$T$376, CONCATENATE(LEFT('WBS Summary by Year'!N$6,1),'WBS Summary by Year'!$C26,'WBS Summary by Year'!$B$4),'Pre- and Production'!AH$4:AH$376)</f>
        <v>0</v>
      </c>
      <c r="O26" s="316">
        <f>SUMIF('Pre- and Production'!$T$4:$T$376, CONCATENATE(LEFT('WBS Summary by Year'!O$6,1),'WBS Summary by Year'!$C26,'WBS Summary by Year'!$B$4),'Pre- and Production'!AR$4:AR$376)</f>
        <v>0</v>
      </c>
    </row>
    <row r="27" spans="3:15" s="352" customFormat="1">
      <c r="C27" s="134" t="s">
        <v>410</v>
      </c>
      <c r="D27" s="26">
        <f>SUMIF('Pre- and Production'!$T$4:$T$376, CONCATENATE(LEFT('WBS Summary by Year'!D$6,1),'WBS Summary by Year'!$C27,'WBS Summary by Year'!$B$4),'Pre- and Production'!AC$4:AC$376)</f>
        <v>0</v>
      </c>
      <c r="E27" s="303">
        <f>SUMIF('Pre- and Production'!$T$4:$T$376, CONCATENATE(LEFT('WBS Summary by Year'!E$6,1),'WBS Summary by Year'!$C27,'WBS Summary by Year'!$B$4),'Pre- and Production'!AM$4:AM$376)</f>
        <v>0</v>
      </c>
      <c r="F27" s="26">
        <f>SUMIF('Pre- and Production'!$T$4:$T$376, CONCATENATE(LEFT('WBS Summary by Year'!F$6,1),'WBS Summary by Year'!$C27,'WBS Summary by Year'!$B$4),'Pre- and Production'!AD$4:AD$376)</f>
        <v>0</v>
      </c>
      <c r="G27" s="296">
        <f>SUMIF('Pre- and Production'!$T$4:$T$376, CONCATENATE(LEFT('WBS Summary by Year'!G$6,1),'WBS Summary by Year'!$C27,'WBS Summary by Year'!$B$4),'Pre- and Production'!AN$4:AN$376)</f>
        <v>0</v>
      </c>
      <c r="H27" s="307">
        <f>SUMIF('Pre- and Production'!$T$4:$T$376, CONCATENATE(LEFT('WBS Summary by Year'!H$6,1),'WBS Summary by Year'!$C27,'WBS Summary by Year'!$B$4),'Pre- and Production'!AE$4:AE$376)</f>
        <v>0</v>
      </c>
      <c r="I27" s="303">
        <f>SUMIF('Pre- and Production'!$T$4:$T$376, CONCATENATE(LEFT('WBS Summary by Year'!I$6,1),'WBS Summary by Year'!$C27,'WBS Summary by Year'!$B$4),'Pre- and Production'!AO$4:AO$376)</f>
        <v>0</v>
      </c>
      <c r="J27" s="26">
        <f>SUMIF('Pre- and Production'!$T$4:$T$376, CONCATENATE(LEFT('WBS Summary by Year'!J$6,1),'WBS Summary by Year'!$C27,'WBS Summary by Year'!$B$4),'Pre- and Production'!AF$4:AFI$376)</f>
        <v>0</v>
      </c>
      <c r="K27" s="296">
        <f>SUMIF('Pre- and Production'!$T$4:$T$376, CONCATENATE(LEFT('WBS Summary by Year'!K$6,1),'WBS Summary by Year'!$C27,'WBS Summary by Year'!$B$4),'Pre- and Production'!AP$4:AP$376)</f>
        <v>0</v>
      </c>
      <c r="L27" s="307">
        <f>SUMIF('Pre- and Production'!$T$4:$T$376, CONCATENATE(LEFT('WBS Summary by Year'!L$6,1),'WBS Summary by Year'!$C27,'WBS Summary by Year'!$B$4),'Pre- and Production'!AG$4:AG$376)</f>
        <v>0</v>
      </c>
      <c r="M27" s="303">
        <f>SUMIF('Pre- and Production'!$T$4:$T$376, CONCATENATE(LEFT('WBS Summary by Year'!M$6,1),'WBS Summary by Year'!$C27,'WBS Summary by Year'!$B$4),'Pre- and Production'!AQ$4:AQ$376)</f>
        <v>0</v>
      </c>
      <c r="N27" s="315">
        <f>SUMIF('Pre- and Production'!$T$4:$T$376, CONCATENATE(LEFT('WBS Summary by Year'!N$6,1),'WBS Summary by Year'!$C27,'WBS Summary by Year'!$B$4),'Pre- and Production'!AH$4:AH$376)</f>
        <v>0</v>
      </c>
      <c r="O27" s="316">
        <f>SUMIF('Pre- and Production'!$T$4:$T$376, CONCATENATE(LEFT('WBS Summary by Year'!O$6,1),'WBS Summary by Year'!$C27,'WBS Summary by Year'!$B$4),'Pre- and Production'!AR$4:AR$376)</f>
        <v>0</v>
      </c>
    </row>
    <row r="28" spans="3:15">
      <c r="C28" s="134" t="s">
        <v>411</v>
      </c>
      <c r="D28" s="26">
        <f>SUMIF('Pre- and Production'!$T$4:$T$376, CONCATENATE(LEFT('WBS Summary by Year'!D$6,1),'WBS Summary by Year'!$C28,'WBS Summary by Year'!$B$4),'Pre- and Production'!AC$4:AC$376)</f>
        <v>0</v>
      </c>
      <c r="E28" s="303">
        <f>SUMIF('Pre- and Production'!$T$4:$T$376, CONCATENATE(LEFT('WBS Summary by Year'!E$6,1),'WBS Summary by Year'!$C28,'WBS Summary by Year'!$B$4),'Pre- and Production'!AM$4:AM$376)</f>
        <v>0</v>
      </c>
      <c r="F28" s="26">
        <f>SUMIF('Pre- and Production'!$T$4:$T$376, CONCATENATE(LEFT('WBS Summary by Year'!F$6,1),'WBS Summary by Year'!$C28,'WBS Summary by Year'!$B$4),'Pre- and Production'!AD$4:AD$376)</f>
        <v>0</v>
      </c>
      <c r="G28" s="296">
        <f>SUMIF('Pre- and Production'!$T$4:$T$376, CONCATENATE(LEFT('WBS Summary by Year'!G$6,1),'WBS Summary by Year'!$C28,'WBS Summary by Year'!$B$4),'Pre- and Production'!AN$4:AN$376)</f>
        <v>0</v>
      </c>
      <c r="H28" s="307">
        <f>SUMIF('Pre- and Production'!$T$4:$T$376, CONCATENATE(LEFT('WBS Summary by Year'!H$6,1),'WBS Summary by Year'!$C28,'WBS Summary by Year'!$B$4),'Pre- and Production'!AE$4:AE$376)</f>
        <v>0</v>
      </c>
      <c r="I28" s="303">
        <f>SUMIF('Pre- and Production'!$T$4:$T$376, CONCATENATE(LEFT('WBS Summary by Year'!I$6,1),'WBS Summary by Year'!$C28,'WBS Summary by Year'!$B$4),'Pre- and Production'!AO$4:AO$376)</f>
        <v>0</v>
      </c>
      <c r="J28" s="26">
        <f>SUMIF('Pre- and Production'!$T$4:$T$376, CONCATENATE(LEFT('WBS Summary by Year'!J$6,1),'WBS Summary by Year'!$C28,'WBS Summary by Year'!$B$4),'Pre- and Production'!AF$4:AFI$376)</f>
        <v>0</v>
      </c>
      <c r="K28" s="296">
        <f>SUMIF('Pre- and Production'!$T$4:$T$376, CONCATENATE(LEFT('WBS Summary by Year'!K$6,1),'WBS Summary by Year'!$C28,'WBS Summary by Year'!$B$4),'Pre- and Production'!AP$4:AP$376)</f>
        <v>0</v>
      </c>
      <c r="L28" s="307">
        <f>SUMIF('Pre- and Production'!$T$4:$T$376, CONCATENATE(LEFT('WBS Summary by Year'!L$6,1),'WBS Summary by Year'!$C28,'WBS Summary by Year'!$B$4),'Pre- and Production'!AG$4:AG$376)</f>
        <v>0</v>
      </c>
      <c r="M28" s="303">
        <f>SUMIF('Pre- and Production'!$T$4:$T$376, CONCATENATE(LEFT('WBS Summary by Year'!M$6,1),'WBS Summary by Year'!$C28,'WBS Summary by Year'!$B$4),'Pre- and Production'!AQ$4:AQ$376)</f>
        <v>0</v>
      </c>
      <c r="N28" s="315">
        <f>SUMIF('Pre- and Production'!$T$4:$T$376, CONCATENATE(LEFT('WBS Summary by Year'!N$6,1),'WBS Summary by Year'!$C28,'WBS Summary by Year'!$B$4),'Pre- and Production'!AH$4:AH$376)</f>
        <v>0</v>
      </c>
      <c r="O28" s="316">
        <f>SUMIF('Pre- and Production'!$T$4:$T$376, CONCATENATE(LEFT('WBS Summary by Year'!O$6,1),'WBS Summary by Year'!$C28,'WBS Summary by Year'!$B$4),'Pre- and Production'!AR$4:AR$376)</f>
        <v>0</v>
      </c>
    </row>
    <row r="29" spans="3:15">
      <c r="C29" s="46" t="s">
        <v>412</v>
      </c>
      <c r="D29" s="26">
        <f>SUMIF('Pre- and Production'!$T$4:$T$376, CONCATENATE(LEFT('WBS Summary by Year'!D$6,1),'WBS Summary by Year'!$C29,'WBS Summary by Year'!$B$4),'Pre- and Production'!AC$4:AC$376)</f>
        <v>0</v>
      </c>
      <c r="E29" s="303">
        <f>SUMIF('Pre- and Production'!$T$4:$T$376, CONCATENATE(LEFT('WBS Summary by Year'!E$6,1),'WBS Summary by Year'!$C29,'WBS Summary by Year'!$B$4),'Pre- and Production'!AM$4:AM$376)</f>
        <v>0</v>
      </c>
      <c r="F29" s="26">
        <f>SUMIF('Pre- and Production'!$T$4:$T$376, CONCATENATE(LEFT('WBS Summary by Year'!F$6,1),'WBS Summary by Year'!$C29,'WBS Summary by Year'!$B$4),'Pre- and Production'!AD$4:AD$376)</f>
        <v>0</v>
      </c>
      <c r="G29" s="296">
        <f>SUMIF('Pre- and Production'!$T$4:$T$376, CONCATENATE(LEFT('WBS Summary by Year'!G$6,1),'WBS Summary by Year'!$C29,'WBS Summary by Year'!$B$4),'Pre- and Production'!AN$4:AN$376)</f>
        <v>0</v>
      </c>
      <c r="H29" s="307">
        <f>SUMIF('Pre- and Production'!$T$4:$T$376, CONCATENATE(LEFT('WBS Summary by Year'!H$6,1),'WBS Summary by Year'!$C29,'WBS Summary by Year'!$B$4),'Pre- and Production'!AE$4:AE$376)</f>
        <v>0</v>
      </c>
      <c r="I29" s="303">
        <f>SUMIF('Pre- and Production'!$T$4:$T$376, CONCATENATE(LEFT('WBS Summary by Year'!I$6,1),'WBS Summary by Year'!$C29,'WBS Summary by Year'!$B$4),'Pre- and Production'!AO$4:AO$376)</f>
        <v>0</v>
      </c>
      <c r="J29" s="26">
        <f>SUMIF('Pre- and Production'!$T$4:$T$376, CONCATENATE(LEFT('WBS Summary by Year'!J$6,1),'WBS Summary by Year'!$C29,'WBS Summary by Year'!$B$4),'Pre- and Production'!AF$4:AFI$376)</f>
        <v>0</v>
      </c>
      <c r="K29" s="296">
        <f>SUMIF('Pre- and Production'!$T$4:$T$376, CONCATENATE(LEFT('WBS Summary by Year'!K$6,1),'WBS Summary by Year'!$C29,'WBS Summary by Year'!$B$4),'Pre- and Production'!AP$4:AP$376)</f>
        <v>0</v>
      </c>
      <c r="L29" s="307">
        <f>SUMIF('Pre- and Production'!$T$4:$T$376, CONCATENATE(LEFT('WBS Summary by Year'!L$6,1),'WBS Summary by Year'!$C29,'WBS Summary by Year'!$B$4),'Pre- and Production'!AG$4:AG$376)</f>
        <v>0</v>
      </c>
      <c r="M29" s="303">
        <f>SUMIF('Pre- and Production'!$T$4:$T$376, CONCATENATE(LEFT('WBS Summary by Year'!M$6,1),'WBS Summary by Year'!$C29,'WBS Summary by Year'!$B$4),'Pre- and Production'!AQ$4:AQ$376)</f>
        <v>0</v>
      </c>
      <c r="N29" s="315">
        <f>SUMIF('Pre- and Production'!$T$4:$T$376, CONCATENATE(LEFT('WBS Summary by Year'!N$6,1),'WBS Summary by Year'!$C29,'WBS Summary by Year'!$B$4),'Pre- and Production'!AH$4:AH$376)</f>
        <v>0</v>
      </c>
      <c r="O29" s="316">
        <f>SUMIF('Pre- and Production'!$T$4:$T$376, CONCATENATE(LEFT('WBS Summary by Year'!O$6,1),'WBS Summary by Year'!$C29,'WBS Summary by Year'!$B$4),'Pre- and Production'!AR$4:AR$376)</f>
        <v>0</v>
      </c>
    </row>
    <row r="30" spans="3:15">
      <c r="C30" s="46" t="s">
        <v>413</v>
      </c>
      <c r="D30" s="26">
        <f>SUMIF('Pre- and Production'!$T$4:$T$376, CONCATENATE(LEFT('WBS Summary by Year'!D$6,1),'WBS Summary by Year'!$C30,'WBS Summary by Year'!$B$4),'Pre- and Production'!AC$4:AC$376)</f>
        <v>0</v>
      </c>
      <c r="E30" s="303">
        <f>SUMIF('Pre- and Production'!$T$4:$T$376, CONCATENATE(LEFT('WBS Summary by Year'!E$6,1),'WBS Summary by Year'!$C30,'WBS Summary by Year'!$B$4),'Pre- and Production'!AM$4:AM$376)</f>
        <v>0</v>
      </c>
      <c r="F30" s="26">
        <f>SUMIF('Pre- and Production'!$T$4:$T$376, CONCATENATE(LEFT('WBS Summary by Year'!F$6,1),'WBS Summary by Year'!$C30,'WBS Summary by Year'!$B$4),'Pre- and Production'!AD$4:AD$376)</f>
        <v>0</v>
      </c>
      <c r="G30" s="296">
        <f>SUMIF('Pre- and Production'!$T$4:$T$376, CONCATENATE(LEFT('WBS Summary by Year'!G$6,1),'WBS Summary by Year'!$C30,'WBS Summary by Year'!$B$4),'Pre- and Production'!AN$4:AN$376)</f>
        <v>0</v>
      </c>
      <c r="H30" s="307">
        <f>SUMIF('Pre- and Production'!$T$4:$T$376, CONCATENATE(LEFT('WBS Summary by Year'!H$6,1),'WBS Summary by Year'!$C30,'WBS Summary by Year'!$B$4),'Pre- and Production'!AE$4:AE$376)</f>
        <v>0</v>
      </c>
      <c r="I30" s="303">
        <f>SUMIF('Pre- and Production'!$T$4:$T$376, CONCATENATE(LEFT('WBS Summary by Year'!I$6,1),'WBS Summary by Year'!$C30,'WBS Summary by Year'!$B$4),'Pre- and Production'!AO$4:AO$376)</f>
        <v>0</v>
      </c>
      <c r="J30" s="26">
        <f>SUMIF('Pre- and Production'!$T$4:$T$376, CONCATENATE(LEFT('WBS Summary by Year'!J$6,1),'WBS Summary by Year'!$C30,'WBS Summary by Year'!$B$4),'Pre- and Production'!AF$4:AFI$376)</f>
        <v>0</v>
      </c>
      <c r="K30" s="296">
        <f>SUMIF('Pre- and Production'!$T$4:$T$376, CONCATENATE(LEFT('WBS Summary by Year'!K$6,1),'WBS Summary by Year'!$C30,'WBS Summary by Year'!$B$4),'Pre- and Production'!AP$4:AP$376)</f>
        <v>0</v>
      </c>
      <c r="L30" s="307">
        <f>SUMIF('Pre- and Production'!$T$4:$T$376, CONCATENATE(LEFT('WBS Summary by Year'!L$6,1),'WBS Summary by Year'!$C30,'WBS Summary by Year'!$B$4),'Pre- and Production'!AG$4:AG$376)</f>
        <v>0</v>
      </c>
      <c r="M30" s="303">
        <f>SUMIF('Pre- and Production'!$T$4:$T$376, CONCATENATE(LEFT('WBS Summary by Year'!M$6,1),'WBS Summary by Year'!$C30,'WBS Summary by Year'!$B$4),'Pre- and Production'!AQ$4:AQ$376)</f>
        <v>0</v>
      </c>
      <c r="N30" s="315">
        <f>SUMIF('Pre- and Production'!$T$4:$T$376, CONCATENATE(LEFT('WBS Summary by Year'!N$6,1),'WBS Summary by Year'!$C30,'WBS Summary by Year'!$B$4),'Pre- and Production'!AH$4:AH$376)</f>
        <v>0</v>
      </c>
      <c r="O30" s="316">
        <f>SUMIF('Pre- and Production'!$T$4:$T$376, CONCATENATE(LEFT('WBS Summary by Year'!O$6,1),'WBS Summary by Year'!$C30,'WBS Summary by Year'!$B$4),'Pre- and Production'!AR$4:AR$376)</f>
        <v>0</v>
      </c>
    </row>
    <row r="31" spans="3:15">
      <c r="C31" s="134" t="s">
        <v>414</v>
      </c>
      <c r="D31" s="26">
        <f>SUMIF('Pre- and Production'!$T$4:$T$376, CONCATENATE(LEFT('WBS Summary by Year'!D$6,1),'WBS Summary by Year'!$C31,'WBS Summary by Year'!$B$4),'Pre- and Production'!AC$4:AC$376)</f>
        <v>0</v>
      </c>
      <c r="E31" s="303">
        <f>SUMIF('Pre- and Production'!$T$4:$T$376, CONCATENATE(LEFT('WBS Summary by Year'!E$6,1),'WBS Summary by Year'!$C31,'WBS Summary by Year'!$B$4),'Pre- and Production'!AM$4:AM$376)</f>
        <v>0</v>
      </c>
      <c r="F31" s="26">
        <f>SUMIF('Pre- and Production'!$T$4:$T$376, CONCATENATE(LEFT('WBS Summary by Year'!F$6,1),'WBS Summary by Year'!$C31,'WBS Summary by Year'!$B$4),'Pre- and Production'!AD$4:AD$376)</f>
        <v>0</v>
      </c>
      <c r="G31" s="296">
        <f>SUMIF('Pre- and Production'!$T$4:$T$376, CONCATENATE(LEFT('WBS Summary by Year'!G$6,1),'WBS Summary by Year'!$C31,'WBS Summary by Year'!$B$4),'Pre- and Production'!AN$4:AN$376)</f>
        <v>0</v>
      </c>
      <c r="H31" s="307">
        <f>SUMIF('Pre- and Production'!$T$4:$T$376, CONCATENATE(LEFT('WBS Summary by Year'!H$6,1),'WBS Summary by Year'!$C31,'WBS Summary by Year'!$B$4),'Pre- and Production'!AE$4:AE$376)</f>
        <v>0</v>
      </c>
      <c r="I31" s="303">
        <f>SUMIF('Pre- and Production'!$T$4:$T$376, CONCATENATE(LEFT('WBS Summary by Year'!I$6,1),'WBS Summary by Year'!$C31,'WBS Summary by Year'!$B$4),'Pre- and Production'!AO$4:AO$376)</f>
        <v>0</v>
      </c>
      <c r="J31" s="26">
        <f>SUMIF('Pre- and Production'!$T$4:$T$376, CONCATENATE(LEFT('WBS Summary by Year'!J$6,1),'WBS Summary by Year'!$C31,'WBS Summary by Year'!$B$4),'Pre- and Production'!AF$4:AFI$376)</f>
        <v>0</v>
      </c>
      <c r="K31" s="296">
        <f>SUMIF('Pre- and Production'!$T$4:$T$376, CONCATENATE(LEFT('WBS Summary by Year'!K$6,1),'WBS Summary by Year'!$C31,'WBS Summary by Year'!$B$4),'Pre- and Production'!AP$4:AP$376)</f>
        <v>0</v>
      </c>
      <c r="L31" s="307">
        <f>SUMIF('Pre- and Production'!$T$4:$T$376, CONCATENATE(LEFT('WBS Summary by Year'!L$6,1),'WBS Summary by Year'!$C31,'WBS Summary by Year'!$B$4),'Pre- and Production'!AG$4:AG$376)</f>
        <v>0</v>
      </c>
      <c r="M31" s="303">
        <f>SUMIF('Pre- and Production'!$T$4:$T$376, CONCATENATE(LEFT('WBS Summary by Year'!M$6,1),'WBS Summary by Year'!$C31,'WBS Summary by Year'!$B$4),'Pre- and Production'!AQ$4:AQ$376)</f>
        <v>0</v>
      </c>
      <c r="N31" s="315">
        <f>SUMIF('Pre- and Production'!$T$4:$T$376, CONCATENATE(LEFT('WBS Summary by Year'!N$6,1),'WBS Summary by Year'!$C31,'WBS Summary by Year'!$B$4),'Pre- and Production'!AH$4:AH$376)</f>
        <v>0</v>
      </c>
      <c r="O31" s="316">
        <f>SUMIF('Pre- and Production'!$T$4:$T$376, CONCATENATE(LEFT('WBS Summary by Year'!O$6,1),'WBS Summary by Year'!$C31,'WBS Summary by Year'!$B$4),'Pre- and Production'!AR$4:AR$376)</f>
        <v>0</v>
      </c>
    </row>
    <row r="32" spans="3:15">
      <c r="C32" s="100" t="s">
        <v>449</v>
      </c>
      <c r="D32" s="26">
        <f>SUMIF('Pre- and Production'!$T$4:$T$376, CONCATENATE(LEFT('WBS Summary by Year'!D$6,1),'WBS Summary by Year'!$C32,'WBS Summary by Year'!$B$4),'Pre- and Production'!AC$4:AC$376)</f>
        <v>0</v>
      </c>
      <c r="E32" s="303">
        <f>SUMIF('Pre- and Production'!$T$4:$T$376, CONCATENATE(LEFT('WBS Summary by Year'!E$6,1),'WBS Summary by Year'!$C32,'WBS Summary by Year'!$B$4),'Pre- and Production'!AM$4:AM$376)</f>
        <v>0</v>
      </c>
      <c r="F32" s="26">
        <f>SUMIF('Pre- and Production'!$T$4:$T$376, CONCATENATE(LEFT('WBS Summary by Year'!F$6,1),'WBS Summary by Year'!$C32,'WBS Summary by Year'!$B$4),'Pre- and Production'!AD$4:AD$376)</f>
        <v>0</v>
      </c>
      <c r="G32" s="296">
        <f>SUMIF('Pre- and Production'!$T$4:$T$376, CONCATENATE(LEFT('WBS Summary by Year'!G$6,1),'WBS Summary by Year'!$C32,'WBS Summary by Year'!$B$4),'Pre- and Production'!AN$4:AN$376)</f>
        <v>0</v>
      </c>
      <c r="H32" s="307">
        <f>SUMIF('Pre- and Production'!$T$4:$T$376, CONCATENATE(LEFT('WBS Summary by Year'!H$6,1),'WBS Summary by Year'!$C32,'WBS Summary by Year'!$B$4),'Pre- and Production'!AE$4:AE$376)</f>
        <v>0</v>
      </c>
      <c r="I32" s="303">
        <f>SUMIF('Pre- and Production'!$T$4:$T$376, CONCATENATE(LEFT('WBS Summary by Year'!I$6,1),'WBS Summary by Year'!$C32,'WBS Summary by Year'!$B$4),'Pre- and Production'!AO$4:AO$376)</f>
        <v>0</v>
      </c>
      <c r="J32" s="26">
        <f>SUMIF('Pre- and Production'!$T$4:$T$376, CONCATENATE(LEFT('WBS Summary by Year'!J$6,1),'WBS Summary by Year'!$C32,'WBS Summary by Year'!$B$4),'Pre- and Production'!AF$4:AFI$376)</f>
        <v>0</v>
      </c>
      <c r="K32" s="296">
        <f>SUMIF('Pre- and Production'!$T$4:$T$376, CONCATENATE(LEFT('WBS Summary by Year'!K$6,1),'WBS Summary by Year'!$C32,'WBS Summary by Year'!$B$4),'Pre- and Production'!AP$4:AP$376)</f>
        <v>0</v>
      </c>
      <c r="L32" s="307">
        <f>SUMIF('Pre- and Production'!$T$4:$T$376, CONCATENATE(LEFT('WBS Summary by Year'!L$6,1),'WBS Summary by Year'!$C32,'WBS Summary by Year'!$B$4),'Pre- and Production'!AG$4:AG$376)</f>
        <v>0</v>
      </c>
      <c r="M32" s="303">
        <f>SUMIF('Pre- and Production'!$T$4:$T$376, CONCATENATE(LEFT('WBS Summary by Year'!M$6,1),'WBS Summary by Year'!$C32,'WBS Summary by Year'!$B$4),'Pre- and Production'!AQ$4:AQ$376)</f>
        <v>0</v>
      </c>
      <c r="N32" s="315">
        <f>SUMIF('Pre- and Production'!$T$4:$T$376, CONCATENATE(LEFT('WBS Summary by Year'!N$6,1),'WBS Summary by Year'!$C32,'WBS Summary by Year'!$B$4),'Pre- and Production'!AH$4:AH$376)</f>
        <v>0</v>
      </c>
      <c r="O32" s="316">
        <f>SUMIF('Pre- and Production'!$T$4:$T$376, CONCATENATE(LEFT('WBS Summary by Year'!O$6,1),'WBS Summary by Year'!$C32,'WBS Summary by Year'!$B$4),'Pre- and Production'!AR$4:AR$376)</f>
        <v>0</v>
      </c>
    </row>
    <row r="33" spans="2:31">
      <c r="C33" s="134" t="s">
        <v>450</v>
      </c>
      <c r="D33" s="26">
        <f>SUMIF('Pre- and Production'!$T$4:$T$376, CONCATENATE(LEFT('WBS Summary by Year'!D$6,1),'WBS Summary by Year'!$C33,'WBS Summary by Year'!$B$4),'Pre- and Production'!AC$4:AC$376)</f>
        <v>0</v>
      </c>
      <c r="E33" s="303">
        <f>SUMIF('Pre- and Production'!$T$4:$T$376, CONCATENATE(LEFT('WBS Summary by Year'!E$6,1),'WBS Summary by Year'!$C33,'WBS Summary by Year'!$B$4),'Pre- and Production'!AM$4:AM$376)</f>
        <v>0</v>
      </c>
      <c r="F33" s="26">
        <f>SUMIF('Pre- and Production'!$T$4:$T$376, CONCATENATE(LEFT('WBS Summary by Year'!F$6,1),'WBS Summary by Year'!$C33,'WBS Summary by Year'!$B$4),'Pre- and Production'!AD$4:AD$376)</f>
        <v>0</v>
      </c>
      <c r="G33" s="296">
        <f>SUMIF('Pre- and Production'!$T$4:$T$376, CONCATENATE(LEFT('WBS Summary by Year'!G$6,1),'WBS Summary by Year'!$C33,'WBS Summary by Year'!$B$4),'Pre- and Production'!AN$4:AN$376)</f>
        <v>0</v>
      </c>
      <c r="H33" s="307">
        <f>SUMIF('Pre- and Production'!$T$4:$T$376, CONCATENATE(LEFT('WBS Summary by Year'!H$6,1),'WBS Summary by Year'!$C33,'WBS Summary by Year'!$B$4),'Pre- and Production'!AE$4:AE$376)</f>
        <v>0</v>
      </c>
      <c r="I33" s="303">
        <f>SUMIF('Pre- and Production'!$T$4:$T$376, CONCATENATE(LEFT('WBS Summary by Year'!I$6,1),'WBS Summary by Year'!$C33,'WBS Summary by Year'!$B$4),'Pre- and Production'!AO$4:AO$376)</f>
        <v>0</v>
      </c>
      <c r="J33" s="26">
        <f>SUMIF('Pre- and Production'!$T$4:$T$376, CONCATENATE(LEFT('WBS Summary by Year'!J$6,1),'WBS Summary by Year'!$C33,'WBS Summary by Year'!$B$4),'Pre- and Production'!AF$4:AFI$376)</f>
        <v>0</v>
      </c>
      <c r="K33" s="296">
        <f>SUMIF('Pre- and Production'!$T$4:$T$376, CONCATENATE(LEFT('WBS Summary by Year'!K$6,1),'WBS Summary by Year'!$C33,'WBS Summary by Year'!$B$4),'Pre- and Production'!AP$4:AP$376)</f>
        <v>0</v>
      </c>
      <c r="L33" s="307">
        <f>SUMIF('Pre- and Production'!$T$4:$T$376, CONCATENATE(LEFT('WBS Summary by Year'!L$6,1),'WBS Summary by Year'!$C33,'WBS Summary by Year'!$B$4),'Pre- and Production'!AG$4:AG$376)</f>
        <v>0</v>
      </c>
      <c r="M33" s="303">
        <f>SUMIF('Pre- and Production'!$T$4:$T$376, CONCATENATE(LEFT('WBS Summary by Year'!M$6,1),'WBS Summary by Year'!$C33,'WBS Summary by Year'!$B$4),'Pre- and Production'!AQ$4:AQ$376)</f>
        <v>0</v>
      </c>
      <c r="N33" s="315">
        <f>SUMIF('Pre- and Production'!$T$4:$T$376, CONCATENATE(LEFT('WBS Summary by Year'!N$6,1),'WBS Summary by Year'!$C33,'WBS Summary by Year'!$B$4),'Pre- and Production'!AH$4:AH$376)</f>
        <v>0</v>
      </c>
      <c r="O33" s="316">
        <f>SUMIF('Pre- and Production'!$T$4:$T$376, CONCATENATE(LEFT('WBS Summary by Year'!O$6,1),'WBS Summary by Year'!$C33,'WBS Summary by Year'!$B$4),'Pre- and Production'!AR$4:AR$376)</f>
        <v>0</v>
      </c>
    </row>
    <row r="34" spans="2:31">
      <c r="C34" s="46" t="s">
        <v>451</v>
      </c>
      <c r="D34" s="26">
        <f>SUMIF('Pre- and Production'!$T$4:$T$376, CONCATENATE(LEFT('WBS Summary by Year'!D$6,1),'WBS Summary by Year'!$C34,'WBS Summary by Year'!$B$4),'Pre- and Production'!AC$4:AC$376)</f>
        <v>0</v>
      </c>
      <c r="E34" s="303">
        <f>SUMIF('Pre- and Production'!$T$4:$T$376, CONCATENATE(LEFT('WBS Summary by Year'!E$6,1),'WBS Summary by Year'!$C34,'WBS Summary by Year'!$B$4),'Pre- and Production'!AM$4:AM$376)</f>
        <v>0</v>
      </c>
      <c r="F34" s="26">
        <f>SUMIF('Pre- and Production'!$T$4:$T$376, CONCATENATE(LEFT('WBS Summary by Year'!F$6,1),'WBS Summary by Year'!$C34,'WBS Summary by Year'!$B$4),'Pre- and Production'!AD$4:AD$376)</f>
        <v>0</v>
      </c>
      <c r="G34" s="296">
        <f>SUMIF('Pre- and Production'!$T$4:$T$376, CONCATENATE(LEFT('WBS Summary by Year'!G$6,1),'WBS Summary by Year'!$C34,'WBS Summary by Year'!$B$4),'Pre- and Production'!AN$4:AN$376)</f>
        <v>0</v>
      </c>
      <c r="H34" s="307">
        <f>SUMIF('Pre- and Production'!$T$4:$T$376, CONCATENATE(LEFT('WBS Summary by Year'!H$6,1),'WBS Summary by Year'!$C34,'WBS Summary by Year'!$B$4),'Pre- and Production'!AE$4:AE$376)</f>
        <v>0</v>
      </c>
      <c r="I34" s="303">
        <f>SUMIF('Pre- and Production'!$T$4:$T$376, CONCATENATE(LEFT('WBS Summary by Year'!I$6,1),'WBS Summary by Year'!$C34,'WBS Summary by Year'!$B$4),'Pre- and Production'!AO$4:AO$376)</f>
        <v>0</v>
      </c>
      <c r="J34" s="26">
        <f>SUMIF('Pre- and Production'!$T$4:$T$376, CONCATENATE(LEFT('WBS Summary by Year'!J$6,1),'WBS Summary by Year'!$C34,'WBS Summary by Year'!$B$4),'Pre- and Production'!AF$4:AFI$376)</f>
        <v>0</v>
      </c>
      <c r="K34" s="296">
        <f>SUMIF('Pre- and Production'!$T$4:$T$376, CONCATENATE(LEFT('WBS Summary by Year'!K$6,1),'WBS Summary by Year'!$C34,'WBS Summary by Year'!$B$4),'Pre- and Production'!AP$4:AP$376)</f>
        <v>0</v>
      </c>
      <c r="L34" s="307">
        <f>SUMIF('Pre- and Production'!$T$4:$T$376, CONCATENATE(LEFT('WBS Summary by Year'!L$6,1),'WBS Summary by Year'!$C34,'WBS Summary by Year'!$B$4),'Pre- and Production'!AG$4:AG$376)</f>
        <v>0</v>
      </c>
      <c r="M34" s="303">
        <f>SUMIF('Pre- and Production'!$T$4:$T$376, CONCATENATE(LEFT('WBS Summary by Year'!M$6,1),'WBS Summary by Year'!$C34,'WBS Summary by Year'!$B$4),'Pre- and Production'!AQ$4:AQ$376)</f>
        <v>0</v>
      </c>
      <c r="N34" s="315">
        <f>SUMIF('Pre- and Production'!$T$4:$T$376, CONCATENATE(LEFT('WBS Summary by Year'!N$6,1),'WBS Summary by Year'!$C34,'WBS Summary by Year'!$B$4),'Pre- and Production'!AH$4:AH$376)</f>
        <v>0</v>
      </c>
      <c r="O34" s="316">
        <f>SUMIF('Pre- and Production'!$T$4:$T$376, CONCATENATE(LEFT('WBS Summary by Year'!O$6,1),'WBS Summary by Year'!$C34,'WBS Summary by Year'!$B$4),'Pre- and Production'!AR$4:AR$376)</f>
        <v>0</v>
      </c>
    </row>
    <row r="35" spans="2:31">
      <c r="C35" s="46" t="s">
        <v>452</v>
      </c>
      <c r="D35" s="26">
        <f>SUMIF('Pre- and Production'!$T$4:$T$376, CONCATENATE(LEFT('WBS Summary by Year'!D$6,1),'WBS Summary by Year'!$C35,'WBS Summary by Year'!$B$4),'Pre- and Production'!AC$4:AC$376)</f>
        <v>0</v>
      </c>
      <c r="E35" s="303">
        <f>SUMIF('Pre- and Production'!$T$4:$T$376, CONCATENATE(LEFT('WBS Summary by Year'!E$6,1),'WBS Summary by Year'!$C35,'WBS Summary by Year'!$B$4),'Pre- and Production'!AM$4:AM$376)</f>
        <v>0</v>
      </c>
      <c r="F35" s="26">
        <f>SUMIF('Pre- and Production'!$T$4:$T$376, CONCATENATE(LEFT('WBS Summary by Year'!F$6,1),'WBS Summary by Year'!$C35,'WBS Summary by Year'!$B$4),'Pre- and Production'!AD$4:AD$376)</f>
        <v>0</v>
      </c>
      <c r="G35" s="296">
        <f>SUMIF('Pre- and Production'!$T$4:$T$376, CONCATENATE(LEFT('WBS Summary by Year'!G$6,1),'WBS Summary by Year'!$C35,'WBS Summary by Year'!$B$4),'Pre- and Production'!AN$4:AN$376)</f>
        <v>0</v>
      </c>
      <c r="H35" s="307">
        <f>SUMIF('Pre- and Production'!$T$4:$T$376, CONCATENATE(LEFT('WBS Summary by Year'!H$6,1),'WBS Summary by Year'!$C35,'WBS Summary by Year'!$B$4),'Pre- and Production'!AE$4:AE$376)</f>
        <v>0</v>
      </c>
      <c r="I35" s="303">
        <f>SUMIF('Pre- and Production'!$T$4:$T$376, CONCATENATE(LEFT('WBS Summary by Year'!I$6,1),'WBS Summary by Year'!$C35,'WBS Summary by Year'!$B$4),'Pre- and Production'!AO$4:AO$376)</f>
        <v>0</v>
      </c>
      <c r="J35" s="26">
        <f>SUMIF('Pre- and Production'!$T$4:$T$376, CONCATENATE(LEFT('WBS Summary by Year'!J$6,1),'WBS Summary by Year'!$C35,'WBS Summary by Year'!$B$4),'Pre- and Production'!AF$4:AFI$376)</f>
        <v>0</v>
      </c>
      <c r="K35" s="296">
        <f>SUMIF('Pre- and Production'!$T$4:$T$376, CONCATENATE(LEFT('WBS Summary by Year'!K$6,1),'WBS Summary by Year'!$C35,'WBS Summary by Year'!$B$4),'Pre- and Production'!AP$4:AP$376)</f>
        <v>0</v>
      </c>
      <c r="L35" s="307">
        <f>SUMIF('Pre- and Production'!$T$4:$T$376, CONCATENATE(LEFT('WBS Summary by Year'!L$6,1),'WBS Summary by Year'!$C35,'WBS Summary by Year'!$B$4),'Pre- and Production'!AG$4:AG$376)</f>
        <v>0</v>
      </c>
      <c r="M35" s="303">
        <f>SUMIF('Pre- and Production'!$T$4:$T$376, CONCATENATE(LEFT('WBS Summary by Year'!M$6,1),'WBS Summary by Year'!$C35,'WBS Summary by Year'!$B$4),'Pre- and Production'!AQ$4:AQ$376)</f>
        <v>0</v>
      </c>
      <c r="N35" s="315">
        <f>SUMIF('Pre- and Production'!$T$4:$T$376, CONCATENATE(LEFT('WBS Summary by Year'!N$6,1),'WBS Summary by Year'!$C35,'WBS Summary by Year'!$B$4),'Pre- and Production'!AH$4:AH$376)</f>
        <v>0</v>
      </c>
      <c r="O35" s="316">
        <f>SUMIF('Pre- and Production'!$T$4:$T$376, CONCATENATE(LEFT('WBS Summary by Year'!O$6,1),'WBS Summary by Year'!$C35,'WBS Summary by Year'!$B$4),'Pre- and Production'!AR$4:AR$376)</f>
        <v>0</v>
      </c>
    </row>
    <row r="36" spans="2:31">
      <c r="C36" s="46" t="s">
        <v>453</v>
      </c>
      <c r="D36" s="26">
        <f>SUMIF('Pre- and Production'!$T$4:$T$376, CONCATENATE(LEFT('WBS Summary by Year'!D$6,1),'WBS Summary by Year'!$C36,'WBS Summary by Year'!$B$4),'Pre- and Production'!AC$4:AC$376)</f>
        <v>0</v>
      </c>
      <c r="E36" s="303">
        <f>SUMIF('Pre- and Production'!$T$4:$T$376, CONCATENATE(LEFT('WBS Summary by Year'!E$6,1),'WBS Summary by Year'!$C36,'WBS Summary by Year'!$B$4),'Pre- and Production'!AM$4:AM$376)</f>
        <v>0</v>
      </c>
      <c r="F36" s="26">
        <f>SUMIF('Pre- and Production'!$T$4:$T$376, CONCATENATE(LEFT('WBS Summary by Year'!F$6,1),'WBS Summary by Year'!$C36,'WBS Summary by Year'!$B$4),'Pre- and Production'!AD$4:AD$376)</f>
        <v>0</v>
      </c>
      <c r="G36" s="296">
        <f>SUMIF('Pre- and Production'!$T$4:$T$376, CONCATENATE(LEFT('WBS Summary by Year'!G$6,1),'WBS Summary by Year'!$C36,'WBS Summary by Year'!$B$4),'Pre- and Production'!AN$4:AN$376)</f>
        <v>0</v>
      </c>
      <c r="H36" s="307">
        <f>SUMIF('Pre- and Production'!$T$4:$T$376, CONCATENATE(LEFT('WBS Summary by Year'!H$6,1),'WBS Summary by Year'!$C36,'WBS Summary by Year'!$B$4),'Pre- and Production'!AE$4:AE$376)</f>
        <v>0</v>
      </c>
      <c r="I36" s="303">
        <f>SUMIF('Pre- and Production'!$T$4:$T$376, CONCATENATE(LEFT('WBS Summary by Year'!I$6,1),'WBS Summary by Year'!$C36,'WBS Summary by Year'!$B$4),'Pre- and Production'!AO$4:AO$376)</f>
        <v>0</v>
      </c>
      <c r="J36" s="26">
        <f>SUMIF('Pre- and Production'!$T$4:$T$376, CONCATENATE(LEFT('WBS Summary by Year'!J$6,1),'WBS Summary by Year'!$C36,'WBS Summary by Year'!$B$4),'Pre- and Production'!AF$4:AFI$376)</f>
        <v>0</v>
      </c>
      <c r="K36" s="296">
        <f>SUMIF('Pre- and Production'!$T$4:$T$376, CONCATENATE(LEFT('WBS Summary by Year'!K$6,1),'WBS Summary by Year'!$C36,'WBS Summary by Year'!$B$4),'Pre- and Production'!AP$4:AP$376)</f>
        <v>0</v>
      </c>
      <c r="L36" s="307">
        <f>SUMIF('Pre- and Production'!$T$4:$T$376, CONCATENATE(LEFT('WBS Summary by Year'!L$6,1),'WBS Summary by Year'!$C36,'WBS Summary by Year'!$B$4),'Pre- and Production'!AG$4:AG$376)</f>
        <v>0</v>
      </c>
      <c r="M36" s="303">
        <f>SUMIF('Pre- and Production'!$T$4:$T$376, CONCATENATE(LEFT('WBS Summary by Year'!M$6,1),'WBS Summary by Year'!$C36,'WBS Summary by Year'!$B$4),'Pre- and Production'!AQ$4:AQ$376)</f>
        <v>0</v>
      </c>
      <c r="N36" s="315">
        <f>SUMIF('Pre- and Production'!$T$4:$T$376, CONCATENATE(LEFT('WBS Summary by Year'!N$6,1),'WBS Summary by Year'!$C36,'WBS Summary by Year'!$B$4),'Pre- and Production'!AH$4:AH$376)</f>
        <v>0</v>
      </c>
      <c r="O36" s="316">
        <f>SUMIF('Pre- and Production'!$T$4:$T$376, CONCATENATE(LEFT('WBS Summary by Year'!O$6,1),'WBS Summary by Year'!$C36,'WBS Summary by Year'!$B$4),'Pre- and Production'!AR$4:AR$376)</f>
        <v>0</v>
      </c>
    </row>
    <row r="37" spans="2:31">
      <c r="C37" s="134" t="s">
        <v>459</v>
      </c>
      <c r="D37" s="26">
        <f>SUMIF('Pre- and Production'!$T$4:$T$376, CONCATENATE(LEFT('WBS Summary by Year'!D$6,1),'WBS Summary by Year'!$C37,'WBS Summary by Year'!$B$4),'Pre- and Production'!AC$4:AC$376)</f>
        <v>0</v>
      </c>
      <c r="E37" s="303">
        <f>SUMIF('Pre- and Production'!$T$4:$T$376, CONCATENATE(LEFT('WBS Summary by Year'!E$6,1),'WBS Summary by Year'!$C37,'WBS Summary by Year'!$B$4),'Pre- and Production'!AM$4:AM$376)</f>
        <v>0</v>
      </c>
      <c r="F37" s="26">
        <f>SUMIF('Pre- and Production'!$T$4:$T$376, CONCATENATE(LEFT('WBS Summary by Year'!F$6,1),'WBS Summary by Year'!$C37,'WBS Summary by Year'!$B$4),'Pre- and Production'!AD$4:AD$376)</f>
        <v>0</v>
      </c>
      <c r="G37" s="296">
        <f>SUMIF('Pre- and Production'!$T$4:$T$376, CONCATENATE(LEFT('WBS Summary by Year'!G$6,1),'WBS Summary by Year'!$C37,'WBS Summary by Year'!$B$4),'Pre- and Production'!AN$4:AN$376)</f>
        <v>0</v>
      </c>
      <c r="H37" s="307">
        <f>SUMIF('Pre- and Production'!$T$4:$T$376, CONCATENATE(LEFT('WBS Summary by Year'!H$6,1),'WBS Summary by Year'!$C37,'WBS Summary by Year'!$B$4),'Pre- and Production'!AE$4:AE$376)</f>
        <v>0</v>
      </c>
      <c r="I37" s="303">
        <f>SUMIF('Pre- and Production'!$T$4:$T$376, CONCATENATE(LEFT('WBS Summary by Year'!I$6,1),'WBS Summary by Year'!$C37,'WBS Summary by Year'!$B$4),'Pre- and Production'!AO$4:AO$376)</f>
        <v>0</v>
      </c>
      <c r="J37" s="26">
        <f>SUMIF('Pre- and Production'!$T$4:$T$376, CONCATENATE(LEFT('WBS Summary by Year'!J$6,1),'WBS Summary by Year'!$C37,'WBS Summary by Year'!$B$4),'Pre- and Production'!AF$4:AFI$376)</f>
        <v>0</v>
      </c>
      <c r="K37" s="296">
        <f>SUMIF('Pre- and Production'!$T$4:$T$376, CONCATENATE(LEFT('WBS Summary by Year'!K$6,1),'WBS Summary by Year'!$C37,'WBS Summary by Year'!$B$4),'Pre- and Production'!AP$4:AP$376)</f>
        <v>0</v>
      </c>
      <c r="L37" s="307">
        <f>SUMIF('Pre- and Production'!$T$4:$T$376, CONCATENATE(LEFT('WBS Summary by Year'!L$6,1),'WBS Summary by Year'!$C37,'WBS Summary by Year'!$B$4),'Pre- and Production'!AG$4:AG$376)</f>
        <v>0</v>
      </c>
      <c r="M37" s="303">
        <f>SUMIF('Pre- and Production'!$T$4:$T$376, CONCATENATE(LEFT('WBS Summary by Year'!M$6,1),'WBS Summary by Year'!$C37,'WBS Summary by Year'!$B$4),'Pre- and Production'!AQ$4:AQ$376)</f>
        <v>0</v>
      </c>
      <c r="N37" s="315">
        <f>SUMIF('Pre- and Production'!$T$4:$T$376, CONCATENATE(LEFT('WBS Summary by Year'!N$6,1),'WBS Summary by Year'!$C37,'WBS Summary by Year'!$B$4),'Pre- and Production'!AH$4:AH$376)</f>
        <v>0</v>
      </c>
      <c r="O37" s="316">
        <f>SUMIF('Pre- and Production'!$T$4:$T$376, CONCATENATE(LEFT('WBS Summary by Year'!O$6,1),'WBS Summary by Year'!$C37,'WBS Summary by Year'!$B$4),'Pre- and Production'!AR$4:AR$376)</f>
        <v>0</v>
      </c>
    </row>
    <row r="38" spans="2:31">
      <c r="C38" s="46" t="s">
        <v>460</v>
      </c>
      <c r="D38" s="26">
        <f>SUMIF('Pre- and Production'!$T$4:$T$376, CONCATENATE(LEFT('WBS Summary by Year'!D$6,1),'WBS Summary by Year'!$C38,'WBS Summary by Year'!$B$4),'Pre- and Production'!AC$4:AC$376)</f>
        <v>0</v>
      </c>
      <c r="E38" s="303">
        <f>SUMIF('Pre- and Production'!$T$4:$T$376, CONCATENATE(LEFT('WBS Summary by Year'!E$6,1),'WBS Summary by Year'!$C38,'WBS Summary by Year'!$B$4),'Pre- and Production'!AM$4:AM$376)</f>
        <v>0</v>
      </c>
      <c r="F38" s="26">
        <f>SUMIF('Pre- and Production'!$T$4:$T$376, CONCATENATE(LEFT('WBS Summary by Year'!F$6,1),'WBS Summary by Year'!$C38,'WBS Summary by Year'!$B$4),'Pre- and Production'!AD$4:AD$376)</f>
        <v>0</v>
      </c>
      <c r="G38" s="296">
        <f>SUMIF('Pre- and Production'!$T$4:$T$376, CONCATENATE(LEFT('WBS Summary by Year'!G$6,1),'WBS Summary by Year'!$C38,'WBS Summary by Year'!$B$4),'Pre- and Production'!AN$4:AN$376)</f>
        <v>0</v>
      </c>
      <c r="H38" s="307">
        <f>SUMIF('Pre- and Production'!$T$4:$T$376, CONCATENATE(LEFT('WBS Summary by Year'!H$6,1),'WBS Summary by Year'!$C38,'WBS Summary by Year'!$B$4),'Pre- and Production'!AE$4:AE$376)</f>
        <v>0</v>
      </c>
      <c r="I38" s="303">
        <f>SUMIF('Pre- and Production'!$T$4:$T$376, CONCATENATE(LEFT('WBS Summary by Year'!I$6,1),'WBS Summary by Year'!$C38,'WBS Summary by Year'!$B$4),'Pre- and Production'!AO$4:AO$376)</f>
        <v>0</v>
      </c>
      <c r="J38" s="26">
        <f>SUMIF('Pre- and Production'!$T$4:$T$376, CONCATENATE(LEFT('WBS Summary by Year'!J$6,1),'WBS Summary by Year'!$C38,'WBS Summary by Year'!$B$4),'Pre- and Production'!AF$4:AFI$376)</f>
        <v>0</v>
      </c>
      <c r="K38" s="296">
        <f>SUMIF('Pre- and Production'!$T$4:$T$376, CONCATENATE(LEFT('WBS Summary by Year'!K$6,1),'WBS Summary by Year'!$C38,'WBS Summary by Year'!$B$4),'Pre- and Production'!AP$4:AP$376)</f>
        <v>0</v>
      </c>
      <c r="L38" s="307">
        <f>SUMIF('Pre- and Production'!$T$4:$T$376, CONCATENATE(LEFT('WBS Summary by Year'!L$6,1),'WBS Summary by Year'!$C38,'WBS Summary by Year'!$B$4),'Pre- and Production'!AG$4:AG$376)</f>
        <v>0</v>
      </c>
      <c r="M38" s="303">
        <f>SUMIF('Pre- and Production'!$T$4:$T$376, CONCATENATE(LEFT('WBS Summary by Year'!M$6,1),'WBS Summary by Year'!$C38,'WBS Summary by Year'!$B$4),'Pre- and Production'!AQ$4:AQ$376)</f>
        <v>0</v>
      </c>
      <c r="N38" s="315">
        <f>SUMIF('Pre- and Production'!$T$4:$T$376, CONCATENATE(LEFT('WBS Summary by Year'!N$6,1),'WBS Summary by Year'!$C38,'WBS Summary by Year'!$B$4),'Pre- and Production'!AH$4:AH$376)</f>
        <v>0</v>
      </c>
      <c r="O38" s="316">
        <f>SUMIF('Pre- and Production'!$T$4:$T$376, CONCATENATE(LEFT('WBS Summary by Year'!O$6,1),'WBS Summary by Year'!$C38,'WBS Summary by Year'!$B$4),'Pre- and Production'!AR$4:AR$376)</f>
        <v>0</v>
      </c>
    </row>
    <row r="39" spans="2:31">
      <c r="C39" s="46" t="s">
        <v>461</v>
      </c>
      <c r="D39" s="26">
        <f>SUMIF('Pre- and Production'!$T$4:$T$376, CONCATENATE(LEFT('WBS Summary by Year'!D$6,1),'WBS Summary by Year'!$C39,'WBS Summary by Year'!$B$4),'Pre- and Production'!AC$4:AC$376)</f>
        <v>0</v>
      </c>
      <c r="E39" s="303">
        <f>SUMIF('Pre- and Production'!$T$4:$T$376, CONCATENATE(LEFT('WBS Summary by Year'!E$6,1),'WBS Summary by Year'!$C39,'WBS Summary by Year'!$B$4),'Pre- and Production'!AM$4:AM$376)</f>
        <v>0</v>
      </c>
      <c r="F39" s="26">
        <f>SUMIF('Pre- and Production'!$T$4:$T$376, CONCATENATE(LEFT('WBS Summary by Year'!F$6,1),'WBS Summary by Year'!$C39,'WBS Summary by Year'!$B$4),'Pre- and Production'!AD$4:AD$376)</f>
        <v>0</v>
      </c>
      <c r="G39" s="296">
        <f>SUMIF('Pre- and Production'!$T$4:$T$376, CONCATENATE(LEFT('WBS Summary by Year'!G$6,1),'WBS Summary by Year'!$C39,'WBS Summary by Year'!$B$4),'Pre- and Production'!AN$4:AN$376)</f>
        <v>0</v>
      </c>
      <c r="H39" s="307">
        <f>SUMIF('Pre- and Production'!$T$4:$T$376, CONCATENATE(LEFT('WBS Summary by Year'!H$6,1),'WBS Summary by Year'!$C39,'WBS Summary by Year'!$B$4),'Pre- and Production'!AE$4:AE$376)</f>
        <v>0</v>
      </c>
      <c r="I39" s="303">
        <f>SUMIF('Pre- and Production'!$T$4:$T$376, CONCATENATE(LEFT('WBS Summary by Year'!I$6,1),'WBS Summary by Year'!$C39,'WBS Summary by Year'!$B$4),'Pre- and Production'!AO$4:AO$376)</f>
        <v>0</v>
      </c>
      <c r="J39" s="26">
        <f>SUMIF('Pre- and Production'!$T$4:$T$376, CONCATENATE(LEFT('WBS Summary by Year'!J$6,1),'WBS Summary by Year'!$C39,'WBS Summary by Year'!$B$4),'Pre- and Production'!AF$4:AFI$376)</f>
        <v>0</v>
      </c>
      <c r="K39" s="296">
        <f>SUMIF('Pre- and Production'!$T$4:$T$376, CONCATENATE(LEFT('WBS Summary by Year'!K$6,1),'WBS Summary by Year'!$C39,'WBS Summary by Year'!$B$4),'Pre- and Production'!AP$4:AP$376)</f>
        <v>0</v>
      </c>
      <c r="L39" s="307">
        <f>SUMIF('Pre- and Production'!$T$4:$T$376, CONCATENATE(LEFT('WBS Summary by Year'!L$6,1),'WBS Summary by Year'!$C39,'WBS Summary by Year'!$B$4),'Pre- and Production'!AG$4:AG$376)</f>
        <v>0</v>
      </c>
      <c r="M39" s="303">
        <f>SUMIF('Pre- and Production'!$T$4:$T$376, CONCATENATE(LEFT('WBS Summary by Year'!M$6,1),'WBS Summary by Year'!$C39,'WBS Summary by Year'!$B$4),'Pre- and Production'!AQ$4:AQ$376)</f>
        <v>0</v>
      </c>
      <c r="N39" s="315">
        <f>SUMIF('Pre- and Production'!$T$4:$T$376, CONCATENATE(LEFT('WBS Summary by Year'!N$6,1),'WBS Summary by Year'!$C39,'WBS Summary by Year'!$B$4),'Pre- and Production'!AH$4:AH$376)</f>
        <v>0</v>
      </c>
      <c r="O39" s="316">
        <f>SUMIF('Pre- and Production'!$T$4:$T$376, CONCATENATE(LEFT('WBS Summary by Year'!O$6,1),'WBS Summary by Year'!$C39,'WBS Summary by Year'!$B$4),'Pre- and Production'!AR$4:AR$376)</f>
        <v>0</v>
      </c>
    </row>
    <row r="40" spans="2:31" ht="13.5" thickBot="1">
      <c r="C40" s="46" t="s">
        <v>462</v>
      </c>
      <c r="D40" s="297">
        <f>SUMIF('Pre- and Production'!$T$4:$T$376, CONCATENATE(LEFT('WBS Summary by Year'!D$6,1),'WBS Summary by Year'!$C40,'WBS Summary by Year'!$B$4),'Pre- and Production'!AC$4:AC$376)</f>
        <v>0</v>
      </c>
      <c r="E40" s="304">
        <f>SUMIF('Pre- and Production'!$T$4:$T$376, CONCATENATE(LEFT('WBS Summary by Year'!E$6,1),'WBS Summary by Year'!$C40,'WBS Summary by Year'!$B$4),'Pre- and Production'!AM$4:AM$376)</f>
        <v>0</v>
      </c>
      <c r="F40" s="297">
        <f>SUMIF('Pre- and Production'!$T$4:$T$376, CONCATENATE(LEFT('WBS Summary by Year'!F$6,1),'WBS Summary by Year'!$C40,'WBS Summary by Year'!$B$4),'Pre- and Production'!AD$4:AD$376)</f>
        <v>0</v>
      </c>
      <c r="G40" s="298">
        <f>SUMIF('Pre- and Production'!$T$4:$T$376, CONCATENATE(LEFT('WBS Summary by Year'!G$6,1),'WBS Summary by Year'!$C40,'WBS Summary by Year'!$B$4),'Pre- and Production'!AN$4:AN$376)</f>
        <v>0</v>
      </c>
      <c r="H40" s="308">
        <f>SUMIF('Pre- and Production'!$T$4:$T$376, CONCATENATE(LEFT('WBS Summary by Year'!H$6,1),'WBS Summary by Year'!$C40,'WBS Summary by Year'!$B$4),'Pre- and Production'!AE$4:AE$376)</f>
        <v>0</v>
      </c>
      <c r="I40" s="304">
        <f>SUMIF('Pre- and Production'!$T$4:$T$376, CONCATENATE(LEFT('WBS Summary by Year'!I$6,1),'WBS Summary by Year'!$C40,'WBS Summary by Year'!$B$4),'Pre- and Production'!AO$4:AO$376)</f>
        <v>0</v>
      </c>
      <c r="J40" s="297">
        <f>SUMIF('Pre- and Production'!$T$4:$T$376, CONCATENATE(LEFT('WBS Summary by Year'!J$6,1),'WBS Summary by Year'!$C40,'WBS Summary by Year'!$B$4),'Pre- and Production'!AF$4:AFI$376)</f>
        <v>0</v>
      </c>
      <c r="K40" s="298">
        <f>SUMIF('Pre- and Production'!$T$4:$T$376, CONCATENATE(LEFT('WBS Summary by Year'!K$6,1),'WBS Summary by Year'!$C40,'WBS Summary by Year'!$B$4),'Pre- and Production'!AP$4:AP$376)</f>
        <v>0</v>
      </c>
      <c r="L40" s="308">
        <f>SUMIF('Pre- and Production'!$T$4:$T$376, CONCATENATE(LEFT('WBS Summary by Year'!L$6,1),'WBS Summary by Year'!$C40,'WBS Summary by Year'!$B$4),'Pre- and Production'!AG$4:AG$376)</f>
        <v>0</v>
      </c>
      <c r="M40" s="304">
        <f>SUMIF('Pre- and Production'!$T$4:$T$376, CONCATENATE(LEFT('WBS Summary by Year'!M$6,1),'WBS Summary by Year'!$C40,'WBS Summary by Year'!$B$4),'Pre- and Production'!AQ$4:AQ$376)</f>
        <v>0</v>
      </c>
      <c r="N40" s="317">
        <f>SUMIF('Pre- and Production'!$T$4:$T$376, CONCATENATE(LEFT('WBS Summary by Year'!N$6,1),'WBS Summary by Year'!$C40,'WBS Summary by Year'!$B$4),'Pre- and Production'!AH$4:AH$376)</f>
        <v>0</v>
      </c>
      <c r="O40" s="318">
        <f>SUMIF('Pre- and Production'!$T$4:$T$376, CONCATENATE(LEFT('WBS Summary by Year'!O$6,1),'WBS Summary by Year'!$C40,'WBS Summary by Year'!$B$4),'Pre- and Production'!AR$4:AR$376)</f>
        <v>0</v>
      </c>
    </row>
    <row r="41" spans="2:31" ht="13.5" thickTop="1"/>
    <row r="42" spans="2:31">
      <c r="D42">
        <f>SUM(D7:D40)</f>
        <v>0</v>
      </c>
      <c r="E42">
        <f t="shared" ref="E42:O42" si="0">SUM(E7:E40)</f>
        <v>0</v>
      </c>
      <c r="F42">
        <f t="shared" si="0"/>
        <v>0</v>
      </c>
      <c r="G42">
        <f t="shared" si="0"/>
        <v>0</v>
      </c>
      <c r="H42">
        <f t="shared" si="0"/>
        <v>0</v>
      </c>
      <c r="I42">
        <f t="shared" si="0"/>
        <v>0</v>
      </c>
      <c r="J42">
        <f t="shared" si="0"/>
        <v>0</v>
      </c>
      <c r="K42">
        <f t="shared" si="0"/>
        <v>0</v>
      </c>
      <c r="L42">
        <f t="shared" si="0"/>
        <v>0</v>
      </c>
      <c r="M42">
        <f t="shared" si="0"/>
        <v>0</v>
      </c>
      <c r="N42" s="310">
        <f t="shared" si="0"/>
        <v>0</v>
      </c>
      <c r="O42" s="310">
        <f t="shared" si="0"/>
        <v>0</v>
      </c>
    </row>
    <row r="43" spans="2:31">
      <c r="C43" s="352" t="s">
        <v>401</v>
      </c>
      <c r="D43" s="346">
        <f>D42/1720</f>
        <v>0</v>
      </c>
      <c r="E43" s="346">
        <f t="shared" ref="E43:I43" si="1">E42/1720</f>
        <v>0</v>
      </c>
      <c r="F43" s="346">
        <f t="shared" si="1"/>
        <v>0</v>
      </c>
      <c r="G43" s="346">
        <f t="shared" si="1"/>
        <v>0</v>
      </c>
      <c r="H43" s="346">
        <f t="shared" si="1"/>
        <v>0</v>
      </c>
      <c r="I43" s="346">
        <f t="shared" si="1"/>
        <v>0</v>
      </c>
      <c r="J43" s="346">
        <f>J42/1720</f>
        <v>0</v>
      </c>
      <c r="K43" s="346">
        <f t="shared" ref="K43:M43" si="2">K42/1720</f>
        <v>0</v>
      </c>
      <c r="L43" s="346">
        <f t="shared" si="2"/>
        <v>0</v>
      </c>
      <c r="M43" s="346">
        <f t="shared" si="2"/>
        <v>0</v>
      </c>
    </row>
    <row r="44" spans="2:31">
      <c r="C44" s="352" t="s">
        <v>402</v>
      </c>
      <c r="D44" s="348">
        <f>D42*Shop</f>
        <v>0</v>
      </c>
      <c r="E44" s="348">
        <f>E42*Shop</f>
        <v>0</v>
      </c>
      <c r="F44" s="348">
        <f>F42*M_Tech</f>
        <v>0</v>
      </c>
      <c r="G44" s="348">
        <f>G42*M_Tech</f>
        <v>0</v>
      </c>
      <c r="H44" s="348">
        <f>H43*CMM</f>
        <v>0</v>
      </c>
      <c r="I44" s="348">
        <f>I42*CMM</f>
        <v>0</v>
      </c>
      <c r="J44" s="348">
        <f>J42*ENG</f>
        <v>0</v>
      </c>
      <c r="K44" s="348">
        <f>K42*ENG</f>
        <v>0</v>
      </c>
      <c r="L44" s="348">
        <f>L42*DES</f>
        <v>0</v>
      </c>
      <c r="M44" s="348">
        <f>M42*DES</f>
        <v>0</v>
      </c>
    </row>
    <row r="45" spans="2:31" ht="18.75" thickBot="1">
      <c r="B45" s="309">
        <v>2010</v>
      </c>
    </row>
    <row r="46" spans="2:31" ht="13.5" thickTop="1">
      <c r="D46" s="396" t="s">
        <v>41</v>
      </c>
      <c r="E46" s="397"/>
      <c r="F46" s="396" t="s">
        <v>380</v>
      </c>
      <c r="G46" s="398"/>
      <c r="H46" s="399" t="s">
        <v>37</v>
      </c>
      <c r="I46" s="397"/>
      <c r="J46" s="396" t="s">
        <v>381</v>
      </c>
      <c r="K46" s="398"/>
      <c r="L46" s="399" t="s">
        <v>31</v>
      </c>
      <c r="M46" s="397"/>
      <c r="N46" s="394" t="s">
        <v>382</v>
      </c>
      <c r="O46" s="395"/>
      <c r="T46" s="400"/>
      <c r="U46" s="400"/>
      <c r="V46" s="400"/>
      <c r="W46" s="400"/>
      <c r="X46" s="400"/>
      <c r="Y46" s="400"/>
      <c r="Z46" s="400"/>
      <c r="AA46" s="400"/>
      <c r="AB46" s="400"/>
      <c r="AC46" s="400"/>
      <c r="AD46" s="400"/>
      <c r="AE46" s="400"/>
    </row>
    <row r="47" spans="2:31" ht="13.5" thickBot="1">
      <c r="D47" s="299" t="s">
        <v>70</v>
      </c>
      <c r="E47" s="301" t="s">
        <v>383</v>
      </c>
      <c r="F47" s="299" t="s">
        <v>70</v>
      </c>
      <c r="G47" s="300" t="s">
        <v>383</v>
      </c>
      <c r="H47" s="305" t="s">
        <v>70</v>
      </c>
      <c r="I47" s="301" t="s">
        <v>383</v>
      </c>
      <c r="J47" s="299" t="s">
        <v>70</v>
      </c>
      <c r="K47" s="300" t="s">
        <v>383</v>
      </c>
      <c r="L47" s="305" t="s">
        <v>70</v>
      </c>
      <c r="M47" s="301" t="s">
        <v>383</v>
      </c>
      <c r="N47" s="311" t="s">
        <v>70</v>
      </c>
      <c r="O47" s="312" t="s">
        <v>383</v>
      </c>
    </row>
    <row r="48" spans="2:31" ht="13.5" thickTop="1">
      <c r="C48" s="20" t="s">
        <v>180</v>
      </c>
      <c r="D48" s="294">
        <f>SUMIF('Pre- and Production'!$T$4:$T$376, CONCATENATE(LEFT('WBS Summary by Year'!D$6,1),'WBS Summary by Year'!$C48,'WBS Summary by Year'!$B$45),'Pre- and Production'!AC$4:AC$376)</f>
        <v>0</v>
      </c>
      <c r="E48" s="302">
        <f>SUMIF('Pre- and Production'!$T$4:$T$376, CONCATENATE(LEFT('WBS Summary by Year'!E$6,1),'WBS Summary by Year'!$C48,'WBS Summary by Year'!$B$45),'Pre- and Production'!AM$4:AM$376)</f>
        <v>0</v>
      </c>
      <c r="F48" s="294">
        <f>SUMIF('Pre- and Production'!$T$4:$T$376, CONCATENATE(LEFT('WBS Summary by Year'!F$6,1),'WBS Summary by Year'!$C48,'WBS Summary by Year'!$B$45),'Pre- and Production'!AD$4:AD$376)</f>
        <v>3</v>
      </c>
      <c r="G48" s="295">
        <f>SUMIF('Pre- and Production'!$T$4:$T$376, CONCATENATE(LEFT('WBS Summary by Year'!G$6,1),'WBS Summary by Year'!$C48,'WBS Summary by Year'!$B$45),'Pre- and Production'!AN$4:AN$376)</f>
        <v>0</v>
      </c>
      <c r="H48" s="306">
        <f>SUMIF('Pre- and Production'!$T$4:$T$376, CONCATENATE(LEFT('WBS Summary by Year'!H$6,1),'WBS Summary by Year'!$C48,'WBS Summary by Year'!$B$45),'Pre- and Production'!AE$4:AE$376)</f>
        <v>0</v>
      </c>
      <c r="I48" s="302">
        <f>SUMIF('Pre- and Production'!$T$4:$T$376, CONCATENATE(LEFT('WBS Summary by Year'!I$6,1),'WBS Summary by Year'!$C48,'WBS Summary by Year'!$B$45),'Pre- and Production'!AO$4:AO$376)</f>
        <v>0</v>
      </c>
      <c r="J48" s="294">
        <f>SUMIF('Pre- and Production'!$T$4:$T$376, CONCATENATE(LEFT('WBS Summary by Year'!J$6,1),'WBS Summary by Year'!$C48,'WBS Summary by Year'!$B$45),'Pre- and Production'!AF$4:AFI$376)</f>
        <v>0</v>
      </c>
      <c r="K48" s="295">
        <f>SUMIF('Pre- and Production'!$T$4:$T$376, CONCATENATE(LEFT('WBS Summary by Year'!K$6,1),'WBS Summary by Year'!$C48,'WBS Summary by Year'!$B$45),'Pre- and Production'!AP$4:AP$376)</f>
        <v>0</v>
      </c>
      <c r="L48" s="306">
        <f>SUMIF('Pre- and Production'!$T$4:$T$376, CONCATENATE(LEFT('WBS Summary by Year'!L$6,1),'WBS Summary by Year'!$C48,'WBS Summary by Year'!$B$45),'Pre- and Production'!AG$4:AG$376)</f>
        <v>0</v>
      </c>
      <c r="M48" s="302">
        <f>SUMIF('Pre- and Production'!$T$4:$T$376, CONCATENATE(LEFT('WBS Summary by Year'!M$6,1),'WBS Summary by Year'!$C48,'WBS Summary by Year'!$B$45),'Pre- and Production'!AQ$4:AQ$376)</f>
        <v>0</v>
      </c>
      <c r="N48" s="313">
        <f>SUMIF('Pre- and Production'!$T$4:$T$376, CONCATENATE(LEFT('WBS Summary by Year'!N$6,1),'WBS Summary by Year'!$C48,'WBS Summary by Year'!$B$45),'Pre- and Production'!AH$4:AH$376)</f>
        <v>1500</v>
      </c>
      <c r="O48" s="314">
        <f>SUMIF('Pre- and Production'!$T$4:$T$376, CONCATENATE(LEFT('WBS Summary by Year'!O$6,1),'WBS Summary by Year'!$C48,'WBS Summary by Year'!$B$45),'Pre- and Production'!AR$4:AR$376)</f>
        <v>0</v>
      </c>
    </row>
    <row r="49" spans="3:15" s="352" customFormat="1">
      <c r="C49" s="134" t="s">
        <v>182</v>
      </c>
      <c r="D49" s="26">
        <f>SUMIF('Pre- and Production'!$T$4:$T$376, CONCATENATE(LEFT('WBS Summary by Year'!D$6,1),'WBS Summary by Year'!$C49,'WBS Summary by Year'!$B$45),'Pre- and Production'!AC$4:AC$376)</f>
        <v>0</v>
      </c>
      <c r="E49" s="303">
        <f>SUMIF('Pre- and Production'!$T$4:$T$376, CONCATENATE(LEFT('WBS Summary by Year'!E$6,1),'WBS Summary by Year'!$C49,'WBS Summary by Year'!$B$45),'Pre- and Production'!AM$4:AM$376)</f>
        <v>0</v>
      </c>
      <c r="F49" s="26">
        <f>SUMIF('Pre- and Production'!$T$4:$T$376, CONCATENATE(LEFT('WBS Summary by Year'!F$6,1),'WBS Summary by Year'!$C49,'WBS Summary by Year'!$B$45),'Pre- and Production'!AD$4:AD$376)</f>
        <v>0</v>
      </c>
      <c r="G49" s="296">
        <f>SUMIF('Pre- and Production'!$T$4:$T$376, CONCATENATE(LEFT('WBS Summary by Year'!G$6,1),'WBS Summary by Year'!$C49,'WBS Summary by Year'!$B$45),'Pre- and Production'!AN$4:AN$376)</f>
        <v>0</v>
      </c>
      <c r="H49" s="307">
        <f>SUMIF('Pre- and Production'!$T$4:$T$376, CONCATENATE(LEFT('WBS Summary by Year'!H$6,1),'WBS Summary by Year'!$C49,'WBS Summary by Year'!$B$45),'Pre- and Production'!AE$4:AE$376)</f>
        <v>0</v>
      </c>
      <c r="I49" s="303">
        <f>SUMIF('Pre- and Production'!$T$4:$T$376, CONCATENATE(LEFT('WBS Summary by Year'!I$6,1),'WBS Summary by Year'!$C49,'WBS Summary by Year'!$B$45),'Pre- and Production'!AO$4:AO$376)</f>
        <v>0</v>
      </c>
      <c r="J49" s="26">
        <f>SUMIF('Pre- and Production'!$T$4:$T$376, CONCATENATE(LEFT('WBS Summary by Year'!J$6,1),'WBS Summary by Year'!$C49,'WBS Summary by Year'!$B$45),'Pre- and Production'!AF$4:AFI$376)</f>
        <v>0</v>
      </c>
      <c r="K49" s="296">
        <f>SUMIF('Pre- and Production'!$T$4:$T$376, CONCATENATE(LEFT('WBS Summary by Year'!K$6,1),'WBS Summary by Year'!$C49,'WBS Summary by Year'!$B$45),'Pre- and Production'!AP$4:AP$376)</f>
        <v>0</v>
      </c>
      <c r="L49" s="307">
        <f>SUMIF('Pre- and Production'!$T$4:$T$376, CONCATENATE(LEFT('WBS Summary by Year'!L$6,1),'WBS Summary by Year'!$C49,'WBS Summary by Year'!$B$45),'Pre- and Production'!AG$4:AG$376)</f>
        <v>0</v>
      </c>
      <c r="M49" s="303">
        <f>SUMIF('Pre- and Production'!$T$4:$T$376, CONCATENATE(LEFT('WBS Summary by Year'!M$6,1),'WBS Summary by Year'!$C49,'WBS Summary by Year'!$B$45),'Pre- and Production'!AQ$4:AQ$376)</f>
        <v>0</v>
      </c>
      <c r="N49" s="315">
        <f>SUMIF('Pre- and Production'!$T$4:$T$376, CONCATENATE(LEFT('WBS Summary by Year'!N$6,1),'WBS Summary by Year'!$C49,'WBS Summary by Year'!$B$45),'Pre- and Production'!AH$4:AH$376)</f>
        <v>0</v>
      </c>
      <c r="O49" s="316">
        <f>SUMIF('Pre- and Production'!$T$4:$T$376, CONCATENATE(LEFT('WBS Summary by Year'!O$6,1),'WBS Summary by Year'!$C49,'WBS Summary by Year'!$B$45),'Pre- and Production'!AR$4:AR$376)</f>
        <v>0</v>
      </c>
    </row>
    <row r="50" spans="3:15" s="352" customFormat="1">
      <c r="C50" s="46" t="s">
        <v>184</v>
      </c>
      <c r="D50" s="26">
        <f>SUMIF('Pre- and Production'!$T$4:$T$376, CONCATENATE(LEFT('WBS Summary by Year'!D$6,1),'WBS Summary by Year'!$C50,'WBS Summary by Year'!$B$45),'Pre- and Production'!AC$4:AC$376)</f>
        <v>0</v>
      </c>
      <c r="E50" s="303">
        <f>SUMIF('Pre- and Production'!$T$4:$T$376, CONCATENATE(LEFT('WBS Summary by Year'!E$6,1),'WBS Summary by Year'!$C50,'WBS Summary by Year'!$B$45),'Pre- and Production'!AM$4:AM$376)</f>
        <v>0</v>
      </c>
      <c r="F50" s="26">
        <f>SUMIF('Pre- and Production'!$T$4:$T$376, CONCATENATE(LEFT('WBS Summary by Year'!F$6,1),'WBS Summary by Year'!$C50,'WBS Summary by Year'!$B$45),'Pre- and Production'!AD$4:AD$376)</f>
        <v>0</v>
      </c>
      <c r="G50" s="296">
        <f>SUMIF('Pre- and Production'!$T$4:$T$376, CONCATENATE(LEFT('WBS Summary by Year'!G$6,1),'WBS Summary by Year'!$C50,'WBS Summary by Year'!$B$45),'Pre- and Production'!AN$4:AN$376)</f>
        <v>0</v>
      </c>
      <c r="H50" s="307">
        <f>SUMIF('Pre- and Production'!$T$4:$T$376, CONCATENATE(LEFT('WBS Summary by Year'!H$6,1),'WBS Summary by Year'!$C50,'WBS Summary by Year'!$B$45),'Pre- and Production'!AE$4:AE$376)</f>
        <v>0</v>
      </c>
      <c r="I50" s="303">
        <f>SUMIF('Pre- and Production'!$T$4:$T$376, CONCATENATE(LEFT('WBS Summary by Year'!I$6,1),'WBS Summary by Year'!$C50,'WBS Summary by Year'!$B$45),'Pre- and Production'!AO$4:AO$376)</f>
        <v>0</v>
      </c>
      <c r="J50" s="26">
        <f>SUMIF('Pre- and Production'!$T$4:$T$376, CONCATENATE(LEFT('WBS Summary by Year'!J$6,1),'WBS Summary by Year'!$C50,'WBS Summary by Year'!$B$45),'Pre- and Production'!AF$4:AFI$376)</f>
        <v>40</v>
      </c>
      <c r="K50" s="296">
        <f>SUMIF('Pre- and Production'!$T$4:$T$376, CONCATENATE(LEFT('WBS Summary by Year'!K$6,1),'WBS Summary by Year'!$C50,'WBS Summary by Year'!$B$45),'Pre- and Production'!AP$4:AP$376)</f>
        <v>0</v>
      </c>
      <c r="L50" s="307">
        <f>SUMIF('Pre- and Production'!$T$4:$T$376, CONCATENATE(LEFT('WBS Summary by Year'!L$6,1),'WBS Summary by Year'!$C50,'WBS Summary by Year'!$B$45),'Pre- and Production'!AG$4:AG$376)</f>
        <v>0</v>
      </c>
      <c r="M50" s="303">
        <f>SUMIF('Pre- and Production'!$T$4:$T$376, CONCATENATE(LEFT('WBS Summary by Year'!M$6,1),'WBS Summary by Year'!$C50,'WBS Summary by Year'!$B$45),'Pre- and Production'!AQ$4:AQ$376)</f>
        <v>0</v>
      </c>
      <c r="N50" s="315">
        <f>SUMIF('Pre- and Production'!$T$4:$T$376, CONCATENATE(LEFT('WBS Summary by Year'!N$6,1),'WBS Summary by Year'!$C50,'WBS Summary by Year'!$B$45),'Pre- and Production'!AH$4:AH$376)</f>
        <v>0</v>
      </c>
      <c r="O50" s="316">
        <f>SUMIF('Pre- and Production'!$T$4:$T$376, CONCATENATE(LEFT('WBS Summary by Year'!O$6,1),'WBS Summary by Year'!$C50,'WBS Summary by Year'!$B$45),'Pre- and Production'!AR$4:AR$376)</f>
        <v>0</v>
      </c>
    </row>
    <row r="51" spans="3:15" s="352" customFormat="1">
      <c r="C51" s="46" t="s">
        <v>186</v>
      </c>
      <c r="D51" s="26">
        <f>SUMIF('Pre- and Production'!$T$4:$T$376, CONCATENATE(LEFT('WBS Summary by Year'!D$6,1),'WBS Summary by Year'!$C51,'WBS Summary by Year'!$B$45),'Pre- and Production'!AC$4:AC$376)</f>
        <v>0</v>
      </c>
      <c r="E51" s="303">
        <f>SUMIF('Pre- and Production'!$T$4:$T$376, CONCATENATE(LEFT('WBS Summary by Year'!E$6,1),'WBS Summary by Year'!$C51,'WBS Summary by Year'!$B$45),'Pre- and Production'!AM$4:AM$376)</f>
        <v>0</v>
      </c>
      <c r="F51" s="26">
        <f>SUMIF('Pre- and Production'!$T$4:$T$376, CONCATENATE(LEFT('WBS Summary by Year'!F$6,1),'WBS Summary by Year'!$C51,'WBS Summary by Year'!$B$45),'Pre- and Production'!AD$4:AD$376)</f>
        <v>0</v>
      </c>
      <c r="G51" s="296">
        <f>SUMIF('Pre- and Production'!$T$4:$T$376, CONCATENATE(LEFT('WBS Summary by Year'!G$6,1),'WBS Summary by Year'!$C51,'WBS Summary by Year'!$B$45),'Pre- and Production'!AN$4:AN$376)</f>
        <v>0</v>
      </c>
      <c r="H51" s="307">
        <f>SUMIF('Pre- and Production'!$T$4:$T$376, CONCATENATE(LEFT('WBS Summary by Year'!H$6,1),'WBS Summary by Year'!$C51,'WBS Summary by Year'!$B$45),'Pre- and Production'!AE$4:AE$376)</f>
        <v>0</v>
      </c>
      <c r="I51" s="303">
        <f>SUMIF('Pre- and Production'!$T$4:$T$376, CONCATENATE(LEFT('WBS Summary by Year'!I$6,1),'WBS Summary by Year'!$C51,'WBS Summary by Year'!$B$45),'Pre- and Production'!AO$4:AO$376)</f>
        <v>0</v>
      </c>
      <c r="J51" s="26">
        <f>SUMIF('Pre- and Production'!$T$4:$T$376, CONCATENATE(LEFT('WBS Summary by Year'!J$6,1),'WBS Summary by Year'!$C51,'WBS Summary by Year'!$B$45),'Pre- and Production'!AF$4:AFI$376)</f>
        <v>0</v>
      </c>
      <c r="K51" s="296">
        <f>SUMIF('Pre- and Production'!$T$4:$T$376, CONCATENATE(LEFT('WBS Summary by Year'!K$6,1),'WBS Summary by Year'!$C51,'WBS Summary by Year'!$B$45),'Pre- and Production'!AP$4:AP$376)</f>
        <v>0</v>
      </c>
      <c r="L51" s="307">
        <f>SUMIF('Pre- and Production'!$T$4:$T$376, CONCATENATE(LEFT('WBS Summary by Year'!L$6,1),'WBS Summary by Year'!$C51,'WBS Summary by Year'!$B$45),'Pre- and Production'!AG$4:AG$376)</f>
        <v>0</v>
      </c>
      <c r="M51" s="303">
        <f>SUMIF('Pre- and Production'!$T$4:$T$376, CONCATENATE(LEFT('WBS Summary by Year'!M$6,1),'WBS Summary by Year'!$C51,'WBS Summary by Year'!$B$45),'Pre- and Production'!AQ$4:AQ$376)</f>
        <v>0</v>
      </c>
      <c r="N51" s="315">
        <f>SUMIF('Pre- and Production'!$T$4:$T$376, CONCATENATE(LEFT('WBS Summary by Year'!N$6,1),'WBS Summary by Year'!$C51,'WBS Summary by Year'!$B$45),'Pre- and Production'!AH$4:AH$376)</f>
        <v>0</v>
      </c>
      <c r="O51" s="316">
        <f>SUMIF('Pre- and Production'!$T$4:$T$376, CONCATENATE(LEFT('WBS Summary by Year'!O$6,1),'WBS Summary by Year'!$C51,'WBS Summary by Year'!$B$45),'Pre- and Production'!AR$4:AR$376)</f>
        <v>0</v>
      </c>
    </row>
    <row r="52" spans="3:15" s="352" customFormat="1">
      <c r="C52" s="134" t="s">
        <v>189</v>
      </c>
      <c r="D52" s="26">
        <f>SUMIF('Pre- and Production'!$T$4:$T$376, CONCATENATE(LEFT('WBS Summary by Year'!D$6,1),'WBS Summary by Year'!$C52,'WBS Summary by Year'!$B$45),'Pre- and Production'!AC$4:AC$376)</f>
        <v>0</v>
      </c>
      <c r="E52" s="303">
        <f>SUMIF('Pre- and Production'!$T$4:$T$376, CONCATENATE(LEFT('WBS Summary by Year'!E$6,1),'WBS Summary by Year'!$C52,'WBS Summary by Year'!$B$45),'Pre- and Production'!AM$4:AM$376)</f>
        <v>0</v>
      </c>
      <c r="F52" s="26">
        <f>SUMIF('Pre- and Production'!$T$4:$T$376, CONCATENATE(LEFT('WBS Summary by Year'!F$6,1),'WBS Summary by Year'!$C52,'WBS Summary by Year'!$B$45),'Pre- and Production'!AD$4:AD$376)</f>
        <v>0</v>
      </c>
      <c r="G52" s="296">
        <f>SUMIF('Pre- and Production'!$T$4:$T$376, CONCATENATE(LEFT('WBS Summary by Year'!G$6,1),'WBS Summary by Year'!$C52,'WBS Summary by Year'!$B$45),'Pre- and Production'!AN$4:AN$376)</f>
        <v>0</v>
      </c>
      <c r="H52" s="307">
        <f>SUMIF('Pre- and Production'!$T$4:$T$376, CONCATENATE(LEFT('WBS Summary by Year'!H$6,1),'WBS Summary by Year'!$C52,'WBS Summary by Year'!$B$45),'Pre- and Production'!AE$4:AE$376)</f>
        <v>0</v>
      </c>
      <c r="I52" s="303">
        <f>SUMIF('Pre- and Production'!$T$4:$T$376, CONCATENATE(LEFT('WBS Summary by Year'!I$6,1),'WBS Summary by Year'!$C52,'WBS Summary by Year'!$B$45),'Pre- and Production'!AO$4:AO$376)</f>
        <v>0</v>
      </c>
      <c r="J52" s="26">
        <f>SUMIF('Pre- and Production'!$T$4:$T$376, CONCATENATE(LEFT('WBS Summary by Year'!J$6,1),'WBS Summary by Year'!$C52,'WBS Summary by Year'!$B$45),'Pre- and Production'!AF$4:AFI$376)</f>
        <v>0</v>
      </c>
      <c r="K52" s="296">
        <f>SUMIF('Pre- and Production'!$T$4:$T$376, CONCATENATE(LEFT('WBS Summary by Year'!K$6,1),'WBS Summary by Year'!$C52,'WBS Summary by Year'!$B$45),'Pre- and Production'!AP$4:AP$376)</f>
        <v>0</v>
      </c>
      <c r="L52" s="307">
        <f>SUMIF('Pre- and Production'!$T$4:$T$376, CONCATENATE(LEFT('WBS Summary by Year'!L$6,1),'WBS Summary by Year'!$C52,'WBS Summary by Year'!$B$45),'Pre- and Production'!AG$4:AG$376)</f>
        <v>0</v>
      </c>
      <c r="M52" s="303">
        <f>SUMIF('Pre- and Production'!$T$4:$T$376, CONCATENATE(LEFT('WBS Summary by Year'!M$6,1),'WBS Summary by Year'!$C52,'WBS Summary by Year'!$B$45),'Pre- and Production'!AQ$4:AQ$376)</f>
        <v>0</v>
      </c>
      <c r="N52" s="315">
        <f>SUMIF('Pre- and Production'!$T$4:$T$376, CONCATENATE(LEFT('WBS Summary by Year'!N$6,1),'WBS Summary by Year'!$C52,'WBS Summary by Year'!$B$45),'Pre- and Production'!AH$4:AH$376)</f>
        <v>0</v>
      </c>
      <c r="O52" s="316">
        <f>SUMIF('Pre- and Production'!$T$4:$T$376, CONCATENATE(LEFT('WBS Summary by Year'!O$6,1),'WBS Summary by Year'!$C52,'WBS Summary by Year'!$B$45),'Pre- and Production'!AR$4:AR$376)</f>
        <v>0</v>
      </c>
    </row>
    <row r="53" spans="3:15" s="352" customFormat="1">
      <c r="C53" s="46" t="s">
        <v>191</v>
      </c>
      <c r="D53" s="26">
        <f>SUMIF('Pre- and Production'!$T$4:$T$376, CONCATENATE(LEFT('WBS Summary by Year'!D$6,1),'WBS Summary by Year'!$C53,'WBS Summary by Year'!$B$45),'Pre- and Production'!AC$4:AC$376)</f>
        <v>126</v>
      </c>
      <c r="E53" s="303">
        <f>SUMIF('Pre- and Production'!$T$4:$T$376, CONCATENATE(LEFT('WBS Summary by Year'!E$6,1),'WBS Summary by Year'!$C53,'WBS Summary by Year'!$B$45),'Pre- and Production'!AM$4:AM$376)</f>
        <v>0</v>
      </c>
      <c r="F53" s="26">
        <f>SUMIF('Pre- and Production'!$T$4:$T$376, CONCATENATE(LEFT('WBS Summary by Year'!F$6,1),'WBS Summary by Year'!$C53,'WBS Summary by Year'!$B$45),'Pre- and Production'!AD$4:AD$376)</f>
        <v>270</v>
      </c>
      <c r="G53" s="296">
        <f>SUMIF('Pre- and Production'!$T$4:$T$376, CONCATENATE(LEFT('WBS Summary by Year'!G$6,1),'WBS Summary by Year'!$C53,'WBS Summary by Year'!$B$45),'Pre- and Production'!AN$4:AN$376)</f>
        <v>32</v>
      </c>
      <c r="H53" s="307">
        <f>SUMIF('Pre- and Production'!$T$4:$T$376, CONCATENATE(LEFT('WBS Summary by Year'!H$6,1),'WBS Summary by Year'!$C53,'WBS Summary by Year'!$B$45),'Pre- and Production'!AE$4:AE$376)</f>
        <v>4</v>
      </c>
      <c r="I53" s="303">
        <f>SUMIF('Pre- and Production'!$T$4:$T$376, CONCATENATE(LEFT('WBS Summary by Year'!I$6,1),'WBS Summary by Year'!$C53,'WBS Summary by Year'!$B$45),'Pre- and Production'!AO$4:AO$376)</f>
        <v>0</v>
      </c>
      <c r="J53" s="26">
        <f>SUMIF('Pre- and Production'!$T$4:$T$376, CONCATENATE(LEFT('WBS Summary by Year'!J$6,1),'WBS Summary by Year'!$C53,'WBS Summary by Year'!$B$45),'Pre- and Production'!AF$4:AFI$376)</f>
        <v>357</v>
      </c>
      <c r="K53" s="296">
        <f>SUMIF('Pre- and Production'!$T$4:$T$376, CONCATENATE(LEFT('WBS Summary by Year'!K$6,1),'WBS Summary by Year'!$C53,'WBS Summary by Year'!$B$45),'Pre- and Production'!AP$4:AP$376)</f>
        <v>0</v>
      </c>
      <c r="L53" s="307">
        <f>SUMIF('Pre- and Production'!$T$4:$T$376, CONCATENATE(LEFT('WBS Summary by Year'!L$6,1),'WBS Summary by Year'!$C53,'WBS Summary by Year'!$B$45),'Pre- and Production'!AG$4:AG$376)</f>
        <v>0</v>
      </c>
      <c r="M53" s="303">
        <f>SUMIF('Pre- and Production'!$T$4:$T$376, CONCATENATE(LEFT('WBS Summary by Year'!M$6,1),'WBS Summary by Year'!$C53,'WBS Summary by Year'!$B$45),'Pre- and Production'!AQ$4:AQ$376)</f>
        <v>0</v>
      </c>
      <c r="N53" s="315">
        <f>SUMIF('Pre- and Production'!$T$4:$T$376, CONCATENATE(LEFT('WBS Summary by Year'!N$6,1),'WBS Summary by Year'!$C53,'WBS Summary by Year'!$B$45),'Pre- and Production'!AH$4:AH$376)</f>
        <v>14872.5</v>
      </c>
      <c r="O53" s="316">
        <f>SUMIF('Pre- and Production'!$T$4:$T$376, CONCATENATE(LEFT('WBS Summary by Year'!O$6,1),'WBS Summary by Year'!$C53,'WBS Summary by Year'!$B$45),'Pre- and Production'!AR$4:AR$376)</f>
        <v>105</v>
      </c>
    </row>
    <row r="54" spans="3:15" s="352" customFormat="1">
      <c r="C54" s="46" t="s">
        <v>193</v>
      </c>
      <c r="D54" s="26">
        <f>SUMIF('Pre- and Production'!$T$4:$T$376, CONCATENATE(LEFT('WBS Summary by Year'!D$6,1),'WBS Summary by Year'!$C54,'WBS Summary by Year'!$B$45),'Pre- and Production'!AC$4:AC$376)</f>
        <v>36</v>
      </c>
      <c r="E54" s="303">
        <f>SUMIF('Pre- and Production'!$T$4:$T$376, CONCATENATE(LEFT('WBS Summary by Year'!E$6,1),'WBS Summary by Year'!$C54,'WBS Summary by Year'!$B$45),'Pre- and Production'!AM$4:AM$376)</f>
        <v>48</v>
      </c>
      <c r="F54" s="26">
        <f>SUMIF('Pre- and Production'!$T$4:$T$376, CONCATENATE(LEFT('WBS Summary by Year'!F$6,1),'WBS Summary by Year'!$C54,'WBS Summary by Year'!$B$45),'Pre- and Production'!AD$4:AD$376)</f>
        <v>0</v>
      </c>
      <c r="G54" s="296">
        <f>SUMIF('Pre- and Production'!$T$4:$T$376, CONCATENATE(LEFT('WBS Summary by Year'!G$6,1),'WBS Summary by Year'!$C54,'WBS Summary by Year'!$B$45),'Pre- and Production'!AN$4:AN$376)</f>
        <v>0</v>
      </c>
      <c r="H54" s="307">
        <f>SUMIF('Pre- and Production'!$T$4:$T$376, CONCATENATE(LEFT('WBS Summary by Year'!H$6,1),'WBS Summary by Year'!$C54,'WBS Summary by Year'!$B$45),'Pre- and Production'!AE$4:AE$376)</f>
        <v>0</v>
      </c>
      <c r="I54" s="303">
        <f>SUMIF('Pre- and Production'!$T$4:$T$376, CONCATENATE(LEFT('WBS Summary by Year'!I$6,1),'WBS Summary by Year'!$C54,'WBS Summary by Year'!$B$45),'Pre- and Production'!AO$4:AO$376)</f>
        <v>0</v>
      </c>
      <c r="J54" s="26">
        <f>SUMIF('Pre- and Production'!$T$4:$T$376, CONCATENATE(LEFT('WBS Summary by Year'!J$6,1),'WBS Summary by Year'!$C54,'WBS Summary by Year'!$B$45),'Pre- and Production'!AF$4:AFI$376)</f>
        <v>224</v>
      </c>
      <c r="K54" s="296">
        <f>SUMIF('Pre- and Production'!$T$4:$T$376, CONCATENATE(LEFT('WBS Summary by Year'!K$6,1),'WBS Summary by Year'!$C54,'WBS Summary by Year'!$B$45),'Pre- and Production'!AP$4:AP$376)</f>
        <v>12</v>
      </c>
      <c r="L54" s="307">
        <f>SUMIF('Pre- and Production'!$T$4:$T$376, CONCATENATE(LEFT('WBS Summary by Year'!L$6,1),'WBS Summary by Year'!$C54,'WBS Summary by Year'!$B$45),'Pre- and Production'!AG$4:AG$376)</f>
        <v>0</v>
      </c>
      <c r="M54" s="303">
        <f>SUMIF('Pre- and Production'!$T$4:$T$376, CONCATENATE(LEFT('WBS Summary by Year'!M$6,1),'WBS Summary by Year'!$C54,'WBS Summary by Year'!$B$45),'Pre- and Production'!AQ$4:AQ$376)</f>
        <v>0</v>
      </c>
      <c r="N54" s="315">
        <f>SUMIF('Pre- and Production'!$T$4:$T$376, CONCATENATE(LEFT('WBS Summary by Year'!N$6,1),'WBS Summary by Year'!$C54,'WBS Summary by Year'!$B$45),'Pre- and Production'!AH$4:AH$376)</f>
        <v>144</v>
      </c>
      <c r="O54" s="316">
        <f>SUMIF('Pre- and Production'!$T$4:$T$376, CONCATENATE(LEFT('WBS Summary by Year'!O$6,1),'WBS Summary by Year'!$C54,'WBS Summary by Year'!$B$45),'Pre- and Production'!AR$4:AR$376)</f>
        <v>48</v>
      </c>
    </row>
    <row r="55" spans="3:15" s="352" customFormat="1">
      <c r="C55" s="46" t="s">
        <v>195</v>
      </c>
      <c r="D55" s="26">
        <f>SUMIF('Pre- and Production'!$T$4:$T$376, CONCATENATE(LEFT('WBS Summary by Year'!D$6,1),'WBS Summary by Year'!$C55,'WBS Summary by Year'!$B$45),'Pre- and Production'!AC$4:AC$376)</f>
        <v>0</v>
      </c>
      <c r="E55" s="303">
        <f>SUMIF('Pre- and Production'!$T$4:$T$376, CONCATENATE(LEFT('WBS Summary by Year'!E$6,1),'WBS Summary by Year'!$C55,'WBS Summary by Year'!$B$45),'Pre- and Production'!AM$4:AM$376)</f>
        <v>0</v>
      </c>
      <c r="F55" s="26">
        <f>SUMIF('Pre- and Production'!$T$4:$T$376, CONCATENATE(LEFT('WBS Summary by Year'!F$6,1),'WBS Summary by Year'!$C55,'WBS Summary by Year'!$B$45),'Pre- and Production'!AD$4:AD$376)</f>
        <v>0</v>
      </c>
      <c r="G55" s="296">
        <f>SUMIF('Pre- and Production'!$T$4:$T$376, CONCATENATE(LEFT('WBS Summary by Year'!G$6,1),'WBS Summary by Year'!$C55,'WBS Summary by Year'!$B$45),'Pre- and Production'!AN$4:AN$376)</f>
        <v>0</v>
      </c>
      <c r="H55" s="307">
        <f>SUMIF('Pre- and Production'!$T$4:$T$376, CONCATENATE(LEFT('WBS Summary by Year'!H$6,1),'WBS Summary by Year'!$C55,'WBS Summary by Year'!$B$45),'Pre- and Production'!AE$4:AE$376)</f>
        <v>0</v>
      </c>
      <c r="I55" s="303">
        <f>SUMIF('Pre- and Production'!$T$4:$T$376, CONCATENATE(LEFT('WBS Summary by Year'!I$6,1),'WBS Summary by Year'!$C55,'WBS Summary by Year'!$B$45),'Pre- and Production'!AO$4:AO$376)</f>
        <v>0</v>
      </c>
      <c r="J55" s="26">
        <f>SUMIF('Pre- and Production'!$T$4:$T$376, CONCATENATE(LEFT('WBS Summary by Year'!J$6,1),'WBS Summary by Year'!$C55,'WBS Summary by Year'!$B$45),'Pre- and Production'!AF$4:AFI$376)</f>
        <v>0</v>
      </c>
      <c r="K55" s="296">
        <f>SUMIF('Pre- and Production'!$T$4:$T$376, CONCATENATE(LEFT('WBS Summary by Year'!K$6,1),'WBS Summary by Year'!$C55,'WBS Summary by Year'!$B$45),'Pre- and Production'!AP$4:AP$376)</f>
        <v>0</v>
      </c>
      <c r="L55" s="307">
        <f>SUMIF('Pre- and Production'!$T$4:$T$376, CONCATENATE(LEFT('WBS Summary by Year'!L$6,1),'WBS Summary by Year'!$C55,'WBS Summary by Year'!$B$45),'Pre- and Production'!AG$4:AG$376)</f>
        <v>0</v>
      </c>
      <c r="M55" s="303">
        <f>SUMIF('Pre- and Production'!$T$4:$T$376, CONCATENATE(LEFT('WBS Summary by Year'!M$6,1),'WBS Summary by Year'!$C55,'WBS Summary by Year'!$B$45),'Pre- and Production'!AQ$4:AQ$376)</f>
        <v>0</v>
      </c>
      <c r="N55" s="315">
        <f>SUMIF('Pre- and Production'!$T$4:$T$376, CONCATENATE(LEFT('WBS Summary by Year'!N$6,1),'WBS Summary by Year'!$C55,'WBS Summary by Year'!$B$45),'Pre- and Production'!AH$4:AH$376)</f>
        <v>0</v>
      </c>
      <c r="O55" s="316">
        <f>SUMIF('Pre- and Production'!$T$4:$T$376, CONCATENATE(LEFT('WBS Summary by Year'!O$6,1),'WBS Summary by Year'!$C55,'WBS Summary by Year'!$B$45),'Pre- and Production'!AR$4:AR$376)</f>
        <v>0</v>
      </c>
    </row>
    <row r="56" spans="3:15" s="352" customFormat="1">
      <c r="C56" s="134" t="s">
        <v>190</v>
      </c>
      <c r="D56" s="26">
        <f>SUMIF('Pre- and Production'!$T$4:$T$376, CONCATENATE(LEFT('WBS Summary by Year'!D$6,1),'WBS Summary by Year'!$C56,'WBS Summary by Year'!$B$45),'Pre- and Production'!AC$4:AC$376)</f>
        <v>0</v>
      </c>
      <c r="E56" s="303">
        <f>SUMIF('Pre- and Production'!$T$4:$T$376, CONCATENATE(LEFT('WBS Summary by Year'!E$6,1),'WBS Summary by Year'!$C56,'WBS Summary by Year'!$B$45),'Pre- and Production'!AM$4:AM$376)</f>
        <v>0</v>
      </c>
      <c r="F56" s="26">
        <f>SUMIF('Pre- and Production'!$T$4:$T$376, CONCATENATE(LEFT('WBS Summary by Year'!F$6,1),'WBS Summary by Year'!$C56,'WBS Summary by Year'!$B$45),'Pre- and Production'!AD$4:AD$376)</f>
        <v>0</v>
      </c>
      <c r="G56" s="296">
        <f>SUMIF('Pre- and Production'!$T$4:$T$376, CONCATENATE(LEFT('WBS Summary by Year'!G$6,1),'WBS Summary by Year'!$C56,'WBS Summary by Year'!$B$45),'Pre- and Production'!AN$4:AN$376)</f>
        <v>0</v>
      </c>
      <c r="H56" s="307">
        <f>SUMIF('Pre- and Production'!$T$4:$T$376, CONCATENATE(LEFT('WBS Summary by Year'!H$6,1),'WBS Summary by Year'!$C56,'WBS Summary by Year'!$B$45),'Pre- and Production'!AE$4:AE$376)</f>
        <v>0</v>
      </c>
      <c r="I56" s="303">
        <f>SUMIF('Pre- and Production'!$T$4:$T$376, CONCATENATE(LEFT('WBS Summary by Year'!I$6,1),'WBS Summary by Year'!$C56,'WBS Summary by Year'!$B$45),'Pre- and Production'!AO$4:AO$376)</f>
        <v>0</v>
      </c>
      <c r="J56" s="26">
        <f>SUMIF('Pre- and Production'!$T$4:$T$376, CONCATENATE(LEFT('WBS Summary by Year'!J$6,1),'WBS Summary by Year'!$C56,'WBS Summary by Year'!$B$45),'Pre- and Production'!AF$4:AFI$376)</f>
        <v>0</v>
      </c>
      <c r="K56" s="296">
        <f>SUMIF('Pre- and Production'!$T$4:$T$376, CONCATENATE(LEFT('WBS Summary by Year'!K$6,1),'WBS Summary by Year'!$C56,'WBS Summary by Year'!$B$45),'Pre- and Production'!AP$4:AP$376)</f>
        <v>0</v>
      </c>
      <c r="L56" s="307">
        <f>SUMIF('Pre- and Production'!$T$4:$T$376, CONCATENATE(LEFT('WBS Summary by Year'!L$6,1),'WBS Summary by Year'!$C56,'WBS Summary by Year'!$B$45),'Pre- and Production'!AG$4:AG$376)</f>
        <v>0</v>
      </c>
      <c r="M56" s="303">
        <f>SUMIF('Pre- and Production'!$T$4:$T$376, CONCATENATE(LEFT('WBS Summary by Year'!M$6,1),'WBS Summary by Year'!$C56,'WBS Summary by Year'!$B$45),'Pre- and Production'!AQ$4:AQ$376)</f>
        <v>0</v>
      </c>
      <c r="N56" s="315">
        <f>SUMIF('Pre- and Production'!$T$4:$T$376, CONCATENATE(LEFT('WBS Summary by Year'!N$6,1),'WBS Summary by Year'!$C56,'WBS Summary by Year'!$B$45),'Pre- and Production'!AH$4:AH$376)</f>
        <v>0</v>
      </c>
      <c r="O56" s="316">
        <f>SUMIF('Pre- and Production'!$T$4:$T$376, CONCATENATE(LEFT('WBS Summary by Year'!O$6,1),'WBS Summary by Year'!$C56,'WBS Summary by Year'!$B$45),'Pre- and Production'!AR$4:AR$376)</f>
        <v>0</v>
      </c>
    </row>
    <row r="57" spans="3:15" s="352" customFormat="1">
      <c r="C57" s="46" t="s">
        <v>198</v>
      </c>
      <c r="D57" s="26">
        <f>SUMIF('Pre- and Production'!$T$4:$T$376, CONCATENATE(LEFT('WBS Summary by Year'!D$6,1),'WBS Summary by Year'!$C57,'WBS Summary by Year'!$B$45),'Pre- and Production'!AC$4:AC$376)</f>
        <v>0</v>
      </c>
      <c r="E57" s="303">
        <f>SUMIF('Pre- and Production'!$T$4:$T$376, CONCATENATE(LEFT('WBS Summary by Year'!E$6,1),'WBS Summary by Year'!$C57,'WBS Summary by Year'!$B$45),'Pre- and Production'!AM$4:AM$376)</f>
        <v>0</v>
      </c>
      <c r="F57" s="26">
        <f>SUMIF('Pre- and Production'!$T$4:$T$376, CONCATENATE(LEFT('WBS Summary by Year'!F$6,1),'WBS Summary by Year'!$C57,'WBS Summary by Year'!$B$45),'Pre- and Production'!AD$4:AD$376)</f>
        <v>80</v>
      </c>
      <c r="G57" s="296">
        <f>SUMIF('Pre- and Production'!$T$4:$T$376, CONCATENATE(LEFT('WBS Summary by Year'!G$6,1),'WBS Summary by Year'!$C57,'WBS Summary by Year'!$B$45),'Pre- and Production'!AN$4:AN$376)</f>
        <v>0</v>
      </c>
      <c r="H57" s="307">
        <f>SUMIF('Pre- and Production'!$T$4:$T$376, CONCATENATE(LEFT('WBS Summary by Year'!H$6,1),'WBS Summary by Year'!$C57,'WBS Summary by Year'!$B$45),'Pre- and Production'!AE$4:AE$376)</f>
        <v>0</v>
      </c>
      <c r="I57" s="303">
        <f>SUMIF('Pre- and Production'!$T$4:$T$376, CONCATENATE(LEFT('WBS Summary by Year'!I$6,1),'WBS Summary by Year'!$C57,'WBS Summary by Year'!$B$45),'Pre- and Production'!AO$4:AO$376)</f>
        <v>0</v>
      </c>
      <c r="J57" s="26">
        <f>SUMIF('Pre- and Production'!$T$4:$T$376, CONCATENATE(LEFT('WBS Summary by Year'!J$6,1),'WBS Summary by Year'!$C57,'WBS Summary by Year'!$B$45),'Pre- and Production'!AF$4:AFI$376)</f>
        <v>0</v>
      </c>
      <c r="K57" s="296">
        <f>SUMIF('Pre- and Production'!$T$4:$T$376, CONCATENATE(LEFT('WBS Summary by Year'!K$6,1),'WBS Summary by Year'!$C57,'WBS Summary by Year'!$B$45),'Pre- and Production'!AP$4:AP$376)</f>
        <v>0</v>
      </c>
      <c r="L57" s="307">
        <f>SUMIF('Pre- and Production'!$T$4:$T$376, CONCATENATE(LEFT('WBS Summary by Year'!L$6,1),'WBS Summary by Year'!$C57,'WBS Summary by Year'!$B$45),'Pre- and Production'!AG$4:AG$376)</f>
        <v>0</v>
      </c>
      <c r="M57" s="303">
        <f>SUMIF('Pre- and Production'!$T$4:$T$376, CONCATENATE(LEFT('WBS Summary by Year'!M$6,1),'WBS Summary by Year'!$C57,'WBS Summary by Year'!$B$45),'Pre- and Production'!AQ$4:AQ$376)</f>
        <v>0</v>
      </c>
      <c r="N57" s="315">
        <f>SUMIF('Pre- and Production'!$T$4:$T$376, CONCATENATE(LEFT('WBS Summary by Year'!N$6,1),'WBS Summary by Year'!$C57,'WBS Summary by Year'!$B$45),'Pre- and Production'!AH$4:AH$376)</f>
        <v>0</v>
      </c>
      <c r="O57" s="316">
        <f>SUMIF('Pre- and Production'!$T$4:$T$376, CONCATENATE(LEFT('WBS Summary by Year'!O$6,1),'WBS Summary by Year'!$C57,'WBS Summary by Year'!$B$45),'Pre- and Production'!AR$4:AR$376)</f>
        <v>0</v>
      </c>
    </row>
    <row r="58" spans="3:15" s="352" customFormat="1">
      <c r="C58" s="46" t="s">
        <v>199</v>
      </c>
      <c r="D58" s="26">
        <f>SUMIF('Pre- and Production'!$T$4:$T$376, CONCATENATE(LEFT('WBS Summary by Year'!D$6,1),'WBS Summary by Year'!$C58,'WBS Summary by Year'!$B$45),'Pre- and Production'!AC$4:AC$376)</f>
        <v>56</v>
      </c>
      <c r="E58" s="303">
        <f>SUMIF('Pre- and Production'!$T$4:$T$376, CONCATENATE(LEFT('WBS Summary by Year'!E$6,1),'WBS Summary by Year'!$C58,'WBS Summary by Year'!$B$45),'Pre- and Production'!AM$4:AM$376)</f>
        <v>0</v>
      </c>
      <c r="F58" s="26">
        <f>SUMIF('Pre- and Production'!$T$4:$T$376, CONCATENATE(LEFT('WBS Summary by Year'!F$6,1),'WBS Summary by Year'!$C58,'WBS Summary by Year'!$B$45),'Pre- and Production'!AD$4:AD$376)</f>
        <v>368</v>
      </c>
      <c r="G58" s="296">
        <f>SUMIF('Pre- and Production'!$T$4:$T$376, CONCATENATE(LEFT('WBS Summary by Year'!G$6,1),'WBS Summary by Year'!$C58,'WBS Summary by Year'!$B$45),'Pre- and Production'!AN$4:AN$376)</f>
        <v>0</v>
      </c>
      <c r="H58" s="307">
        <f>SUMIF('Pre- and Production'!$T$4:$T$376, CONCATENATE(LEFT('WBS Summary by Year'!H$6,1),'WBS Summary by Year'!$C58,'WBS Summary by Year'!$B$45),'Pre- and Production'!AE$4:AE$376)</f>
        <v>48</v>
      </c>
      <c r="I58" s="303">
        <f>SUMIF('Pre- and Production'!$T$4:$T$376, CONCATENATE(LEFT('WBS Summary by Year'!I$6,1),'WBS Summary by Year'!$C58,'WBS Summary by Year'!$B$45),'Pre- and Production'!AO$4:AO$376)</f>
        <v>0</v>
      </c>
      <c r="J58" s="26">
        <f>SUMIF('Pre- and Production'!$T$4:$T$376, CONCATENATE(LEFT('WBS Summary by Year'!J$6,1),'WBS Summary by Year'!$C58,'WBS Summary by Year'!$B$45),'Pre- and Production'!AF$4:AFI$376)</f>
        <v>198</v>
      </c>
      <c r="K58" s="296">
        <f>SUMIF('Pre- and Production'!$T$4:$T$376, CONCATENATE(LEFT('WBS Summary by Year'!K$6,1),'WBS Summary by Year'!$C58,'WBS Summary by Year'!$B$45),'Pre- and Production'!AP$4:AP$376)</f>
        <v>0</v>
      </c>
      <c r="L58" s="307">
        <f>SUMIF('Pre- and Production'!$T$4:$T$376, CONCATENATE(LEFT('WBS Summary by Year'!L$6,1),'WBS Summary by Year'!$C58,'WBS Summary by Year'!$B$45),'Pre- and Production'!AG$4:AG$376)</f>
        <v>0</v>
      </c>
      <c r="M58" s="303">
        <f>SUMIF('Pre- and Production'!$T$4:$T$376, CONCATENATE(LEFT('WBS Summary by Year'!M$6,1),'WBS Summary by Year'!$C58,'WBS Summary by Year'!$B$45),'Pre- and Production'!AQ$4:AQ$376)</f>
        <v>0</v>
      </c>
      <c r="N58" s="315">
        <f>SUMIF('Pre- and Production'!$T$4:$T$376, CONCATENATE(LEFT('WBS Summary by Year'!N$6,1),'WBS Summary by Year'!$C58,'WBS Summary by Year'!$B$45),'Pre- and Production'!AH$4:AH$376)</f>
        <v>14800</v>
      </c>
      <c r="O58" s="316">
        <f>SUMIF('Pre- and Production'!$T$4:$T$376, CONCATENATE(LEFT('WBS Summary by Year'!O$6,1),'WBS Summary by Year'!$C58,'WBS Summary by Year'!$B$45),'Pre- and Production'!AR$4:AR$376)</f>
        <v>0</v>
      </c>
    </row>
    <row r="59" spans="3:15" s="352" customFormat="1">
      <c r="C59" s="46" t="s">
        <v>200</v>
      </c>
      <c r="D59" s="26">
        <f>SUMIF('Pre- and Production'!$T$4:$T$376, CONCATENATE(LEFT('WBS Summary by Year'!D$6,1),'WBS Summary by Year'!$C59,'WBS Summary by Year'!$B$45),'Pre- and Production'!AC$4:AC$376)</f>
        <v>0</v>
      </c>
      <c r="E59" s="303">
        <f>SUMIF('Pre- and Production'!$T$4:$T$376, CONCATENATE(LEFT('WBS Summary by Year'!E$6,1),'WBS Summary by Year'!$C59,'WBS Summary by Year'!$B$45),'Pre- and Production'!AM$4:AM$376)</f>
        <v>0</v>
      </c>
      <c r="F59" s="26">
        <f>SUMIF('Pre- and Production'!$T$4:$T$376, CONCATENATE(LEFT('WBS Summary by Year'!F$6,1),'WBS Summary by Year'!$C59,'WBS Summary by Year'!$B$45),'Pre- and Production'!AD$4:AD$376)</f>
        <v>0</v>
      </c>
      <c r="G59" s="296">
        <f>SUMIF('Pre- and Production'!$T$4:$T$376, CONCATENATE(LEFT('WBS Summary by Year'!G$6,1),'WBS Summary by Year'!$C59,'WBS Summary by Year'!$B$45),'Pre- and Production'!AN$4:AN$376)</f>
        <v>0</v>
      </c>
      <c r="H59" s="307">
        <f>SUMIF('Pre- and Production'!$T$4:$T$376, CONCATENATE(LEFT('WBS Summary by Year'!H$6,1),'WBS Summary by Year'!$C59,'WBS Summary by Year'!$B$45),'Pre- and Production'!AE$4:AE$376)</f>
        <v>0</v>
      </c>
      <c r="I59" s="303">
        <f>SUMIF('Pre- and Production'!$T$4:$T$376, CONCATENATE(LEFT('WBS Summary by Year'!I$6,1),'WBS Summary by Year'!$C59,'WBS Summary by Year'!$B$45),'Pre- and Production'!AO$4:AO$376)</f>
        <v>0</v>
      </c>
      <c r="J59" s="26">
        <f>SUMIF('Pre- and Production'!$T$4:$T$376, CONCATENATE(LEFT('WBS Summary by Year'!J$6,1),'WBS Summary by Year'!$C59,'WBS Summary by Year'!$B$45),'Pre- and Production'!AF$4:AFI$376)</f>
        <v>160</v>
      </c>
      <c r="K59" s="296">
        <f>SUMIF('Pre- and Production'!$T$4:$T$376, CONCATENATE(LEFT('WBS Summary by Year'!K$6,1),'WBS Summary by Year'!$C59,'WBS Summary by Year'!$B$45),'Pre- and Production'!AP$4:AP$376)</f>
        <v>0</v>
      </c>
      <c r="L59" s="307">
        <f>SUMIF('Pre- and Production'!$T$4:$T$376, CONCATENATE(LEFT('WBS Summary by Year'!L$6,1),'WBS Summary by Year'!$C59,'WBS Summary by Year'!$B$45),'Pre- and Production'!AG$4:AG$376)</f>
        <v>0</v>
      </c>
      <c r="M59" s="303">
        <f>SUMIF('Pre- and Production'!$T$4:$T$376, CONCATENATE(LEFT('WBS Summary by Year'!M$6,1),'WBS Summary by Year'!$C59,'WBS Summary by Year'!$B$45),'Pre- and Production'!AQ$4:AQ$376)</f>
        <v>0</v>
      </c>
      <c r="N59" s="315">
        <f>SUMIF('Pre- and Production'!$T$4:$T$376, CONCATENATE(LEFT('WBS Summary by Year'!N$6,1),'WBS Summary by Year'!$C59,'WBS Summary by Year'!$B$45),'Pre- and Production'!AH$4:AH$376)</f>
        <v>0</v>
      </c>
      <c r="O59" s="316">
        <f>SUMIF('Pre- and Production'!$T$4:$T$376, CONCATENATE(LEFT('WBS Summary by Year'!O$6,1),'WBS Summary by Year'!$C59,'WBS Summary by Year'!$B$45),'Pre- and Production'!AR$4:AR$376)</f>
        <v>0</v>
      </c>
    </row>
    <row r="60" spans="3:15" s="352" customFormat="1">
      <c r="C60" s="46" t="s">
        <v>201</v>
      </c>
      <c r="D60" s="26">
        <f>SUMIF('Pre- and Production'!$T$4:$T$376, CONCATENATE(LEFT('WBS Summary by Year'!D$6,1),'WBS Summary by Year'!$C60,'WBS Summary by Year'!$B$45),'Pre- and Production'!AC$4:AC$376)</f>
        <v>0</v>
      </c>
      <c r="E60" s="303">
        <f>SUMIF('Pre- and Production'!$T$4:$T$376, CONCATENATE(LEFT('WBS Summary by Year'!E$6,1),'WBS Summary by Year'!$C60,'WBS Summary by Year'!$B$45),'Pre- and Production'!AM$4:AM$376)</f>
        <v>0</v>
      </c>
      <c r="F60" s="26">
        <f>SUMIF('Pre- and Production'!$T$4:$T$376, CONCATENATE(LEFT('WBS Summary by Year'!F$6,1),'WBS Summary by Year'!$C60,'WBS Summary by Year'!$B$45),'Pre- and Production'!AD$4:AD$376)</f>
        <v>0</v>
      </c>
      <c r="G60" s="296">
        <f>SUMIF('Pre- and Production'!$T$4:$T$376, CONCATENATE(LEFT('WBS Summary by Year'!G$6,1),'WBS Summary by Year'!$C60,'WBS Summary by Year'!$B$45),'Pre- and Production'!AN$4:AN$376)</f>
        <v>0</v>
      </c>
      <c r="H60" s="307">
        <f>SUMIF('Pre- and Production'!$T$4:$T$376, CONCATENATE(LEFT('WBS Summary by Year'!H$6,1),'WBS Summary by Year'!$C60,'WBS Summary by Year'!$B$45),'Pre- and Production'!AE$4:AE$376)</f>
        <v>0</v>
      </c>
      <c r="I60" s="303">
        <f>SUMIF('Pre- and Production'!$T$4:$T$376, CONCATENATE(LEFT('WBS Summary by Year'!I$6,1),'WBS Summary by Year'!$C60,'WBS Summary by Year'!$B$45),'Pre- and Production'!AO$4:AO$376)</f>
        <v>0</v>
      </c>
      <c r="J60" s="26">
        <f>SUMIF('Pre- and Production'!$T$4:$T$376, CONCATENATE(LEFT('WBS Summary by Year'!J$6,1),'WBS Summary by Year'!$C60,'WBS Summary by Year'!$B$45),'Pre- and Production'!AF$4:AFI$376)</f>
        <v>0</v>
      </c>
      <c r="K60" s="296">
        <f>SUMIF('Pre- and Production'!$T$4:$T$376, CONCATENATE(LEFT('WBS Summary by Year'!K$6,1),'WBS Summary by Year'!$C60,'WBS Summary by Year'!$B$45),'Pre- and Production'!AP$4:AP$376)</f>
        <v>0</v>
      </c>
      <c r="L60" s="307">
        <f>SUMIF('Pre- and Production'!$T$4:$T$376, CONCATENATE(LEFT('WBS Summary by Year'!L$6,1),'WBS Summary by Year'!$C60,'WBS Summary by Year'!$B$45),'Pre- and Production'!AG$4:AG$376)</f>
        <v>0</v>
      </c>
      <c r="M60" s="303">
        <f>SUMIF('Pre- and Production'!$T$4:$T$376, CONCATENATE(LEFT('WBS Summary by Year'!M$6,1),'WBS Summary by Year'!$C60,'WBS Summary by Year'!$B$45),'Pre- and Production'!AQ$4:AQ$376)</f>
        <v>0</v>
      </c>
      <c r="N60" s="315">
        <f>SUMIF('Pre- and Production'!$T$4:$T$376, CONCATENATE(LEFT('WBS Summary by Year'!N$6,1),'WBS Summary by Year'!$C60,'WBS Summary by Year'!$B$45),'Pre- and Production'!AH$4:AH$376)</f>
        <v>0</v>
      </c>
      <c r="O60" s="316">
        <f>SUMIF('Pre- and Production'!$T$4:$T$376, CONCATENATE(LEFT('WBS Summary by Year'!O$6,1),'WBS Summary by Year'!$C60,'WBS Summary by Year'!$B$45),'Pre- and Production'!AR$4:AR$376)</f>
        <v>0</v>
      </c>
    </row>
    <row r="61" spans="3:15" s="352" customFormat="1">
      <c r="C61" s="46" t="s">
        <v>206</v>
      </c>
      <c r="D61" s="26">
        <f>SUMIF('Pre- and Production'!$T$4:$T$376, CONCATENATE(LEFT('WBS Summary by Year'!D$6,1),'WBS Summary by Year'!$C61,'WBS Summary by Year'!$B$45),'Pre- and Production'!AC$4:AC$376)</f>
        <v>0</v>
      </c>
      <c r="E61" s="303">
        <f>SUMIF('Pre- and Production'!$T$4:$T$376, CONCATENATE(LEFT('WBS Summary by Year'!E$6,1),'WBS Summary by Year'!$C61,'WBS Summary by Year'!$B$45),'Pre- and Production'!AM$4:AM$376)</f>
        <v>0</v>
      </c>
      <c r="F61" s="26">
        <f>SUMIF('Pre- and Production'!$T$4:$T$376, CONCATENATE(LEFT('WBS Summary by Year'!F$6,1),'WBS Summary by Year'!$C61,'WBS Summary by Year'!$B$45),'Pre- and Production'!AD$4:AD$376)</f>
        <v>0</v>
      </c>
      <c r="G61" s="296">
        <f>SUMIF('Pre- and Production'!$T$4:$T$376, CONCATENATE(LEFT('WBS Summary by Year'!G$6,1),'WBS Summary by Year'!$C61,'WBS Summary by Year'!$B$45),'Pre- and Production'!AN$4:AN$376)</f>
        <v>0</v>
      </c>
      <c r="H61" s="307">
        <f>SUMIF('Pre- and Production'!$T$4:$T$376, CONCATENATE(LEFT('WBS Summary by Year'!H$6,1),'WBS Summary by Year'!$C61,'WBS Summary by Year'!$B$45),'Pre- and Production'!AE$4:AE$376)</f>
        <v>0</v>
      </c>
      <c r="I61" s="303">
        <f>SUMIF('Pre- and Production'!$T$4:$T$376, CONCATENATE(LEFT('WBS Summary by Year'!I$6,1),'WBS Summary by Year'!$C61,'WBS Summary by Year'!$B$45),'Pre- and Production'!AO$4:AO$376)</f>
        <v>0</v>
      </c>
      <c r="J61" s="26">
        <f>SUMIF('Pre- and Production'!$T$4:$T$376, CONCATENATE(LEFT('WBS Summary by Year'!J$6,1),'WBS Summary by Year'!$C61,'WBS Summary by Year'!$B$45),'Pre- and Production'!AF$4:AFI$376)</f>
        <v>48</v>
      </c>
      <c r="K61" s="296">
        <f>SUMIF('Pre- and Production'!$T$4:$T$376, CONCATENATE(LEFT('WBS Summary by Year'!K$6,1),'WBS Summary by Year'!$C61,'WBS Summary by Year'!$B$45),'Pre- and Production'!AP$4:AP$376)</f>
        <v>0</v>
      </c>
      <c r="L61" s="307">
        <f>SUMIF('Pre- and Production'!$T$4:$T$376, CONCATENATE(LEFT('WBS Summary by Year'!L$6,1),'WBS Summary by Year'!$C61,'WBS Summary by Year'!$B$45),'Pre- and Production'!AG$4:AG$376)</f>
        <v>0</v>
      </c>
      <c r="M61" s="303">
        <f>SUMIF('Pre- and Production'!$T$4:$T$376, CONCATENATE(LEFT('WBS Summary by Year'!M$6,1),'WBS Summary by Year'!$C61,'WBS Summary by Year'!$B$45),'Pre- and Production'!AQ$4:AQ$376)</f>
        <v>0</v>
      </c>
      <c r="N61" s="315">
        <f>SUMIF('Pre- and Production'!$T$4:$T$376, CONCATENATE(LEFT('WBS Summary by Year'!N$6,1),'WBS Summary by Year'!$C61,'WBS Summary by Year'!$B$45),'Pre- and Production'!AH$4:AH$376)</f>
        <v>0</v>
      </c>
      <c r="O61" s="316">
        <f>SUMIF('Pre- and Production'!$T$4:$T$376, CONCATENATE(LEFT('WBS Summary by Year'!O$6,1),'WBS Summary by Year'!$C61,'WBS Summary by Year'!$B$45),'Pre- and Production'!AR$4:AR$376)</f>
        <v>0</v>
      </c>
    </row>
    <row r="62" spans="3:15" s="352" customFormat="1">
      <c r="C62" s="46" t="s">
        <v>207</v>
      </c>
      <c r="D62" s="26">
        <f>SUMIF('Pre- and Production'!$T$4:$T$376, CONCATENATE(LEFT('WBS Summary by Year'!D$6,1),'WBS Summary by Year'!$C62,'WBS Summary by Year'!$B$45),'Pre- and Production'!AC$4:AC$376)</f>
        <v>0</v>
      </c>
      <c r="E62" s="303">
        <f>SUMIF('Pre- and Production'!$T$4:$T$376, CONCATENATE(LEFT('WBS Summary by Year'!E$6,1),'WBS Summary by Year'!$C62,'WBS Summary by Year'!$B$45),'Pre- and Production'!AM$4:AM$376)</f>
        <v>0</v>
      </c>
      <c r="F62" s="26">
        <f>SUMIF('Pre- and Production'!$T$4:$T$376, CONCATENATE(LEFT('WBS Summary by Year'!F$6,1),'WBS Summary by Year'!$C62,'WBS Summary by Year'!$B$45),'Pre- and Production'!AD$4:AD$376)</f>
        <v>0</v>
      </c>
      <c r="G62" s="296">
        <f>SUMIF('Pre- and Production'!$T$4:$T$376, CONCATENATE(LEFT('WBS Summary by Year'!G$6,1),'WBS Summary by Year'!$C62,'WBS Summary by Year'!$B$45),'Pre- and Production'!AN$4:AN$376)</f>
        <v>0</v>
      </c>
      <c r="H62" s="307">
        <f>SUMIF('Pre- and Production'!$T$4:$T$376, CONCATENATE(LEFT('WBS Summary by Year'!H$6,1),'WBS Summary by Year'!$C62,'WBS Summary by Year'!$B$45),'Pre- and Production'!AE$4:AE$376)</f>
        <v>0</v>
      </c>
      <c r="I62" s="303">
        <f>SUMIF('Pre- and Production'!$T$4:$T$376, CONCATENATE(LEFT('WBS Summary by Year'!I$6,1),'WBS Summary by Year'!$C62,'WBS Summary by Year'!$B$45),'Pre- and Production'!AO$4:AO$376)</f>
        <v>0</v>
      </c>
      <c r="J62" s="26">
        <f>SUMIF('Pre- and Production'!$T$4:$T$376, CONCATENATE(LEFT('WBS Summary by Year'!J$6,1),'WBS Summary by Year'!$C62,'WBS Summary by Year'!$B$45),'Pre- and Production'!AF$4:AFI$376)</f>
        <v>0</v>
      </c>
      <c r="K62" s="296">
        <f>SUMIF('Pre- and Production'!$T$4:$T$376, CONCATENATE(LEFT('WBS Summary by Year'!K$6,1),'WBS Summary by Year'!$C62,'WBS Summary by Year'!$B$45),'Pre- and Production'!AP$4:AP$376)</f>
        <v>0</v>
      </c>
      <c r="L62" s="307">
        <f>SUMIF('Pre- and Production'!$T$4:$T$376, CONCATENATE(LEFT('WBS Summary by Year'!L$6,1),'WBS Summary by Year'!$C62,'WBS Summary by Year'!$B$45),'Pre- and Production'!AG$4:AG$376)</f>
        <v>0</v>
      </c>
      <c r="M62" s="303">
        <f>SUMIF('Pre- and Production'!$T$4:$T$376, CONCATENATE(LEFT('WBS Summary by Year'!M$6,1),'WBS Summary by Year'!$C62,'WBS Summary by Year'!$B$45),'Pre- and Production'!AQ$4:AQ$376)</f>
        <v>0</v>
      </c>
      <c r="N62" s="315">
        <f>SUMIF('Pre- and Production'!$T$4:$T$376, CONCATENATE(LEFT('WBS Summary by Year'!N$6,1),'WBS Summary by Year'!$C62,'WBS Summary by Year'!$B$45),'Pre- and Production'!AH$4:AH$376)</f>
        <v>0</v>
      </c>
      <c r="O62" s="316">
        <f>SUMIF('Pre- and Production'!$T$4:$T$376, CONCATENATE(LEFT('WBS Summary by Year'!O$6,1),'WBS Summary by Year'!$C62,'WBS Summary by Year'!$B$45),'Pre- and Production'!AR$4:AR$376)</f>
        <v>0</v>
      </c>
    </row>
    <row r="63" spans="3:15" s="352" customFormat="1">
      <c r="C63" s="100" t="s">
        <v>405</v>
      </c>
      <c r="D63" s="26">
        <f>SUMIF('Pre- and Production'!$T$4:$T$376, CONCATENATE(LEFT('WBS Summary by Year'!D$6,1),'WBS Summary by Year'!$C63,'WBS Summary by Year'!$B$45),'Pre- and Production'!AC$4:AC$376)</f>
        <v>0</v>
      </c>
      <c r="E63" s="303">
        <f>SUMIF('Pre- and Production'!$T$4:$T$376, CONCATENATE(LEFT('WBS Summary by Year'!E$6,1),'WBS Summary by Year'!$C63,'WBS Summary by Year'!$B$45),'Pre- and Production'!AM$4:AM$376)</f>
        <v>0</v>
      </c>
      <c r="F63" s="26">
        <f>SUMIF('Pre- and Production'!$T$4:$T$376, CONCATENATE(LEFT('WBS Summary by Year'!F$6,1),'WBS Summary by Year'!$C63,'WBS Summary by Year'!$B$45),'Pre- and Production'!AD$4:AD$376)</f>
        <v>0</v>
      </c>
      <c r="G63" s="296">
        <f>SUMIF('Pre- and Production'!$T$4:$T$376, CONCATENATE(LEFT('WBS Summary by Year'!G$6,1),'WBS Summary by Year'!$C63,'WBS Summary by Year'!$B$45),'Pre- and Production'!AN$4:AN$376)</f>
        <v>0</v>
      </c>
      <c r="H63" s="307">
        <f>SUMIF('Pre- and Production'!$T$4:$T$376, CONCATENATE(LEFT('WBS Summary by Year'!H$6,1),'WBS Summary by Year'!$C63,'WBS Summary by Year'!$B$45),'Pre- and Production'!AE$4:AE$376)</f>
        <v>0</v>
      </c>
      <c r="I63" s="303">
        <f>SUMIF('Pre- and Production'!$T$4:$T$376, CONCATENATE(LEFT('WBS Summary by Year'!I$6,1),'WBS Summary by Year'!$C63,'WBS Summary by Year'!$B$45),'Pre- and Production'!AO$4:AO$376)</f>
        <v>0</v>
      </c>
      <c r="J63" s="26">
        <f>SUMIF('Pre- and Production'!$T$4:$T$376, CONCATENATE(LEFT('WBS Summary by Year'!J$6,1),'WBS Summary by Year'!$C63,'WBS Summary by Year'!$B$45),'Pre- and Production'!AF$4:AFI$376)</f>
        <v>0</v>
      </c>
      <c r="K63" s="296">
        <f>SUMIF('Pre- and Production'!$T$4:$T$376, CONCATENATE(LEFT('WBS Summary by Year'!K$6,1),'WBS Summary by Year'!$C63,'WBS Summary by Year'!$B$45),'Pre- and Production'!AP$4:AP$376)</f>
        <v>0</v>
      </c>
      <c r="L63" s="307">
        <f>SUMIF('Pre- and Production'!$T$4:$T$376, CONCATENATE(LEFT('WBS Summary by Year'!L$6,1),'WBS Summary by Year'!$C63,'WBS Summary by Year'!$B$45),'Pre- and Production'!AG$4:AG$376)</f>
        <v>0</v>
      </c>
      <c r="M63" s="303">
        <f>SUMIF('Pre- and Production'!$T$4:$T$376, CONCATENATE(LEFT('WBS Summary by Year'!M$6,1),'WBS Summary by Year'!$C63,'WBS Summary by Year'!$B$45),'Pre- and Production'!AQ$4:AQ$376)</f>
        <v>0</v>
      </c>
      <c r="N63" s="315">
        <f>SUMIF('Pre- and Production'!$T$4:$T$376, CONCATENATE(LEFT('WBS Summary by Year'!N$6,1),'WBS Summary by Year'!$C63,'WBS Summary by Year'!$B$45),'Pre- and Production'!AH$4:AH$376)</f>
        <v>0</v>
      </c>
      <c r="O63" s="316">
        <f>SUMIF('Pre- and Production'!$T$4:$T$376, CONCATENATE(LEFT('WBS Summary by Year'!O$6,1),'WBS Summary by Year'!$C63,'WBS Summary by Year'!$B$45),'Pre- and Production'!AR$4:AR$376)</f>
        <v>0</v>
      </c>
    </row>
    <row r="64" spans="3:15" s="352" customFormat="1">
      <c r="C64" s="134" t="s">
        <v>406</v>
      </c>
      <c r="D64" s="26">
        <f>SUMIF('Pre- and Production'!$T$4:$T$376, CONCATENATE(LEFT('WBS Summary by Year'!D$6,1),'WBS Summary by Year'!$C64,'WBS Summary by Year'!$B$45),'Pre- and Production'!AC$4:AC$376)</f>
        <v>0</v>
      </c>
      <c r="E64" s="303">
        <f>SUMIF('Pre- and Production'!$T$4:$T$376, CONCATENATE(LEFT('WBS Summary by Year'!E$6,1),'WBS Summary by Year'!$C64,'WBS Summary by Year'!$B$45),'Pre- and Production'!AM$4:AM$376)</f>
        <v>0</v>
      </c>
      <c r="F64" s="26">
        <f>SUMIF('Pre- and Production'!$T$4:$T$376, CONCATENATE(LEFT('WBS Summary by Year'!F$6,1),'WBS Summary by Year'!$C64,'WBS Summary by Year'!$B$45),'Pre- and Production'!AD$4:AD$376)</f>
        <v>0</v>
      </c>
      <c r="G64" s="296">
        <f>SUMIF('Pre- and Production'!$T$4:$T$376, CONCATENATE(LEFT('WBS Summary by Year'!G$6,1),'WBS Summary by Year'!$C64,'WBS Summary by Year'!$B$45),'Pre- and Production'!AN$4:AN$376)</f>
        <v>0</v>
      </c>
      <c r="H64" s="307">
        <f>SUMIF('Pre- and Production'!$T$4:$T$376, CONCATENATE(LEFT('WBS Summary by Year'!H$6,1),'WBS Summary by Year'!$C64,'WBS Summary by Year'!$B$45),'Pre- and Production'!AE$4:AE$376)</f>
        <v>0</v>
      </c>
      <c r="I64" s="303">
        <f>SUMIF('Pre- and Production'!$T$4:$T$376, CONCATENATE(LEFT('WBS Summary by Year'!I$6,1),'WBS Summary by Year'!$C64,'WBS Summary by Year'!$B$45),'Pre- and Production'!AO$4:AO$376)</f>
        <v>0</v>
      </c>
      <c r="J64" s="26">
        <f>SUMIF('Pre- and Production'!$T$4:$T$376, CONCATENATE(LEFT('WBS Summary by Year'!J$6,1),'WBS Summary by Year'!$C64,'WBS Summary by Year'!$B$45),'Pre- and Production'!AF$4:AFI$376)</f>
        <v>0</v>
      </c>
      <c r="K64" s="296">
        <f>SUMIF('Pre- and Production'!$T$4:$T$376, CONCATENATE(LEFT('WBS Summary by Year'!K$6,1),'WBS Summary by Year'!$C64,'WBS Summary by Year'!$B$45),'Pre- and Production'!AP$4:AP$376)</f>
        <v>0</v>
      </c>
      <c r="L64" s="307">
        <f>SUMIF('Pre- and Production'!$T$4:$T$376, CONCATENATE(LEFT('WBS Summary by Year'!L$6,1),'WBS Summary by Year'!$C64,'WBS Summary by Year'!$B$45),'Pre- and Production'!AG$4:AG$376)</f>
        <v>0</v>
      </c>
      <c r="M64" s="303">
        <f>SUMIF('Pre- and Production'!$T$4:$T$376, CONCATENATE(LEFT('WBS Summary by Year'!M$6,1),'WBS Summary by Year'!$C64,'WBS Summary by Year'!$B$45),'Pre- and Production'!AQ$4:AQ$376)</f>
        <v>0</v>
      </c>
      <c r="N64" s="315">
        <f>SUMIF('Pre- and Production'!$T$4:$T$376, CONCATENATE(LEFT('WBS Summary by Year'!N$6,1),'WBS Summary by Year'!$C64,'WBS Summary by Year'!$B$45),'Pre- and Production'!AH$4:AH$376)</f>
        <v>0</v>
      </c>
      <c r="O64" s="316">
        <f>SUMIF('Pre- and Production'!$T$4:$T$376, CONCATENATE(LEFT('WBS Summary by Year'!O$6,1),'WBS Summary by Year'!$C64,'WBS Summary by Year'!$B$45),'Pre- and Production'!AR$4:AR$376)</f>
        <v>0</v>
      </c>
    </row>
    <row r="65" spans="3:15" s="352" customFormat="1">
      <c r="C65" s="46" t="s">
        <v>407</v>
      </c>
      <c r="D65" s="26">
        <f>SUMIF('Pre- and Production'!$T$4:$T$376, CONCATENATE(LEFT('WBS Summary by Year'!D$6,1),'WBS Summary by Year'!$C65,'WBS Summary by Year'!$B$45),'Pre- and Production'!AC$4:AC$376)</f>
        <v>16</v>
      </c>
      <c r="E65" s="303">
        <f>SUMIF('Pre- and Production'!$T$4:$T$376, CONCATENATE(LEFT('WBS Summary by Year'!E$6,1),'WBS Summary by Year'!$C65,'WBS Summary by Year'!$B$45),'Pre- and Production'!AM$4:AM$376)</f>
        <v>0</v>
      </c>
      <c r="F65" s="26">
        <f>SUMIF('Pre- and Production'!$T$4:$T$376, CONCATENATE(LEFT('WBS Summary by Year'!F$6,1),'WBS Summary by Year'!$C65,'WBS Summary by Year'!$B$45),'Pre- and Production'!AD$4:AD$376)</f>
        <v>0</v>
      </c>
      <c r="G65" s="296">
        <f>SUMIF('Pre- and Production'!$T$4:$T$376, CONCATENATE(LEFT('WBS Summary by Year'!G$6,1),'WBS Summary by Year'!$C65,'WBS Summary by Year'!$B$45),'Pre- and Production'!AN$4:AN$376)</f>
        <v>0</v>
      </c>
      <c r="H65" s="307">
        <f>SUMIF('Pre- and Production'!$T$4:$T$376, CONCATENATE(LEFT('WBS Summary by Year'!H$6,1),'WBS Summary by Year'!$C65,'WBS Summary by Year'!$B$45),'Pre- and Production'!AE$4:AE$376)</f>
        <v>56</v>
      </c>
      <c r="I65" s="303">
        <f>SUMIF('Pre- and Production'!$T$4:$T$376, CONCATENATE(LEFT('WBS Summary by Year'!I$6,1),'WBS Summary by Year'!$C65,'WBS Summary by Year'!$B$45),'Pre- and Production'!AO$4:AO$376)</f>
        <v>0</v>
      </c>
      <c r="J65" s="26">
        <f>SUMIF('Pre- and Production'!$T$4:$T$376, CONCATENATE(LEFT('WBS Summary by Year'!J$6,1),'WBS Summary by Year'!$C65,'WBS Summary by Year'!$B$45),'Pre- and Production'!AF$4:AFI$376)</f>
        <v>88</v>
      </c>
      <c r="K65" s="296">
        <f>SUMIF('Pre- and Production'!$T$4:$T$376, CONCATENATE(LEFT('WBS Summary by Year'!K$6,1),'WBS Summary by Year'!$C65,'WBS Summary by Year'!$B$45),'Pre- and Production'!AP$4:AP$376)</f>
        <v>0</v>
      </c>
      <c r="L65" s="307">
        <f>SUMIF('Pre- and Production'!$T$4:$T$376, CONCATENATE(LEFT('WBS Summary by Year'!L$6,1),'WBS Summary by Year'!$C65,'WBS Summary by Year'!$B$45),'Pre- and Production'!AG$4:AG$376)</f>
        <v>0</v>
      </c>
      <c r="M65" s="303">
        <f>SUMIF('Pre- and Production'!$T$4:$T$376, CONCATENATE(LEFT('WBS Summary by Year'!M$6,1),'WBS Summary by Year'!$C65,'WBS Summary by Year'!$B$45),'Pre- and Production'!AQ$4:AQ$376)</f>
        <v>0</v>
      </c>
      <c r="N65" s="315">
        <f>SUMIF('Pre- and Production'!$T$4:$T$376, CONCATENATE(LEFT('WBS Summary by Year'!N$6,1),'WBS Summary by Year'!$C65,'WBS Summary by Year'!$B$45),'Pre- and Production'!AH$4:AH$376)</f>
        <v>240</v>
      </c>
      <c r="O65" s="316">
        <f>SUMIF('Pre- and Production'!$T$4:$T$376, CONCATENATE(LEFT('WBS Summary by Year'!O$6,1),'WBS Summary by Year'!$C65,'WBS Summary by Year'!$B$45),'Pre- and Production'!AR$4:AR$376)</f>
        <v>0</v>
      </c>
    </row>
    <row r="66" spans="3:15" s="352" customFormat="1">
      <c r="C66" s="46" t="s">
        <v>408</v>
      </c>
      <c r="D66" s="26">
        <f>SUMIF('Pre- and Production'!$T$4:$T$376, CONCATENATE(LEFT('WBS Summary by Year'!D$6,1),'WBS Summary by Year'!$C66,'WBS Summary by Year'!$B$45),'Pre- and Production'!AC$4:AC$376)</f>
        <v>0</v>
      </c>
      <c r="E66" s="303">
        <f>SUMIF('Pre- and Production'!$T$4:$T$376, CONCATENATE(LEFT('WBS Summary by Year'!E$6,1),'WBS Summary by Year'!$C66,'WBS Summary by Year'!$B$45),'Pre- and Production'!AM$4:AM$376)</f>
        <v>0</v>
      </c>
      <c r="F66" s="26">
        <f>SUMIF('Pre- and Production'!$T$4:$T$376, CONCATENATE(LEFT('WBS Summary by Year'!F$6,1),'WBS Summary by Year'!$C66,'WBS Summary by Year'!$B$45),'Pre- and Production'!AD$4:AD$376)</f>
        <v>0</v>
      </c>
      <c r="G66" s="296">
        <f>SUMIF('Pre- and Production'!$T$4:$T$376, CONCATENATE(LEFT('WBS Summary by Year'!G$6,1),'WBS Summary by Year'!$C66,'WBS Summary by Year'!$B$45),'Pre- and Production'!AN$4:AN$376)</f>
        <v>0</v>
      </c>
      <c r="H66" s="307">
        <f>SUMIF('Pre- and Production'!$T$4:$T$376, CONCATENATE(LEFT('WBS Summary by Year'!H$6,1),'WBS Summary by Year'!$C66,'WBS Summary by Year'!$B$45),'Pre- and Production'!AE$4:AE$376)</f>
        <v>0</v>
      </c>
      <c r="I66" s="303">
        <f>SUMIF('Pre- and Production'!$T$4:$T$376, CONCATENATE(LEFT('WBS Summary by Year'!I$6,1),'WBS Summary by Year'!$C66,'WBS Summary by Year'!$B$45),'Pre- and Production'!AO$4:AO$376)</f>
        <v>0</v>
      </c>
      <c r="J66" s="26">
        <f>SUMIF('Pre- and Production'!$T$4:$T$376, CONCATENATE(LEFT('WBS Summary by Year'!J$6,1),'WBS Summary by Year'!$C66,'WBS Summary by Year'!$B$45),'Pre- and Production'!AF$4:AFI$376)</f>
        <v>0</v>
      </c>
      <c r="K66" s="296">
        <f>SUMIF('Pre- and Production'!$T$4:$T$376, CONCATENATE(LEFT('WBS Summary by Year'!K$6,1),'WBS Summary by Year'!$C66,'WBS Summary by Year'!$B$45),'Pre- and Production'!AP$4:AP$376)</f>
        <v>0</v>
      </c>
      <c r="L66" s="307">
        <f>SUMIF('Pre- and Production'!$T$4:$T$376, CONCATENATE(LEFT('WBS Summary by Year'!L$6,1),'WBS Summary by Year'!$C66,'WBS Summary by Year'!$B$45),'Pre- and Production'!AG$4:AG$376)</f>
        <v>0</v>
      </c>
      <c r="M66" s="303">
        <f>SUMIF('Pre- and Production'!$T$4:$T$376, CONCATENATE(LEFT('WBS Summary by Year'!M$6,1),'WBS Summary by Year'!$C66,'WBS Summary by Year'!$B$45),'Pre- and Production'!AQ$4:AQ$376)</f>
        <v>0</v>
      </c>
      <c r="N66" s="315">
        <f>SUMIF('Pre- and Production'!$T$4:$T$376, CONCATENATE(LEFT('WBS Summary by Year'!N$6,1),'WBS Summary by Year'!$C66,'WBS Summary by Year'!$B$45),'Pre- and Production'!AH$4:AH$376)</f>
        <v>0</v>
      </c>
      <c r="O66" s="316">
        <f>SUMIF('Pre- and Production'!$T$4:$T$376, CONCATENATE(LEFT('WBS Summary by Year'!O$6,1),'WBS Summary by Year'!$C66,'WBS Summary by Year'!$B$45),'Pre- and Production'!AR$4:AR$376)</f>
        <v>0</v>
      </c>
    </row>
    <row r="67" spans="3:15" s="352" customFormat="1">
      <c r="C67" s="134" t="s">
        <v>409</v>
      </c>
      <c r="D67" s="26">
        <f>SUMIF('Pre- and Production'!$T$4:$T$376, CONCATENATE(LEFT('WBS Summary by Year'!D$6,1),'WBS Summary by Year'!$C67,'WBS Summary by Year'!$B$45),'Pre- and Production'!AC$4:AC$376)</f>
        <v>0</v>
      </c>
      <c r="E67" s="303">
        <f>SUMIF('Pre- and Production'!$T$4:$T$376, CONCATENATE(LEFT('WBS Summary by Year'!E$6,1),'WBS Summary by Year'!$C67,'WBS Summary by Year'!$B$45),'Pre- and Production'!AM$4:AM$376)</f>
        <v>0</v>
      </c>
      <c r="F67" s="26">
        <f>SUMIF('Pre- and Production'!$T$4:$T$376, CONCATENATE(LEFT('WBS Summary by Year'!F$6,1),'WBS Summary by Year'!$C67,'WBS Summary by Year'!$B$45),'Pre- and Production'!AD$4:AD$376)</f>
        <v>0</v>
      </c>
      <c r="G67" s="296">
        <f>SUMIF('Pre- and Production'!$T$4:$T$376, CONCATENATE(LEFT('WBS Summary by Year'!G$6,1),'WBS Summary by Year'!$C67,'WBS Summary by Year'!$B$45),'Pre- and Production'!AN$4:AN$376)</f>
        <v>0</v>
      </c>
      <c r="H67" s="307">
        <f>SUMIF('Pre- and Production'!$T$4:$T$376, CONCATENATE(LEFT('WBS Summary by Year'!H$6,1),'WBS Summary by Year'!$C67,'WBS Summary by Year'!$B$45),'Pre- and Production'!AE$4:AE$376)</f>
        <v>0</v>
      </c>
      <c r="I67" s="303">
        <f>SUMIF('Pre- and Production'!$T$4:$T$376, CONCATENATE(LEFT('WBS Summary by Year'!I$6,1),'WBS Summary by Year'!$C67,'WBS Summary by Year'!$B$45),'Pre- and Production'!AO$4:AO$376)</f>
        <v>0</v>
      </c>
      <c r="J67" s="26">
        <f>SUMIF('Pre- and Production'!$T$4:$T$376, CONCATENATE(LEFT('WBS Summary by Year'!J$6,1),'WBS Summary by Year'!$C67,'WBS Summary by Year'!$B$45),'Pre- and Production'!AF$4:AFI$376)</f>
        <v>0</v>
      </c>
      <c r="K67" s="296">
        <f>SUMIF('Pre- and Production'!$T$4:$T$376, CONCATENATE(LEFT('WBS Summary by Year'!K$6,1),'WBS Summary by Year'!$C67,'WBS Summary by Year'!$B$45),'Pre- and Production'!AP$4:AP$376)</f>
        <v>0</v>
      </c>
      <c r="L67" s="307">
        <f>SUMIF('Pre- and Production'!$T$4:$T$376, CONCATENATE(LEFT('WBS Summary by Year'!L$6,1),'WBS Summary by Year'!$C67,'WBS Summary by Year'!$B$45),'Pre- and Production'!AG$4:AG$376)</f>
        <v>0</v>
      </c>
      <c r="M67" s="303">
        <f>SUMIF('Pre- and Production'!$T$4:$T$376, CONCATENATE(LEFT('WBS Summary by Year'!M$6,1),'WBS Summary by Year'!$C67,'WBS Summary by Year'!$B$45),'Pre- and Production'!AQ$4:AQ$376)</f>
        <v>0</v>
      </c>
      <c r="N67" s="315">
        <f>SUMIF('Pre- and Production'!$T$4:$T$376, CONCATENATE(LEFT('WBS Summary by Year'!N$6,1),'WBS Summary by Year'!$C67,'WBS Summary by Year'!$B$45),'Pre- and Production'!AH$4:AH$376)</f>
        <v>0</v>
      </c>
      <c r="O67" s="316">
        <f>SUMIF('Pre- and Production'!$T$4:$T$376, CONCATENATE(LEFT('WBS Summary by Year'!O$6,1),'WBS Summary by Year'!$C67,'WBS Summary by Year'!$B$45),'Pre- and Production'!AR$4:AR$376)</f>
        <v>0</v>
      </c>
    </row>
    <row r="68" spans="3:15">
      <c r="C68" s="134" t="s">
        <v>410</v>
      </c>
      <c r="D68" s="26">
        <f>SUMIF('Pre- and Production'!$T$4:$T$376, CONCATENATE(LEFT('WBS Summary by Year'!D$6,1),'WBS Summary by Year'!$C68,'WBS Summary by Year'!$B$45),'Pre- and Production'!AC$4:AC$376)</f>
        <v>0</v>
      </c>
      <c r="E68" s="303">
        <f>SUMIF('Pre- and Production'!$T$4:$T$376, CONCATENATE(LEFT('WBS Summary by Year'!E$6,1),'WBS Summary by Year'!$C68,'WBS Summary by Year'!$B$45),'Pre- and Production'!AM$4:AM$376)</f>
        <v>0</v>
      </c>
      <c r="F68" s="26">
        <f>SUMIF('Pre- and Production'!$T$4:$T$376, CONCATENATE(LEFT('WBS Summary by Year'!F$6,1),'WBS Summary by Year'!$C68,'WBS Summary by Year'!$B$45),'Pre- and Production'!AD$4:AD$376)</f>
        <v>0</v>
      </c>
      <c r="G68" s="296">
        <f>SUMIF('Pre- and Production'!$T$4:$T$376, CONCATENATE(LEFT('WBS Summary by Year'!G$6,1),'WBS Summary by Year'!$C68,'WBS Summary by Year'!$B$45),'Pre- and Production'!AN$4:AN$376)</f>
        <v>0</v>
      </c>
      <c r="H68" s="307">
        <f>SUMIF('Pre- and Production'!$T$4:$T$376, CONCATENATE(LEFT('WBS Summary by Year'!H$6,1),'WBS Summary by Year'!$C68,'WBS Summary by Year'!$B$45),'Pre- and Production'!AE$4:AE$376)</f>
        <v>0</v>
      </c>
      <c r="I68" s="303">
        <f>SUMIF('Pre- and Production'!$T$4:$T$376, CONCATENATE(LEFT('WBS Summary by Year'!I$6,1),'WBS Summary by Year'!$C68,'WBS Summary by Year'!$B$45),'Pre- and Production'!AO$4:AO$376)</f>
        <v>0</v>
      </c>
      <c r="J68" s="26">
        <f>SUMIF('Pre- and Production'!$T$4:$T$376, CONCATENATE(LEFT('WBS Summary by Year'!J$6,1),'WBS Summary by Year'!$C68,'WBS Summary by Year'!$B$45),'Pre- and Production'!AF$4:AFI$376)</f>
        <v>0</v>
      </c>
      <c r="K68" s="296">
        <f>SUMIF('Pre- and Production'!$T$4:$T$376, CONCATENATE(LEFT('WBS Summary by Year'!K$6,1),'WBS Summary by Year'!$C68,'WBS Summary by Year'!$B$45),'Pre- and Production'!AP$4:AP$376)</f>
        <v>0</v>
      </c>
      <c r="L68" s="307">
        <f>SUMIF('Pre- and Production'!$T$4:$T$376, CONCATENATE(LEFT('WBS Summary by Year'!L$6,1),'WBS Summary by Year'!$C68,'WBS Summary by Year'!$B$45),'Pre- and Production'!AG$4:AG$376)</f>
        <v>0</v>
      </c>
      <c r="M68" s="303">
        <f>SUMIF('Pre- and Production'!$T$4:$T$376, CONCATENATE(LEFT('WBS Summary by Year'!M$6,1),'WBS Summary by Year'!$C68,'WBS Summary by Year'!$B$45),'Pre- and Production'!AQ$4:AQ$376)</f>
        <v>0</v>
      </c>
      <c r="N68" s="315">
        <f>SUMIF('Pre- and Production'!$T$4:$T$376, CONCATENATE(LEFT('WBS Summary by Year'!N$6,1),'WBS Summary by Year'!$C68,'WBS Summary by Year'!$B$45),'Pre- and Production'!AH$4:AH$376)</f>
        <v>0</v>
      </c>
      <c r="O68" s="316">
        <f>SUMIF('Pre- and Production'!$T$4:$T$376, CONCATENATE(LEFT('WBS Summary by Year'!O$6,1),'WBS Summary by Year'!$C68,'WBS Summary by Year'!$B$45),'Pre- and Production'!AR$4:AR$376)</f>
        <v>0</v>
      </c>
    </row>
    <row r="69" spans="3:15">
      <c r="C69" s="134" t="s">
        <v>411</v>
      </c>
      <c r="D69" s="26">
        <f>SUMIF('Pre- and Production'!$T$4:$T$376, CONCATENATE(LEFT('WBS Summary by Year'!D$6,1),'WBS Summary by Year'!$C69,'WBS Summary by Year'!$B$45),'Pre- and Production'!AC$4:AC$376)</f>
        <v>0</v>
      </c>
      <c r="E69" s="303">
        <f>SUMIF('Pre- and Production'!$T$4:$T$376, CONCATENATE(LEFT('WBS Summary by Year'!E$6,1),'WBS Summary by Year'!$C69,'WBS Summary by Year'!$B$45),'Pre- and Production'!AM$4:AM$376)</f>
        <v>0</v>
      </c>
      <c r="F69" s="26">
        <f>SUMIF('Pre- and Production'!$T$4:$T$376, CONCATENATE(LEFT('WBS Summary by Year'!F$6,1),'WBS Summary by Year'!$C69,'WBS Summary by Year'!$B$45),'Pre- and Production'!AD$4:AD$376)</f>
        <v>0</v>
      </c>
      <c r="G69" s="296">
        <f>SUMIF('Pre- and Production'!$T$4:$T$376, CONCATENATE(LEFT('WBS Summary by Year'!G$6,1),'WBS Summary by Year'!$C69,'WBS Summary by Year'!$B$45),'Pre- and Production'!AN$4:AN$376)</f>
        <v>0</v>
      </c>
      <c r="H69" s="307">
        <f>SUMIF('Pre- and Production'!$T$4:$T$376, CONCATENATE(LEFT('WBS Summary by Year'!H$6,1),'WBS Summary by Year'!$C69,'WBS Summary by Year'!$B$45),'Pre- and Production'!AE$4:AE$376)</f>
        <v>0</v>
      </c>
      <c r="I69" s="303">
        <f>SUMIF('Pre- and Production'!$T$4:$T$376, CONCATENATE(LEFT('WBS Summary by Year'!I$6,1),'WBS Summary by Year'!$C69,'WBS Summary by Year'!$B$45),'Pre- and Production'!AO$4:AO$376)</f>
        <v>0</v>
      </c>
      <c r="J69" s="26">
        <f>SUMIF('Pre- and Production'!$T$4:$T$376, CONCATENATE(LEFT('WBS Summary by Year'!J$6,1),'WBS Summary by Year'!$C69,'WBS Summary by Year'!$B$45),'Pre- and Production'!AF$4:AFI$376)</f>
        <v>0</v>
      </c>
      <c r="K69" s="296">
        <f>SUMIF('Pre- and Production'!$T$4:$T$376, CONCATENATE(LEFT('WBS Summary by Year'!K$6,1),'WBS Summary by Year'!$C69,'WBS Summary by Year'!$B$45),'Pre- and Production'!AP$4:AP$376)</f>
        <v>0</v>
      </c>
      <c r="L69" s="307">
        <f>SUMIF('Pre- and Production'!$T$4:$T$376, CONCATENATE(LEFT('WBS Summary by Year'!L$6,1),'WBS Summary by Year'!$C69,'WBS Summary by Year'!$B$45),'Pre- and Production'!AG$4:AG$376)</f>
        <v>0</v>
      </c>
      <c r="M69" s="303">
        <f>SUMIF('Pre- and Production'!$T$4:$T$376, CONCATENATE(LEFT('WBS Summary by Year'!M$6,1),'WBS Summary by Year'!$C69,'WBS Summary by Year'!$B$45),'Pre- and Production'!AQ$4:AQ$376)</f>
        <v>0</v>
      </c>
      <c r="N69" s="315">
        <f>SUMIF('Pre- and Production'!$T$4:$T$376, CONCATENATE(LEFT('WBS Summary by Year'!N$6,1),'WBS Summary by Year'!$C69,'WBS Summary by Year'!$B$45),'Pre- and Production'!AH$4:AH$376)</f>
        <v>0</v>
      </c>
      <c r="O69" s="316">
        <f>SUMIF('Pre- and Production'!$T$4:$T$376, CONCATENATE(LEFT('WBS Summary by Year'!O$6,1),'WBS Summary by Year'!$C69,'WBS Summary by Year'!$B$45),'Pre- and Production'!AR$4:AR$376)</f>
        <v>0</v>
      </c>
    </row>
    <row r="70" spans="3:15">
      <c r="C70" s="46" t="s">
        <v>412</v>
      </c>
      <c r="D70" s="26">
        <f>SUMIF('Pre- and Production'!$T$4:$T$376, CONCATENATE(LEFT('WBS Summary by Year'!D$6,1),'WBS Summary by Year'!$C70,'WBS Summary by Year'!$B$45),'Pre- and Production'!AC$4:AC$376)</f>
        <v>0</v>
      </c>
      <c r="E70" s="303">
        <f>SUMIF('Pre- and Production'!$T$4:$T$376, CONCATENATE(LEFT('WBS Summary by Year'!E$6,1),'WBS Summary by Year'!$C70,'WBS Summary by Year'!$B$45),'Pre- and Production'!AM$4:AM$376)</f>
        <v>0</v>
      </c>
      <c r="F70" s="26">
        <f>SUMIF('Pre- and Production'!$T$4:$T$376, CONCATENATE(LEFT('WBS Summary by Year'!F$6,1),'WBS Summary by Year'!$C70,'WBS Summary by Year'!$B$45),'Pre- and Production'!AD$4:AD$376)</f>
        <v>0</v>
      </c>
      <c r="G70" s="296">
        <f>SUMIF('Pre- and Production'!$T$4:$T$376, CONCATENATE(LEFT('WBS Summary by Year'!G$6,1),'WBS Summary by Year'!$C70,'WBS Summary by Year'!$B$45),'Pre- and Production'!AN$4:AN$376)</f>
        <v>0</v>
      </c>
      <c r="H70" s="307">
        <f>SUMIF('Pre- and Production'!$T$4:$T$376, CONCATENATE(LEFT('WBS Summary by Year'!H$6,1),'WBS Summary by Year'!$C70,'WBS Summary by Year'!$B$45),'Pre- and Production'!AE$4:AE$376)</f>
        <v>0</v>
      </c>
      <c r="I70" s="303">
        <f>SUMIF('Pre- and Production'!$T$4:$T$376, CONCATENATE(LEFT('WBS Summary by Year'!I$6,1),'WBS Summary by Year'!$C70,'WBS Summary by Year'!$B$45),'Pre- and Production'!AO$4:AO$376)</f>
        <v>0</v>
      </c>
      <c r="J70" s="26">
        <f>SUMIF('Pre- and Production'!$T$4:$T$376, CONCATENATE(LEFT('WBS Summary by Year'!J$6,1),'WBS Summary by Year'!$C70,'WBS Summary by Year'!$B$45),'Pre- and Production'!AF$4:AFI$376)</f>
        <v>0</v>
      </c>
      <c r="K70" s="296">
        <f>SUMIF('Pre- and Production'!$T$4:$T$376, CONCATENATE(LEFT('WBS Summary by Year'!K$6,1),'WBS Summary by Year'!$C70,'WBS Summary by Year'!$B$45),'Pre- and Production'!AP$4:AP$376)</f>
        <v>0</v>
      </c>
      <c r="L70" s="307">
        <f>SUMIF('Pre- and Production'!$T$4:$T$376, CONCATENATE(LEFT('WBS Summary by Year'!L$6,1),'WBS Summary by Year'!$C70,'WBS Summary by Year'!$B$45),'Pre- and Production'!AG$4:AG$376)</f>
        <v>0</v>
      </c>
      <c r="M70" s="303">
        <f>SUMIF('Pre- and Production'!$T$4:$T$376, CONCATENATE(LEFT('WBS Summary by Year'!M$6,1),'WBS Summary by Year'!$C70,'WBS Summary by Year'!$B$45),'Pre- and Production'!AQ$4:AQ$376)</f>
        <v>0</v>
      </c>
      <c r="N70" s="315">
        <f>SUMIF('Pre- and Production'!$T$4:$T$376, CONCATENATE(LEFT('WBS Summary by Year'!N$6,1),'WBS Summary by Year'!$C70,'WBS Summary by Year'!$B$45),'Pre- and Production'!AH$4:AH$376)</f>
        <v>0</v>
      </c>
      <c r="O70" s="316">
        <f>SUMIF('Pre- and Production'!$T$4:$T$376, CONCATENATE(LEFT('WBS Summary by Year'!O$6,1),'WBS Summary by Year'!$C70,'WBS Summary by Year'!$B$45),'Pre- and Production'!AR$4:AR$376)</f>
        <v>0</v>
      </c>
    </row>
    <row r="71" spans="3:15">
      <c r="C71" s="46" t="s">
        <v>413</v>
      </c>
      <c r="D71" s="26">
        <f>SUMIF('Pre- and Production'!$T$4:$T$376, CONCATENATE(LEFT('WBS Summary by Year'!D$6,1),'WBS Summary by Year'!$C71,'WBS Summary by Year'!$B$45),'Pre- and Production'!AC$4:AC$376)</f>
        <v>0</v>
      </c>
      <c r="E71" s="303">
        <f>SUMIF('Pre- and Production'!$T$4:$T$376, CONCATENATE(LEFT('WBS Summary by Year'!E$6,1),'WBS Summary by Year'!$C71,'WBS Summary by Year'!$B$45),'Pre- and Production'!AM$4:AM$376)</f>
        <v>0</v>
      </c>
      <c r="F71" s="26">
        <f>SUMIF('Pre- and Production'!$T$4:$T$376, CONCATENATE(LEFT('WBS Summary by Year'!F$6,1),'WBS Summary by Year'!$C71,'WBS Summary by Year'!$B$45),'Pre- and Production'!AD$4:AD$376)</f>
        <v>0</v>
      </c>
      <c r="G71" s="296">
        <f>SUMIF('Pre- and Production'!$T$4:$T$376, CONCATENATE(LEFT('WBS Summary by Year'!G$6,1),'WBS Summary by Year'!$C71,'WBS Summary by Year'!$B$45),'Pre- and Production'!AN$4:AN$376)</f>
        <v>0</v>
      </c>
      <c r="H71" s="307">
        <f>SUMIF('Pre- and Production'!$T$4:$T$376, CONCATENATE(LEFT('WBS Summary by Year'!H$6,1),'WBS Summary by Year'!$C71,'WBS Summary by Year'!$B$45),'Pre- and Production'!AE$4:AE$376)</f>
        <v>0</v>
      </c>
      <c r="I71" s="303">
        <f>SUMIF('Pre- and Production'!$T$4:$T$376, CONCATENATE(LEFT('WBS Summary by Year'!I$6,1),'WBS Summary by Year'!$C71,'WBS Summary by Year'!$B$45),'Pre- and Production'!AO$4:AO$376)</f>
        <v>0</v>
      </c>
      <c r="J71" s="26">
        <f>SUMIF('Pre- and Production'!$T$4:$T$376, CONCATENATE(LEFT('WBS Summary by Year'!J$6,1),'WBS Summary by Year'!$C71,'WBS Summary by Year'!$B$45),'Pre- and Production'!AF$4:AFI$376)</f>
        <v>0</v>
      </c>
      <c r="K71" s="296">
        <f>SUMIF('Pre- and Production'!$T$4:$T$376, CONCATENATE(LEFT('WBS Summary by Year'!K$6,1),'WBS Summary by Year'!$C71,'WBS Summary by Year'!$B$45),'Pre- and Production'!AP$4:AP$376)</f>
        <v>0</v>
      </c>
      <c r="L71" s="307">
        <f>SUMIF('Pre- and Production'!$T$4:$T$376, CONCATENATE(LEFT('WBS Summary by Year'!L$6,1),'WBS Summary by Year'!$C71,'WBS Summary by Year'!$B$45),'Pre- and Production'!AG$4:AG$376)</f>
        <v>0</v>
      </c>
      <c r="M71" s="303">
        <f>SUMIF('Pre- and Production'!$T$4:$T$376, CONCATENATE(LEFT('WBS Summary by Year'!M$6,1),'WBS Summary by Year'!$C71,'WBS Summary by Year'!$B$45),'Pre- and Production'!AQ$4:AQ$376)</f>
        <v>0</v>
      </c>
      <c r="N71" s="315">
        <f>SUMIF('Pre- and Production'!$T$4:$T$376, CONCATENATE(LEFT('WBS Summary by Year'!N$6,1),'WBS Summary by Year'!$C71,'WBS Summary by Year'!$B$45),'Pre- and Production'!AH$4:AH$376)</f>
        <v>0</v>
      </c>
      <c r="O71" s="316">
        <f>SUMIF('Pre- and Production'!$T$4:$T$376, CONCATENATE(LEFT('WBS Summary by Year'!O$6,1),'WBS Summary by Year'!$C71,'WBS Summary by Year'!$B$45),'Pre- and Production'!AR$4:AR$376)</f>
        <v>0</v>
      </c>
    </row>
    <row r="72" spans="3:15">
      <c r="C72" s="134" t="s">
        <v>414</v>
      </c>
      <c r="D72" s="26">
        <f>SUMIF('Pre- and Production'!$T$4:$T$376, CONCATENATE(LEFT('WBS Summary by Year'!D$6,1),'WBS Summary by Year'!$C72,'WBS Summary by Year'!$B$45),'Pre- and Production'!AC$4:AC$376)</f>
        <v>0</v>
      </c>
      <c r="E72" s="303">
        <f>SUMIF('Pre- and Production'!$T$4:$T$376, CONCATENATE(LEFT('WBS Summary by Year'!E$6,1),'WBS Summary by Year'!$C72,'WBS Summary by Year'!$B$45),'Pre- and Production'!AM$4:AM$376)</f>
        <v>0</v>
      </c>
      <c r="F72" s="26">
        <f>SUMIF('Pre- and Production'!$T$4:$T$376, CONCATENATE(LEFT('WBS Summary by Year'!F$6,1),'WBS Summary by Year'!$C72,'WBS Summary by Year'!$B$45),'Pre- and Production'!AD$4:AD$376)</f>
        <v>0</v>
      </c>
      <c r="G72" s="296">
        <f>SUMIF('Pre- and Production'!$T$4:$T$376, CONCATENATE(LEFT('WBS Summary by Year'!G$6,1),'WBS Summary by Year'!$C72,'WBS Summary by Year'!$B$45),'Pre- and Production'!AN$4:AN$376)</f>
        <v>0</v>
      </c>
      <c r="H72" s="307">
        <f>SUMIF('Pre- and Production'!$T$4:$T$376, CONCATENATE(LEFT('WBS Summary by Year'!H$6,1),'WBS Summary by Year'!$C72,'WBS Summary by Year'!$B$45),'Pre- and Production'!AE$4:AE$376)</f>
        <v>0</v>
      </c>
      <c r="I72" s="303">
        <f>SUMIF('Pre- and Production'!$T$4:$T$376, CONCATENATE(LEFT('WBS Summary by Year'!I$6,1),'WBS Summary by Year'!$C72,'WBS Summary by Year'!$B$45),'Pre- and Production'!AO$4:AO$376)</f>
        <v>0</v>
      </c>
      <c r="J72" s="26">
        <f>SUMIF('Pre- and Production'!$T$4:$T$376, CONCATENATE(LEFT('WBS Summary by Year'!J$6,1),'WBS Summary by Year'!$C72,'WBS Summary by Year'!$B$45),'Pre- and Production'!AF$4:AFI$376)</f>
        <v>0</v>
      </c>
      <c r="K72" s="296">
        <f>SUMIF('Pre- and Production'!$T$4:$T$376, CONCATENATE(LEFT('WBS Summary by Year'!K$6,1),'WBS Summary by Year'!$C72,'WBS Summary by Year'!$B$45),'Pre- and Production'!AP$4:AP$376)</f>
        <v>0</v>
      </c>
      <c r="L72" s="307">
        <f>SUMIF('Pre- and Production'!$T$4:$T$376, CONCATENATE(LEFT('WBS Summary by Year'!L$6,1),'WBS Summary by Year'!$C72,'WBS Summary by Year'!$B$45),'Pre- and Production'!AG$4:AG$376)</f>
        <v>0</v>
      </c>
      <c r="M72" s="303">
        <f>SUMIF('Pre- and Production'!$T$4:$T$376, CONCATENATE(LEFT('WBS Summary by Year'!M$6,1),'WBS Summary by Year'!$C72,'WBS Summary by Year'!$B$45),'Pre- and Production'!AQ$4:AQ$376)</f>
        <v>0</v>
      </c>
      <c r="N72" s="315">
        <f>SUMIF('Pre- and Production'!$T$4:$T$376, CONCATENATE(LEFT('WBS Summary by Year'!N$6,1),'WBS Summary by Year'!$C72,'WBS Summary by Year'!$B$45),'Pre- and Production'!AH$4:AH$376)</f>
        <v>0</v>
      </c>
      <c r="O72" s="316">
        <f>SUMIF('Pre- and Production'!$T$4:$T$376, CONCATENATE(LEFT('WBS Summary by Year'!O$6,1),'WBS Summary by Year'!$C72,'WBS Summary by Year'!$B$45),'Pre- and Production'!AR$4:AR$376)</f>
        <v>0</v>
      </c>
    </row>
    <row r="73" spans="3:15">
      <c r="C73" s="100" t="s">
        <v>449</v>
      </c>
      <c r="D73" s="26">
        <f>SUMIF('Pre- and Production'!$T$4:$T$376, CONCATENATE(LEFT('WBS Summary by Year'!D$6,1),'WBS Summary by Year'!$C73,'WBS Summary by Year'!$B$45),'Pre- and Production'!AC$4:AC$376)</f>
        <v>0</v>
      </c>
      <c r="E73" s="303">
        <f>SUMIF('Pre- and Production'!$T$4:$T$376, CONCATENATE(LEFT('WBS Summary by Year'!E$6,1),'WBS Summary by Year'!$C73,'WBS Summary by Year'!$B$45),'Pre- and Production'!AM$4:AM$376)</f>
        <v>0</v>
      </c>
      <c r="F73" s="26">
        <f>SUMIF('Pre- and Production'!$T$4:$T$376, CONCATENATE(LEFT('WBS Summary by Year'!F$6,1),'WBS Summary by Year'!$C73,'WBS Summary by Year'!$B$45),'Pre- and Production'!AD$4:AD$376)</f>
        <v>0</v>
      </c>
      <c r="G73" s="296">
        <f>SUMIF('Pre- and Production'!$T$4:$T$376, CONCATENATE(LEFT('WBS Summary by Year'!G$6,1),'WBS Summary by Year'!$C73,'WBS Summary by Year'!$B$45),'Pre- and Production'!AN$4:AN$376)</f>
        <v>0</v>
      </c>
      <c r="H73" s="307">
        <f>SUMIF('Pre- and Production'!$T$4:$T$376, CONCATENATE(LEFT('WBS Summary by Year'!H$6,1),'WBS Summary by Year'!$C73,'WBS Summary by Year'!$B$45),'Pre- and Production'!AE$4:AE$376)</f>
        <v>0</v>
      </c>
      <c r="I73" s="303">
        <f>SUMIF('Pre- and Production'!$T$4:$T$376, CONCATENATE(LEFT('WBS Summary by Year'!I$6,1),'WBS Summary by Year'!$C73,'WBS Summary by Year'!$B$45),'Pre- and Production'!AO$4:AO$376)</f>
        <v>0</v>
      </c>
      <c r="J73" s="26">
        <f>SUMIF('Pre- and Production'!$T$4:$T$376, CONCATENATE(LEFT('WBS Summary by Year'!J$6,1),'WBS Summary by Year'!$C73,'WBS Summary by Year'!$B$45),'Pre- and Production'!AF$4:AFI$376)</f>
        <v>0</v>
      </c>
      <c r="K73" s="296">
        <f>SUMIF('Pre- and Production'!$T$4:$T$376, CONCATENATE(LEFT('WBS Summary by Year'!K$6,1),'WBS Summary by Year'!$C73,'WBS Summary by Year'!$B$45),'Pre- and Production'!AP$4:AP$376)</f>
        <v>0</v>
      </c>
      <c r="L73" s="307">
        <f>SUMIF('Pre- and Production'!$T$4:$T$376, CONCATENATE(LEFT('WBS Summary by Year'!L$6,1),'WBS Summary by Year'!$C73,'WBS Summary by Year'!$B$45),'Pre- and Production'!AG$4:AG$376)</f>
        <v>0</v>
      </c>
      <c r="M73" s="303">
        <f>SUMIF('Pre- and Production'!$T$4:$T$376, CONCATENATE(LEFT('WBS Summary by Year'!M$6,1),'WBS Summary by Year'!$C73,'WBS Summary by Year'!$B$45),'Pre- and Production'!AQ$4:AQ$376)</f>
        <v>0</v>
      </c>
      <c r="N73" s="315">
        <f>SUMIF('Pre- and Production'!$T$4:$T$376, CONCATENATE(LEFT('WBS Summary by Year'!N$6,1),'WBS Summary by Year'!$C73,'WBS Summary by Year'!$B$45),'Pre- and Production'!AH$4:AH$376)</f>
        <v>0</v>
      </c>
      <c r="O73" s="316">
        <f>SUMIF('Pre- and Production'!$T$4:$T$376, CONCATENATE(LEFT('WBS Summary by Year'!O$6,1),'WBS Summary by Year'!$C73,'WBS Summary by Year'!$B$45),'Pre- and Production'!AR$4:AR$376)</f>
        <v>0</v>
      </c>
    </row>
    <row r="74" spans="3:15">
      <c r="C74" s="134" t="s">
        <v>450</v>
      </c>
      <c r="D74" s="26">
        <f>SUMIF('Pre- and Production'!$T$4:$T$376, CONCATENATE(LEFT('WBS Summary by Year'!D$6,1),'WBS Summary by Year'!$C74,'WBS Summary by Year'!$B$45),'Pre- and Production'!AC$4:AC$376)</f>
        <v>0</v>
      </c>
      <c r="E74" s="303">
        <f>SUMIF('Pre- and Production'!$T$4:$T$376, CONCATENATE(LEFT('WBS Summary by Year'!E$6,1),'WBS Summary by Year'!$C74,'WBS Summary by Year'!$B$45),'Pre- and Production'!AM$4:AM$376)</f>
        <v>0</v>
      </c>
      <c r="F74" s="26">
        <f>SUMIF('Pre- and Production'!$T$4:$T$376, CONCATENATE(LEFT('WBS Summary by Year'!F$6,1),'WBS Summary by Year'!$C74,'WBS Summary by Year'!$B$45),'Pre- and Production'!AD$4:AD$376)</f>
        <v>0</v>
      </c>
      <c r="G74" s="296">
        <f>SUMIF('Pre- and Production'!$T$4:$T$376, CONCATENATE(LEFT('WBS Summary by Year'!G$6,1),'WBS Summary by Year'!$C74,'WBS Summary by Year'!$B$45),'Pre- and Production'!AN$4:AN$376)</f>
        <v>0</v>
      </c>
      <c r="H74" s="307">
        <f>SUMIF('Pre- and Production'!$T$4:$T$376, CONCATENATE(LEFT('WBS Summary by Year'!H$6,1),'WBS Summary by Year'!$C74,'WBS Summary by Year'!$B$45),'Pre- and Production'!AE$4:AE$376)</f>
        <v>0</v>
      </c>
      <c r="I74" s="303">
        <f>SUMIF('Pre- and Production'!$T$4:$T$376, CONCATENATE(LEFT('WBS Summary by Year'!I$6,1),'WBS Summary by Year'!$C74,'WBS Summary by Year'!$B$45),'Pre- and Production'!AO$4:AO$376)</f>
        <v>0</v>
      </c>
      <c r="J74" s="26">
        <f>SUMIF('Pre- and Production'!$T$4:$T$376, CONCATENATE(LEFT('WBS Summary by Year'!J$6,1),'WBS Summary by Year'!$C74,'WBS Summary by Year'!$B$45),'Pre- and Production'!AF$4:AFI$376)</f>
        <v>0</v>
      </c>
      <c r="K74" s="296">
        <f>SUMIF('Pre- and Production'!$T$4:$T$376, CONCATENATE(LEFT('WBS Summary by Year'!K$6,1),'WBS Summary by Year'!$C74,'WBS Summary by Year'!$B$45),'Pre- and Production'!AP$4:AP$376)</f>
        <v>0</v>
      </c>
      <c r="L74" s="307">
        <f>SUMIF('Pre- and Production'!$T$4:$T$376, CONCATENATE(LEFT('WBS Summary by Year'!L$6,1),'WBS Summary by Year'!$C74,'WBS Summary by Year'!$B$45),'Pre- and Production'!AG$4:AG$376)</f>
        <v>0</v>
      </c>
      <c r="M74" s="303">
        <f>SUMIF('Pre- and Production'!$T$4:$T$376, CONCATENATE(LEFT('WBS Summary by Year'!M$6,1),'WBS Summary by Year'!$C74,'WBS Summary by Year'!$B$45),'Pre- and Production'!AQ$4:AQ$376)</f>
        <v>0</v>
      </c>
      <c r="N74" s="315">
        <f>SUMIF('Pre- and Production'!$T$4:$T$376, CONCATENATE(LEFT('WBS Summary by Year'!N$6,1),'WBS Summary by Year'!$C74,'WBS Summary by Year'!$B$45),'Pre- and Production'!AH$4:AH$376)</f>
        <v>0</v>
      </c>
      <c r="O74" s="316">
        <f>SUMIF('Pre- and Production'!$T$4:$T$376, CONCATENATE(LEFT('WBS Summary by Year'!O$6,1),'WBS Summary by Year'!$C74,'WBS Summary by Year'!$B$45),'Pre- and Production'!AR$4:AR$376)</f>
        <v>0</v>
      </c>
    </row>
    <row r="75" spans="3:15">
      <c r="C75" s="46" t="s">
        <v>451</v>
      </c>
      <c r="D75" s="26">
        <f>SUMIF('Pre- and Production'!$T$4:$T$376, CONCATENATE(LEFT('WBS Summary by Year'!D$6,1),'WBS Summary by Year'!$C75,'WBS Summary by Year'!$B$45),'Pre- and Production'!AC$4:AC$376)</f>
        <v>0</v>
      </c>
      <c r="E75" s="303">
        <f>SUMIF('Pre- and Production'!$T$4:$T$376, CONCATENATE(LEFT('WBS Summary by Year'!E$6,1),'WBS Summary by Year'!$C75,'WBS Summary by Year'!$B$45),'Pre- and Production'!AM$4:AM$376)</f>
        <v>0</v>
      </c>
      <c r="F75" s="26">
        <f>SUMIF('Pre- and Production'!$T$4:$T$376, CONCATENATE(LEFT('WBS Summary by Year'!F$6,1),'WBS Summary by Year'!$C75,'WBS Summary by Year'!$B$45),'Pre- and Production'!AD$4:AD$376)</f>
        <v>0</v>
      </c>
      <c r="G75" s="296">
        <f>SUMIF('Pre- and Production'!$T$4:$T$376, CONCATENATE(LEFT('WBS Summary by Year'!G$6,1),'WBS Summary by Year'!$C75,'WBS Summary by Year'!$B$45),'Pre- and Production'!AN$4:AN$376)</f>
        <v>0</v>
      </c>
      <c r="H75" s="307">
        <f>SUMIF('Pre- and Production'!$T$4:$T$376, CONCATENATE(LEFT('WBS Summary by Year'!H$6,1),'WBS Summary by Year'!$C75,'WBS Summary by Year'!$B$45),'Pre- and Production'!AE$4:AE$376)</f>
        <v>0</v>
      </c>
      <c r="I75" s="303">
        <f>SUMIF('Pre- and Production'!$T$4:$T$376, CONCATENATE(LEFT('WBS Summary by Year'!I$6,1),'WBS Summary by Year'!$C75,'WBS Summary by Year'!$B$45),'Pre- and Production'!AO$4:AO$376)</f>
        <v>0</v>
      </c>
      <c r="J75" s="26">
        <f>SUMIF('Pre- and Production'!$T$4:$T$376, CONCATENATE(LEFT('WBS Summary by Year'!J$6,1),'WBS Summary by Year'!$C75,'WBS Summary by Year'!$B$45),'Pre- and Production'!AF$4:AFI$376)</f>
        <v>0</v>
      </c>
      <c r="K75" s="296">
        <f>SUMIF('Pre- and Production'!$T$4:$T$376, CONCATENATE(LEFT('WBS Summary by Year'!K$6,1),'WBS Summary by Year'!$C75,'WBS Summary by Year'!$B$45),'Pre- and Production'!AP$4:AP$376)</f>
        <v>0</v>
      </c>
      <c r="L75" s="307">
        <f>SUMIF('Pre- and Production'!$T$4:$T$376, CONCATENATE(LEFT('WBS Summary by Year'!L$6,1),'WBS Summary by Year'!$C75,'WBS Summary by Year'!$B$45),'Pre- and Production'!AG$4:AG$376)</f>
        <v>0</v>
      </c>
      <c r="M75" s="303">
        <f>SUMIF('Pre- and Production'!$T$4:$T$376, CONCATENATE(LEFT('WBS Summary by Year'!M$6,1),'WBS Summary by Year'!$C75,'WBS Summary by Year'!$B$45),'Pre- and Production'!AQ$4:AQ$376)</f>
        <v>0</v>
      </c>
      <c r="N75" s="315">
        <f>SUMIF('Pre- and Production'!$T$4:$T$376, CONCATENATE(LEFT('WBS Summary by Year'!N$6,1),'WBS Summary by Year'!$C75,'WBS Summary by Year'!$B$45),'Pre- and Production'!AH$4:AH$376)</f>
        <v>0</v>
      </c>
      <c r="O75" s="316">
        <f>SUMIF('Pre- and Production'!$T$4:$T$376, CONCATENATE(LEFT('WBS Summary by Year'!O$6,1),'WBS Summary by Year'!$C75,'WBS Summary by Year'!$B$45),'Pre- and Production'!AR$4:AR$376)</f>
        <v>0</v>
      </c>
    </row>
    <row r="76" spans="3:15">
      <c r="C76" s="46" t="s">
        <v>452</v>
      </c>
      <c r="D76" s="26">
        <f>SUMIF('Pre- and Production'!$T$4:$T$376, CONCATENATE(LEFT('WBS Summary by Year'!D$6,1),'WBS Summary by Year'!$C76,'WBS Summary by Year'!$B$45),'Pre- and Production'!AC$4:AC$376)</f>
        <v>0</v>
      </c>
      <c r="E76" s="303">
        <f>SUMIF('Pre- and Production'!$T$4:$T$376, CONCATENATE(LEFT('WBS Summary by Year'!E$6,1),'WBS Summary by Year'!$C76,'WBS Summary by Year'!$B$45),'Pre- and Production'!AM$4:AM$376)</f>
        <v>0</v>
      </c>
      <c r="F76" s="26">
        <f>SUMIF('Pre- and Production'!$T$4:$T$376, CONCATENATE(LEFT('WBS Summary by Year'!F$6,1),'WBS Summary by Year'!$C76,'WBS Summary by Year'!$B$45),'Pre- and Production'!AD$4:AD$376)</f>
        <v>0</v>
      </c>
      <c r="G76" s="296">
        <f>SUMIF('Pre- and Production'!$T$4:$T$376, CONCATENATE(LEFT('WBS Summary by Year'!G$6,1),'WBS Summary by Year'!$C76,'WBS Summary by Year'!$B$45),'Pre- and Production'!AN$4:AN$376)</f>
        <v>0</v>
      </c>
      <c r="H76" s="307">
        <f>SUMIF('Pre- and Production'!$T$4:$T$376, CONCATENATE(LEFT('WBS Summary by Year'!H$6,1),'WBS Summary by Year'!$C76,'WBS Summary by Year'!$B$45),'Pre- and Production'!AE$4:AE$376)</f>
        <v>0</v>
      </c>
      <c r="I76" s="303">
        <f>SUMIF('Pre- and Production'!$T$4:$T$376, CONCATENATE(LEFT('WBS Summary by Year'!I$6,1),'WBS Summary by Year'!$C76,'WBS Summary by Year'!$B$45),'Pre- and Production'!AO$4:AO$376)</f>
        <v>0</v>
      </c>
      <c r="J76" s="26">
        <f>SUMIF('Pre- and Production'!$T$4:$T$376, CONCATENATE(LEFT('WBS Summary by Year'!J$6,1),'WBS Summary by Year'!$C76,'WBS Summary by Year'!$B$45),'Pre- and Production'!AF$4:AFI$376)</f>
        <v>0</v>
      </c>
      <c r="K76" s="296">
        <f>SUMIF('Pre- and Production'!$T$4:$T$376, CONCATENATE(LEFT('WBS Summary by Year'!K$6,1),'WBS Summary by Year'!$C76,'WBS Summary by Year'!$B$45),'Pre- and Production'!AP$4:AP$376)</f>
        <v>0</v>
      </c>
      <c r="L76" s="307">
        <f>SUMIF('Pre- and Production'!$T$4:$T$376, CONCATENATE(LEFT('WBS Summary by Year'!L$6,1),'WBS Summary by Year'!$C76,'WBS Summary by Year'!$B$45),'Pre- and Production'!AG$4:AG$376)</f>
        <v>0</v>
      </c>
      <c r="M76" s="303">
        <f>SUMIF('Pre- and Production'!$T$4:$T$376, CONCATENATE(LEFT('WBS Summary by Year'!M$6,1),'WBS Summary by Year'!$C76,'WBS Summary by Year'!$B$45),'Pre- and Production'!AQ$4:AQ$376)</f>
        <v>0</v>
      </c>
      <c r="N76" s="315">
        <f>SUMIF('Pre- and Production'!$T$4:$T$376, CONCATENATE(LEFT('WBS Summary by Year'!N$6,1),'WBS Summary by Year'!$C76,'WBS Summary by Year'!$B$45),'Pre- and Production'!AH$4:AH$376)</f>
        <v>0</v>
      </c>
      <c r="O76" s="316">
        <f>SUMIF('Pre- and Production'!$T$4:$T$376, CONCATENATE(LEFT('WBS Summary by Year'!O$6,1),'WBS Summary by Year'!$C76,'WBS Summary by Year'!$B$45),'Pre- and Production'!AR$4:AR$376)</f>
        <v>0</v>
      </c>
    </row>
    <row r="77" spans="3:15">
      <c r="C77" s="46" t="s">
        <v>453</v>
      </c>
      <c r="D77" s="26">
        <f>SUMIF('Pre- and Production'!$T$4:$T$376, CONCATENATE(LEFT('WBS Summary by Year'!D$6,1),'WBS Summary by Year'!$C77,'WBS Summary by Year'!$B$45),'Pre- and Production'!AC$4:AC$376)</f>
        <v>0</v>
      </c>
      <c r="E77" s="303">
        <f>SUMIF('Pre- and Production'!$T$4:$T$376, CONCATENATE(LEFT('WBS Summary by Year'!E$6,1),'WBS Summary by Year'!$C77,'WBS Summary by Year'!$B$45),'Pre- and Production'!AM$4:AM$376)</f>
        <v>0</v>
      </c>
      <c r="F77" s="26">
        <f>SUMIF('Pre- and Production'!$T$4:$T$376, CONCATENATE(LEFT('WBS Summary by Year'!F$6,1),'WBS Summary by Year'!$C77,'WBS Summary by Year'!$B$45),'Pre- and Production'!AD$4:AD$376)</f>
        <v>0</v>
      </c>
      <c r="G77" s="296">
        <f>SUMIF('Pre- and Production'!$T$4:$T$376, CONCATENATE(LEFT('WBS Summary by Year'!G$6,1),'WBS Summary by Year'!$C77,'WBS Summary by Year'!$B$45),'Pre- and Production'!AN$4:AN$376)</f>
        <v>0</v>
      </c>
      <c r="H77" s="307">
        <f>SUMIF('Pre- and Production'!$T$4:$T$376, CONCATENATE(LEFT('WBS Summary by Year'!H$6,1),'WBS Summary by Year'!$C77,'WBS Summary by Year'!$B$45),'Pre- and Production'!AE$4:AE$376)</f>
        <v>0</v>
      </c>
      <c r="I77" s="303">
        <f>SUMIF('Pre- and Production'!$T$4:$T$376, CONCATENATE(LEFT('WBS Summary by Year'!I$6,1),'WBS Summary by Year'!$C77,'WBS Summary by Year'!$B$45),'Pre- and Production'!AO$4:AO$376)</f>
        <v>0</v>
      </c>
      <c r="J77" s="26">
        <f>SUMIF('Pre- and Production'!$T$4:$T$376, CONCATENATE(LEFT('WBS Summary by Year'!J$6,1),'WBS Summary by Year'!$C77,'WBS Summary by Year'!$B$45),'Pre- and Production'!AF$4:AFI$376)</f>
        <v>0</v>
      </c>
      <c r="K77" s="296">
        <f>SUMIF('Pre- and Production'!$T$4:$T$376, CONCATENATE(LEFT('WBS Summary by Year'!K$6,1),'WBS Summary by Year'!$C77,'WBS Summary by Year'!$B$45),'Pre- and Production'!AP$4:AP$376)</f>
        <v>0</v>
      </c>
      <c r="L77" s="307">
        <f>SUMIF('Pre- and Production'!$T$4:$T$376, CONCATENATE(LEFT('WBS Summary by Year'!L$6,1),'WBS Summary by Year'!$C77,'WBS Summary by Year'!$B$45),'Pre- and Production'!AG$4:AG$376)</f>
        <v>0</v>
      </c>
      <c r="M77" s="303">
        <f>SUMIF('Pre- and Production'!$T$4:$T$376, CONCATENATE(LEFT('WBS Summary by Year'!M$6,1),'WBS Summary by Year'!$C77,'WBS Summary by Year'!$B$45),'Pre- and Production'!AQ$4:AQ$376)</f>
        <v>0</v>
      </c>
      <c r="N77" s="315">
        <f>SUMIF('Pre- and Production'!$T$4:$T$376, CONCATENATE(LEFT('WBS Summary by Year'!N$6,1),'WBS Summary by Year'!$C77,'WBS Summary by Year'!$B$45),'Pre- and Production'!AH$4:AH$376)</f>
        <v>0</v>
      </c>
      <c r="O77" s="316">
        <f>SUMIF('Pre- and Production'!$T$4:$T$376, CONCATENATE(LEFT('WBS Summary by Year'!O$6,1),'WBS Summary by Year'!$C77,'WBS Summary by Year'!$B$45),'Pre- and Production'!AR$4:AR$376)</f>
        <v>0</v>
      </c>
    </row>
    <row r="78" spans="3:15">
      <c r="C78" s="134" t="s">
        <v>459</v>
      </c>
      <c r="D78" s="26">
        <f>SUMIF('Pre- and Production'!$T$4:$T$376, CONCATENATE(LEFT('WBS Summary by Year'!D$6,1),'WBS Summary by Year'!$C78,'WBS Summary by Year'!$B$45),'Pre- and Production'!AC$4:AC$376)</f>
        <v>0</v>
      </c>
      <c r="E78" s="303">
        <f>SUMIF('Pre- and Production'!$T$4:$T$376, CONCATENATE(LEFT('WBS Summary by Year'!E$6,1),'WBS Summary by Year'!$C78,'WBS Summary by Year'!$B$45),'Pre- and Production'!AM$4:AM$376)</f>
        <v>0</v>
      </c>
      <c r="F78" s="26">
        <f>SUMIF('Pre- and Production'!$T$4:$T$376, CONCATENATE(LEFT('WBS Summary by Year'!F$6,1),'WBS Summary by Year'!$C78,'WBS Summary by Year'!$B$45),'Pre- and Production'!AD$4:AD$376)</f>
        <v>0</v>
      </c>
      <c r="G78" s="296">
        <f>SUMIF('Pre- and Production'!$T$4:$T$376, CONCATENATE(LEFT('WBS Summary by Year'!G$6,1),'WBS Summary by Year'!$C78,'WBS Summary by Year'!$B$45),'Pre- and Production'!AN$4:AN$376)</f>
        <v>0</v>
      </c>
      <c r="H78" s="307">
        <f>SUMIF('Pre- and Production'!$T$4:$T$376, CONCATENATE(LEFT('WBS Summary by Year'!H$6,1),'WBS Summary by Year'!$C78,'WBS Summary by Year'!$B$45),'Pre- and Production'!AE$4:AE$376)</f>
        <v>0</v>
      </c>
      <c r="I78" s="303">
        <f>SUMIF('Pre- and Production'!$T$4:$T$376, CONCATENATE(LEFT('WBS Summary by Year'!I$6,1),'WBS Summary by Year'!$C78,'WBS Summary by Year'!$B$45),'Pre- and Production'!AO$4:AO$376)</f>
        <v>0</v>
      </c>
      <c r="J78" s="26">
        <f>SUMIF('Pre- and Production'!$T$4:$T$376, CONCATENATE(LEFT('WBS Summary by Year'!J$6,1),'WBS Summary by Year'!$C78,'WBS Summary by Year'!$B$45),'Pre- and Production'!AF$4:AFI$376)</f>
        <v>0</v>
      </c>
      <c r="K78" s="296">
        <f>SUMIF('Pre- and Production'!$T$4:$T$376, CONCATENATE(LEFT('WBS Summary by Year'!K$6,1),'WBS Summary by Year'!$C78,'WBS Summary by Year'!$B$45),'Pre- and Production'!AP$4:AP$376)</f>
        <v>0</v>
      </c>
      <c r="L78" s="307">
        <f>SUMIF('Pre- and Production'!$T$4:$T$376, CONCATENATE(LEFT('WBS Summary by Year'!L$6,1),'WBS Summary by Year'!$C78,'WBS Summary by Year'!$B$45),'Pre- and Production'!AG$4:AG$376)</f>
        <v>0</v>
      </c>
      <c r="M78" s="303">
        <f>SUMIF('Pre- and Production'!$T$4:$T$376, CONCATENATE(LEFT('WBS Summary by Year'!M$6,1),'WBS Summary by Year'!$C78,'WBS Summary by Year'!$B$45),'Pre- and Production'!AQ$4:AQ$376)</f>
        <v>0</v>
      </c>
      <c r="N78" s="315">
        <f>SUMIF('Pre- and Production'!$T$4:$T$376, CONCATENATE(LEFT('WBS Summary by Year'!N$6,1),'WBS Summary by Year'!$C78,'WBS Summary by Year'!$B$45),'Pre- and Production'!AH$4:AH$376)</f>
        <v>0</v>
      </c>
      <c r="O78" s="316">
        <f>SUMIF('Pre- and Production'!$T$4:$T$376, CONCATENATE(LEFT('WBS Summary by Year'!O$6,1),'WBS Summary by Year'!$C78,'WBS Summary by Year'!$B$45),'Pre- and Production'!AR$4:AR$376)</f>
        <v>0</v>
      </c>
    </row>
    <row r="79" spans="3:15">
      <c r="C79" s="46" t="s">
        <v>460</v>
      </c>
      <c r="D79" s="26">
        <f>SUMIF('Pre- and Production'!$T$4:$T$376, CONCATENATE(LEFT('WBS Summary by Year'!D$6,1),'WBS Summary by Year'!$C79,'WBS Summary by Year'!$B$45),'Pre- and Production'!AC$4:AC$376)</f>
        <v>0</v>
      </c>
      <c r="E79" s="303">
        <f>SUMIF('Pre- and Production'!$T$4:$T$376, CONCATENATE(LEFT('WBS Summary by Year'!E$6,1),'WBS Summary by Year'!$C79,'WBS Summary by Year'!$B$45),'Pre- and Production'!AM$4:AM$376)</f>
        <v>0</v>
      </c>
      <c r="F79" s="26">
        <f>SUMIF('Pre- and Production'!$T$4:$T$376, CONCATENATE(LEFT('WBS Summary by Year'!F$6,1),'WBS Summary by Year'!$C79,'WBS Summary by Year'!$B$45),'Pre- and Production'!AD$4:AD$376)</f>
        <v>0</v>
      </c>
      <c r="G79" s="296">
        <f>SUMIF('Pre- and Production'!$T$4:$T$376, CONCATENATE(LEFT('WBS Summary by Year'!G$6,1),'WBS Summary by Year'!$C79,'WBS Summary by Year'!$B$45),'Pre- and Production'!AN$4:AN$376)</f>
        <v>0</v>
      </c>
      <c r="H79" s="307">
        <f>SUMIF('Pre- and Production'!$T$4:$T$376, CONCATENATE(LEFT('WBS Summary by Year'!H$6,1),'WBS Summary by Year'!$C79,'WBS Summary by Year'!$B$45),'Pre- and Production'!AE$4:AE$376)</f>
        <v>0</v>
      </c>
      <c r="I79" s="303">
        <f>SUMIF('Pre- and Production'!$T$4:$T$376, CONCATENATE(LEFT('WBS Summary by Year'!I$6,1),'WBS Summary by Year'!$C79,'WBS Summary by Year'!$B$45),'Pre- and Production'!AO$4:AO$376)</f>
        <v>0</v>
      </c>
      <c r="J79" s="26">
        <f>SUMIF('Pre- and Production'!$T$4:$T$376, CONCATENATE(LEFT('WBS Summary by Year'!J$6,1),'WBS Summary by Year'!$C79,'WBS Summary by Year'!$B$45),'Pre- and Production'!AF$4:AFI$376)</f>
        <v>0</v>
      </c>
      <c r="K79" s="296">
        <f>SUMIF('Pre- and Production'!$T$4:$T$376, CONCATENATE(LEFT('WBS Summary by Year'!K$6,1),'WBS Summary by Year'!$C79,'WBS Summary by Year'!$B$45),'Pre- and Production'!AP$4:AP$376)</f>
        <v>0</v>
      </c>
      <c r="L79" s="307">
        <f>SUMIF('Pre- and Production'!$T$4:$T$376, CONCATENATE(LEFT('WBS Summary by Year'!L$6,1),'WBS Summary by Year'!$C79,'WBS Summary by Year'!$B$45),'Pre- and Production'!AG$4:AG$376)</f>
        <v>0</v>
      </c>
      <c r="M79" s="303">
        <f>SUMIF('Pre- and Production'!$T$4:$T$376, CONCATENATE(LEFT('WBS Summary by Year'!M$6,1),'WBS Summary by Year'!$C79,'WBS Summary by Year'!$B$45),'Pre- and Production'!AQ$4:AQ$376)</f>
        <v>0</v>
      </c>
      <c r="N79" s="315">
        <f>SUMIF('Pre- and Production'!$T$4:$T$376, CONCATENATE(LEFT('WBS Summary by Year'!N$6,1),'WBS Summary by Year'!$C79,'WBS Summary by Year'!$B$45),'Pre- and Production'!AH$4:AH$376)</f>
        <v>0</v>
      </c>
      <c r="O79" s="316">
        <f>SUMIF('Pre- and Production'!$T$4:$T$376, CONCATENATE(LEFT('WBS Summary by Year'!O$6,1),'WBS Summary by Year'!$C79,'WBS Summary by Year'!$B$45),'Pre- and Production'!AR$4:AR$376)</f>
        <v>0</v>
      </c>
    </row>
    <row r="80" spans="3:15">
      <c r="C80" s="46" t="s">
        <v>461</v>
      </c>
      <c r="D80" s="26">
        <f>SUMIF('Pre- and Production'!$T$4:$T$376, CONCATENATE(LEFT('WBS Summary by Year'!D$6,1),'WBS Summary by Year'!$C80,'WBS Summary by Year'!$B$45),'Pre- and Production'!AC$4:AC$376)</f>
        <v>0</v>
      </c>
      <c r="E80" s="303">
        <f>SUMIF('Pre- and Production'!$T$4:$T$376, CONCATENATE(LEFT('WBS Summary by Year'!E$6,1),'WBS Summary by Year'!$C80,'WBS Summary by Year'!$B$45),'Pre- and Production'!AM$4:AM$376)</f>
        <v>0</v>
      </c>
      <c r="F80" s="26">
        <f>SUMIF('Pre- and Production'!$T$4:$T$376, CONCATENATE(LEFT('WBS Summary by Year'!F$6,1),'WBS Summary by Year'!$C80,'WBS Summary by Year'!$B$45),'Pre- and Production'!AD$4:AD$376)</f>
        <v>0</v>
      </c>
      <c r="G80" s="296">
        <f>SUMIF('Pre- and Production'!$T$4:$T$376, CONCATENATE(LEFT('WBS Summary by Year'!G$6,1),'WBS Summary by Year'!$C80,'WBS Summary by Year'!$B$45),'Pre- and Production'!AN$4:AN$376)</f>
        <v>0</v>
      </c>
      <c r="H80" s="307">
        <f>SUMIF('Pre- and Production'!$T$4:$T$376, CONCATENATE(LEFT('WBS Summary by Year'!H$6,1),'WBS Summary by Year'!$C80,'WBS Summary by Year'!$B$45),'Pre- and Production'!AE$4:AE$376)</f>
        <v>0</v>
      </c>
      <c r="I80" s="303">
        <f>SUMIF('Pre- and Production'!$T$4:$T$376, CONCATENATE(LEFT('WBS Summary by Year'!I$6,1),'WBS Summary by Year'!$C80,'WBS Summary by Year'!$B$45),'Pre- and Production'!AO$4:AO$376)</f>
        <v>0</v>
      </c>
      <c r="J80" s="26">
        <f>SUMIF('Pre- and Production'!$T$4:$T$376, CONCATENATE(LEFT('WBS Summary by Year'!J$6,1),'WBS Summary by Year'!$C80,'WBS Summary by Year'!$B$45),'Pre- and Production'!AF$4:AFI$376)</f>
        <v>0</v>
      </c>
      <c r="K80" s="296">
        <f>SUMIF('Pre- and Production'!$T$4:$T$376, CONCATENATE(LEFT('WBS Summary by Year'!K$6,1),'WBS Summary by Year'!$C80,'WBS Summary by Year'!$B$45),'Pre- and Production'!AP$4:AP$376)</f>
        <v>0</v>
      </c>
      <c r="L80" s="307">
        <f>SUMIF('Pre- and Production'!$T$4:$T$376, CONCATENATE(LEFT('WBS Summary by Year'!L$6,1),'WBS Summary by Year'!$C80,'WBS Summary by Year'!$B$45),'Pre- and Production'!AG$4:AG$376)</f>
        <v>0</v>
      </c>
      <c r="M80" s="303">
        <f>SUMIF('Pre- and Production'!$T$4:$T$376, CONCATENATE(LEFT('WBS Summary by Year'!M$6,1),'WBS Summary by Year'!$C80,'WBS Summary by Year'!$B$45),'Pre- and Production'!AQ$4:AQ$376)</f>
        <v>0</v>
      </c>
      <c r="N80" s="315">
        <f>SUMIF('Pre- and Production'!$T$4:$T$376, CONCATENATE(LEFT('WBS Summary by Year'!N$6,1),'WBS Summary by Year'!$C80,'WBS Summary by Year'!$B$45),'Pre- and Production'!AH$4:AH$376)</f>
        <v>0</v>
      </c>
      <c r="O80" s="316">
        <f>SUMIF('Pre- and Production'!$T$4:$T$376, CONCATENATE(LEFT('WBS Summary by Year'!O$6,1),'WBS Summary by Year'!$C80,'WBS Summary by Year'!$B$45),'Pre- and Production'!AR$4:AR$376)</f>
        <v>0</v>
      </c>
    </row>
    <row r="81" spans="2:15" ht="13.5" thickBot="1">
      <c r="C81" s="46" t="s">
        <v>462</v>
      </c>
      <c r="D81" s="297">
        <f>SUMIF('Pre- and Production'!$T$4:$T$376, CONCATENATE(LEFT('WBS Summary by Year'!D$6,1),'WBS Summary by Year'!$C81,'WBS Summary by Year'!$B$45),'Pre- and Production'!AC$4:AC$376)</f>
        <v>0</v>
      </c>
      <c r="E81" s="304">
        <f>SUMIF('Pre- and Production'!$T$4:$T$376, CONCATENATE(LEFT('WBS Summary by Year'!E$6,1),'WBS Summary by Year'!$C81,'WBS Summary by Year'!$B$45),'Pre- and Production'!AM$4:AM$376)</f>
        <v>0</v>
      </c>
      <c r="F81" s="297">
        <f>SUMIF('Pre- and Production'!$T$4:$T$376, CONCATENATE(LEFT('WBS Summary by Year'!F$6,1),'WBS Summary by Year'!$C81,'WBS Summary by Year'!$B$45),'Pre- and Production'!AD$4:AD$376)</f>
        <v>0</v>
      </c>
      <c r="G81" s="298">
        <f>SUMIF('Pre- and Production'!$T$4:$T$376, CONCATENATE(LEFT('WBS Summary by Year'!G$6,1),'WBS Summary by Year'!$C81,'WBS Summary by Year'!$B$45),'Pre- and Production'!AN$4:AN$376)</f>
        <v>0</v>
      </c>
      <c r="H81" s="308">
        <f>SUMIF('Pre- and Production'!$T$4:$T$376, CONCATENATE(LEFT('WBS Summary by Year'!H$6,1),'WBS Summary by Year'!$C81,'WBS Summary by Year'!$B$45),'Pre- and Production'!AE$4:AE$376)</f>
        <v>0</v>
      </c>
      <c r="I81" s="304">
        <f>SUMIF('Pre- and Production'!$T$4:$T$376, CONCATENATE(LEFT('WBS Summary by Year'!I$6,1),'WBS Summary by Year'!$C81,'WBS Summary by Year'!$B$45),'Pre- and Production'!AO$4:AO$376)</f>
        <v>0</v>
      </c>
      <c r="J81" s="297">
        <f>SUMIF('Pre- and Production'!$T$4:$T$376, CONCATENATE(LEFT('WBS Summary by Year'!J$6,1),'WBS Summary by Year'!$C81,'WBS Summary by Year'!$B$45),'Pre- and Production'!AF$4:AFI$376)</f>
        <v>0</v>
      </c>
      <c r="K81" s="298">
        <f>SUMIF('Pre- and Production'!$T$4:$T$376, CONCATENATE(LEFT('WBS Summary by Year'!K$6,1),'WBS Summary by Year'!$C81,'WBS Summary by Year'!$B$45),'Pre- and Production'!AP$4:AP$376)</f>
        <v>0</v>
      </c>
      <c r="L81" s="308">
        <f>SUMIF('Pre- and Production'!$T$4:$T$376, CONCATENATE(LEFT('WBS Summary by Year'!L$6,1),'WBS Summary by Year'!$C81,'WBS Summary by Year'!$B$45),'Pre- and Production'!AG$4:AG$376)</f>
        <v>0</v>
      </c>
      <c r="M81" s="304">
        <f>SUMIF('Pre- and Production'!$T$4:$T$376, CONCATENATE(LEFT('WBS Summary by Year'!M$6,1),'WBS Summary by Year'!$C81,'WBS Summary by Year'!$B$45),'Pre- and Production'!AQ$4:AQ$376)</f>
        <v>0</v>
      </c>
      <c r="N81" s="317">
        <f>SUMIF('Pre- and Production'!$T$4:$T$376, CONCATENATE(LEFT('WBS Summary by Year'!N$6,1),'WBS Summary by Year'!$C81,'WBS Summary by Year'!$B$45),'Pre- and Production'!AH$4:AH$376)</f>
        <v>0</v>
      </c>
      <c r="O81" s="318">
        <f>SUMIF('Pre- and Production'!$T$4:$T$376, CONCATENATE(LEFT('WBS Summary by Year'!O$6,1),'WBS Summary by Year'!$C81,'WBS Summary by Year'!$B$45),'Pre- and Production'!AR$4:AR$376)</f>
        <v>0</v>
      </c>
    </row>
    <row r="82" spans="2:15" ht="13.5" thickTop="1"/>
    <row r="83" spans="2:15">
      <c r="D83">
        <f>SUM(D48:D81)</f>
        <v>234</v>
      </c>
      <c r="E83">
        <f t="shared" ref="E83:O83" si="3">SUM(E48:E81)</f>
        <v>48</v>
      </c>
      <c r="F83">
        <f t="shared" si="3"/>
        <v>721</v>
      </c>
      <c r="G83">
        <f t="shared" si="3"/>
        <v>32</v>
      </c>
      <c r="H83">
        <f t="shared" si="3"/>
        <v>108</v>
      </c>
      <c r="I83">
        <f t="shared" si="3"/>
        <v>0</v>
      </c>
      <c r="J83">
        <f t="shared" si="3"/>
        <v>1115</v>
      </c>
      <c r="K83">
        <f t="shared" si="3"/>
        <v>12</v>
      </c>
      <c r="L83">
        <f t="shared" si="3"/>
        <v>0</v>
      </c>
      <c r="M83">
        <f t="shared" si="3"/>
        <v>0</v>
      </c>
      <c r="N83" s="310">
        <f t="shared" si="3"/>
        <v>31556.5</v>
      </c>
      <c r="O83" s="310">
        <f t="shared" si="3"/>
        <v>153</v>
      </c>
    </row>
    <row r="84" spans="2:15">
      <c r="C84" s="352" t="s">
        <v>401</v>
      </c>
      <c r="D84" s="346">
        <f>D83/1720</f>
        <v>0.13604651162790699</v>
      </c>
      <c r="E84" s="346">
        <f t="shared" ref="E84:I84" si="4">E83/1720</f>
        <v>2.7906976744186046E-2</v>
      </c>
      <c r="F84" s="346">
        <f t="shared" si="4"/>
        <v>0.41918604651162789</v>
      </c>
      <c r="G84" s="346">
        <f t="shared" si="4"/>
        <v>1.8604651162790697E-2</v>
      </c>
      <c r="H84" s="346">
        <f t="shared" si="4"/>
        <v>6.2790697674418611E-2</v>
      </c>
      <c r="I84" s="346">
        <f t="shared" si="4"/>
        <v>0</v>
      </c>
      <c r="J84" s="346">
        <f>J83/1720</f>
        <v>0.64825581395348841</v>
      </c>
      <c r="K84" s="346">
        <f t="shared" ref="K84:M84" si="5">K83/1720</f>
        <v>6.9767441860465115E-3</v>
      </c>
      <c r="L84" s="346">
        <f t="shared" si="5"/>
        <v>0</v>
      </c>
      <c r="M84" s="346">
        <f t="shared" si="5"/>
        <v>0</v>
      </c>
    </row>
    <row r="85" spans="2:15">
      <c r="C85" s="352" t="s">
        <v>402</v>
      </c>
      <c r="D85" s="348">
        <f>D83*Shop</f>
        <v>23882.04</v>
      </c>
      <c r="E85" s="348">
        <f>E83*Shop</f>
        <v>4898.88</v>
      </c>
      <c r="F85" s="348">
        <f>F83*M_Tech</f>
        <v>68329.170000000013</v>
      </c>
      <c r="G85" s="348">
        <f>G83*M_Tech</f>
        <v>3032.6400000000003</v>
      </c>
      <c r="H85" s="348">
        <f>H84*CMM</f>
        <v>6.408418604651164</v>
      </c>
      <c r="I85" s="348">
        <f>I83*CMM</f>
        <v>0</v>
      </c>
      <c r="J85" s="348">
        <f>J83*ENG</f>
        <v>135472.50000000003</v>
      </c>
      <c r="K85" s="348">
        <f>K83*ENG</f>
        <v>1458.0000000000002</v>
      </c>
      <c r="L85" s="348">
        <f>L83*DES</f>
        <v>0</v>
      </c>
      <c r="M85" s="348">
        <f>M83*DES</f>
        <v>0</v>
      </c>
    </row>
    <row r="86" spans="2:15" ht="18.75" thickBot="1">
      <c r="B86" s="309">
        <v>2011</v>
      </c>
    </row>
    <row r="87" spans="2:15" ht="13.5" thickTop="1">
      <c r="D87" s="396" t="s">
        <v>41</v>
      </c>
      <c r="E87" s="397"/>
      <c r="F87" s="396" t="s">
        <v>380</v>
      </c>
      <c r="G87" s="398"/>
      <c r="H87" s="399" t="s">
        <v>37</v>
      </c>
      <c r="I87" s="397"/>
      <c r="J87" s="396" t="s">
        <v>381</v>
      </c>
      <c r="K87" s="398"/>
      <c r="L87" s="399" t="s">
        <v>31</v>
      </c>
      <c r="M87" s="397"/>
      <c r="N87" s="394" t="s">
        <v>382</v>
      </c>
      <c r="O87" s="395"/>
    </row>
    <row r="88" spans="2:15" ht="13.5" thickBot="1">
      <c r="D88" s="299" t="s">
        <v>70</v>
      </c>
      <c r="E88" s="301" t="s">
        <v>383</v>
      </c>
      <c r="F88" s="299" t="s">
        <v>70</v>
      </c>
      <c r="G88" s="300" t="s">
        <v>383</v>
      </c>
      <c r="H88" s="305" t="s">
        <v>70</v>
      </c>
      <c r="I88" s="301" t="s">
        <v>383</v>
      </c>
      <c r="J88" s="299" t="s">
        <v>70</v>
      </c>
      <c r="K88" s="300" t="s">
        <v>383</v>
      </c>
      <c r="L88" s="305" t="s">
        <v>70</v>
      </c>
      <c r="M88" s="301" t="s">
        <v>383</v>
      </c>
      <c r="N88" s="311" t="s">
        <v>70</v>
      </c>
      <c r="O88" s="312" t="s">
        <v>383</v>
      </c>
    </row>
    <row r="89" spans="2:15" ht="13.5" thickTop="1">
      <c r="C89" s="20" t="s">
        <v>180</v>
      </c>
      <c r="D89" s="294">
        <f>SUMIF('Pre- and Production'!$T$4:$T$376, CONCATENATE(LEFT('WBS Summary by Year'!D$6,1),'WBS Summary by Year'!$C89,'WBS Summary by Year'!$B$86),'Pre- and Production'!AC$4:AC$376)</f>
        <v>0</v>
      </c>
      <c r="E89" s="302">
        <f>SUMIF('Pre- and Production'!$T$4:$T$376, CONCATENATE(LEFT('WBS Summary by Year'!E$6,1),'WBS Summary by Year'!$C89,'WBS Summary by Year'!$B$86),'Pre- and Production'!AM$4:AM$376)</f>
        <v>0</v>
      </c>
      <c r="F89" s="294">
        <f>SUMIF('Pre- and Production'!$T$4:$T$376, CONCATENATE(LEFT('WBS Summary by Year'!F$6,1),'WBS Summary by Year'!$C89,'WBS Summary by Year'!$B$86),'Pre- and Production'!AD$4:AD$376)</f>
        <v>5</v>
      </c>
      <c r="G89" s="295">
        <f>SUMIF('Pre- and Production'!$T$4:$T$376, CONCATENATE(LEFT('WBS Summary by Year'!G$6,1),'WBS Summary by Year'!$C89,'WBS Summary by Year'!$B$86),'Pre- and Production'!AN$4:AN$376)</f>
        <v>0</v>
      </c>
      <c r="H89" s="306">
        <f>SUMIF('Pre- and Production'!$T$4:$T$376, CONCATENATE(LEFT('WBS Summary by Year'!H$6,1),'WBS Summary by Year'!$C89,'WBS Summary by Year'!$B$86),'Pre- and Production'!AE$4:AE$376)</f>
        <v>0</v>
      </c>
      <c r="I89" s="302">
        <f>SUMIF('Pre- and Production'!$T$4:$T$376, CONCATENATE(LEFT('WBS Summary by Year'!I$6,1),'WBS Summary by Year'!$C89,'WBS Summary by Year'!$B$86),'Pre- and Production'!AO$4:AO$376)</f>
        <v>0</v>
      </c>
      <c r="J89" s="294">
        <f>SUMIF('Pre- and Production'!$T$4:$T$376, CONCATENATE(LEFT('WBS Summary by Year'!J$6,1),'WBS Summary by Year'!$C89,'WBS Summary by Year'!$B$86),'Pre- and Production'!AF$4:AFI$376)</f>
        <v>0</v>
      </c>
      <c r="K89" s="295">
        <f>SUMIF('Pre- and Production'!$T$4:$T$376, CONCATENATE(LEFT('WBS Summary by Year'!K$6,1),'WBS Summary by Year'!$C89,'WBS Summary by Year'!$B$86),'Pre- and Production'!AP$4:AP$376)</f>
        <v>0</v>
      </c>
      <c r="L89" s="306">
        <f>SUMIF('Pre- and Production'!$T$4:$T$376, CONCATENATE(LEFT('WBS Summary by Year'!L$6,1),'WBS Summary by Year'!$C89,'WBS Summary by Year'!$B$86),'Pre- and Production'!AG$4:AG$376)</f>
        <v>0</v>
      </c>
      <c r="M89" s="302">
        <f>SUMIF('Pre- and Production'!$T$4:$T$376, CONCATENATE(LEFT('WBS Summary by Year'!M$6,1),'WBS Summary by Year'!$C89,'WBS Summary by Year'!$B$86),'Pre- and Production'!AQ$4:AQ$376)</f>
        <v>0</v>
      </c>
      <c r="N89" s="313">
        <f ca="1">SUMIF('Pre- and Production'!$T$4:$T$376, CONCATENATE(LEFT('WBS Summary by Year'!N$6,1),'WBS Summary by Year'!$C89,'WBS Summary by Year'!$B$86),'Pre- and Production'!AH$4:AH$376)</f>
        <v>4207.5</v>
      </c>
      <c r="O89" s="314">
        <f>SUMIF('Pre- and Production'!$T$4:$T$376, CONCATENATE(LEFT('WBS Summary by Year'!O$6,1),'WBS Summary by Year'!$C89,'WBS Summary by Year'!$B$86),'Pre- and Production'!AR$4:AR$376)</f>
        <v>0</v>
      </c>
    </row>
    <row r="90" spans="2:15">
      <c r="C90" s="134" t="s">
        <v>182</v>
      </c>
      <c r="D90" s="26">
        <f>SUMIF('Pre- and Production'!$T$4:$T$376, CONCATENATE(LEFT('WBS Summary by Year'!D$6,1),'WBS Summary by Year'!$C90,'WBS Summary by Year'!$B$86),'Pre- and Production'!AC$4:AC$376)</f>
        <v>0</v>
      </c>
      <c r="E90" s="303">
        <f>SUMIF('Pre- and Production'!$T$4:$T$376, CONCATENATE(LEFT('WBS Summary by Year'!E$6,1),'WBS Summary by Year'!$C90,'WBS Summary by Year'!$B$86),'Pre- and Production'!AM$4:AM$376)</f>
        <v>0</v>
      </c>
      <c r="F90" s="26">
        <f>SUMIF('Pre- and Production'!$T$4:$T$376, CONCATENATE(LEFT('WBS Summary by Year'!F$6,1),'WBS Summary by Year'!$C90,'WBS Summary by Year'!$B$86),'Pre- and Production'!AD$4:AD$376)</f>
        <v>0</v>
      </c>
      <c r="G90" s="296">
        <f>SUMIF('Pre- and Production'!$T$4:$T$376, CONCATENATE(LEFT('WBS Summary by Year'!G$6,1),'WBS Summary by Year'!$C90,'WBS Summary by Year'!$B$86),'Pre- and Production'!AN$4:AN$376)</f>
        <v>0</v>
      </c>
      <c r="H90" s="307">
        <f>SUMIF('Pre- and Production'!$T$4:$T$376, CONCATENATE(LEFT('WBS Summary by Year'!H$6,1),'WBS Summary by Year'!$C90,'WBS Summary by Year'!$B$86),'Pre- and Production'!AE$4:AE$376)</f>
        <v>0</v>
      </c>
      <c r="I90" s="303">
        <f>SUMIF('Pre- and Production'!$T$4:$T$376, CONCATENATE(LEFT('WBS Summary by Year'!I$6,1),'WBS Summary by Year'!$C90,'WBS Summary by Year'!$B$86),'Pre- and Production'!AO$4:AO$376)</f>
        <v>0</v>
      </c>
      <c r="J90" s="26">
        <f>SUMIF('Pre- and Production'!$T$4:$T$376, CONCATENATE(LEFT('WBS Summary by Year'!J$6,1),'WBS Summary by Year'!$C90,'WBS Summary by Year'!$B$86),'Pre- and Production'!AF$4:AFI$376)</f>
        <v>0</v>
      </c>
      <c r="K90" s="296">
        <f>SUMIF('Pre- and Production'!$T$4:$T$376, CONCATENATE(LEFT('WBS Summary by Year'!K$6,1),'WBS Summary by Year'!$C90,'WBS Summary by Year'!$B$86),'Pre- and Production'!AP$4:AP$376)</f>
        <v>0</v>
      </c>
      <c r="L90" s="307">
        <f>SUMIF('Pre- and Production'!$T$4:$T$376, CONCATENATE(LEFT('WBS Summary by Year'!L$6,1),'WBS Summary by Year'!$C90,'WBS Summary by Year'!$B$86),'Pre- and Production'!AG$4:AG$376)</f>
        <v>0</v>
      </c>
      <c r="M90" s="303">
        <f>SUMIF('Pre- and Production'!$T$4:$T$376, CONCATENATE(LEFT('WBS Summary by Year'!M$6,1),'WBS Summary by Year'!$C90,'WBS Summary by Year'!$B$86),'Pre- and Production'!AQ$4:AQ$376)</f>
        <v>0</v>
      </c>
      <c r="N90" s="315">
        <f>SUMIF('Pre- and Production'!$T$4:$T$376, CONCATENATE(LEFT('WBS Summary by Year'!N$6,1),'WBS Summary by Year'!$C90,'WBS Summary by Year'!$B$86),'Pre- and Production'!AH$4:AH$376)</f>
        <v>0</v>
      </c>
      <c r="O90" s="316">
        <f>SUMIF('Pre- and Production'!$T$4:$T$376, CONCATENATE(LEFT('WBS Summary by Year'!O$6,1),'WBS Summary by Year'!$C90,'WBS Summary by Year'!$B$86),'Pre- and Production'!AR$4:AR$376)</f>
        <v>0</v>
      </c>
    </row>
    <row r="91" spans="2:15">
      <c r="C91" s="46" t="s">
        <v>184</v>
      </c>
      <c r="D91" s="26">
        <f>SUMIF('Pre- and Production'!$T$4:$T$376, CONCATENATE(LEFT('WBS Summary by Year'!D$6,1),'WBS Summary by Year'!$C91,'WBS Summary by Year'!$B$86),'Pre- and Production'!AC$4:AC$376)</f>
        <v>0</v>
      </c>
      <c r="E91" s="303">
        <f>SUMIF('Pre- and Production'!$T$4:$T$376, CONCATENATE(LEFT('WBS Summary by Year'!E$6,1),'WBS Summary by Year'!$C91,'WBS Summary by Year'!$B$86),'Pre- and Production'!AM$4:AM$376)</f>
        <v>0</v>
      </c>
      <c r="F91" s="26">
        <f>SUMIF('Pre- and Production'!$T$4:$T$376, CONCATENATE(LEFT('WBS Summary by Year'!F$6,1),'WBS Summary by Year'!$C91,'WBS Summary by Year'!$B$86),'Pre- and Production'!AD$4:AD$376)</f>
        <v>30</v>
      </c>
      <c r="G91" s="296">
        <f>SUMIF('Pre- and Production'!$T$4:$T$376, CONCATENATE(LEFT('WBS Summary by Year'!G$6,1),'WBS Summary by Year'!$C91,'WBS Summary by Year'!$B$86),'Pre- and Production'!AN$4:AN$376)</f>
        <v>0</v>
      </c>
      <c r="H91" s="307">
        <f>SUMIF('Pre- and Production'!$T$4:$T$376, CONCATENATE(LEFT('WBS Summary by Year'!H$6,1),'WBS Summary by Year'!$C91,'WBS Summary by Year'!$B$86),'Pre- and Production'!AE$4:AE$376)</f>
        <v>0</v>
      </c>
      <c r="I91" s="303">
        <f>SUMIF('Pre- and Production'!$T$4:$T$376, CONCATENATE(LEFT('WBS Summary by Year'!I$6,1),'WBS Summary by Year'!$C91,'WBS Summary by Year'!$B$86),'Pre- and Production'!AO$4:AO$376)</f>
        <v>0</v>
      </c>
      <c r="J91" s="26">
        <f>SUMIF('Pre- and Production'!$T$4:$T$376, CONCATENATE(LEFT('WBS Summary by Year'!J$6,1),'WBS Summary by Year'!$C91,'WBS Summary by Year'!$B$86),'Pre- and Production'!AF$4:AFI$376)</f>
        <v>0</v>
      </c>
      <c r="K91" s="296">
        <f>SUMIF('Pre- and Production'!$T$4:$T$376, CONCATENATE(LEFT('WBS Summary by Year'!K$6,1),'WBS Summary by Year'!$C91,'WBS Summary by Year'!$B$86),'Pre- and Production'!AP$4:AP$376)</f>
        <v>0</v>
      </c>
      <c r="L91" s="307">
        <f>SUMIF('Pre- and Production'!$T$4:$T$376, CONCATENATE(LEFT('WBS Summary by Year'!L$6,1),'WBS Summary by Year'!$C91,'WBS Summary by Year'!$B$86),'Pre- and Production'!AG$4:AG$376)</f>
        <v>0</v>
      </c>
      <c r="M91" s="303">
        <f>SUMIF('Pre- and Production'!$T$4:$T$376, CONCATENATE(LEFT('WBS Summary by Year'!M$6,1),'WBS Summary by Year'!$C91,'WBS Summary by Year'!$B$86),'Pre- and Production'!AQ$4:AQ$376)</f>
        <v>0</v>
      </c>
      <c r="N91" s="315">
        <f>SUMIF('Pre- and Production'!$T$4:$T$376, CONCATENATE(LEFT('WBS Summary by Year'!N$6,1),'WBS Summary by Year'!$C91,'WBS Summary by Year'!$B$86),'Pre- and Production'!AH$4:AH$376)</f>
        <v>0</v>
      </c>
      <c r="O91" s="316">
        <f>SUMIF('Pre- and Production'!$T$4:$T$376, CONCATENATE(LEFT('WBS Summary by Year'!O$6,1),'WBS Summary by Year'!$C91,'WBS Summary by Year'!$B$86),'Pre- and Production'!AR$4:AR$376)</f>
        <v>0</v>
      </c>
    </row>
    <row r="92" spans="2:15">
      <c r="C92" s="46" t="s">
        <v>186</v>
      </c>
      <c r="D92" s="26">
        <f>SUMIF('Pre- and Production'!$T$4:$T$376, CONCATENATE(LEFT('WBS Summary by Year'!D$6,1),'WBS Summary by Year'!$C92,'WBS Summary by Year'!$B$86),'Pre- and Production'!AC$4:AC$376)</f>
        <v>0</v>
      </c>
      <c r="E92" s="303">
        <f>SUMIF('Pre- and Production'!$T$4:$T$376, CONCATENATE(LEFT('WBS Summary by Year'!E$6,1),'WBS Summary by Year'!$C92,'WBS Summary by Year'!$B$86),'Pre- and Production'!AM$4:AM$376)</f>
        <v>0</v>
      </c>
      <c r="F92" s="26">
        <f>SUMIF('Pre- and Production'!$T$4:$T$376, CONCATENATE(LEFT('WBS Summary by Year'!F$6,1),'WBS Summary by Year'!$C92,'WBS Summary by Year'!$B$86),'Pre- and Production'!AD$4:AD$376)</f>
        <v>0</v>
      </c>
      <c r="G92" s="296">
        <f>SUMIF('Pre- and Production'!$T$4:$T$376, CONCATENATE(LEFT('WBS Summary by Year'!G$6,1),'WBS Summary by Year'!$C92,'WBS Summary by Year'!$B$86),'Pre- and Production'!AN$4:AN$376)</f>
        <v>14</v>
      </c>
      <c r="H92" s="307">
        <f>SUMIF('Pre- and Production'!$T$4:$T$376, CONCATENATE(LEFT('WBS Summary by Year'!H$6,1),'WBS Summary by Year'!$C92,'WBS Summary by Year'!$B$86),'Pre- and Production'!AE$4:AE$376)</f>
        <v>0</v>
      </c>
      <c r="I92" s="303">
        <f>SUMIF('Pre- and Production'!$T$4:$T$376, CONCATENATE(LEFT('WBS Summary by Year'!I$6,1),'WBS Summary by Year'!$C92,'WBS Summary by Year'!$B$86),'Pre- and Production'!AO$4:AO$376)</f>
        <v>0</v>
      </c>
      <c r="J92" s="26">
        <f>SUMIF('Pre- and Production'!$T$4:$T$376, CONCATENATE(LEFT('WBS Summary by Year'!J$6,1),'WBS Summary by Year'!$C92,'WBS Summary by Year'!$B$86),'Pre- and Production'!AF$4:AFI$376)</f>
        <v>0</v>
      </c>
      <c r="K92" s="296">
        <f>SUMIF('Pre- and Production'!$T$4:$T$376, CONCATENATE(LEFT('WBS Summary by Year'!K$6,1),'WBS Summary by Year'!$C92,'WBS Summary by Year'!$B$86),'Pre- and Production'!AP$4:AP$376)</f>
        <v>9</v>
      </c>
      <c r="L92" s="307">
        <f>SUMIF('Pre- and Production'!$T$4:$T$376, CONCATENATE(LEFT('WBS Summary by Year'!L$6,1),'WBS Summary by Year'!$C92,'WBS Summary by Year'!$B$86),'Pre- and Production'!AG$4:AG$376)</f>
        <v>0</v>
      </c>
      <c r="M92" s="303">
        <f>SUMIF('Pre- and Production'!$T$4:$T$376, CONCATENATE(LEFT('WBS Summary by Year'!M$6,1),'WBS Summary by Year'!$C92,'WBS Summary by Year'!$B$86),'Pre- and Production'!AQ$4:AQ$376)</f>
        <v>0</v>
      </c>
      <c r="N92" s="315">
        <f>SUMIF('Pre- and Production'!$T$4:$T$376, CONCATENATE(LEFT('WBS Summary by Year'!N$6,1),'WBS Summary by Year'!$C92,'WBS Summary by Year'!$B$86),'Pre- and Production'!AH$4:AH$376)</f>
        <v>0</v>
      </c>
      <c r="O92" s="316">
        <f>SUMIF('Pre- and Production'!$T$4:$T$376, CONCATENATE(LEFT('WBS Summary by Year'!O$6,1),'WBS Summary by Year'!$C92,'WBS Summary by Year'!$B$86),'Pre- and Production'!AR$4:AR$376)</f>
        <v>20652.5</v>
      </c>
    </row>
    <row r="93" spans="2:15">
      <c r="C93" s="134" t="s">
        <v>189</v>
      </c>
      <c r="D93" s="26">
        <f>SUMIF('Pre- and Production'!$T$4:$T$376, CONCATENATE(LEFT('WBS Summary by Year'!D$6,1),'WBS Summary by Year'!$C93,'WBS Summary by Year'!$B$86),'Pre- and Production'!AC$4:AC$376)</f>
        <v>0</v>
      </c>
      <c r="E93" s="303">
        <f>SUMIF('Pre- and Production'!$T$4:$T$376, CONCATENATE(LEFT('WBS Summary by Year'!E$6,1),'WBS Summary by Year'!$C93,'WBS Summary by Year'!$B$86),'Pre- and Production'!AM$4:AM$376)</f>
        <v>0</v>
      </c>
      <c r="F93" s="26">
        <f>SUMIF('Pre- and Production'!$T$4:$T$376, CONCATENATE(LEFT('WBS Summary by Year'!F$6,1),'WBS Summary by Year'!$C93,'WBS Summary by Year'!$B$86),'Pre- and Production'!AD$4:AD$376)</f>
        <v>0</v>
      </c>
      <c r="G93" s="296">
        <f>SUMIF('Pre- and Production'!$T$4:$T$376, CONCATENATE(LEFT('WBS Summary by Year'!G$6,1),'WBS Summary by Year'!$C93,'WBS Summary by Year'!$B$86),'Pre- and Production'!AN$4:AN$376)</f>
        <v>0</v>
      </c>
      <c r="H93" s="307">
        <f>SUMIF('Pre- and Production'!$T$4:$T$376, CONCATENATE(LEFT('WBS Summary by Year'!H$6,1),'WBS Summary by Year'!$C93,'WBS Summary by Year'!$B$86),'Pre- and Production'!AE$4:AE$376)</f>
        <v>0</v>
      </c>
      <c r="I93" s="303">
        <f>SUMIF('Pre- and Production'!$T$4:$T$376, CONCATENATE(LEFT('WBS Summary by Year'!I$6,1),'WBS Summary by Year'!$C93,'WBS Summary by Year'!$B$86),'Pre- and Production'!AO$4:AO$376)</f>
        <v>0</v>
      </c>
      <c r="J93" s="26">
        <f>SUMIF('Pre- and Production'!$T$4:$T$376, CONCATENATE(LEFT('WBS Summary by Year'!J$6,1),'WBS Summary by Year'!$C93,'WBS Summary by Year'!$B$86),'Pre- and Production'!AF$4:AFI$376)</f>
        <v>0</v>
      </c>
      <c r="K93" s="296">
        <f>SUMIF('Pre- and Production'!$T$4:$T$376, CONCATENATE(LEFT('WBS Summary by Year'!K$6,1),'WBS Summary by Year'!$C93,'WBS Summary by Year'!$B$86),'Pre- and Production'!AP$4:AP$376)</f>
        <v>0</v>
      </c>
      <c r="L93" s="307">
        <f>SUMIF('Pre- and Production'!$T$4:$T$376, CONCATENATE(LEFT('WBS Summary by Year'!L$6,1),'WBS Summary by Year'!$C93,'WBS Summary by Year'!$B$86),'Pre- and Production'!AG$4:AG$376)</f>
        <v>0</v>
      </c>
      <c r="M93" s="303">
        <f>SUMIF('Pre- and Production'!$T$4:$T$376, CONCATENATE(LEFT('WBS Summary by Year'!M$6,1),'WBS Summary by Year'!$C93,'WBS Summary by Year'!$B$86),'Pre- and Production'!AQ$4:AQ$376)</f>
        <v>0</v>
      </c>
      <c r="N93" s="315">
        <f>SUMIF('Pre- and Production'!$T$4:$T$376, CONCATENATE(LEFT('WBS Summary by Year'!N$6,1),'WBS Summary by Year'!$C93,'WBS Summary by Year'!$B$86),'Pre- and Production'!AH$4:AH$376)</f>
        <v>0</v>
      </c>
      <c r="O93" s="316">
        <f>SUMIF('Pre- and Production'!$T$4:$T$376, CONCATENATE(LEFT('WBS Summary by Year'!O$6,1),'WBS Summary by Year'!$C93,'WBS Summary by Year'!$B$86),'Pre- and Production'!AR$4:AR$376)</f>
        <v>0</v>
      </c>
    </row>
    <row r="94" spans="2:15">
      <c r="C94" s="46" t="s">
        <v>191</v>
      </c>
      <c r="D94" s="26">
        <f>SUMIF('Pre- and Production'!$T$4:$T$376, CONCATENATE(LEFT('WBS Summary by Year'!D$6,1),'WBS Summary by Year'!$C94,'WBS Summary by Year'!$B$86),'Pre- and Production'!AC$4:AC$376)</f>
        <v>40</v>
      </c>
      <c r="E94" s="303">
        <f>SUMIF('Pre- and Production'!$T$4:$T$376, CONCATENATE(LEFT('WBS Summary by Year'!E$6,1),'WBS Summary by Year'!$C94,'WBS Summary by Year'!$B$86),'Pre- and Production'!AM$4:AM$376)</f>
        <v>52</v>
      </c>
      <c r="F94" s="26">
        <f>SUMIF('Pre- and Production'!$T$4:$T$376, CONCATENATE(LEFT('WBS Summary by Year'!F$6,1),'WBS Summary by Year'!$C94,'WBS Summary by Year'!$B$86),'Pre- and Production'!AD$4:AD$376)</f>
        <v>16</v>
      </c>
      <c r="G94" s="296">
        <f>SUMIF('Pre- and Production'!$T$4:$T$376, CONCATENATE(LEFT('WBS Summary by Year'!G$6,1),'WBS Summary by Year'!$C94,'WBS Summary by Year'!$B$86),'Pre- and Production'!AN$4:AN$376)</f>
        <v>22</v>
      </c>
      <c r="H94" s="307">
        <f>SUMIF('Pre- and Production'!$T$4:$T$376, CONCATENATE(LEFT('WBS Summary by Year'!H$6,1),'WBS Summary by Year'!$C94,'WBS Summary by Year'!$B$86),'Pre- and Production'!AE$4:AE$376)</f>
        <v>0</v>
      </c>
      <c r="I94" s="303">
        <f>SUMIF('Pre- and Production'!$T$4:$T$376, CONCATENATE(LEFT('WBS Summary by Year'!I$6,1),'WBS Summary by Year'!$C94,'WBS Summary by Year'!$B$86),'Pre- and Production'!AO$4:AO$376)</f>
        <v>0</v>
      </c>
      <c r="J94" s="26">
        <f>SUMIF('Pre- and Production'!$T$4:$T$376, CONCATENATE(LEFT('WBS Summary by Year'!J$6,1),'WBS Summary by Year'!$C94,'WBS Summary by Year'!$B$86),'Pre- and Production'!AF$4:AFI$376)</f>
        <v>36</v>
      </c>
      <c r="K94" s="296">
        <f>SUMIF('Pre- and Production'!$T$4:$T$376, CONCATENATE(LEFT('WBS Summary by Year'!K$6,1),'WBS Summary by Year'!$C94,'WBS Summary by Year'!$B$86),'Pre- and Production'!AP$4:AP$376)</f>
        <v>85</v>
      </c>
      <c r="L94" s="307">
        <f>SUMIF('Pre- and Production'!$T$4:$T$376, CONCATENATE(LEFT('WBS Summary by Year'!L$6,1),'WBS Summary by Year'!$C94,'WBS Summary by Year'!$B$86),'Pre- and Production'!AG$4:AG$376)</f>
        <v>0</v>
      </c>
      <c r="M94" s="303">
        <f>SUMIF('Pre- and Production'!$T$4:$T$376, CONCATENATE(LEFT('WBS Summary by Year'!M$6,1),'WBS Summary by Year'!$C94,'WBS Summary by Year'!$B$86),'Pre- and Production'!AQ$4:AQ$376)</f>
        <v>0</v>
      </c>
      <c r="N94" s="315">
        <f>SUMIF('Pre- and Production'!$T$4:$T$376, CONCATENATE(LEFT('WBS Summary by Year'!N$6,1),'WBS Summary by Year'!$C94,'WBS Summary by Year'!$B$86),'Pre- and Production'!AH$4:AH$376)</f>
        <v>1760</v>
      </c>
      <c r="O94" s="316">
        <f>SUMIF('Pre- and Production'!$T$4:$T$376, CONCATENATE(LEFT('WBS Summary by Year'!O$6,1),'WBS Summary by Year'!$C94,'WBS Summary by Year'!$B$86),'Pre- and Production'!AR$4:AR$376)</f>
        <v>5172.5</v>
      </c>
    </row>
    <row r="95" spans="2:15">
      <c r="C95" s="46" t="s">
        <v>193</v>
      </c>
      <c r="D95" s="26">
        <f>SUMIF('Pre- and Production'!$T$4:$T$376, CONCATENATE(LEFT('WBS Summary by Year'!D$6,1),'WBS Summary by Year'!$C95,'WBS Summary by Year'!$B$86),'Pre- and Production'!AC$4:AC$376)</f>
        <v>0</v>
      </c>
      <c r="E95" s="303">
        <f>SUMIF('Pre- and Production'!$T$4:$T$376, CONCATENATE(LEFT('WBS Summary by Year'!E$6,1),'WBS Summary by Year'!$C95,'WBS Summary by Year'!$B$86),'Pre- and Production'!AM$4:AM$376)</f>
        <v>0</v>
      </c>
      <c r="F95" s="26">
        <f>SUMIF('Pre- and Production'!$T$4:$T$376, CONCATENATE(LEFT('WBS Summary by Year'!F$6,1),'WBS Summary by Year'!$C95,'WBS Summary by Year'!$B$86),'Pre- and Production'!AD$4:AD$376)</f>
        <v>0</v>
      </c>
      <c r="G95" s="296">
        <f>SUMIF('Pre- and Production'!$T$4:$T$376, CONCATENATE(LEFT('WBS Summary by Year'!G$6,1),'WBS Summary by Year'!$C95,'WBS Summary by Year'!$B$86),'Pre- and Production'!AN$4:AN$376)</f>
        <v>0</v>
      </c>
      <c r="H95" s="307">
        <f>SUMIF('Pre- and Production'!$T$4:$T$376, CONCATENATE(LEFT('WBS Summary by Year'!H$6,1),'WBS Summary by Year'!$C95,'WBS Summary by Year'!$B$86),'Pre- and Production'!AE$4:AE$376)</f>
        <v>0</v>
      </c>
      <c r="I95" s="303">
        <f>SUMIF('Pre- and Production'!$T$4:$T$376, CONCATENATE(LEFT('WBS Summary by Year'!I$6,1),'WBS Summary by Year'!$C95,'WBS Summary by Year'!$B$86),'Pre- and Production'!AO$4:AO$376)</f>
        <v>0</v>
      </c>
      <c r="J95" s="26">
        <f>SUMIF('Pre- and Production'!$T$4:$T$376, CONCATENATE(LEFT('WBS Summary by Year'!J$6,1),'WBS Summary by Year'!$C95,'WBS Summary by Year'!$B$86),'Pre- and Production'!AF$4:AFI$376)</f>
        <v>0</v>
      </c>
      <c r="K95" s="296">
        <f>SUMIF('Pre- and Production'!$T$4:$T$376, CONCATENATE(LEFT('WBS Summary by Year'!K$6,1),'WBS Summary by Year'!$C95,'WBS Summary by Year'!$B$86),'Pre- and Production'!AP$4:AP$376)</f>
        <v>0</v>
      </c>
      <c r="L95" s="307">
        <f>SUMIF('Pre- and Production'!$T$4:$T$376, CONCATENATE(LEFT('WBS Summary by Year'!L$6,1),'WBS Summary by Year'!$C95,'WBS Summary by Year'!$B$86),'Pre- and Production'!AG$4:AG$376)</f>
        <v>0</v>
      </c>
      <c r="M95" s="303">
        <f>SUMIF('Pre- and Production'!$T$4:$T$376, CONCATENATE(LEFT('WBS Summary by Year'!M$6,1),'WBS Summary by Year'!$C95,'WBS Summary by Year'!$B$86),'Pre- and Production'!AQ$4:AQ$376)</f>
        <v>0</v>
      </c>
      <c r="N95" s="315">
        <f>SUMIF('Pre- and Production'!$T$4:$T$376, CONCATENATE(LEFT('WBS Summary by Year'!N$6,1),'WBS Summary by Year'!$C95,'WBS Summary by Year'!$B$86),'Pre- and Production'!AH$4:AH$376)</f>
        <v>0</v>
      </c>
      <c r="O95" s="316">
        <f>SUMIF('Pre- and Production'!$T$4:$T$376, CONCATENATE(LEFT('WBS Summary by Year'!O$6,1),'WBS Summary by Year'!$C95,'WBS Summary by Year'!$B$86),'Pre- and Production'!AR$4:AR$376)</f>
        <v>0</v>
      </c>
    </row>
    <row r="96" spans="2:15">
      <c r="C96" s="46" t="s">
        <v>195</v>
      </c>
      <c r="D96" s="26">
        <f>SUMIF('Pre- and Production'!$T$4:$T$376, CONCATENATE(LEFT('WBS Summary by Year'!D$6,1),'WBS Summary by Year'!$C96,'WBS Summary by Year'!$B$86),'Pre- and Production'!AC$4:AC$376)</f>
        <v>0</v>
      </c>
      <c r="E96" s="303">
        <f>SUMIF('Pre- and Production'!$T$4:$T$376, CONCATENATE(LEFT('WBS Summary by Year'!E$6,1),'WBS Summary by Year'!$C96,'WBS Summary by Year'!$B$86),'Pre- and Production'!AM$4:AM$376)</f>
        <v>0</v>
      </c>
      <c r="F96" s="26">
        <f>SUMIF('Pre- and Production'!$T$4:$T$376, CONCATENATE(LEFT('WBS Summary by Year'!F$6,1),'WBS Summary by Year'!$C96,'WBS Summary by Year'!$B$86),'Pre- and Production'!AD$4:AD$376)</f>
        <v>0</v>
      </c>
      <c r="G96" s="296">
        <f>SUMIF('Pre- and Production'!$T$4:$T$376, CONCATENATE(LEFT('WBS Summary by Year'!G$6,1),'WBS Summary by Year'!$C96,'WBS Summary by Year'!$B$86),'Pre- and Production'!AN$4:AN$376)</f>
        <v>0</v>
      </c>
      <c r="H96" s="307">
        <f>SUMIF('Pre- and Production'!$T$4:$T$376, CONCATENATE(LEFT('WBS Summary by Year'!H$6,1),'WBS Summary by Year'!$C96,'WBS Summary by Year'!$B$86),'Pre- and Production'!AE$4:AE$376)</f>
        <v>0</v>
      </c>
      <c r="I96" s="303">
        <f>SUMIF('Pre- and Production'!$T$4:$T$376, CONCATENATE(LEFT('WBS Summary by Year'!I$6,1),'WBS Summary by Year'!$C96,'WBS Summary by Year'!$B$86),'Pre- and Production'!AO$4:AO$376)</f>
        <v>0</v>
      </c>
      <c r="J96" s="26">
        <f>SUMIF('Pre- and Production'!$T$4:$T$376, CONCATENATE(LEFT('WBS Summary by Year'!J$6,1),'WBS Summary by Year'!$C96,'WBS Summary by Year'!$B$86),'Pre- and Production'!AF$4:AFI$376)</f>
        <v>0</v>
      </c>
      <c r="K96" s="296">
        <f>SUMIF('Pre- and Production'!$T$4:$T$376, CONCATENATE(LEFT('WBS Summary by Year'!K$6,1),'WBS Summary by Year'!$C96,'WBS Summary by Year'!$B$86),'Pre- and Production'!AP$4:AP$376)</f>
        <v>0</v>
      </c>
      <c r="L96" s="307">
        <f>SUMIF('Pre- and Production'!$T$4:$T$376, CONCATENATE(LEFT('WBS Summary by Year'!L$6,1),'WBS Summary by Year'!$C96,'WBS Summary by Year'!$B$86),'Pre- and Production'!AG$4:AG$376)</f>
        <v>0</v>
      </c>
      <c r="M96" s="303">
        <f>SUMIF('Pre- and Production'!$T$4:$T$376, CONCATENATE(LEFT('WBS Summary by Year'!M$6,1),'WBS Summary by Year'!$C96,'WBS Summary by Year'!$B$86),'Pre- and Production'!AQ$4:AQ$376)</f>
        <v>0</v>
      </c>
      <c r="N96" s="315">
        <f>SUMIF('Pre- and Production'!$T$4:$T$376, CONCATENATE(LEFT('WBS Summary by Year'!N$6,1),'WBS Summary by Year'!$C96,'WBS Summary by Year'!$B$86),'Pre- and Production'!AH$4:AH$376)</f>
        <v>0</v>
      </c>
      <c r="O96" s="316">
        <f>SUMIF('Pre- and Production'!$T$4:$T$376, CONCATENATE(LEFT('WBS Summary by Year'!O$6,1),'WBS Summary by Year'!$C96,'WBS Summary by Year'!$B$86),'Pre- and Production'!AR$4:AR$376)</f>
        <v>0</v>
      </c>
    </row>
    <row r="97" spans="3:15">
      <c r="C97" s="134" t="s">
        <v>190</v>
      </c>
      <c r="D97" s="26">
        <f>SUMIF('Pre- and Production'!$T$4:$T$376, CONCATENATE(LEFT('WBS Summary by Year'!D$6,1),'WBS Summary by Year'!$C97,'WBS Summary by Year'!$B$86),'Pre- and Production'!AC$4:AC$376)</f>
        <v>0</v>
      </c>
      <c r="E97" s="303">
        <f>SUMIF('Pre- and Production'!$T$4:$T$376, CONCATENATE(LEFT('WBS Summary by Year'!E$6,1),'WBS Summary by Year'!$C97,'WBS Summary by Year'!$B$86),'Pre- and Production'!AM$4:AM$376)</f>
        <v>0</v>
      </c>
      <c r="F97" s="26">
        <f>SUMIF('Pre- and Production'!$T$4:$T$376, CONCATENATE(LEFT('WBS Summary by Year'!F$6,1),'WBS Summary by Year'!$C97,'WBS Summary by Year'!$B$86),'Pre- and Production'!AD$4:AD$376)</f>
        <v>0</v>
      </c>
      <c r="G97" s="296">
        <f>SUMIF('Pre- and Production'!$T$4:$T$376, CONCATENATE(LEFT('WBS Summary by Year'!G$6,1),'WBS Summary by Year'!$C97,'WBS Summary by Year'!$B$86),'Pre- and Production'!AN$4:AN$376)</f>
        <v>0</v>
      </c>
      <c r="H97" s="307">
        <f>SUMIF('Pre- and Production'!$T$4:$T$376, CONCATENATE(LEFT('WBS Summary by Year'!H$6,1),'WBS Summary by Year'!$C97,'WBS Summary by Year'!$B$86),'Pre- and Production'!AE$4:AE$376)</f>
        <v>0</v>
      </c>
      <c r="I97" s="303">
        <f>SUMIF('Pre- and Production'!$T$4:$T$376, CONCATENATE(LEFT('WBS Summary by Year'!I$6,1),'WBS Summary by Year'!$C97,'WBS Summary by Year'!$B$86),'Pre- and Production'!AO$4:AO$376)</f>
        <v>0</v>
      </c>
      <c r="J97" s="26">
        <f>SUMIF('Pre- and Production'!$T$4:$T$376, CONCATENATE(LEFT('WBS Summary by Year'!J$6,1),'WBS Summary by Year'!$C97,'WBS Summary by Year'!$B$86),'Pre- and Production'!AF$4:AFI$376)</f>
        <v>0</v>
      </c>
      <c r="K97" s="296">
        <f>SUMIF('Pre- and Production'!$T$4:$T$376, CONCATENATE(LEFT('WBS Summary by Year'!K$6,1),'WBS Summary by Year'!$C97,'WBS Summary by Year'!$B$86),'Pre- and Production'!AP$4:AP$376)</f>
        <v>0</v>
      </c>
      <c r="L97" s="307">
        <f>SUMIF('Pre- and Production'!$T$4:$T$376, CONCATENATE(LEFT('WBS Summary by Year'!L$6,1),'WBS Summary by Year'!$C97,'WBS Summary by Year'!$B$86),'Pre- and Production'!AG$4:AG$376)</f>
        <v>0</v>
      </c>
      <c r="M97" s="303">
        <f>SUMIF('Pre- and Production'!$T$4:$T$376, CONCATENATE(LEFT('WBS Summary by Year'!M$6,1),'WBS Summary by Year'!$C97,'WBS Summary by Year'!$B$86),'Pre- and Production'!AQ$4:AQ$376)</f>
        <v>0</v>
      </c>
      <c r="N97" s="315">
        <f>SUMIF('Pre- and Production'!$T$4:$T$376, CONCATENATE(LEFT('WBS Summary by Year'!N$6,1),'WBS Summary by Year'!$C97,'WBS Summary by Year'!$B$86),'Pre- and Production'!AH$4:AH$376)</f>
        <v>0</v>
      </c>
      <c r="O97" s="316">
        <f>SUMIF('Pre- and Production'!$T$4:$T$376, CONCATENATE(LEFT('WBS Summary by Year'!O$6,1),'WBS Summary by Year'!$C97,'WBS Summary by Year'!$B$86),'Pre- and Production'!AR$4:AR$376)</f>
        <v>0</v>
      </c>
    </row>
    <row r="98" spans="3:15">
      <c r="C98" s="46" t="s">
        <v>198</v>
      </c>
      <c r="D98" s="26">
        <f>SUMIF('Pre- and Production'!$T$4:$T$376, CONCATENATE(LEFT('WBS Summary by Year'!D$6,1),'WBS Summary by Year'!$C98,'WBS Summary by Year'!$B$86),'Pre- and Production'!AC$4:AC$376)</f>
        <v>0</v>
      </c>
      <c r="E98" s="303">
        <f>SUMIF('Pre- and Production'!$T$4:$T$376, CONCATENATE(LEFT('WBS Summary by Year'!E$6,1),'WBS Summary by Year'!$C98,'WBS Summary by Year'!$B$86),'Pre- and Production'!AM$4:AM$376)</f>
        <v>0</v>
      </c>
      <c r="F98" s="26">
        <f>SUMIF('Pre- and Production'!$T$4:$T$376, CONCATENATE(LEFT('WBS Summary by Year'!F$6,1),'WBS Summary by Year'!$C98,'WBS Summary by Year'!$B$86),'Pre- and Production'!AD$4:AD$376)</f>
        <v>0</v>
      </c>
      <c r="G98" s="296">
        <f>SUMIF('Pre- and Production'!$T$4:$T$376, CONCATENATE(LEFT('WBS Summary by Year'!G$6,1),'WBS Summary by Year'!$C98,'WBS Summary by Year'!$B$86),'Pre- and Production'!AN$4:AN$376)</f>
        <v>0</v>
      </c>
      <c r="H98" s="307">
        <f>SUMIF('Pre- and Production'!$T$4:$T$376, CONCATENATE(LEFT('WBS Summary by Year'!H$6,1),'WBS Summary by Year'!$C98,'WBS Summary by Year'!$B$86),'Pre- and Production'!AE$4:AE$376)</f>
        <v>0</v>
      </c>
      <c r="I98" s="303">
        <f>SUMIF('Pre- and Production'!$T$4:$T$376, CONCATENATE(LEFT('WBS Summary by Year'!I$6,1),'WBS Summary by Year'!$C98,'WBS Summary by Year'!$B$86),'Pre- and Production'!AO$4:AO$376)</f>
        <v>0</v>
      </c>
      <c r="J98" s="26">
        <f>SUMIF('Pre- and Production'!$T$4:$T$376, CONCATENATE(LEFT('WBS Summary by Year'!J$6,1),'WBS Summary by Year'!$C98,'WBS Summary by Year'!$B$86),'Pre- and Production'!AF$4:AFI$376)</f>
        <v>0</v>
      </c>
      <c r="K98" s="296">
        <f>SUMIF('Pre- and Production'!$T$4:$T$376, CONCATENATE(LEFT('WBS Summary by Year'!K$6,1),'WBS Summary by Year'!$C98,'WBS Summary by Year'!$B$86),'Pre- and Production'!AP$4:AP$376)</f>
        <v>0</v>
      </c>
      <c r="L98" s="307">
        <f>SUMIF('Pre- and Production'!$T$4:$T$376, CONCATENATE(LEFT('WBS Summary by Year'!L$6,1),'WBS Summary by Year'!$C98,'WBS Summary by Year'!$B$86),'Pre- and Production'!AG$4:AG$376)</f>
        <v>0</v>
      </c>
      <c r="M98" s="303">
        <f>SUMIF('Pre- and Production'!$T$4:$T$376, CONCATENATE(LEFT('WBS Summary by Year'!M$6,1),'WBS Summary by Year'!$C98,'WBS Summary by Year'!$B$86),'Pre- and Production'!AQ$4:AQ$376)</f>
        <v>0</v>
      </c>
      <c r="N98" s="315">
        <f>SUMIF('Pre- and Production'!$T$4:$T$376, CONCATENATE(LEFT('WBS Summary by Year'!N$6,1),'WBS Summary by Year'!$C98,'WBS Summary by Year'!$B$86),'Pre- and Production'!AH$4:AH$376)</f>
        <v>0</v>
      </c>
      <c r="O98" s="316">
        <f>SUMIF('Pre- and Production'!$T$4:$T$376, CONCATENATE(LEFT('WBS Summary by Year'!O$6,1),'WBS Summary by Year'!$C98,'WBS Summary by Year'!$B$86),'Pre- and Production'!AR$4:AR$376)</f>
        <v>0</v>
      </c>
    </row>
    <row r="99" spans="3:15">
      <c r="C99" s="46" t="s">
        <v>199</v>
      </c>
      <c r="D99" s="26">
        <f>SUMIF('Pre- and Production'!$T$4:$T$376, CONCATENATE(LEFT('WBS Summary by Year'!D$6,1),'WBS Summary by Year'!$C99,'WBS Summary by Year'!$B$86),'Pre- and Production'!AC$4:AC$376)</f>
        <v>48</v>
      </c>
      <c r="E99" s="303">
        <f>SUMIF('Pre- and Production'!$T$4:$T$376, CONCATENATE(LEFT('WBS Summary by Year'!E$6,1),'WBS Summary by Year'!$C99,'WBS Summary by Year'!$B$86),'Pre- and Production'!AM$4:AM$376)</f>
        <v>60</v>
      </c>
      <c r="F99" s="26">
        <f>SUMIF('Pre- and Production'!$T$4:$T$376, CONCATENATE(LEFT('WBS Summary by Year'!F$6,1),'WBS Summary by Year'!$C99,'WBS Summary by Year'!$B$86),'Pre- and Production'!AD$4:AD$376)</f>
        <v>280</v>
      </c>
      <c r="G99" s="296">
        <f>SUMIF('Pre- and Production'!$T$4:$T$376, CONCATENATE(LEFT('WBS Summary by Year'!G$6,1),'WBS Summary by Year'!$C99,'WBS Summary by Year'!$B$86),'Pre- and Production'!AN$4:AN$376)</f>
        <v>80</v>
      </c>
      <c r="H99" s="307">
        <f>SUMIF('Pre- and Production'!$T$4:$T$376, CONCATENATE(LEFT('WBS Summary by Year'!H$6,1),'WBS Summary by Year'!$C99,'WBS Summary by Year'!$B$86),'Pre- and Production'!AE$4:AE$376)</f>
        <v>32</v>
      </c>
      <c r="I99" s="303">
        <f>SUMIF('Pre- and Production'!$T$4:$T$376, CONCATENATE(LEFT('WBS Summary by Year'!I$6,1),'WBS Summary by Year'!$C99,'WBS Summary by Year'!$B$86),'Pre- and Production'!AO$4:AO$376)</f>
        <v>16</v>
      </c>
      <c r="J99" s="26">
        <f>SUMIF('Pre- and Production'!$T$4:$T$376, CONCATENATE(LEFT('WBS Summary by Year'!J$6,1),'WBS Summary by Year'!$C99,'WBS Summary by Year'!$B$86),'Pre- and Production'!AF$4:AFI$376)</f>
        <v>640</v>
      </c>
      <c r="K99" s="296">
        <f>SUMIF('Pre- and Production'!$T$4:$T$376, CONCATENATE(LEFT('WBS Summary by Year'!K$6,1),'WBS Summary by Year'!$C99,'WBS Summary by Year'!$B$86),'Pre- and Production'!AP$4:AP$376)</f>
        <v>60</v>
      </c>
      <c r="L99" s="307">
        <f>SUMIF('Pre- and Production'!$T$4:$T$376, CONCATENATE(LEFT('WBS Summary by Year'!L$6,1),'WBS Summary by Year'!$C99,'WBS Summary by Year'!$B$86),'Pre- and Production'!AG$4:AG$376)</f>
        <v>0</v>
      </c>
      <c r="M99" s="303">
        <f>SUMIF('Pre- and Production'!$T$4:$T$376, CONCATENATE(LEFT('WBS Summary by Year'!M$6,1),'WBS Summary by Year'!$C99,'WBS Summary by Year'!$B$86),'Pre- and Production'!AQ$4:AQ$376)</f>
        <v>0</v>
      </c>
      <c r="N99" s="315">
        <f>SUMIF('Pre- and Production'!$T$4:$T$376, CONCATENATE(LEFT('WBS Summary by Year'!N$6,1),'WBS Summary by Year'!$C99,'WBS Summary by Year'!$B$86),'Pre- and Production'!AH$4:AH$376)</f>
        <v>4600</v>
      </c>
      <c r="O99" s="316">
        <f>SUMIF('Pre- and Production'!$T$4:$T$376, CONCATENATE(LEFT('WBS Summary by Year'!O$6,1),'WBS Summary by Year'!$C99,'WBS Summary by Year'!$B$86),'Pre- and Production'!AR$4:AR$376)</f>
        <v>960</v>
      </c>
    </row>
    <row r="100" spans="3:15" s="352" customFormat="1">
      <c r="C100" s="46" t="s">
        <v>200</v>
      </c>
      <c r="D100" s="26">
        <f>SUMIF('Pre- and Production'!$T$4:$T$376, CONCATENATE(LEFT('WBS Summary by Year'!D$6,1),'WBS Summary by Year'!$C100,'WBS Summary by Year'!$B$86),'Pre- and Production'!AC$4:AC$376)</f>
        <v>56</v>
      </c>
      <c r="E100" s="303">
        <f>SUMIF('Pre- and Production'!$T$4:$T$376, CONCATENATE(LEFT('WBS Summary by Year'!E$6,1),'WBS Summary by Year'!$C100,'WBS Summary by Year'!$B$86),'Pre- and Production'!AM$4:AM$376)</f>
        <v>0</v>
      </c>
      <c r="F100" s="26">
        <f>SUMIF('Pre- and Production'!$T$4:$T$376, CONCATENATE(LEFT('WBS Summary by Year'!F$6,1),'WBS Summary by Year'!$C100,'WBS Summary by Year'!$B$86),'Pre- and Production'!AD$4:AD$376)</f>
        <v>80</v>
      </c>
      <c r="G100" s="296">
        <f>SUMIF('Pre- and Production'!$T$4:$T$376, CONCATENATE(LEFT('WBS Summary by Year'!G$6,1),'WBS Summary by Year'!$C100,'WBS Summary by Year'!$B$86),'Pre- and Production'!AN$4:AN$376)</f>
        <v>0</v>
      </c>
      <c r="H100" s="307">
        <f>SUMIF('Pre- and Production'!$T$4:$T$376, CONCATENATE(LEFT('WBS Summary by Year'!H$6,1),'WBS Summary by Year'!$C100,'WBS Summary by Year'!$B$86),'Pre- and Production'!AE$4:AE$376)</f>
        <v>0</v>
      </c>
      <c r="I100" s="303">
        <f>SUMIF('Pre- and Production'!$T$4:$T$376, CONCATENATE(LEFT('WBS Summary by Year'!I$6,1),'WBS Summary by Year'!$C100,'WBS Summary by Year'!$B$86),'Pre- and Production'!AO$4:AO$376)</f>
        <v>0</v>
      </c>
      <c r="J100" s="26">
        <f>SUMIF('Pre- and Production'!$T$4:$T$376, CONCATENATE(LEFT('WBS Summary by Year'!J$6,1),'WBS Summary by Year'!$C100,'WBS Summary by Year'!$B$86),'Pre- and Production'!AF$4:AFI$376)</f>
        <v>244</v>
      </c>
      <c r="K100" s="296">
        <f>SUMIF('Pre- and Production'!$T$4:$T$376, CONCATENATE(LEFT('WBS Summary by Year'!K$6,1),'WBS Summary by Year'!$C100,'WBS Summary by Year'!$B$86),'Pre- and Production'!AP$4:AP$376)</f>
        <v>0</v>
      </c>
      <c r="L100" s="307">
        <f>SUMIF('Pre- and Production'!$T$4:$T$376, CONCATENATE(LEFT('WBS Summary by Year'!L$6,1),'WBS Summary by Year'!$C100,'WBS Summary by Year'!$B$86),'Pre- and Production'!AG$4:AG$376)</f>
        <v>0</v>
      </c>
      <c r="M100" s="303">
        <f>SUMIF('Pre- and Production'!$T$4:$T$376, CONCATENATE(LEFT('WBS Summary by Year'!M$6,1),'WBS Summary by Year'!$C100,'WBS Summary by Year'!$B$86),'Pre- and Production'!AQ$4:AQ$376)</f>
        <v>0</v>
      </c>
      <c r="N100" s="315">
        <f>SUMIF('Pre- and Production'!$T$4:$T$376, CONCATENATE(LEFT('WBS Summary by Year'!N$6,1),'WBS Summary by Year'!$C100,'WBS Summary by Year'!$B$86),'Pre- and Production'!AH$4:AH$376)</f>
        <v>1140</v>
      </c>
      <c r="O100" s="316">
        <f>SUMIF('Pre- and Production'!$T$4:$T$376, CONCATENATE(LEFT('WBS Summary by Year'!O$6,1),'WBS Summary by Year'!$C100,'WBS Summary by Year'!$B$86),'Pre- and Production'!AR$4:AR$376)</f>
        <v>0</v>
      </c>
    </row>
    <row r="101" spans="3:15" s="352" customFormat="1">
      <c r="C101" s="46" t="s">
        <v>201</v>
      </c>
      <c r="D101" s="26">
        <f>SUMIF('Pre- and Production'!$T$4:$T$376, CONCATENATE(LEFT('WBS Summary by Year'!D$6,1),'WBS Summary by Year'!$C101,'WBS Summary by Year'!$B$86),'Pre- and Production'!AC$4:AC$376)</f>
        <v>0</v>
      </c>
      <c r="E101" s="303">
        <f>SUMIF('Pre- and Production'!$T$4:$T$376, CONCATENATE(LEFT('WBS Summary by Year'!E$6,1),'WBS Summary by Year'!$C101,'WBS Summary by Year'!$B$86),'Pre- and Production'!AM$4:AM$376)</f>
        <v>0</v>
      </c>
      <c r="F101" s="26">
        <f>SUMIF('Pre- and Production'!$T$4:$T$376, CONCATENATE(LEFT('WBS Summary by Year'!F$6,1),'WBS Summary by Year'!$C101,'WBS Summary by Year'!$B$86),'Pre- and Production'!AD$4:AD$376)</f>
        <v>0</v>
      </c>
      <c r="G101" s="296">
        <f>SUMIF('Pre- and Production'!$T$4:$T$376, CONCATENATE(LEFT('WBS Summary by Year'!G$6,1),'WBS Summary by Year'!$C101,'WBS Summary by Year'!$B$86),'Pre- and Production'!AN$4:AN$376)</f>
        <v>0</v>
      </c>
      <c r="H101" s="307">
        <f>SUMIF('Pre- and Production'!$T$4:$T$376, CONCATENATE(LEFT('WBS Summary by Year'!H$6,1),'WBS Summary by Year'!$C101,'WBS Summary by Year'!$B$86),'Pre- and Production'!AE$4:AE$376)</f>
        <v>0</v>
      </c>
      <c r="I101" s="303">
        <f>SUMIF('Pre- and Production'!$T$4:$T$376, CONCATENATE(LEFT('WBS Summary by Year'!I$6,1),'WBS Summary by Year'!$C101,'WBS Summary by Year'!$B$86),'Pre- and Production'!AO$4:AO$376)</f>
        <v>0</v>
      </c>
      <c r="J101" s="26">
        <f>SUMIF('Pre- and Production'!$T$4:$T$376, CONCATENATE(LEFT('WBS Summary by Year'!J$6,1),'WBS Summary by Year'!$C101,'WBS Summary by Year'!$B$86),'Pre- and Production'!AF$4:AFI$376)</f>
        <v>0</v>
      </c>
      <c r="K101" s="296">
        <f>SUMIF('Pre- and Production'!$T$4:$T$376, CONCATENATE(LEFT('WBS Summary by Year'!K$6,1),'WBS Summary by Year'!$C101,'WBS Summary by Year'!$B$86),'Pre- and Production'!AP$4:AP$376)</f>
        <v>0</v>
      </c>
      <c r="L101" s="307">
        <f>SUMIF('Pre- and Production'!$T$4:$T$376, CONCATENATE(LEFT('WBS Summary by Year'!L$6,1),'WBS Summary by Year'!$C101,'WBS Summary by Year'!$B$86),'Pre- and Production'!AG$4:AG$376)</f>
        <v>0</v>
      </c>
      <c r="M101" s="303">
        <f>SUMIF('Pre- and Production'!$T$4:$T$376, CONCATENATE(LEFT('WBS Summary by Year'!M$6,1),'WBS Summary by Year'!$C101,'WBS Summary by Year'!$B$86),'Pre- and Production'!AQ$4:AQ$376)</f>
        <v>0</v>
      </c>
      <c r="N101" s="315">
        <f>SUMIF('Pre- and Production'!$T$4:$T$376, CONCATENATE(LEFT('WBS Summary by Year'!N$6,1),'WBS Summary by Year'!$C101,'WBS Summary by Year'!$B$86),'Pre- and Production'!AH$4:AH$376)</f>
        <v>0</v>
      </c>
      <c r="O101" s="316">
        <f>SUMIF('Pre- and Production'!$T$4:$T$376, CONCATENATE(LEFT('WBS Summary by Year'!O$6,1),'WBS Summary by Year'!$C101,'WBS Summary by Year'!$B$86),'Pre- and Production'!AR$4:AR$376)</f>
        <v>0</v>
      </c>
    </row>
    <row r="102" spans="3:15" s="352" customFormat="1">
      <c r="C102" s="46" t="s">
        <v>206</v>
      </c>
      <c r="D102" s="26">
        <f>SUMIF('Pre- and Production'!$T$4:$T$376, CONCATENATE(LEFT('WBS Summary by Year'!D$6,1),'WBS Summary by Year'!$C102,'WBS Summary by Year'!$B$86),'Pre- and Production'!AC$4:AC$376)</f>
        <v>0</v>
      </c>
      <c r="E102" s="303">
        <f>SUMIF('Pre- and Production'!$T$4:$T$376, CONCATENATE(LEFT('WBS Summary by Year'!E$6,1),'WBS Summary by Year'!$C102,'WBS Summary by Year'!$B$86),'Pre- and Production'!AM$4:AM$376)</f>
        <v>0</v>
      </c>
      <c r="F102" s="26">
        <f>SUMIF('Pre- and Production'!$T$4:$T$376, CONCATENATE(LEFT('WBS Summary by Year'!F$6,1),'WBS Summary by Year'!$C102,'WBS Summary by Year'!$B$86),'Pre- and Production'!AD$4:AD$376)</f>
        <v>0</v>
      </c>
      <c r="G102" s="296">
        <f>SUMIF('Pre- and Production'!$T$4:$T$376, CONCATENATE(LEFT('WBS Summary by Year'!G$6,1),'WBS Summary by Year'!$C102,'WBS Summary by Year'!$B$86),'Pre- and Production'!AN$4:AN$376)</f>
        <v>0</v>
      </c>
      <c r="H102" s="307">
        <f>SUMIF('Pre- and Production'!$T$4:$T$376, CONCATENATE(LEFT('WBS Summary by Year'!H$6,1),'WBS Summary by Year'!$C102,'WBS Summary by Year'!$B$86),'Pre- and Production'!AE$4:AE$376)</f>
        <v>0</v>
      </c>
      <c r="I102" s="303">
        <f>SUMIF('Pre- and Production'!$T$4:$T$376, CONCATENATE(LEFT('WBS Summary by Year'!I$6,1),'WBS Summary by Year'!$C102,'WBS Summary by Year'!$B$86),'Pre- and Production'!AO$4:AO$376)</f>
        <v>0</v>
      </c>
      <c r="J102" s="26">
        <f>SUMIF('Pre- and Production'!$T$4:$T$376, CONCATENATE(LEFT('WBS Summary by Year'!J$6,1),'WBS Summary by Year'!$C102,'WBS Summary by Year'!$B$86),'Pre- and Production'!AF$4:AFI$376)</f>
        <v>0</v>
      </c>
      <c r="K102" s="296">
        <f>SUMIF('Pre- and Production'!$T$4:$T$376, CONCATENATE(LEFT('WBS Summary by Year'!K$6,1),'WBS Summary by Year'!$C102,'WBS Summary by Year'!$B$86),'Pre- and Production'!AP$4:AP$376)</f>
        <v>0</v>
      </c>
      <c r="L102" s="307">
        <f>SUMIF('Pre- and Production'!$T$4:$T$376, CONCATENATE(LEFT('WBS Summary by Year'!L$6,1),'WBS Summary by Year'!$C102,'WBS Summary by Year'!$B$86),'Pre- and Production'!AG$4:AG$376)</f>
        <v>0</v>
      </c>
      <c r="M102" s="303">
        <f>SUMIF('Pre- and Production'!$T$4:$T$376, CONCATENATE(LEFT('WBS Summary by Year'!M$6,1),'WBS Summary by Year'!$C102,'WBS Summary by Year'!$B$86),'Pre- and Production'!AQ$4:AQ$376)</f>
        <v>0</v>
      </c>
      <c r="N102" s="315">
        <f>SUMIF('Pre- and Production'!$T$4:$T$376, CONCATENATE(LEFT('WBS Summary by Year'!N$6,1),'WBS Summary by Year'!$C102,'WBS Summary by Year'!$B$86),'Pre- and Production'!AH$4:AH$376)</f>
        <v>0</v>
      </c>
      <c r="O102" s="316">
        <f>SUMIF('Pre- and Production'!$T$4:$T$376, CONCATENATE(LEFT('WBS Summary by Year'!O$6,1),'WBS Summary by Year'!$C102,'WBS Summary by Year'!$B$86),'Pre- and Production'!AR$4:AR$376)</f>
        <v>0</v>
      </c>
    </row>
    <row r="103" spans="3:15" s="352" customFormat="1">
      <c r="C103" s="46" t="s">
        <v>207</v>
      </c>
      <c r="D103" s="26">
        <f>SUMIF('Pre- and Production'!$T$4:$T$376, CONCATENATE(LEFT('WBS Summary by Year'!D$6,1),'WBS Summary by Year'!$C103,'WBS Summary by Year'!$B$86),'Pre- and Production'!AC$4:AC$376)</f>
        <v>0</v>
      </c>
      <c r="E103" s="303">
        <f>SUMIF('Pre- and Production'!$T$4:$T$376, CONCATENATE(LEFT('WBS Summary by Year'!E$6,1),'WBS Summary by Year'!$C103,'WBS Summary by Year'!$B$86),'Pre- and Production'!AM$4:AM$376)</f>
        <v>0</v>
      </c>
      <c r="F103" s="26">
        <f>SUMIF('Pre- and Production'!$T$4:$T$376, CONCATENATE(LEFT('WBS Summary by Year'!F$6,1),'WBS Summary by Year'!$C103,'WBS Summary by Year'!$B$86),'Pre- and Production'!AD$4:AD$376)</f>
        <v>0</v>
      </c>
      <c r="G103" s="296">
        <f>SUMIF('Pre- and Production'!$T$4:$T$376, CONCATENATE(LEFT('WBS Summary by Year'!G$6,1),'WBS Summary by Year'!$C103,'WBS Summary by Year'!$B$86),'Pre- and Production'!AN$4:AN$376)</f>
        <v>0</v>
      </c>
      <c r="H103" s="307">
        <f>SUMIF('Pre- and Production'!$T$4:$T$376, CONCATENATE(LEFT('WBS Summary by Year'!H$6,1),'WBS Summary by Year'!$C103,'WBS Summary by Year'!$B$86),'Pre- and Production'!AE$4:AE$376)</f>
        <v>0</v>
      </c>
      <c r="I103" s="303">
        <f>SUMIF('Pre- and Production'!$T$4:$T$376, CONCATENATE(LEFT('WBS Summary by Year'!I$6,1),'WBS Summary by Year'!$C103,'WBS Summary by Year'!$B$86),'Pre- and Production'!AO$4:AO$376)</f>
        <v>0</v>
      </c>
      <c r="J103" s="26">
        <f>SUMIF('Pre- and Production'!$T$4:$T$376, CONCATENATE(LEFT('WBS Summary by Year'!J$6,1),'WBS Summary by Year'!$C103,'WBS Summary by Year'!$B$86),'Pre- and Production'!AF$4:AFI$376)</f>
        <v>40</v>
      </c>
      <c r="K103" s="296">
        <f>SUMIF('Pre- and Production'!$T$4:$T$376, CONCATENATE(LEFT('WBS Summary by Year'!K$6,1),'WBS Summary by Year'!$C103,'WBS Summary by Year'!$B$86),'Pre- and Production'!AP$4:AP$376)</f>
        <v>0</v>
      </c>
      <c r="L103" s="307">
        <f>SUMIF('Pre- and Production'!$T$4:$T$376, CONCATENATE(LEFT('WBS Summary by Year'!L$6,1),'WBS Summary by Year'!$C103,'WBS Summary by Year'!$B$86),'Pre- and Production'!AG$4:AG$376)</f>
        <v>0</v>
      </c>
      <c r="M103" s="303">
        <f>SUMIF('Pre- and Production'!$T$4:$T$376, CONCATENATE(LEFT('WBS Summary by Year'!M$6,1),'WBS Summary by Year'!$C103,'WBS Summary by Year'!$B$86),'Pre- and Production'!AQ$4:AQ$376)</f>
        <v>0</v>
      </c>
      <c r="N103" s="315">
        <f>SUMIF('Pre- and Production'!$T$4:$T$376, CONCATENATE(LEFT('WBS Summary by Year'!N$6,1),'WBS Summary by Year'!$C103,'WBS Summary by Year'!$B$86),'Pre- and Production'!AH$4:AH$376)</f>
        <v>0</v>
      </c>
      <c r="O103" s="316">
        <f>SUMIF('Pre- and Production'!$T$4:$T$376, CONCATENATE(LEFT('WBS Summary by Year'!O$6,1),'WBS Summary by Year'!$C103,'WBS Summary by Year'!$B$86),'Pre- and Production'!AR$4:AR$376)</f>
        <v>0</v>
      </c>
    </row>
    <row r="104" spans="3:15" s="352" customFormat="1">
      <c r="C104" s="100" t="s">
        <v>405</v>
      </c>
      <c r="D104" s="26">
        <f>SUMIF('Pre- and Production'!$T$4:$T$376, CONCATENATE(LEFT('WBS Summary by Year'!D$6,1),'WBS Summary by Year'!$C104,'WBS Summary by Year'!$B$86),'Pre- and Production'!AC$4:AC$376)</f>
        <v>0</v>
      </c>
      <c r="E104" s="303">
        <f>SUMIF('Pre- and Production'!$T$4:$T$376, CONCATENATE(LEFT('WBS Summary by Year'!E$6,1),'WBS Summary by Year'!$C104,'WBS Summary by Year'!$B$86),'Pre- and Production'!AM$4:AM$376)</f>
        <v>0</v>
      </c>
      <c r="F104" s="26">
        <f>SUMIF('Pre- and Production'!$T$4:$T$376, CONCATENATE(LEFT('WBS Summary by Year'!F$6,1),'WBS Summary by Year'!$C104,'WBS Summary by Year'!$B$86),'Pre- and Production'!AD$4:AD$376)</f>
        <v>0</v>
      </c>
      <c r="G104" s="296">
        <f>SUMIF('Pre- and Production'!$T$4:$T$376, CONCATENATE(LEFT('WBS Summary by Year'!G$6,1),'WBS Summary by Year'!$C104,'WBS Summary by Year'!$B$86),'Pre- and Production'!AN$4:AN$376)</f>
        <v>0</v>
      </c>
      <c r="H104" s="307">
        <f>SUMIF('Pre- and Production'!$T$4:$T$376, CONCATENATE(LEFT('WBS Summary by Year'!H$6,1),'WBS Summary by Year'!$C104,'WBS Summary by Year'!$B$86),'Pre- and Production'!AE$4:AE$376)</f>
        <v>0</v>
      </c>
      <c r="I104" s="303">
        <f>SUMIF('Pre- and Production'!$T$4:$T$376, CONCATENATE(LEFT('WBS Summary by Year'!I$6,1),'WBS Summary by Year'!$C104,'WBS Summary by Year'!$B$86),'Pre- and Production'!AO$4:AO$376)</f>
        <v>0</v>
      </c>
      <c r="J104" s="26">
        <f>SUMIF('Pre- and Production'!$T$4:$T$376, CONCATENATE(LEFT('WBS Summary by Year'!J$6,1),'WBS Summary by Year'!$C104,'WBS Summary by Year'!$B$86),'Pre- and Production'!AF$4:AFI$376)</f>
        <v>0</v>
      </c>
      <c r="K104" s="296">
        <f>SUMIF('Pre- and Production'!$T$4:$T$376, CONCATENATE(LEFT('WBS Summary by Year'!K$6,1),'WBS Summary by Year'!$C104,'WBS Summary by Year'!$B$86),'Pre- and Production'!AP$4:AP$376)</f>
        <v>0</v>
      </c>
      <c r="L104" s="307">
        <f>SUMIF('Pre- and Production'!$T$4:$T$376, CONCATENATE(LEFT('WBS Summary by Year'!L$6,1),'WBS Summary by Year'!$C104,'WBS Summary by Year'!$B$86),'Pre- and Production'!AG$4:AG$376)</f>
        <v>0</v>
      </c>
      <c r="M104" s="303">
        <f>SUMIF('Pre- and Production'!$T$4:$T$376, CONCATENATE(LEFT('WBS Summary by Year'!M$6,1),'WBS Summary by Year'!$C104,'WBS Summary by Year'!$B$86),'Pre- and Production'!AQ$4:AQ$376)</f>
        <v>0</v>
      </c>
      <c r="N104" s="315">
        <f>SUMIF('Pre- and Production'!$T$4:$T$376, CONCATENATE(LEFT('WBS Summary by Year'!N$6,1),'WBS Summary by Year'!$C104,'WBS Summary by Year'!$B$86),'Pre- and Production'!AH$4:AH$376)</f>
        <v>0</v>
      </c>
      <c r="O104" s="316">
        <f>SUMIF('Pre- and Production'!$T$4:$T$376, CONCATENATE(LEFT('WBS Summary by Year'!O$6,1),'WBS Summary by Year'!$C104,'WBS Summary by Year'!$B$86),'Pre- and Production'!AR$4:AR$376)</f>
        <v>0</v>
      </c>
    </row>
    <row r="105" spans="3:15" s="352" customFormat="1">
      <c r="C105" s="134" t="s">
        <v>406</v>
      </c>
      <c r="D105" s="26">
        <f>SUMIF('Pre- and Production'!$T$4:$T$376, CONCATENATE(LEFT('WBS Summary by Year'!D$6,1),'WBS Summary by Year'!$C105,'WBS Summary by Year'!$B$86),'Pre- and Production'!AC$4:AC$376)</f>
        <v>0</v>
      </c>
      <c r="E105" s="303">
        <f>SUMIF('Pre- and Production'!$T$4:$T$376, CONCATENATE(LEFT('WBS Summary by Year'!E$6,1),'WBS Summary by Year'!$C105,'WBS Summary by Year'!$B$86),'Pre- and Production'!AM$4:AM$376)</f>
        <v>0</v>
      </c>
      <c r="F105" s="26">
        <f>SUMIF('Pre- and Production'!$T$4:$T$376, CONCATENATE(LEFT('WBS Summary by Year'!F$6,1),'WBS Summary by Year'!$C105,'WBS Summary by Year'!$B$86),'Pre- and Production'!AD$4:AD$376)</f>
        <v>0</v>
      </c>
      <c r="G105" s="296">
        <f>SUMIF('Pre- and Production'!$T$4:$T$376, CONCATENATE(LEFT('WBS Summary by Year'!G$6,1),'WBS Summary by Year'!$C105,'WBS Summary by Year'!$B$86),'Pre- and Production'!AN$4:AN$376)</f>
        <v>0</v>
      </c>
      <c r="H105" s="307">
        <f>SUMIF('Pre- and Production'!$T$4:$T$376, CONCATENATE(LEFT('WBS Summary by Year'!H$6,1),'WBS Summary by Year'!$C105,'WBS Summary by Year'!$B$86),'Pre- and Production'!AE$4:AE$376)</f>
        <v>0</v>
      </c>
      <c r="I105" s="303">
        <f>SUMIF('Pre- and Production'!$T$4:$T$376, CONCATENATE(LEFT('WBS Summary by Year'!I$6,1),'WBS Summary by Year'!$C105,'WBS Summary by Year'!$B$86),'Pre- and Production'!AO$4:AO$376)</f>
        <v>0</v>
      </c>
      <c r="J105" s="26">
        <f>SUMIF('Pre- and Production'!$T$4:$T$376, CONCATENATE(LEFT('WBS Summary by Year'!J$6,1),'WBS Summary by Year'!$C105,'WBS Summary by Year'!$B$86),'Pre- and Production'!AF$4:AFI$376)</f>
        <v>0</v>
      </c>
      <c r="K105" s="296">
        <f>SUMIF('Pre- and Production'!$T$4:$T$376, CONCATENATE(LEFT('WBS Summary by Year'!K$6,1),'WBS Summary by Year'!$C105,'WBS Summary by Year'!$B$86),'Pre- and Production'!AP$4:AP$376)</f>
        <v>0</v>
      </c>
      <c r="L105" s="307">
        <f>SUMIF('Pre- and Production'!$T$4:$T$376, CONCATENATE(LEFT('WBS Summary by Year'!L$6,1),'WBS Summary by Year'!$C105,'WBS Summary by Year'!$B$86),'Pre- and Production'!AG$4:AG$376)</f>
        <v>0</v>
      </c>
      <c r="M105" s="303">
        <f>SUMIF('Pre- and Production'!$T$4:$T$376, CONCATENATE(LEFT('WBS Summary by Year'!M$6,1),'WBS Summary by Year'!$C105,'WBS Summary by Year'!$B$86),'Pre- and Production'!AQ$4:AQ$376)</f>
        <v>0</v>
      </c>
      <c r="N105" s="315">
        <f>SUMIF('Pre- and Production'!$T$4:$T$376, CONCATENATE(LEFT('WBS Summary by Year'!N$6,1),'WBS Summary by Year'!$C105,'WBS Summary by Year'!$B$86),'Pre- and Production'!AH$4:AH$376)</f>
        <v>0</v>
      </c>
      <c r="O105" s="316">
        <f>SUMIF('Pre- and Production'!$T$4:$T$376, CONCATENATE(LEFT('WBS Summary by Year'!O$6,1),'WBS Summary by Year'!$C105,'WBS Summary by Year'!$B$86),'Pre- and Production'!AR$4:AR$376)</f>
        <v>0</v>
      </c>
    </row>
    <row r="106" spans="3:15" s="352" customFormat="1">
      <c r="C106" s="46" t="s">
        <v>407</v>
      </c>
      <c r="D106" s="26">
        <f>SUMIF('Pre- and Production'!$T$4:$T$376, CONCATENATE(LEFT('WBS Summary by Year'!D$6,1),'WBS Summary by Year'!$C106,'WBS Summary by Year'!$B$86),'Pre- and Production'!AC$4:AC$376)</f>
        <v>16</v>
      </c>
      <c r="E106" s="303">
        <f>SUMIF('Pre- and Production'!$T$4:$T$376, CONCATENATE(LEFT('WBS Summary by Year'!E$6,1),'WBS Summary by Year'!$C106,'WBS Summary by Year'!$B$86),'Pre- and Production'!AM$4:AM$376)</f>
        <v>103.75</v>
      </c>
      <c r="F106" s="26">
        <f>SUMIF('Pre- and Production'!$T$4:$T$376, CONCATENATE(LEFT('WBS Summary by Year'!F$6,1),'WBS Summary by Year'!$C106,'WBS Summary by Year'!$B$86),'Pre- and Production'!AD$4:AD$376)</f>
        <v>88</v>
      </c>
      <c r="G106" s="296">
        <f>SUMIF('Pre- and Production'!$T$4:$T$376, CONCATENATE(LEFT('WBS Summary by Year'!G$6,1),'WBS Summary by Year'!$C106,'WBS Summary by Year'!$B$86),'Pre- and Production'!AN$4:AN$376)</f>
        <v>8</v>
      </c>
      <c r="H106" s="307">
        <f>SUMIF('Pre- and Production'!$T$4:$T$376, CONCATENATE(LEFT('WBS Summary by Year'!H$6,1),'WBS Summary by Year'!$C106,'WBS Summary by Year'!$B$86),'Pre- and Production'!AE$4:AE$376)</f>
        <v>0</v>
      </c>
      <c r="I106" s="303">
        <f>SUMIF('Pre- and Production'!$T$4:$T$376, CONCATENATE(LEFT('WBS Summary by Year'!I$6,1),'WBS Summary by Year'!$C106,'WBS Summary by Year'!$B$86),'Pre- and Production'!AO$4:AO$376)</f>
        <v>48</v>
      </c>
      <c r="J106" s="26">
        <f>SUMIF('Pre- and Production'!$T$4:$T$376, CONCATENATE(LEFT('WBS Summary by Year'!J$6,1),'WBS Summary by Year'!$C106,'WBS Summary by Year'!$B$86),'Pre- and Production'!AF$4:AFI$376)</f>
        <v>44</v>
      </c>
      <c r="K106" s="296">
        <f>SUMIF('Pre- and Production'!$T$4:$T$376, CONCATENATE(LEFT('WBS Summary by Year'!K$6,1),'WBS Summary by Year'!$C106,'WBS Summary by Year'!$B$86),'Pre- and Production'!AP$4:AP$376)</f>
        <v>164</v>
      </c>
      <c r="L106" s="307">
        <f>SUMIF('Pre- and Production'!$T$4:$T$376, CONCATENATE(LEFT('WBS Summary by Year'!L$6,1),'WBS Summary by Year'!$C106,'WBS Summary by Year'!$B$86),'Pre- and Production'!AG$4:AG$376)</f>
        <v>0</v>
      </c>
      <c r="M106" s="303">
        <f>SUMIF('Pre- and Production'!$T$4:$T$376, CONCATENATE(LEFT('WBS Summary by Year'!M$6,1),'WBS Summary by Year'!$C106,'WBS Summary by Year'!$B$86),'Pre- and Production'!AQ$4:AQ$376)</f>
        <v>0</v>
      </c>
      <c r="N106" s="315">
        <f>SUMIF('Pre- and Production'!$T$4:$T$376, CONCATENATE(LEFT('WBS Summary by Year'!N$6,1),'WBS Summary by Year'!$C106,'WBS Summary by Year'!$B$86),'Pre- and Production'!AH$4:AH$376)</f>
        <v>720</v>
      </c>
      <c r="O106" s="316">
        <f>SUMIF('Pre- and Production'!$T$4:$T$376, CONCATENATE(LEFT('WBS Summary by Year'!O$6,1),'WBS Summary by Year'!$C106,'WBS Summary by Year'!$B$86),'Pre- and Production'!AR$4:AR$376)</f>
        <v>2160</v>
      </c>
    </row>
    <row r="107" spans="3:15" s="352" customFormat="1">
      <c r="C107" s="46" t="s">
        <v>408</v>
      </c>
      <c r="D107" s="26">
        <f>SUMIF('Pre- and Production'!$T$4:$T$376, CONCATENATE(LEFT('WBS Summary by Year'!D$6,1),'WBS Summary by Year'!$C107,'WBS Summary by Year'!$B$86),'Pre- and Production'!AC$4:AC$376)</f>
        <v>0</v>
      </c>
      <c r="E107" s="303">
        <f>SUMIF('Pre- and Production'!$T$4:$T$376, CONCATENATE(LEFT('WBS Summary by Year'!E$6,1),'WBS Summary by Year'!$C107,'WBS Summary by Year'!$B$86),'Pre- and Production'!AM$4:AM$376)</f>
        <v>0</v>
      </c>
      <c r="F107" s="26">
        <f>SUMIF('Pre- and Production'!$T$4:$T$376, CONCATENATE(LEFT('WBS Summary by Year'!F$6,1),'WBS Summary by Year'!$C107,'WBS Summary by Year'!$B$86),'Pre- and Production'!AD$4:AD$376)</f>
        <v>0</v>
      </c>
      <c r="G107" s="296">
        <f>SUMIF('Pre- and Production'!$T$4:$T$376, CONCATENATE(LEFT('WBS Summary by Year'!G$6,1),'WBS Summary by Year'!$C107,'WBS Summary by Year'!$B$86),'Pre- and Production'!AN$4:AN$376)</f>
        <v>0</v>
      </c>
      <c r="H107" s="307">
        <f>SUMIF('Pre- and Production'!$T$4:$T$376, CONCATENATE(LEFT('WBS Summary by Year'!H$6,1),'WBS Summary by Year'!$C107,'WBS Summary by Year'!$B$86),'Pre- and Production'!AE$4:AE$376)</f>
        <v>0</v>
      </c>
      <c r="I107" s="303">
        <f>SUMIF('Pre- and Production'!$T$4:$T$376, CONCATENATE(LEFT('WBS Summary by Year'!I$6,1),'WBS Summary by Year'!$C107,'WBS Summary by Year'!$B$86),'Pre- and Production'!AO$4:AO$376)</f>
        <v>0</v>
      </c>
      <c r="J107" s="26">
        <f>SUMIF('Pre- and Production'!$T$4:$T$376, CONCATENATE(LEFT('WBS Summary by Year'!J$6,1),'WBS Summary by Year'!$C107,'WBS Summary by Year'!$B$86),'Pre- and Production'!AF$4:AFI$376)</f>
        <v>0</v>
      </c>
      <c r="K107" s="296">
        <f>SUMIF('Pre- and Production'!$T$4:$T$376, CONCATENATE(LEFT('WBS Summary by Year'!K$6,1),'WBS Summary by Year'!$C107,'WBS Summary by Year'!$B$86),'Pre- and Production'!AP$4:AP$376)</f>
        <v>0</v>
      </c>
      <c r="L107" s="307">
        <f>SUMIF('Pre- and Production'!$T$4:$T$376, CONCATENATE(LEFT('WBS Summary by Year'!L$6,1),'WBS Summary by Year'!$C107,'WBS Summary by Year'!$B$86),'Pre- and Production'!AG$4:AG$376)</f>
        <v>0</v>
      </c>
      <c r="M107" s="303">
        <f>SUMIF('Pre- and Production'!$T$4:$T$376, CONCATENATE(LEFT('WBS Summary by Year'!M$6,1),'WBS Summary by Year'!$C107,'WBS Summary by Year'!$B$86),'Pre- and Production'!AQ$4:AQ$376)</f>
        <v>0</v>
      </c>
      <c r="N107" s="315">
        <f>SUMIF('Pre- and Production'!$T$4:$T$376, CONCATENATE(LEFT('WBS Summary by Year'!N$6,1),'WBS Summary by Year'!$C107,'WBS Summary by Year'!$B$86),'Pre- and Production'!AH$4:AH$376)</f>
        <v>0</v>
      </c>
      <c r="O107" s="316">
        <f>SUMIF('Pre- and Production'!$T$4:$T$376, CONCATENATE(LEFT('WBS Summary by Year'!O$6,1),'WBS Summary by Year'!$C107,'WBS Summary by Year'!$B$86),'Pre- and Production'!AR$4:AR$376)</f>
        <v>0</v>
      </c>
    </row>
    <row r="108" spans="3:15" s="352" customFormat="1">
      <c r="C108" s="134" t="s">
        <v>409</v>
      </c>
      <c r="D108" s="26">
        <f>SUMIF('Pre- and Production'!$T$4:$T$376, CONCATENATE(LEFT('WBS Summary by Year'!D$6,1),'WBS Summary by Year'!$C108,'WBS Summary by Year'!$B$86),'Pre- and Production'!AC$4:AC$376)</f>
        <v>0</v>
      </c>
      <c r="E108" s="303">
        <f>SUMIF('Pre- and Production'!$T$4:$T$376, CONCATENATE(LEFT('WBS Summary by Year'!E$6,1),'WBS Summary by Year'!$C108,'WBS Summary by Year'!$B$86),'Pre- and Production'!AM$4:AM$376)</f>
        <v>0</v>
      </c>
      <c r="F108" s="26">
        <f>SUMIF('Pre- and Production'!$T$4:$T$376, CONCATENATE(LEFT('WBS Summary by Year'!F$6,1),'WBS Summary by Year'!$C108,'WBS Summary by Year'!$B$86),'Pre- and Production'!AD$4:AD$376)</f>
        <v>160</v>
      </c>
      <c r="G108" s="296">
        <f>SUMIF('Pre- and Production'!$T$4:$T$376, CONCATENATE(LEFT('WBS Summary by Year'!G$6,1),'WBS Summary by Year'!$C108,'WBS Summary by Year'!$B$86),'Pre- and Production'!AN$4:AN$376)</f>
        <v>0</v>
      </c>
      <c r="H108" s="307">
        <f>SUMIF('Pre- and Production'!$T$4:$T$376, CONCATENATE(LEFT('WBS Summary by Year'!H$6,1),'WBS Summary by Year'!$C108,'WBS Summary by Year'!$B$86),'Pre- and Production'!AE$4:AE$376)</f>
        <v>64</v>
      </c>
      <c r="I108" s="303">
        <f>SUMIF('Pre- and Production'!$T$4:$T$376, CONCATENATE(LEFT('WBS Summary by Year'!I$6,1),'WBS Summary by Year'!$C108,'WBS Summary by Year'!$B$86),'Pre- and Production'!AO$4:AO$376)</f>
        <v>0</v>
      </c>
      <c r="J108" s="26">
        <f>SUMIF('Pre- and Production'!$T$4:$T$376, CONCATENATE(LEFT('WBS Summary by Year'!J$6,1),'WBS Summary by Year'!$C108,'WBS Summary by Year'!$B$86),'Pre- and Production'!AF$4:AFI$376)</f>
        <v>88</v>
      </c>
      <c r="K108" s="296">
        <f>SUMIF('Pre- and Production'!$T$4:$T$376, CONCATENATE(LEFT('WBS Summary by Year'!K$6,1),'WBS Summary by Year'!$C108,'WBS Summary by Year'!$B$86),'Pre- and Production'!AP$4:AP$376)</f>
        <v>0</v>
      </c>
      <c r="L108" s="307">
        <f>SUMIF('Pre- and Production'!$T$4:$T$376, CONCATENATE(LEFT('WBS Summary by Year'!L$6,1),'WBS Summary by Year'!$C108,'WBS Summary by Year'!$B$86),'Pre- and Production'!AG$4:AG$376)</f>
        <v>0</v>
      </c>
      <c r="M108" s="303">
        <f>SUMIF('Pre- and Production'!$T$4:$T$376, CONCATENATE(LEFT('WBS Summary by Year'!M$6,1),'WBS Summary by Year'!$C108,'WBS Summary by Year'!$B$86),'Pre- and Production'!AQ$4:AQ$376)</f>
        <v>0</v>
      </c>
      <c r="N108" s="315">
        <f>SUMIF('Pre- and Production'!$T$4:$T$376, CONCATENATE(LEFT('WBS Summary by Year'!N$6,1),'WBS Summary by Year'!$C108,'WBS Summary by Year'!$B$86),'Pre- and Production'!AH$4:AH$376)</f>
        <v>0</v>
      </c>
      <c r="O108" s="316">
        <f>SUMIF('Pre- and Production'!$T$4:$T$376, CONCATENATE(LEFT('WBS Summary by Year'!O$6,1),'WBS Summary by Year'!$C108,'WBS Summary by Year'!$B$86),'Pre- and Production'!AR$4:AR$376)</f>
        <v>0</v>
      </c>
    </row>
    <row r="109" spans="3:15" s="352" customFormat="1">
      <c r="C109" s="134" t="s">
        <v>410</v>
      </c>
      <c r="D109" s="26">
        <f>SUMIF('Pre- and Production'!$T$4:$T$376, CONCATENATE(LEFT('WBS Summary by Year'!D$6,1),'WBS Summary by Year'!$C109,'WBS Summary by Year'!$B$86),'Pre- and Production'!AC$4:AC$376)</f>
        <v>0</v>
      </c>
      <c r="E109" s="303">
        <f>SUMIF('Pre- and Production'!$T$4:$T$376, CONCATENATE(LEFT('WBS Summary by Year'!E$6,1),'WBS Summary by Year'!$C109,'WBS Summary by Year'!$B$86),'Pre- and Production'!AM$4:AM$376)</f>
        <v>0</v>
      </c>
      <c r="F109" s="26">
        <f>SUMIF('Pre- and Production'!$T$4:$T$376, CONCATENATE(LEFT('WBS Summary by Year'!F$6,1),'WBS Summary by Year'!$C109,'WBS Summary by Year'!$B$86),'Pre- and Production'!AD$4:AD$376)</f>
        <v>0</v>
      </c>
      <c r="G109" s="296">
        <f>SUMIF('Pre- and Production'!$T$4:$T$376, CONCATENATE(LEFT('WBS Summary by Year'!G$6,1),'WBS Summary by Year'!$C109,'WBS Summary by Year'!$B$86),'Pre- and Production'!AN$4:AN$376)</f>
        <v>0</v>
      </c>
      <c r="H109" s="307">
        <f>SUMIF('Pre- and Production'!$T$4:$T$376, CONCATENATE(LEFT('WBS Summary by Year'!H$6,1),'WBS Summary by Year'!$C109,'WBS Summary by Year'!$B$86),'Pre- and Production'!AE$4:AE$376)</f>
        <v>0</v>
      </c>
      <c r="I109" s="303">
        <f>SUMIF('Pre- and Production'!$T$4:$T$376, CONCATENATE(LEFT('WBS Summary by Year'!I$6,1),'WBS Summary by Year'!$C109,'WBS Summary by Year'!$B$86),'Pre- and Production'!AO$4:AO$376)</f>
        <v>0</v>
      </c>
      <c r="J109" s="26">
        <f>SUMIF('Pre- and Production'!$T$4:$T$376, CONCATENATE(LEFT('WBS Summary by Year'!J$6,1),'WBS Summary by Year'!$C109,'WBS Summary by Year'!$B$86),'Pre- and Production'!AF$4:AFI$376)</f>
        <v>0</v>
      </c>
      <c r="K109" s="296">
        <f>SUMIF('Pre- and Production'!$T$4:$T$376, CONCATENATE(LEFT('WBS Summary by Year'!K$6,1),'WBS Summary by Year'!$C109,'WBS Summary by Year'!$B$86),'Pre- and Production'!AP$4:AP$376)</f>
        <v>0</v>
      </c>
      <c r="L109" s="307">
        <f>SUMIF('Pre- and Production'!$T$4:$T$376, CONCATENATE(LEFT('WBS Summary by Year'!L$6,1),'WBS Summary by Year'!$C109,'WBS Summary by Year'!$B$86),'Pre- and Production'!AG$4:AG$376)</f>
        <v>0</v>
      </c>
      <c r="M109" s="303">
        <f>SUMIF('Pre- and Production'!$T$4:$T$376, CONCATENATE(LEFT('WBS Summary by Year'!M$6,1),'WBS Summary by Year'!$C109,'WBS Summary by Year'!$B$86),'Pre- and Production'!AQ$4:AQ$376)</f>
        <v>0</v>
      </c>
      <c r="N109" s="315">
        <f>SUMIF('Pre- and Production'!$T$4:$T$376, CONCATENATE(LEFT('WBS Summary by Year'!N$6,1),'WBS Summary by Year'!$C109,'WBS Summary by Year'!$B$86),'Pre- and Production'!AH$4:AH$376)</f>
        <v>0</v>
      </c>
      <c r="O109" s="316">
        <f>SUMIF('Pre- and Production'!$T$4:$T$376, CONCATENATE(LEFT('WBS Summary by Year'!O$6,1),'WBS Summary by Year'!$C109,'WBS Summary by Year'!$B$86),'Pre- and Production'!AR$4:AR$376)</f>
        <v>0</v>
      </c>
    </row>
    <row r="110" spans="3:15" s="352" customFormat="1">
      <c r="C110" s="134" t="s">
        <v>411</v>
      </c>
      <c r="D110" s="26">
        <f>SUMIF('Pre- and Production'!$T$4:$T$376, CONCATENATE(LEFT('WBS Summary by Year'!D$6,1),'WBS Summary by Year'!$C110,'WBS Summary by Year'!$B$86),'Pre- and Production'!AC$4:AC$376)</f>
        <v>0</v>
      </c>
      <c r="E110" s="303">
        <f>SUMIF('Pre- and Production'!$T$4:$T$376, CONCATENATE(LEFT('WBS Summary by Year'!E$6,1),'WBS Summary by Year'!$C110,'WBS Summary by Year'!$B$86),'Pre- and Production'!AM$4:AM$376)</f>
        <v>0</v>
      </c>
      <c r="F110" s="26">
        <f>SUMIF('Pre- and Production'!$T$4:$T$376, CONCATENATE(LEFT('WBS Summary by Year'!F$6,1),'WBS Summary by Year'!$C110,'WBS Summary by Year'!$B$86),'Pre- and Production'!AD$4:AD$376)</f>
        <v>0</v>
      </c>
      <c r="G110" s="296">
        <f>SUMIF('Pre- and Production'!$T$4:$T$376, CONCATENATE(LEFT('WBS Summary by Year'!G$6,1),'WBS Summary by Year'!$C110,'WBS Summary by Year'!$B$86),'Pre- and Production'!AN$4:AN$376)</f>
        <v>0</v>
      </c>
      <c r="H110" s="307">
        <f>SUMIF('Pre- and Production'!$T$4:$T$376, CONCATENATE(LEFT('WBS Summary by Year'!H$6,1),'WBS Summary by Year'!$C110,'WBS Summary by Year'!$B$86),'Pre- and Production'!AE$4:AE$376)</f>
        <v>0</v>
      </c>
      <c r="I110" s="303">
        <f>SUMIF('Pre- and Production'!$T$4:$T$376, CONCATENATE(LEFT('WBS Summary by Year'!I$6,1),'WBS Summary by Year'!$C110,'WBS Summary by Year'!$B$86),'Pre- and Production'!AO$4:AO$376)</f>
        <v>0</v>
      </c>
      <c r="J110" s="26">
        <f>SUMIF('Pre- and Production'!$T$4:$T$376, CONCATENATE(LEFT('WBS Summary by Year'!J$6,1),'WBS Summary by Year'!$C110,'WBS Summary by Year'!$B$86),'Pre- and Production'!AF$4:AFI$376)</f>
        <v>0</v>
      </c>
      <c r="K110" s="296">
        <f>SUMIF('Pre- and Production'!$T$4:$T$376, CONCATENATE(LEFT('WBS Summary by Year'!K$6,1),'WBS Summary by Year'!$C110,'WBS Summary by Year'!$B$86),'Pre- and Production'!AP$4:AP$376)</f>
        <v>0</v>
      </c>
      <c r="L110" s="307">
        <f>SUMIF('Pre- and Production'!$T$4:$T$376, CONCATENATE(LEFT('WBS Summary by Year'!L$6,1),'WBS Summary by Year'!$C110,'WBS Summary by Year'!$B$86),'Pre- and Production'!AG$4:AG$376)</f>
        <v>0</v>
      </c>
      <c r="M110" s="303">
        <f>SUMIF('Pre- and Production'!$T$4:$T$376, CONCATENATE(LEFT('WBS Summary by Year'!M$6,1),'WBS Summary by Year'!$C110,'WBS Summary by Year'!$B$86),'Pre- and Production'!AQ$4:AQ$376)</f>
        <v>0</v>
      </c>
      <c r="N110" s="315">
        <f>SUMIF('Pre- and Production'!$T$4:$T$376, CONCATENATE(LEFT('WBS Summary by Year'!N$6,1),'WBS Summary by Year'!$C110,'WBS Summary by Year'!$B$86),'Pre- and Production'!AH$4:AH$376)</f>
        <v>0</v>
      </c>
      <c r="O110" s="316">
        <f>SUMIF('Pre- and Production'!$T$4:$T$376, CONCATENATE(LEFT('WBS Summary by Year'!O$6,1),'WBS Summary by Year'!$C110,'WBS Summary by Year'!$B$86),'Pre- and Production'!AR$4:AR$376)</f>
        <v>0</v>
      </c>
    </row>
    <row r="111" spans="3:15" s="352" customFormat="1">
      <c r="C111" s="46" t="s">
        <v>412</v>
      </c>
      <c r="D111" s="26">
        <f>SUMIF('Pre- and Production'!$T$4:$T$376, CONCATENATE(LEFT('WBS Summary by Year'!D$6,1),'WBS Summary by Year'!$C111,'WBS Summary by Year'!$B$86),'Pre- and Production'!AC$4:AC$376)</f>
        <v>64</v>
      </c>
      <c r="E111" s="303">
        <f>SUMIF('Pre- and Production'!$T$4:$T$376, CONCATENATE(LEFT('WBS Summary by Year'!E$6,1),'WBS Summary by Year'!$C111,'WBS Summary by Year'!$B$86),'Pre- and Production'!AM$4:AM$376)</f>
        <v>0</v>
      </c>
      <c r="F111" s="26">
        <f>SUMIF('Pre- and Production'!$T$4:$T$376, CONCATENATE(LEFT('WBS Summary by Year'!F$6,1),'WBS Summary by Year'!$C111,'WBS Summary by Year'!$B$86),'Pre- and Production'!AD$4:AD$376)</f>
        <v>128</v>
      </c>
      <c r="G111" s="296">
        <f>SUMIF('Pre- and Production'!$T$4:$T$376, CONCATENATE(LEFT('WBS Summary by Year'!G$6,1),'WBS Summary by Year'!$C111,'WBS Summary by Year'!$B$86),'Pre- and Production'!AN$4:AN$376)</f>
        <v>0</v>
      </c>
      <c r="H111" s="307">
        <f>SUMIF('Pre- and Production'!$T$4:$T$376, CONCATENATE(LEFT('WBS Summary by Year'!H$6,1),'WBS Summary by Year'!$C111,'WBS Summary by Year'!$B$86),'Pre- and Production'!AE$4:AE$376)</f>
        <v>0</v>
      </c>
      <c r="I111" s="303">
        <f>SUMIF('Pre- and Production'!$T$4:$T$376, CONCATENATE(LEFT('WBS Summary by Year'!I$6,1),'WBS Summary by Year'!$C111,'WBS Summary by Year'!$B$86),'Pre- and Production'!AO$4:AO$376)</f>
        <v>0</v>
      </c>
      <c r="J111" s="26">
        <f>SUMIF('Pre- and Production'!$T$4:$T$376, CONCATENATE(LEFT('WBS Summary by Year'!J$6,1),'WBS Summary by Year'!$C111,'WBS Summary by Year'!$B$86),'Pre- and Production'!AF$4:AFI$376)</f>
        <v>48</v>
      </c>
      <c r="K111" s="296">
        <f>SUMIF('Pre- and Production'!$T$4:$T$376, CONCATENATE(LEFT('WBS Summary by Year'!K$6,1),'WBS Summary by Year'!$C111,'WBS Summary by Year'!$B$86),'Pre- and Production'!AP$4:AP$376)</f>
        <v>0</v>
      </c>
      <c r="L111" s="307">
        <f>SUMIF('Pre- and Production'!$T$4:$T$376, CONCATENATE(LEFT('WBS Summary by Year'!L$6,1),'WBS Summary by Year'!$C111,'WBS Summary by Year'!$B$86),'Pre- and Production'!AG$4:AG$376)</f>
        <v>0</v>
      </c>
      <c r="M111" s="303">
        <f>SUMIF('Pre- and Production'!$T$4:$T$376, CONCATENATE(LEFT('WBS Summary by Year'!M$6,1),'WBS Summary by Year'!$C111,'WBS Summary by Year'!$B$86),'Pre- and Production'!AQ$4:AQ$376)</f>
        <v>0</v>
      </c>
      <c r="N111" s="315">
        <f>SUMIF('Pre- and Production'!$T$4:$T$376, CONCATENATE(LEFT('WBS Summary by Year'!N$6,1),'WBS Summary by Year'!$C111,'WBS Summary by Year'!$B$86),'Pre- and Production'!AH$4:AH$376)</f>
        <v>9600</v>
      </c>
      <c r="O111" s="316">
        <f>SUMIF('Pre- and Production'!$T$4:$T$376, CONCATENATE(LEFT('WBS Summary by Year'!O$6,1),'WBS Summary by Year'!$C111,'WBS Summary by Year'!$B$86),'Pre- and Production'!AR$4:AR$376)</f>
        <v>0</v>
      </c>
    </row>
    <row r="112" spans="3:15" s="352" customFormat="1">
      <c r="C112" s="46" t="s">
        <v>413</v>
      </c>
      <c r="D112" s="26">
        <f>SUMIF('Pre- and Production'!$T$4:$T$376, CONCATENATE(LEFT('WBS Summary by Year'!D$6,1),'WBS Summary by Year'!$C112,'WBS Summary by Year'!$B$86),'Pre- and Production'!AC$4:AC$376)</f>
        <v>0</v>
      </c>
      <c r="E112" s="303">
        <f>SUMIF('Pre- and Production'!$T$4:$T$376, CONCATENATE(LEFT('WBS Summary by Year'!E$6,1),'WBS Summary by Year'!$C112,'WBS Summary by Year'!$B$86),'Pre- and Production'!AM$4:AM$376)</f>
        <v>0</v>
      </c>
      <c r="F112" s="26">
        <f>SUMIF('Pre- and Production'!$T$4:$T$376, CONCATENATE(LEFT('WBS Summary by Year'!F$6,1),'WBS Summary by Year'!$C112,'WBS Summary by Year'!$B$86),'Pre- and Production'!AD$4:AD$376)</f>
        <v>0</v>
      </c>
      <c r="G112" s="296">
        <f>SUMIF('Pre- and Production'!$T$4:$T$376, CONCATENATE(LEFT('WBS Summary by Year'!G$6,1),'WBS Summary by Year'!$C112,'WBS Summary by Year'!$B$86),'Pre- and Production'!AN$4:AN$376)</f>
        <v>0</v>
      </c>
      <c r="H112" s="307">
        <f>SUMIF('Pre- and Production'!$T$4:$T$376, CONCATENATE(LEFT('WBS Summary by Year'!H$6,1),'WBS Summary by Year'!$C112,'WBS Summary by Year'!$B$86),'Pre- and Production'!AE$4:AE$376)</f>
        <v>0</v>
      </c>
      <c r="I112" s="303">
        <f>SUMIF('Pre- and Production'!$T$4:$T$376, CONCATENATE(LEFT('WBS Summary by Year'!I$6,1),'WBS Summary by Year'!$C112,'WBS Summary by Year'!$B$86),'Pre- and Production'!AO$4:AO$376)</f>
        <v>0</v>
      </c>
      <c r="J112" s="26">
        <f>SUMIF('Pre- and Production'!$T$4:$T$376, CONCATENATE(LEFT('WBS Summary by Year'!J$6,1),'WBS Summary by Year'!$C112,'WBS Summary by Year'!$B$86),'Pre- and Production'!AF$4:AFI$376)</f>
        <v>0</v>
      </c>
      <c r="K112" s="296">
        <f>SUMIF('Pre- and Production'!$T$4:$T$376, CONCATENATE(LEFT('WBS Summary by Year'!K$6,1),'WBS Summary by Year'!$C112,'WBS Summary by Year'!$B$86),'Pre- and Production'!AP$4:AP$376)</f>
        <v>0</v>
      </c>
      <c r="L112" s="307">
        <f>SUMIF('Pre- and Production'!$T$4:$T$376, CONCATENATE(LEFT('WBS Summary by Year'!L$6,1),'WBS Summary by Year'!$C112,'WBS Summary by Year'!$B$86),'Pre- and Production'!AG$4:AG$376)</f>
        <v>0</v>
      </c>
      <c r="M112" s="303">
        <f>SUMIF('Pre- and Production'!$T$4:$T$376, CONCATENATE(LEFT('WBS Summary by Year'!M$6,1),'WBS Summary by Year'!$C112,'WBS Summary by Year'!$B$86),'Pre- and Production'!AQ$4:AQ$376)</f>
        <v>0</v>
      </c>
      <c r="N112" s="315">
        <f>SUMIF('Pre- and Production'!$T$4:$T$376, CONCATENATE(LEFT('WBS Summary by Year'!N$6,1),'WBS Summary by Year'!$C112,'WBS Summary by Year'!$B$86),'Pre- and Production'!AH$4:AH$376)</f>
        <v>0</v>
      </c>
      <c r="O112" s="316">
        <f>SUMIF('Pre- and Production'!$T$4:$T$376, CONCATENATE(LEFT('WBS Summary by Year'!O$6,1),'WBS Summary by Year'!$C112,'WBS Summary by Year'!$B$86),'Pre- and Production'!AR$4:AR$376)</f>
        <v>0</v>
      </c>
    </row>
    <row r="113" spans="2:15" s="352" customFormat="1">
      <c r="C113" s="134" t="s">
        <v>414</v>
      </c>
      <c r="D113" s="26">
        <f>SUMIF('Pre- and Production'!$T$4:$T$376, CONCATENATE(LEFT('WBS Summary by Year'!D$6,1),'WBS Summary by Year'!$C113,'WBS Summary by Year'!$B$86),'Pre- and Production'!AC$4:AC$376)</f>
        <v>0</v>
      </c>
      <c r="E113" s="303">
        <f>SUMIF('Pre- and Production'!$T$4:$T$376, CONCATENATE(LEFT('WBS Summary by Year'!E$6,1),'WBS Summary by Year'!$C113,'WBS Summary by Year'!$B$86),'Pre- and Production'!AM$4:AM$376)</f>
        <v>0</v>
      </c>
      <c r="F113" s="26">
        <f>SUMIF('Pre- and Production'!$T$4:$T$376, CONCATENATE(LEFT('WBS Summary by Year'!F$6,1),'WBS Summary by Year'!$C113,'WBS Summary by Year'!$B$86),'Pre- and Production'!AD$4:AD$376)</f>
        <v>0</v>
      </c>
      <c r="G113" s="296">
        <f>SUMIF('Pre- and Production'!$T$4:$T$376, CONCATENATE(LEFT('WBS Summary by Year'!G$6,1),'WBS Summary by Year'!$C113,'WBS Summary by Year'!$B$86),'Pre- and Production'!AN$4:AN$376)</f>
        <v>0</v>
      </c>
      <c r="H113" s="307">
        <f>SUMIF('Pre- and Production'!$T$4:$T$376, CONCATENATE(LEFT('WBS Summary by Year'!H$6,1),'WBS Summary by Year'!$C113,'WBS Summary by Year'!$B$86),'Pre- and Production'!AE$4:AE$376)</f>
        <v>0</v>
      </c>
      <c r="I113" s="303">
        <f>SUMIF('Pre- and Production'!$T$4:$T$376, CONCATENATE(LEFT('WBS Summary by Year'!I$6,1),'WBS Summary by Year'!$C113,'WBS Summary by Year'!$B$86),'Pre- and Production'!AO$4:AO$376)</f>
        <v>0</v>
      </c>
      <c r="J113" s="26">
        <f>SUMIF('Pre- and Production'!$T$4:$T$376, CONCATENATE(LEFT('WBS Summary by Year'!J$6,1),'WBS Summary by Year'!$C113,'WBS Summary by Year'!$B$86),'Pre- and Production'!AF$4:AFI$376)</f>
        <v>0</v>
      </c>
      <c r="K113" s="296">
        <f>SUMIF('Pre- and Production'!$T$4:$T$376, CONCATENATE(LEFT('WBS Summary by Year'!K$6,1),'WBS Summary by Year'!$C113,'WBS Summary by Year'!$B$86),'Pre- and Production'!AP$4:AP$376)</f>
        <v>0</v>
      </c>
      <c r="L113" s="307">
        <f>SUMIF('Pre- and Production'!$T$4:$T$376, CONCATENATE(LEFT('WBS Summary by Year'!L$6,1),'WBS Summary by Year'!$C113,'WBS Summary by Year'!$B$86),'Pre- and Production'!AG$4:AG$376)</f>
        <v>0</v>
      </c>
      <c r="M113" s="303">
        <f>SUMIF('Pre- and Production'!$T$4:$T$376, CONCATENATE(LEFT('WBS Summary by Year'!M$6,1),'WBS Summary by Year'!$C113,'WBS Summary by Year'!$B$86),'Pre- and Production'!AQ$4:AQ$376)</f>
        <v>0</v>
      </c>
      <c r="N113" s="315">
        <f>SUMIF('Pre- and Production'!$T$4:$T$376, CONCATENATE(LEFT('WBS Summary by Year'!N$6,1),'WBS Summary by Year'!$C113,'WBS Summary by Year'!$B$86),'Pre- and Production'!AH$4:AH$376)</f>
        <v>0</v>
      </c>
      <c r="O113" s="316">
        <f>SUMIF('Pre- and Production'!$T$4:$T$376, CONCATENATE(LEFT('WBS Summary by Year'!O$6,1),'WBS Summary by Year'!$C113,'WBS Summary by Year'!$B$86),'Pre- and Production'!AR$4:AR$376)</f>
        <v>0</v>
      </c>
    </row>
    <row r="114" spans="2:15" s="352" customFormat="1">
      <c r="C114" s="100" t="s">
        <v>449</v>
      </c>
      <c r="D114" s="26">
        <f>SUMIF('Pre- and Production'!$T$4:$T$376, CONCATENATE(LEFT('WBS Summary by Year'!D$6,1),'WBS Summary by Year'!$C114,'WBS Summary by Year'!$B$86),'Pre- and Production'!AC$4:AC$376)</f>
        <v>0</v>
      </c>
      <c r="E114" s="303">
        <f>SUMIF('Pre- and Production'!$T$4:$T$376, CONCATENATE(LEFT('WBS Summary by Year'!E$6,1),'WBS Summary by Year'!$C114,'WBS Summary by Year'!$B$86),'Pre- and Production'!AM$4:AM$376)</f>
        <v>0</v>
      </c>
      <c r="F114" s="26">
        <f>SUMIF('Pre- and Production'!$T$4:$T$376, CONCATENATE(LEFT('WBS Summary by Year'!F$6,1),'WBS Summary by Year'!$C114,'WBS Summary by Year'!$B$86),'Pre- and Production'!AD$4:AD$376)</f>
        <v>0</v>
      </c>
      <c r="G114" s="296">
        <f>SUMIF('Pre- and Production'!$T$4:$T$376, CONCATENATE(LEFT('WBS Summary by Year'!G$6,1),'WBS Summary by Year'!$C114,'WBS Summary by Year'!$B$86),'Pre- and Production'!AN$4:AN$376)</f>
        <v>0</v>
      </c>
      <c r="H114" s="307">
        <f>SUMIF('Pre- and Production'!$T$4:$T$376, CONCATENATE(LEFT('WBS Summary by Year'!H$6,1),'WBS Summary by Year'!$C114,'WBS Summary by Year'!$B$86),'Pre- and Production'!AE$4:AE$376)</f>
        <v>0</v>
      </c>
      <c r="I114" s="303">
        <f>SUMIF('Pre- and Production'!$T$4:$T$376, CONCATENATE(LEFT('WBS Summary by Year'!I$6,1),'WBS Summary by Year'!$C114,'WBS Summary by Year'!$B$86),'Pre- and Production'!AO$4:AO$376)</f>
        <v>0</v>
      </c>
      <c r="J114" s="26">
        <f>SUMIF('Pre- and Production'!$T$4:$T$376, CONCATENATE(LEFT('WBS Summary by Year'!J$6,1),'WBS Summary by Year'!$C114,'WBS Summary by Year'!$B$86),'Pre- and Production'!AF$4:AFI$376)</f>
        <v>0</v>
      </c>
      <c r="K114" s="296">
        <f>SUMIF('Pre- and Production'!$T$4:$T$376, CONCATENATE(LEFT('WBS Summary by Year'!K$6,1),'WBS Summary by Year'!$C114,'WBS Summary by Year'!$B$86),'Pre- and Production'!AP$4:AP$376)</f>
        <v>0</v>
      </c>
      <c r="L114" s="307">
        <f>SUMIF('Pre- and Production'!$T$4:$T$376, CONCATENATE(LEFT('WBS Summary by Year'!L$6,1),'WBS Summary by Year'!$C114,'WBS Summary by Year'!$B$86),'Pre- and Production'!AG$4:AG$376)</f>
        <v>0</v>
      </c>
      <c r="M114" s="303">
        <f>SUMIF('Pre- and Production'!$T$4:$T$376, CONCATENATE(LEFT('WBS Summary by Year'!M$6,1),'WBS Summary by Year'!$C114,'WBS Summary by Year'!$B$86),'Pre- and Production'!AQ$4:AQ$376)</f>
        <v>0</v>
      </c>
      <c r="N114" s="315">
        <f>SUMIF('Pre- and Production'!$T$4:$T$376, CONCATENATE(LEFT('WBS Summary by Year'!N$6,1),'WBS Summary by Year'!$C114,'WBS Summary by Year'!$B$86),'Pre- and Production'!AH$4:AH$376)</f>
        <v>0</v>
      </c>
      <c r="O114" s="316">
        <f>SUMIF('Pre- and Production'!$T$4:$T$376, CONCATENATE(LEFT('WBS Summary by Year'!O$6,1),'WBS Summary by Year'!$C114,'WBS Summary by Year'!$B$86),'Pre- and Production'!AR$4:AR$376)</f>
        <v>0</v>
      </c>
    </row>
    <row r="115" spans="2:15" s="352" customFormat="1">
      <c r="C115" s="134" t="s">
        <v>450</v>
      </c>
      <c r="D115" s="26">
        <f>SUMIF('Pre- and Production'!$T$4:$T$376, CONCATENATE(LEFT('WBS Summary by Year'!D$6,1),'WBS Summary by Year'!$C115,'WBS Summary by Year'!$B$86),'Pre- and Production'!AC$4:AC$376)</f>
        <v>0</v>
      </c>
      <c r="E115" s="303">
        <f>SUMIF('Pre- and Production'!$T$4:$T$376, CONCATENATE(LEFT('WBS Summary by Year'!E$6,1),'WBS Summary by Year'!$C115,'WBS Summary by Year'!$B$86),'Pre- and Production'!AM$4:AM$376)</f>
        <v>0</v>
      </c>
      <c r="F115" s="26">
        <f>SUMIF('Pre- and Production'!$T$4:$T$376, CONCATENATE(LEFT('WBS Summary by Year'!F$6,1),'WBS Summary by Year'!$C115,'WBS Summary by Year'!$B$86),'Pre- and Production'!AD$4:AD$376)</f>
        <v>0</v>
      </c>
      <c r="G115" s="296">
        <f>SUMIF('Pre- and Production'!$T$4:$T$376, CONCATENATE(LEFT('WBS Summary by Year'!G$6,1),'WBS Summary by Year'!$C115,'WBS Summary by Year'!$B$86),'Pre- and Production'!AN$4:AN$376)</f>
        <v>0</v>
      </c>
      <c r="H115" s="307">
        <f>SUMIF('Pre- and Production'!$T$4:$T$376, CONCATENATE(LEFT('WBS Summary by Year'!H$6,1),'WBS Summary by Year'!$C115,'WBS Summary by Year'!$B$86),'Pre- and Production'!AE$4:AE$376)</f>
        <v>0</v>
      </c>
      <c r="I115" s="303">
        <f>SUMIF('Pre- and Production'!$T$4:$T$376, CONCATENATE(LEFT('WBS Summary by Year'!I$6,1),'WBS Summary by Year'!$C115,'WBS Summary by Year'!$B$86),'Pre- and Production'!AO$4:AO$376)</f>
        <v>0</v>
      </c>
      <c r="J115" s="26">
        <f>SUMIF('Pre- and Production'!$T$4:$T$376, CONCATENATE(LEFT('WBS Summary by Year'!J$6,1),'WBS Summary by Year'!$C115,'WBS Summary by Year'!$B$86),'Pre- and Production'!AF$4:AFI$376)</f>
        <v>0</v>
      </c>
      <c r="K115" s="296">
        <f>SUMIF('Pre- and Production'!$T$4:$T$376, CONCATENATE(LEFT('WBS Summary by Year'!K$6,1),'WBS Summary by Year'!$C115,'WBS Summary by Year'!$B$86),'Pre- and Production'!AP$4:AP$376)</f>
        <v>0</v>
      </c>
      <c r="L115" s="307">
        <f>SUMIF('Pre- and Production'!$T$4:$T$376, CONCATENATE(LEFT('WBS Summary by Year'!L$6,1),'WBS Summary by Year'!$C115,'WBS Summary by Year'!$B$86),'Pre- and Production'!AG$4:AG$376)</f>
        <v>0</v>
      </c>
      <c r="M115" s="303">
        <f>SUMIF('Pre- and Production'!$T$4:$T$376, CONCATENATE(LEFT('WBS Summary by Year'!M$6,1),'WBS Summary by Year'!$C115,'WBS Summary by Year'!$B$86),'Pre- and Production'!AQ$4:AQ$376)</f>
        <v>0</v>
      </c>
      <c r="N115" s="315">
        <f>SUMIF('Pre- and Production'!$T$4:$T$376, CONCATENATE(LEFT('WBS Summary by Year'!N$6,1),'WBS Summary by Year'!$C115,'WBS Summary by Year'!$B$86),'Pre- and Production'!AH$4:AH$376)</f>
        <v>0</v>
      </c>
      <c r="O115" s="316">
        <f>SUMIF('Pre- and Production'!$T$4:$T$376, CONCATENATE(LEFT('WBS Summary by Year'!O$6,1),'WBS Summary by Year'!$C115,'WBS Summary by Year'!$B$86),'Pre- and Production'!AR$4:AR$376)</f>
        <v>0</v>
      </c>
    </row>
    <row r="116" spans="2:15" s="352" customFormat="1">
      <c r="C116" s="46" t="s">
        <v>451</v>
      </c>
      <c r="D116" s="26">
        <f>SUMIF('Pre- and Production'!$T$4:$T$376, CONCATENATE(LEFT('WBS Summary by Year'!D$6,1),'WBS Summary by Year'!$C116,'WBS Summary by Year'!$B$86),'Pre- and Production'!AC$4:AC$376)</f>
        <v>0</v>
      </c>
      <c r="E116" s="303">
        <f>SUMIF('Pre- and Production'!$T$4:$T$376, CONCATENATE(LEFT('WBS Summary by Year'!E$6,1),'WBS Summary by Year'!$C116,'WBS Summary by Year'!$B$86),'Pre- and Production'!AM$4:AM$376)</f>
        <v>0</v>
      </c>
      <c r="F116" s="26">
        <f>SUMIF('Pre- and Production'!$T$4:$T$376, CONCATENATE(LEFT('WBS Summary by Year'!F$6,1),'WBS Summary by Year'!$C116,'WBS Summary by Year'!$B$86),'Pre- and Production'!AD$4:AD$376)</f>
        <v>0</v>
      </c>
      <c r="G116" s="296">
        <f>SUMIF('Pre- and Production'!$T$4:$T$376, CONCATENATE(LEFT('WBS Summary by Year'!G$6,1),'WBS Summary by Year'!$C116,'WBS Summary by Year'!$B$86),'Pre- and Production'!AN$4:AN$376)</f>
        <v>0</v>
      </c>
      <c r="H116" s="307">
        <f>SUMIF('Pre- and Production'!$T$4:$T$376, CONCATENATE(LEFT('WBS Summary by Year'!H$6,1),'WBS Summary by Year'!$C116,'WBS Summary by Year'!$B$86),'Pre- and Production'!AE$4:AE$376)</f>
        <v>0</v>
      </c>
      <c r="I116" s="303">
        <f>SUMIF('Pre- and Production'!$T$4:$T$376, CONCATENATE(LEFT('WBS Summary by Year'!I$6,1),'WBS Summary by Year'!$C116,'WBS Summary by Year'!$B$86),'Pre- and Production'!AO$4:AO$376)</f>
        <v>0</v>
      </c>
      <c r="J116" s="26">
        <f>SUMIF('Pre- and Production'!$T$4:$T$376, CONCATENATE(LEFT('WBS Summary by Year'!J$6,1),'WBS Summary by Year'!$C116,'WBS Summary by Year'!$B$86),'Pre- and Production'!AF$4:AFI$376)</f>
        <v>0</v>
      </c>
      <c r="K116" s="296">
        <f>SUMIF('Pre- and Production'!$T$4:$T$376, CONCATENATE(LEFT('WBS Summary by Year'!K$6,1),'WBS Summary by Year'!$C116,'WBS Summary by Year'!$B$86),'Pre- and Production'!AP$4:AP$376)</f>
        <v>0</v>
      </c>
      <c r="L116" s="307">
        <f>SUMIF('Pre- and Production'!$T$4:$T$376, CONCATENATE(LEFT('WBS Summary by Year'!L$6,1),'WBS Summary by Year'!$C116,'WBS Summary by Year'!$B$86),'Pre- and Production'!AG$4:AG$376)</f>
        <v>0</v>
      </c>
      <c r="M116" s="303">
        <f>SUMIF('Pre- and Production'!$T$4:$T$376, CONCATENATE(LEFT('WBS Summary by Year'!M$6,1),'WBS Summary by Year'!$C116,'WBS Summary by Year'!$B$86),'Pre- and Production'!AQ$4:AQ$376)</f>
        <v>0</v>
      </c>
      <c r="N116" s="315">
        <f>SUMIF('Pre- and Production'!$T$4:$T$376, CONCATENATE(LEFT('WBS Summary by Year'!N$6,1),'WBS Summary by Year'!$C116,'WBS Summary by Year'!$B$86),'Pre- and Production'!AH$4:AH$376)</f>
        <v>0</v>
      </c>
      <c r="O116" s="316">
        <f>SUMIF('Pre- and Production'!$T$4:$T$376, CONCATENATE(LEFT('WBS Summary by Year'!O$6,1),'WBS Summary by Year'!$C116,'WBS Summary by Year'!$B$86),'Pre- and Production'!AR$4:AR$376)</f>
        <v>0</v>
      </c>
    </row>
    <row r="117" spans="2:15" s="352" customFormat="1">
      <c r="C117" s="46" t="s">
        <v>452</v>
      </c>
      <c r="D117" s="26">
        <f>SUMIF('Pre- and Production'!$T$4:$T$376, CONCATENATE(LEFT('WBS Summary by Year'!D$6,1),'WBS Summary by Year'!$C117,'WBS Summary by Year'!$B$86),'Pre- and Production'!AC$4:AC$376)</f>
        <v>0</v>
      </c>
      <c r="E117" s="303">
        <f>SUMIF('Pre- and Production'!$T$4:$T$376, CONCATENATE(LEFT('WBS Summary by Year'!E$6,1),'WBS Summary by Year'!$C117,'WBS Summary by Year'!$B$86),'Pre- and Production'!AM$4:AM$376)</f>
        <v>0</v>
      </c>
      <c r="F117" s="26">
        <f>SUMIF('Pre- and Production'!$T$4:$T$376, CONCATENATE(LEFT('WBS Summary by Year'!F$6,1),'WBS Summary by Year'!$C117,'WBS Summary by Year'!$B$86),'Pre- and Production'!AD$4:AD$376)</f>
        <v>0</v>
      </c>
      <c r="G117" s="296">
        <f>SUMIF('Pre- and Production'!$T$4:$T$376, CONCATENATE(LEFT('WBS Summary by Year'!G$6,1),'WBS Summary by Year'!$C117,'WBS Summary by Year'!$B$86),'Pre- and Production'!AN$4:AN$376)</f>
        <v>0</v>
      </c>
      <c r="H117" s="307">
        <f>SUMIF('Pre- and Production'!$T$4:$T$376, CONCATENATE(LEFT('WBS Summary by Year'!H$6,1),'WBS Summary by Year'!$C117,'WBS Summary by Year'!$B$86),'Pre- and Production'!AE$4:AE$376)</f>
        <v>0</v>
      </c>
      <c r="I117" s="303">
        <f>SUMIF('Pre- and Production'!$T$4:$T$376, CONCATENATE(LEFT('WBS Summary by Year'!I$6,1),'WBS Summary by Year'!$C117,'WBS Summary by Year'!$B$86),'Pre- and Production'!AO$4:AO$376)</f>
        <v>0</v>
      </c>
      <c r="J117" s="26">
        <f>SUMIF('Pre- and Production'!$T$4:$T$376, CONCATENATE(LEFT('WBS Summary by Year'!J$6,1),'WBS Summary by Year'!$C117,'WBS Summary by Year'!$B$86),'Pre- and Production'!AF$4:AFI$376)</f>
        <v>0</v>
      </c>
      <c r="K117" s="296">
        <f>SUMIF('Pre- and Production'!$T$4:$T$376, CONCATENATE(LEFT('WBS Summary by Year'!K$6,1),'WBS Summary by Year'!$C117,'WBS Summary by Year'!$B$86),'Pre- and Production'!AP$4:AP$376)</f>
        <v>0</v>
      </c>
      <c r="L117" s="307">
        <f>SUMIF('Pre- and Production'!$T$4:$T$376, CONCATENATE(LEFT('WBS Summary by Year'!L$6,1),'WBS Summary by Year'!$C117,'WBS Summary by Year'!$B$86),'Pre- and Production'!AG$4:AG$376)</f>
        <v>0</v>
      </c>
      <c r="M117" s="303">
        <f>SUMIF('Pre- and Production'!$T$4:$T$376, CONCATENATE(LEFT('WBS Summary by Year'!M$6,1),'WBS Summary by Year'!$C117,'WBS Summary by Year'!$B$86),'Pre- and Production'!AQ$4:AQ$376)</f>
        <v>0</v>
      </c>
      <c r="N117" s="315">
        <f>SUMIF('Pre- and Production'!$T$4:$T$376, CONCATENATE(LEFT('WBS Summary by Year'!N$6,1),'WBS Summary by Year'!$C117,'WBS Summary by Year'!$B$86),'Pre- and Production'!AH$4:AH$376)</f>
        <v>0</v>
      </c>
      <c r="O117" s="316">
        <f>SUMIF('Pre- and Production'!$T$4:$T$376, CONCATENATE(LEFT('WBS Summary by Year'!O$6,1),'WBS Summary by Year'!$C117,'WBS Summary by Year'!$B$86),'Pre- and Production'!AR$4:AR$376)</f>
        <v>0</v>
      </c>
    </row>
    <row r="118" spans="2:15" s="352" customFormat="1">
      <c r="C118" s="46" t="s">
        <v>453</v>
      </c>
      <c r="D118" s="26">
        <f>SUMIF('Pre- and Production'!$T$4:$T$376, CONCATENATE(LEFT('WBS Summary by Year'!D$6,1),'WBS Summary by Year'!$C118,'WBS Summary by Year'!$B$86),'Pre- and Production'!AC$4:AC$376)</f>
        <v>0</v>
      </c>
      <c r="E118" s="303">
        <f>SUMIF('Pre- and Production'!$T$4:$T$376, CONCATENATE(LEFT('WBS Summary by Year'!E$6,1),'WBS Summary by Year'!$C118,'WBS Summary by Year'!$B$86),'Pre- and Production'!AM$4:AM$376)</f>
        <v>0</v>
      </c>
      <c r="F118" s="26">
        <f>SUMIF('Pre- and Production'!$T$4:$T$376, CONCATENATE(LEFT('WBS Summary by Year'!F$6,1),'WBS Summary by Year'!$C118,'WBS Summary by Year'!$B$86),'Pre- and Production'!AD$4:AD$376)</f>
        <v>0</v>
      </c>
      <c r="G118" s="296">
        <f>SUMIF('Pre- and Production'!$T$4:$T$376, CONCATENATE(LEFT('WBS Summary by Year'!G$6,1),'WBS Summary by Year'!$C118,'WBS Summary by Year'!$B$86),'Pre- and Production'!AN$4:AN$376)</f>
        <v>0</v>
      </c>
      <c r="H118" s="307">
        <f>SUMIF('Pre- and Production'!$T$4:$T$376, CONCATENATE(LEFT('WBS Summary by Year'!H$6,1),'WBS Summary by Year'!$C118,'WBS Summary by Year'!$B$86),'Pre- and Production'!AE$4:AE$376)</f>
        <v>0</v>
      </c>
      <c r="I118" s="303">
        <f>SUMIF('Pre- and Production'!$T$4:$T$376, CONCATENATE(LEFT('WBS Summary by Year'!I$6,1),'WBS Summary by Year'!$C118,'WBS Summary by Year'!$B$86),'Pre- and Production'!AO$4:AO$376)</f>
        <v>0</v>
      </c>
      <c r="J118" s="26">
        <f>SUMIF('Pre- and Production'!$T$4:$T$376, CONCATENATE(LEFT('WBS Summary by Year'!J$6,1),'WBS Summary by Year'!$C118,'WBS Summary by Year'!$B$86),'Pre- and Production'!AF$4:AFI$376)</f>
        <v>0</v>
      </c>
      <c r="K118" s="296">
        <f>SUMIF('Pre- and Production'!$T$4:$T$376, CONCATENATE(LEFT('WBS Summary by Year'!K$6,1),'WBS Summary by Year'!$C118,'WBS Summary by Year'!$B$86),'Pre- and Production'!AP$4:AP$376)</f>
        <v>0</v>
      </c>
      <c r="L118" s="307">
        <f>SUMIF('Pre- and Production'!$T$4:$T$376, CONCATENATE(LEFT('WBS Summary by Year'!L$6,1),'WBS Summary by Year'!$C118,'WBS Summary by Year'!$B$86),'Pre- and Production'!AG$4:AG$376)</f>
        <v>0</v>
      </c>
      <c r="M118" s="303">
        <f>SUMIF('Pre- and Production'!$T$4:$T$376, CONCATENATE(LEFT('WBS Summary by Year'!M$6,1),'WBS Summary by Year'!$C118,'WBS Summary by Year'!$B$86),'Pre- and Production'!AQ$4:AQ$376)</f>
        <v>0</v>
      </c>
      <c r="N118" s="315">
        <f>SUMIF('Pre- and Production'!$T$4:$T$376, CONCATENATE(LEFT('WBS Summary by Year'!N$6,1),'WBS Summary by Year'!$C118,'WBS Summary by Year'!$B$86),'Pre- and Production'!AH$4:AH$376)</f>
        <v>0</v>
      </c>
      <c r="O118" s="316">
        <f>SUMIF('Pre- and Production'!$T$4:$T$376, CONCATENATE(LEFT('WBS Summary by Year'!O$6,1),'WBS Summary by Year'!$C118,'WBS Summary by Year'!$B$86),'Pre- and Production'!AR$4:AR$376)</f>
        <v>0</v>
      </c>
    </row>
    <row r="119" spans="2:15">
      <c r="C119" s="134" t="s">
        <v>459</v>
      </c>
      <c r="D119" s="26">
        <f>SUMIF('Pre- and Production'!$T$4:$T$376, CONCATENATE(LEFT('WBS Summary by Year'!D$6,1),'WBS Summary by Year'!$C119,'WBS Summary by Year'!$B$86),'Pre- and Production'!AC$4:AC$376)</f>
        <v>0</v>
      </c>
      <c r="E119" s="303">
        <f>SUMIF('Pre- and Production'!$T$4:$T$376, CONCATENATE(LEFT('WBS Summary by Year'!E$6,1),'WBS Summary by Year'!$C119,'WBS Summary by Year'!$B$86),'Pre- and Production'!AM$4:AM$376)</f>
        <v>0</v>
      </c>
      <c r="F119" s="26">
        <f>SUMIF('Pre- and Production'!$T$4:$T$376, CONCATENATE(LEFT('WBS Summary by Year'!F$6,1),'WBS Summary by Year'!$C119,'WBS Summary by Year'!$B$86),'Pre- and Production'!AD$4:AD$376)</f>
        <v>0</v>
      </c>
      <c r="G119" s="296">
        <f>SUMIF('Pre- and Production'!$T$4:$T$376, CONCATENATE(LEFT('WBS Summary by Year'!G$6,1),'WBS Summary by Year'!$C119,'WBS Summary by Year'!$B$86),'Pre- and Production'!AN$4:AN$376)</f>
        <v>0</v>
      </c>
      <c r="H119" s="307">
        <f>SUMIF('Pre- and Production'!$T$4:$T$376, CONCATENATE(LEFT('WBS Summary by Year'!H$6,1),'WBS Summary by Year'!$C119,'WBS Summary by Year'!$B$86),'Pre- and Production'!AE$4:AE$376)</f>
        <v>0</v>
      </c>
      <c r="I119" s="303">
        <f>SUMIF('Pre- and Production'!$T$4:$T$376, CONCATENATE(LEFT('WBS Summary by Year'!I$6,1),'WBS Summary by Year'!$C119,'WBS Summary by Year'!$B$86),'Pre- and Production'!AO$4:AO$376)</f>
        <v>0</v>
      </c>
      <c r="J119" s="26">
        <f>SUMIF('Pre- and Production'!$T$4:$T$376, CONCATENATE(LEFT('WBS Summary by Year'!J$6,1),'WBS Summary by Year'!$C119,'WBS Summary by Year'!$B$86),'Pre- and Production'!AF$4:AFI$376)</f>
        <v>0</v>
      </c>
      <c r="K119" s="296">
        <f>SUMIF('Pre- and Production'!$T$4:$T$376, CONCATENATE(LEFT('WBS Summary by Year'!K$6,1),'WBS Summary by Year'!$C119,'WBS Summary by Year'!$B$86),'Pre- and Production'!AP$4:AP$376)</f>
        <v>0</v>
      </c>
      <c r="L119" s="307">
        <f>SUMIF('Pre- and Production'!$T$4:$T$376, CONCATENATE(LEFT('WBS Summary by Year'!L$6,1),'WBS Summary by Year'!$C119,'WBS Summary by Year'!$B$86),'Pre- and Production'!AG$4:AG$376)</f>
        <v>0</v>
      </c>
      <c r="M119" s="303">
        <f>SUMIF('Pre- and Production'!$T$4:$T$376, CONCATENATE(LEFT('WBS Summary by Year'!M$6,1),'WBS Summary by Year'!$C119,'WBS Summary by Year'!$B$86),'Pre- and Production'!AQ$4:AQ$376)</f>
        <v>0</v>
      </c>
      <c r="N119" s="315">
        <f>SUMIF('Pre- and Production'!$T$4:$T$376, CONCATENATE(LEFT('WBS Summary by Year'!N$6,1),'WBS Summary by Year'!$C119,'WBS Summary by Year'!$B$86),'Pre- and Production'!AH$4:AH$376)</f>
        <v>0</v>
      </c>
      <c r="O119" s="316">
        <f>SUMIF('Pre- and Production'!$T$4:$T$376, CONCATENATE(LEFT('WBS Summary by Year'!O$6,1),'WBS Summary by Year'!$C119,'WBS Summary by Year'!$B$86),'Pre- and Production'!AR$4:AR$376)</f>
        <v>0</v>
      </c>
    </row>
    <row r="120" spans="2:15">
      <c r="C120" s="46" t="s">
        <v>460</v>
      </c>
      <c r="D120" s="26">
        <f>SUMIF('Pre- and Production'!$T$4:$T$376, CONCATENATE(LEFT('WBS Summary by Year'!D$6,1),'WBS Summary by Year'!$C120,'WBS Summary by Year'!$B$86),'Pre- and Production'!AC$4:AC$376)</f>
        <v>0</v>
      </c>
      <c r="E120" s="303">
        <f>SUMIF('Pre- and Production'!$T$4:$T$376, CONCATENATE(LEFT('WBS Summary by Year'!E$6,1),'WBS Summary by Year'!$C120,'WBS Summary by Year'!$B$86),'Pre- and Production'!AM$4:AM$376)</f>
        <v>0</v>
      </c>
      <c r="F120" s="26">
        <f>SUMIF('Pre- and Production'!$T$4:$T$376, CONCATENATE(LEFT('WBS Summary by Year'!F$6,1),'WBS Summary by Year'!$C120,'WBS Summary by Year'!$B$86),'Pre- and Production'!AD$4:AD$376)</f>
        <v>0</v>
      </c>
      <c r="G120" s="296">
        <f>SUMIF('Pre- and Production'!$T$4:$T$376, CONCATENATE(LEFT('WBS Summary by Year'!G$6,1),'WBS Summary by Year'!$C120,'WBS Summary by Year'!$B$86),'Pre- and Production'!AN$4:AN$376)</f>
        <v>0</v>
      </c>
      <c r="H120" s="307">
        <f>SUMIF('Pre- and Production'!$T$4:$T$376, CONCATENATE(LEFT('WBS Summary by Year'!H$6,1),'WBS Summary by Year'!$C120,'WBS Summary by Year'!$B$86),'Pre- and Production'!AE$4:AE$376)</f>
        <v>0</v>
      </c>
      <c r="I120" s="303">
        <f>SUMIF('Pre- and Production'!$T$4:$T$376, CONCATENATE(LEFT('WBS Summary by Year'!I$6,1),'WBS Summary by Year'!$C120,'WBS Summary by Year'!$B$86),'Pre- and Production'!AO$4:AO$376)</f>
        <v>0</v>
      </c>
      <c r="J120" s="26">
        <f>SUMIF('Pre- and Production'!$T$4:$T$376, CONCATENATE(LEFT('WBS Summary by Year'!J$6,1),'WBS Summary by Year'!$C120,'WBS Summary by Year'!$B$86),'Pre- and Production'!AF$4:AFI$376)</f>
        <v>0</v>
      </c>
      <c r="K120" s="296">
        <f>SUMIF('Pre- and Production'!$T$4:$T$376, CONCATENATE(LEFT('WBS Summary by Year'!K$6,1),'WBS Summary by Year'!$C120,'WBS Summary by Year'!$B$86),'Pre- and Production'!AP$4:AP$376)</f>
        <v>0</v>
      </c>
      <c r="L120" s="307">
        <f>SUMIF('Pre- and Production'!$T$4:$T$376, CONCATENATE(LEFT('WBS Summary by Year'!L$6,1),'WBS Summary by Year'!$C120,'WBS Summary by Year'!$B$86),'Pre- and Production'!AG$4:AG$376)</f>
        <v>0</v>
      </c>
      <c r="M120" s="303">
        <f>SUMIF('Pre- and Production'!$T$4:$T$376, CONCATENATE(LEFT('WBS Summary by Year'!M$6,1),'WBS Summary by Year'!$C120,'WBS Summary by Year'!$B$86),'Pre- and Production'!AQ$4:AQ$376)</f>
        <v>0</v>
      </c>
      <c r="N120" s="315">
        <f>SUMIF('Pre- and Production'!$T$4:$T$376, CONCATENATE(LEFT('WBS Summary by Year'!N$6,1),'WBS Summary by Year'!$C120,'WBS Summary by Year'!$B$86),'Pre- and Production'!AH$4:AH$376)</f>
        <v>0</v>
      </c>
      <c r="O120" s="316">
        <f>SUMIF('Pre- and Production'!$T$4:$T$376, CONCATENATE(LEFT('WBS Summary by Year'!O$6,1),'WBS Summary by Year'!$C120,'WBS Summary by Year'!$B$86),'Pre- and Production'!AR$4:AR$376)</f>
        <v>0</v>
      </c>
    </row>
    <row r="121" spans="2:15">
      <c r="C121" s="46" t="s">
        <v>461</v>
      </c>
      <c r="D121" s="26">
        <f>SUMIF('Pre- and Production'!$T$4:$T$376, CONCATENATE(LEFT('WBS Summary by Year'!D$6,1),'WBS Summary by Year'!$C121,'WBS Summary by Year'!$B$86),'Pre- and Production'!AC$4:AC$376)</f>
        <v>0</v>
      </c>
      <c r="E121" s="303">
        <f>SUMIF('Pre- and Production'!$T$4:$T$376, CONCATENATE(LEFT('WBS Summary by Year'!E$6,1),'WBS Summary by Year'!$C121,'WBS Summary by Year'!$B$86),'Pre- and Production'!AM$4:AM$376)</f>
        <v>0</v>
      </c>
      <c r="F121" s="26">
        <f>SUMIF('Pre- and Production'!$T$4:$T$376, CONCATENATE(LEFT('WBS Summary by Year'!F$6,1),'WBS Summary by Year'!$C121,'WBS Summary by Year'!$B$86),'Pre- and Production'!AD$4:AD$376)</f>
        <v>0</v>
      </c>
      <c r="G121" s="296">
        <f>SUMIF('Pre- and Production'!$T$4:$T$376, CONCATENATE(LEFT('WBS Summary by Year'!G$6,1),'WBS Summary by Year'!$C121,'WBS Summary by Year'!$B$86),'Pre- and Production'!AN$4:AN$376)</f>
        <v>0</v>
      </c>
      <c r="H121" s="307">
        <f>SUMIF('Pre- and Production'!$T$4:$T$376, CONCATENATE(LEFT('WBS Summary by Year'!H$6,1),'WBS Summary by Year'!$C121,'WBS Summary by Year'!$B$86),'Pre- and Production'!AE$4:AE$376)</f>
        <v>0</v>
      </c>
      <c r="I121" s="303">
        <f>SUMIF('Pre- and Production'!$T$4:$T$376, CONCATENATE(LEFT('WBS Summary by Year'!I$6,1),'WBS Summary by Year'!$C121,'WBS Summary by Year'!$B$86),'Pre- and Production'!AO$4:AO$376)</f>
        <v>0</v>
      </c>
      <c r="J121" s="26">
        <f>SUMIF('Pre- and Production'!$T$4:$T$376, CONCATENATE(LEFT('WBS Summary by Year'!J$6,1),'WBS Summary by Year'!$C121,'WBS Summary by Year'!$B$86),'Pre- and Production'!AF$4:AFI$376)</f>
        <v>0</v>
      </c>
      <c r="K121" s="296">
        <f>SUMIF('Pre- and Production'!$T$4:$T$376, CONCATENATE(LEFT('WBS Summary by Year'!K$6,1),'WBS Summary by Year'!$C121,'WBS Summary by Year'!$B$86),'Pre- and Production'!AP$4:AP$376)</f>
        <v>0</v>
      </c>
      <c r="L121" s="307">
        <f>SUMIF('Pre- and Production'!$T$4:$T$376, CONCATENATE(LEFT('WBS Summary by Year'!L$6,1),'WBS Summary by Year'!$C121,'WBS Summary by Year'!$B$86),'Pre- and Production'!AG$4:AG$376)</f>
        <v>0</v>
      </c>
      <c r="M121" s="303">
        <f>SUMIF('Pre- and Production'!$T$4:$T$376, CONCATENATE(LEFT('WBS Summary by Year'!M$6,1),'WBS Summary by Year'!$C121,'WBS Summary by Year'!$B$86),'Pre- and Production'!AQ$4:AQ$376)</f>
        <v>0</v>
      </c>
      <c r="N121" s="315">
        <f>SUMIF('Pre- and Production'!$T$4:$T$376, CONCATENATE(LEFT('WBS Summary by Year'!N$6,1),'WBS Summary by Year'!$C121,'WBS Summary by Year'!$B$86),'Pre- and Production'!AH$4:AH$376)</f>
        <v>0</v>
      </c>
      <c r="O121" s="316">
        <f>SUMIF('Pre- and Production'!$T$4:$T$376, CONCATENATE(LEFT('WBS Summary by Year'!O$6,1),'WBS Summary by Year'!$C121,'WBS Summary by Year'!$B$86),'Pre- and Production'!AR$4:AR$376)</f>
        <v>0</v>
      </c>
    </row>
    <row r="122" spans="2:15" ht="13.5" thickBot="1">
      <c r="C122" s="46" t="s">
        <v>462</v>
      </c>
      <c r="D122" s="297">
        <f>SUMIF('Pre- and Production'!$T$4:$T$376, CONCATENATE(LEFT('WBS Summary by Year'!D$6,1),'WBS Summary by Year'!$C122,'WBS Summary by Year'!$B$86),'Pre- and Production'!AC$4:AC$376)</f>
        <v>0</v>
      </c>
      <c r="E122" s="304">
        <f>SUMIF('Pre- and Production'!$T$4:$T$376, CONCATENATE(LEFT('WBS Summary by Year'!E$6,1),'WBS Summary by Year'!$C122,'WBS Summary by Year'!$B$86),'Pre- and Production'!AM$4:AM$376)</f>
        <v>0</v>
      </c>
      <c r="F122" s="297">
        <f>SUMIF('Pre- and Production'!$T$4:$T$376, CONCATENATE(LEFT('WBS Summary by Year'!F$6,1),'WBS Summary by Year'!$C122,'WBS Summary by Year'!$B$86),'Pre- and Production'!AD$4:AD$376)</f>
        <v>0</v>
      </c>
      <c r="G122" s="298">
        <f>SUMIF('Pre- and Production'!$T$4:$T$376, CONCATENATE(LEFT('WBS Summary by Year'!G$6,1),'WBS Summary by Year'!$C122,'WBS Summary by Year'!$B$86),'Pre- and Production'!AN$4:AN$376)</f>
        <v>0</v>
      </c>
      <c r="H122" s="308">
        <f>SUMIF('Pre- and Production'!$T$4:$T$376, CONCATENATE(LEFT('WBS Summary by Year'!H$6,1),'WBS Summary by Year'!$C122,'WBS Summary by Year'!$B$86),'Pre- and Production'!AE$4:AE$376)</f>
        <v>0</v>
      </c>
      <c r="I122" s="304">
        <f>SUMIF('Pre- and Production'!$T$4:$T$376, CONCATENATE(LEFT('WBS Summary by Year'!I$6,1),'WBS Summary by Year'!$C122,'WBS Summary by Year'!$B$86),'Pre- and Production'!AO$4:AO$376)</f>
        <v>0</v>
      </c>
      <c r="J122" s="297">
        <f>SUMIF('Pre- and Production'!$T$4:$T$376, CONCATENATE(LEFT('WBS Summary by Year'!J$6,1),'WBS Summary by Year'!$C122,'WBS Summary by Year'!$B$86),'Pre- and Production'!AF$4:AFI$376)</f>
        <v>0</v>
      </c>
      <c r="K122" s="298">
        <f>SUMIF('Pre- and Production'!$T$4:$T$376, CONCATENATE(LEFT('WBS Summary by Year'!K$6,1),'WBS Summary by Year'!$C122,'WBS Summary by Year'!$B$86),'Pre- and Production'!AP$4:AP$376)</f>
        <v>0</v>
      </c>
      <c r="L122" s="308">
        <f>SUMIF('Pre- and Production'!$T$4:$T$376, CONCATENATE(LEFT('WBS Summary by Year'!L$6,1),'WBS Summary by Year'!$C122,'WBS Summary by Year'!$B$86),'Pre- and Production'!AG$4:AG$376)</f>
        <v>0</v>
      </c>
      <c r="M122" s="304">
        <f>SUMIF('Pre- and Production'!$T$4:$T$376, CONCATENATE(LEFT('WBS Summary by Year'!M$6,1),'WBS Summary by Year'!$C122,'WBS Summary by Year'!$B$86),'Pre- and Production'!AQ$4:AQ$376)</f>
        <v>0</v>
      </c>
      <c r="N122" s="317">
        <f>SUMIF('Pre- and Production'!$T$4:$T$376, CONCATENATE(LEFT('WBS Summary by Year'!N$6,1),'WBS Summary by Year'!$C122,'WBS Summary by Year'!$B$86),'Pre- and Production'!AH$4:AH$376)</f>
        <v>0</v>
      </c>
      <c r="O122" s="318">
        <f>SUMIF('Pre- and Production'!$T$4:$T$376, CONCATENATE(LEFT('WBS Summary by Year'!O$6,1),'WBS Summary by Year'!$C122,'WBS Summary by Year'!$B$86),'Pre- and Production'!AR$4:AR$376)</f>
        <v>0</v>
      </c>
    </row>
    <row r="123" spans="2:15" ht="13.5" thickTop="1"/>
    <row r="124" spans="2:15">
      <c r="D124">
        <f>SUM(D89:D122)</f>
        <v>224</v>
      </c>
      <c r="E124">
        <f t="shared" ref="E124:O124" si="6">SUM(E89:E122)</f>
        <v>215.75</v>
      </c>
      <c r="F124">
        <f t="shared" si="6"/>
        <v>787</v>
      </c>
      <c r="G124">
        <f t="shared" si="6"/>
        <v>124</v>
      </c>
      <c r="H124">
        <f t="shared" si="6"/>
        <v>96</v>
      </c>
      <c r="I124">
        <f t="shared" si="6"/>
        <v>64</v>
      </c>
      <c r="J124">
        <f t="shared" si="6"/>
        <v>1140</v>
      </c>
      <c r="K124">
        <f t="shared" si="6"/>
        <v>318</v>
      </c>
      <c r="L124">
        <f t="shared" si="6"/>
        <v>0</v>
      </c>
      <c r="M124">
        <f t="shared" si="6"/>
        <v>0</v>
      </c>
      <c r="N124" s="310">
        <f t="shared" ca="1" si="6"/>
        <v>22027.5</v>
      </c>
      <c r="O124" s="310">
        <f t="shared" si="6"/>
        <v>28945</v>
      </c>
    </row>
    <row r="125" spans="2:15">
      <c r="C125" t="s">
        <v>401</v>
      </c>
      <c r="D125" s="346">
        <f>D124/1720</f>
        <v>0.13023255813953488</v>
      </c>
      <c r="E125" s="346">
        <f t="shared" ref="E125:M125" si="7">E124/1720</f>
        <v>0.1254360465116279</v>
      </c>
      <c r="F125" s="346">
        <f t="shared" si="7"/>
        <v>0.45755813953488372</v>
      </c>
      <c r="G125" s="346">
        <f t="shared" si="7"/>
        <v>7.2093023255813959E-2</v>
      </c>
      <c r="H125" s="346">
        <f t="shared" si="7"/>
        <v>5.5813953488372092E-2</v>
      </c>
      <c r="I125" s="346">
        <f t="shared" si="7"/>
        <v>3.7209302325581395E-2</v>
      </c>
      <c r="J125" s="346">
        <f>J124/1720</f>
        <v>0.66279069767441856</v>
      </c>
      <c r="K125" s="346">
        <f t="shared" si="7"/>
        <v>0.18488372093023256</v>
      </c>
      <c r="L125" s="346">
        <f t="shared" si="7"/>
        <v>0</v>
      </c>
      <c r="M125" s="346">
        <f t="shared" si="7"/>
        <v>0</v>
      </c>
    </row>
    <row r="126" spans="2:15">
      <c r="C126" t="s">
        <v>402</v>
      </c>
      <c r="D126" s="348">
        <f>D124*Shop</f>
        <v>22861.440000000002</v>
      </c>
      <c r="E126" s="348">
        <f>E124*Shop</f>
        <v>22019.445</v>
      </c>
      <c r="F126" s="348">
        <f>F124*M_Tech</f>
        <v>74583.990000000005</v>
      </c>
      <c r="G126" s="348">
        <f>G124*M_Tech</f>
        <v>11751.480000000001</v>
      </c>
      <c r="H126" s="348">
        <f>H125*CMM</f>
        <v>5.696372093023256</v>
      </c>
      <c r="I126" s="348">
        <f>I124*CMM</f>
        <v>6531.84</v>
      </c>
      <c r="J126" s="348">
        <f>J124*ENG</f>
        <v>138510.00000000003</v>
      </c>
      <c r="K126" s="348">
        <f>K124*ENG</f>
        <v>38637.000000000007</v>
      </c>
      <c r="L126" s="348">
        <f>L124*DES</f>
        <v>0</v>
      </c>
      <c r="M126" s="348">
        <f>M124*DES</f>
        <v>0</v>
      </c>
    </row>
    <row r="128" spans="2:15" ht="18.75" thickBot="1">
      <c r="B128" s="309">
        <v>2012</v>
      </c>
    </row>
    <row r="129" spans="3:15" ht="13.5" thickTop="1">
      <c r="D129" s="396" t="s">
        <v>41</v>
      </c>
      <c r="E129" s="397"/>
      <c r="F129" s="396" t="s">
        <v>380</v>
      </c>
      <c r="G129" s="398"/>
      <c r="H129" s="399" t="s">
        <v>37</v>
      </c>
      <c r="I129" s="397"/>
      <c r="J129" s="396" t="s">
        <v>381</v>
      </c>
      <c r="K129" s="398"/>
      <c r="L129" s="399" t="s">
        <v>31</v>
      </c>
      <c r="M129" s="397"/>
      <c r="N129" s="394" t="s">
        <v>382</v>
      </c>
      <c r="O129" s="395"/>
    </row>
    <row r="130" spans="3:15" ht="13.5" thickBot="1">
      <c r="D130" s="299" t="s">
        <v>70</v>
      </c>
      <c r="E130" s="301" t="s">
        <v>383</v>
      </c>
      <c r="F130" s="299" t="s">
        <v>70</v>
      </c>
      <c r="G130" s="300" t="s">
        <v>383</v>
      </c>
      <c r="H130" s="305" t="s">
        <v>70</v>
      </c>
      <c r="I130" s="301" t="s">
        <v>383</v>
      </c>
      <c r="J130" s="299" t="s">
        <v>70</v>
      </c>
      <c r="K130" s="300" t="s">
        <v>383</v>
      </c>
      <c r="L130" s="305" t="s">
        <v>70</v>
      </c>
      <c r="M130" s="301" t="s">
        <v>383</v>
      </c>
      <c r="N130" s="311" t="s">
        <v>70</v>
      </c>
      <c r="O130" s="312" t="s">
        <v>383</v>
      </c>
    </row>
    <row r="131" spans="3:15" ht="13.5" thickTop="1">
      <c r="C131" s="20" t="s">
        <v>180</v>
      </c>
      <c r="D131" s="294">
        <f>SUMIF('Pre- and Production'!$T$4:$T$376, CONCATENATE(LEFT('WBS Summary by Year'!D$6,1),'WBS Summary by Year'!$C131,'WBS Summary by Year'!$B$128),'Pre- and Production'!AC$4:AC$376)</f>
        <v>8</v>
      </c>
      <c r="E131" s="302">
        <f>SUMIF('Pre- and Production'!$T$4:$T$376, CONCATENATE(LEFT('WBS Summary by Year'!E$6,1),'WBS Summary by Year'!$C131,'WBS Summary by Year'!$B$128),'Pre- and Production'!AM$4:AM$376)</f>
        <v>0</v>
      </c>
      <c r="F131" s="294">
        <f>SUMIF('Pre- and Production'!$T$4:$T$376, CONCATENATE(LEFT('WBS Summary by Year'!F$6,1),'WBS Summary by Year'!$C131,'WBS Summary by Year'!$B$128),'Pre- and Production'!AD$4:AD$376)</f>
        <v>31</v>
      </c>
      <c r="G131" s="295">
        <f>SUMIF('Pre- and Production'!$T$4:$T$376, CONCATENATE(LEFT('WBS Summary by Year'!G$6,1),'WBS Summary by Year'!$C131,'WBS Summary by Year'!$B$128),'Pre- and Production'!AN$4:AN$376)</f>
        <v>0</v>
      </c>
      <c r="H131" s="306">
        <f>SUMIF('Pre- and Production'!$T$4:$T$376, CONCATENATE(LEFT('WBS Summary by Year'!H$6,1),'WBS Summary by Year'!$C131,'WBS Summary by Year'!$B$128),'Pre- and Production'!AE$4:AE$376)</f>
        <v>0</v>
      </c>
      <c r="I131" s="302">
        <f>SUMIF('Pre- and Production'!$T$4:$T$376, CONCATENATE(LEFT('WBS Summary by Year'!I$6,1),'WBS Summary by Year'!$C131,'WBS Summary by Year'!$B$128),'Pre- and Production'!AO$4:AO$376)</f>
        <v>0</v>
      </c>
      <c r="J131" s="294">
        <f>SUMIF('Pre- and Production'!$T$4:$T$376, CONCATENATE(LEFT('WBS Summary by Year'!J$6,1),'WBS Summary by Year'!$C131,'WBS Summary by Year'!$B$128),'Pre- and Production'!AF$4:AFI$376)</f>
        <v>0</v>
      </c>
      <c r="K131" s="295">
        <f>SUMIF('Pre- and Production'!$T$4:$T$376, CONCATENATE(LEFT('WBS Summary by Year'!K$6,1),'WBS Summary by Year'!$C131,'WBS Summary by Year'!$B$128),'Pre- and Production'!AP$4:AP$376)</f>
        <v>0</v>
      </c>
      <c r="L131" s="306">
        <f>SUMIF('Pre- and Production'!$T$4:$T$376, CONCATENATE(LEFT('WBS Summary by Year'!L$6,1),'WBS Summary by Year'!$C131,'WBS Summary by Year'!$B$128),'Pre- and Production'!AG$4:AG$376)</f>
        <v>0</v>
      </c>
      <c r="M131" s="302">
        <f>SUMIF('Pre- and Production'!$T$4:$T$376, CONCATENATE(LEFT('WBS Summary by Year'!M$6,1),'WBS Summary by Year'!$C131,'WBS Summary by Year'!$B$128),'Pre- and Production'!AQ$4:AQ$376)</f>
        <v>0</v>
      </c>
      <c r="N131" s="313">
        <f ca="1">SUMIF('Pre- and Production'!$T$4:$T$376, CONCATENATE(LEFT('WBS Summary by Year'!N$6,1),'WBS Summary by Year'!$C131,'WBS Summary by Year'!$B$128),'Pre- and Production'!AH$4:AH$376)</f>
        <v>6155</v>
      </c>
      <c r="O131" s="314">
        <f>SUMIF('Pre- and Production'!$T$4:$T$376, CONCATENATE(LEFT('WBS Summary by Year'!O$6,1),'WBS Summary by Year'!$C131,'WBS Summary by Year'!$B$128),'Pre- and Production'!AR$4:AR$376)</f>
        <v>0</v>
      </c>
    </row>
    <row r="132" spans="3:15">
      <c r="C132" s="134" t="s">
        <v>182</v>
      </c>
      <c r="D132" s="26">
        <f>SUMIF('Pre- and Production'!$T$4:$T$376, CONCATENATE(LEFT('WBS Summary by Year'!D$6,1),'WBS Summary by Year'!$C132,'WBS Summary by Year'!$B$128),'Pre- and Production'!AC$4:AC$376)</f>
        <v>0</v>
      </c>
      <c r="E132" s="303">
        <f>SUMIF('Pre- and Production'!$T$4:$T$376, CONCATENATE(LEFT('WBS Summary by Year'!E$6,1),'WBS Summary by Year'!$C132,'WBS Summary by Year'!$B$128),'Pre- and Production'!AM$4:AM$376)</f>
        <v>0</v>
      </c>
      <c r="F132" s="26">
        <f>SUMIF('Pre- and Production'!$T$4:$T$376, CONCATENATE(LEFT('WBS Summary by Year'!F$6,1),'WBS Summary by Year'!$C132,'WBS Summary by Year'!$B$128),'Pre- and Production'!AD$4:AD$376)</f>
        <v>0</v>
      </c>
      <c r="G132" s="296">
        <f>SUMIF('Pre- and Production'!$T$4:$T$376, CONCATENATE(LEFT('WBS Summary by Year'!G$6,1),'WBS Summary by Year'!$C132,'WBS Summary by Year'!$B$128),'Pre- and Production'!AN$4:AN$376)</f>
        <v>0</v>
      </c>
      <c r="H132" s="307">
        <f>SUMIF('Pre- and Production'!$T$4:$T$376, CONCATENATE(LEFT('WBS Summary by Year'!H$6,1),'WBS Summary by Year'!$C132,'WBS Summary by Year'!$B$128),'Pre- and Production'!AE$4:AE$376)</f>
        <v>0</v>
      </c>
      <c r="I132" s="303">
        <f>SUMIF('Pre- and Production'!$T$4:$T$376, CONCATENATE(LEFT('WBS Summary by Year'!I$6,1),'WBS Summary by Year'!$C132,'WBS Summary by Year'!$B$128),'Pre- and Production'!AO$4:AO$376)</f>
        <v>0</v>
      </c>
      <c r="J132" s="26">
        <f>SUMIF('Pre- and Production'!$T$4:$T$376, CONCATENATE(LEFT('WBS Summary by Year'!J$6,1),'WBS Summary by Year'!$C132,'WBS Summary by Year'!$B$128),'Pre- and Production'!AF$4:AFI$376)</f>
        <v>0</v>
      </c>
      <c r="K132" s="296">
        <f>SUMIF('Pre- and Production'!$T$4:$T$376, CONCATENATE(LEFT('WBS Summary by Year'!K$6,1),'WBS Summary by Year'!$C132,'WBS Summary by Year'!$B$128),'Pre- and Production'!AP$4:AP$376)</f>
        <v>0</v>
      </c>
      <c r="L132" s="307">
        <f>SUMIF('Pre- and Production'!$T$4:$T$376, CONCATENATE(LEFT('WBS Summary by Year'!L$6,1),'WBS Summary by Year'!$C132,'WBS Summary by Year'!$B$128),'Pre- and Production'!AG$4:AG$376)</f>
        <v>0</v>
      </c>
      <c r="M132" s="303">
        <f>SUMIF('Pre- and Production'!$T$4:$T$376, CONCATENATE(LEFT('WBS Summary by Year'!M$6,1),'WBS Summary by Year'!$C132,'WBS Summary by Year'!$B$128),'Pre- and Production'!AQ$4:AQ$376)</f>
        <v>0</v>
      </c>
      <c r="N132" s="315">
        <f>SUMIF('Pre- and Production'!$T$4:$T$376, CONCATENATE(LEFT('WBS Summary by Year'!N$6,1),'WBS Summary by Year'!$C132,'WBS Summary by Year'!$B$128),'Pre- and Production'!AH$4:AH$376)</f>
        <v>0</v>
      </c>
      <c r="O132" s="316">
        <f>SUMIF('Pre- and Production'!$T$4:$T$376, CONCATENATE(LEFT('WBS Summary by Year'!O$6,1),'WBS Summary by Year'!$C132,'WBS Summary by Year'!$B$128),'Pre- and Production'!AR$4:AR$376)</f>
        <v>0</v>
      </c>
    </row>
    <row r="133" spans="3:15" s="352" customFormat="1">
      <c r="C133" s="46" t="s">
        <v>184</v>
      </c>
      <c r="D133" s="26">
        <f>SUMIF('Pre- and Production'!$T$4:$T$376, CONCATENATE(LEFT('WBS Summary by Year'!D$6,1),'WBS Summary by Year'!$C133,'WBS Summary by Year'!$B$128),'Pre- and Production'!AC$4:AC$376)</f>
        <v>38.75</v>
      </c>
      <c r="E133" s="303">
        <f>SUMIF('Pre- and Production'!$T$4:$T$376, CONCATENATE(LEFT('WBS Summary by Year'!E$6,1),'WBS Summary by Year'!$C133,'WBS Summary by Year'!$B$128),'Pre- and Production'!AM$4:AM$376)</f>
        <v>93</v>
      </c>
      <c r="F133" s="26">
        <f>SUMIF('Pre- and Production'!$T$4:$T$376, CONCATENATE(LEFT('WBS Summary by Year'!F$6,1),'WBS Summary by Year'!$C133,'WBS Summary by Year'!$B$128),'Pre- and Production'!AD$4:AD$376)</f>
        <v>0</v>
      </c>
      <c r="G133" s="296">
        <f>SUMIF('Pre- and Production'!$T$4:$T$376, CONCATENATE(LEFT('WBS Summary by Year'!G$6,1),'WBS Summary by Year'!$C133,'WBS Summary by Year'!$B$128),'Pre- and Production'!AN$4:AN$376)</f>
        <v>42</v>
      </c>
      <c r="H133" s="307">
        <f>SUMIF('Pre- and Production'!$T$4:$T$376, CONCATENATE(LEFT('WBS Summary by Year'!H$6,1),'WBS Summary by Year'!$C133,'WBS Summary by Year'!$B$128),'Pre- and Production'!AE$4:AE$376)</f>
        <v>0</v>
      </c>
      <c r="I133" s="303">
        <f>SUMIF('Pre- and Production'!$T$4:$T$376, CONCATENATE(LEFT('WBS Summary by Year'!I$6,1),'WBS Summary by Year'!$C133,'WBS Summary by Year'!$B$128),'Pre- and Production'!AO$4:AO$376)</f>
        <v>0</v>
      </c>
      <c r="J133" s="26">
        <f>SUMIF('Pre- and Production'!$T$4:$T$376, CONCATENATE(LEFT('WBS Summary by Year'!J$6,1),'WBS Summary by Year'!$C133,'WBS Summary by Year'!$B$128),'Pre- and Production'!AF$4:AFI$376)</f>
        <v>60</v>
      </c>
      <c r="K133" s="296">
        <f>SUMIF('Pre- and Production'!$T$4:$T$376, CONCATENATE(LEFT('WBS Summary by Year'!K$6,1),'WBS Summary by Year'!$C133,'WBS Summary by Year'!$B$128),'Pre- and Production'!AP$4:AP$376)</f>
        <v>88</v>
      </c>
      <c r="L133" s="307">
        <f>SUMIF('Pre- and Production'!$T$4:$T$376, CONCATENATE(LEFT('WBS Summary by Year'!L$6,1),'WBS Summary by Year'!$C133,'WBS Summary by Year'!$B$128),'Pre- and Production'!AG$4:AG$376)</f>
        <v>0</v>
      </c>
      <c r="M133" s="303">
        <f>SUMIF('Pre- and Production'!$T$4:$T$376, CONCATENATE(LEFT('WBS Summary by Year'!M$6,1),'WBS Summary by Year'!$C133,'WBS Summary by Year'!$B$128),'Pre- and Production'!AQ$4:AQ$376)</f>
        <v>0</v>
      </c>
      <c r="N133" s="315">
        <f>SUMIF('Pre- and Production'!$T$4:$T$376, CONCATENATE(LEFT('WBS Summary by Year'!N$6,1),'WBS Summary by Year'!$C133,'WBS Summary by Year'!$B$128),'Pre- and Production'!AH$4:AH$376)</f>
        <v>1340</v>
      </c>
      <c r="O133" s="316">
        <f>SUMIF('Pre- and Production'!$T$4:$T$376, CONCATENATE(LEFT('WBS Summary by Year'!O$6,1),'WBS Summary by Year'!$C133,'WBS Summary by Year'!$B$128),'Pre- and Production'!AR$4:AR$376)</f>
        <v>584</v>
      </c>
    </row>
    <row r="134" spans="3:15" s="352" customFormat="1">
      <c r="C134" s="46" t="s">
        <v>186</v>
      </c>
      <c r="D134" s="26">
        <f>SUMIF('Pre- and Production'!$T$4:$T$376, CONCATENATE(LEFT('WBS Summary by Year'!D$6,1),'WBS Summary by Year'!$C134,'WBS Summary by Year'!$B$128),'Pre- and Production'!AC$4:AC$376)</f>
        <v>0</v>
      </c>
      <c r="E134" s="303">
        <f>SUMIF('Pre- and Production'!$T$4:$T$376, CONCATENATE(LEFT('WBS Summary by Year'!E$6,1),'WBS Summary by Year'!$C134,'WBS Summary by Year'!$B$128),'Pre- and Production'!AM$4:AM$376)</f>
        <v>0</v>
      </c>
      <c r="F134" s="26">
        <f>SUMIF('Pre- and Production'!$T$4:$T$376, CONCATENATE(LEFT('WBS Summary by Year'!F$6,1),'WBS Summary by Year'!$C134,'WBS Summary by Year'!$B$128),'Pre- and Production'!AD$4:AD$376)</f>
        <v>0</v>
      </c>
      <c r="G134" s="296">
        <f>SUMIF('Pre- and Production'!$T$4:$T$376, CONCATENATE(LEFT('WBS Summary by Year'!G$6,1),'WBS Summary by Year'!$C134,'WBS Summary by Year'!$B$128),'Pre- and Production'!AN$4:AN$376)</f>
        <v>0</v>
      </c>
      <c r="H134" s="307">
        <f>SUMIF('Pre- and Production'!$T$4:$T$376, CONCATENATE(LEFT('WBS Summary by Year'!H$6,1),'WBS Summary by Year'!$C134,'WBS Summary by Year'!$B$128),'Pre- and Production'!AE$4:AE$376)</f>
        <v>0</v>
      </c>
      <c r="I134" s="303">
        <f>SUMIF('Pre- and Production'!$T$4:$T$376, CONCATENATE(LEFT('WBS Summary by Year'!I$6,1),'WBS Summary by Year'!$C134,'WBS Summary by Year'!$B$128),'Pre- and Production'!AO$4:AO$376)</f>
        <v>0</v>
      </c>
      <c r="J134" s="26">
        <f>SUMIF('Pre- and Production'!$T$4:$T$376, CONCATENATE(LEFT('WBS Summary by Year'!J$6,1),'WBS Summary by Year'!$C134,'WBS Summary by Year'!$B$128),'Pre- and Production'!AF$4:AFI$376)</f>
        <v>0</v>
      </c>
      <c r="K134" s="296">
        <f>SUMIF('Pre- and Production'!$T$4:$T$376, CONCATENATE(LEFT('WBS Summary by Year'!K$6,1),'WBS Summary by Year'!$C134,'WBS Summary by Year'!$B$128),'Pre- and Production'!AP$4:AP$376)</f>
        <v>0</v>
      </c>
      <c r="L134" s="307">
        <f>SUMIF('Pre- and Production'!$T$4:$T$376, CONCATENATE(LEFT('WBS Summary by Year'!L$6,1),'WBS Summary by Year'!$C134,'WBS Summary by Year'!$B$128),'Pre- and Production'!AG$4:AG$376)</f>
        <v>0</v>
      </c>
      <c r="M134" s="303">
        <f>SUMIF('Pre- and Production'!$T$4:$T$376, CONCATENATE(LEFT('WBS Summary by Year'!M$6,1),'WBS Summary by Year'!$C134,'WBS Summary by Year'!$B$128),'Pre- and Production'!AQ$4:AQ$376)</f>
        <v>0</v>
      </c>
      <c r="N134" s="315">
        <f>SUMIF('Pre- and Production'!$T$4:$T$376, CONCATENATE(LEFT('WBS Summary by Year'!N$6,1),'WBS Summary by Year'!$C134,'WBS Summary by Year'!$B$128),'Pre- and Production'!AH$4:AH$376)</f>
        <v>0</v>
      </c>
      <c r="O134" s="316">
        <f>SUMIF('Pre- and Production'!$T$4:$T$376, CONCATENATE(LEFT('WBS Summary by Year'!O$6,1),'WBS Summary by Year'!$C134,'WBS Summary by Year'!$B$128),'Pre- and Production'!AR$4:AR$376)</f>
        <v>0</v>
      </c>
    </row>
    <row r="135" spans="3:15" s="352" customFormat="1">
      <c r="C135" s="134" t="s">
        <v>189</v>
      </c>
      <c r="D135" s="26">
        <f>SUMIF('Pre- and Production'!$T$4:$T$376, CONCATENATE(LEFT('WBS Summary by Year'!D$6,1),'WBS Summary by Year'!$C135,'WBS Summary by Year'!$B$128),'Pre- and Production'!AC$4:AC$376)</f>
        <v>0</v>
      </c>
      <c r="E135" s="303">
        <f>SUMIF('Pre- and Production'!$T$4:$T$376, CONCATENATE(LEFT('WBS Summary by Year'!E$6,1),'WBS Summary by Year'!$C135,'WBS Summary by Year'!$B$128),'Pre- and Production'!AM$4:AM$376)</f>
        <v>0</v>
      </c>
      <c r="F135" s="26">
        <f>SUMIF('Pre- and Production'!$T$4:$T$376, CONCATENATE(LEFT('WBS Summary by Year'!F$6,1),'WBS Summary by Year'!$C135,'WBS Summary by Year'!$B$128),'Pre- and Production'!AD$4:AD$376)</f>
        <v>0</v>
      </c>
      <c r="G135" s="296">
        <f>SUMIF('Pre- and Production'!$T$4:$T$376, CONCATENATE(LEFT('WBS Summary by Year'!G$6,1),'WBS Summary by Year'!$C135,'WBS Summary by Year'!$B$128),'Pre- and Production'!AN$4:AN$376)</f>
        <v>0</v>
      </c>
      <c r="H135" s="307">
        <f>SUMIF('Pre- and Production'!$T$4:$T$376, CONCATENATE(LEFT('WBS Summary by Year'!H$6,1),'WBS Summary by Year'!$C135,'WBS Summary by Year'!$B$128),'Pre- and Production'!AE$4:AE$376)</f>
        <v>0</v>
      </c>
      <c r="I135" s="303">
        <f>SUMIF('Pre- and Production'!$T$4:$T$376, CONCATENATE(LEFT('WBS Summary by Year'!I$6,1),'WBS Summary by Year'!$C135,'WBS Summary by Year'!$B$128),'Pre- and Production'!AO$4:AO$376)</f>
        <v>0</v>
      </c>
      <c r="J135" s="26">
        <f>SUMIF('Pre- and Production'!$T$4:$T$376, CONCATENATE(LEFT('WBS Summary by Year'!J$6,1),'WBS Summary by Year'!$C135,'WBS Summary by Year'!$B$128),'Pre- and Production'!AF$4:AFI$376)</f>
        <v>0</v>
      </c>
      <c r="K135" s="296">
        <f>SUMIF('Pre- and Production'!$T$4:$T$376, CONCATENATE(LEFT('WBS Summary by Year'!K$6,1),'WBS Summary by Year'!$C135,'WBS Summary by Year'!$B$128),'Pre- and Production'!AP$4:AP$376)</f>
        <v>0</v>
      </c>
      <c r="L135" s="307">
        <f>SUMIF('Pre- and Production'!$T$4:$T$376, CONCATENATE(LEFT('WBS Summary by Year'!L$6,1),'WBS Summary by Year'!$C135,'WBS Summary by Year'!$B$128),'Pre- and Production'!AG$4:AG$376)</f>
        <v>0</v>
      </c>
      <c r="M135" s="303">
        <f>SUMIF('Pre- and Production'!$T$4:$T$376, CONCATENATE(LEFT('WBS Summary by Year'!M$6,1),'WBS Summary by Year'!$C135,'WBS Summary by Year'!$B$128),'Pre- and Production'!AQ$4:AQ$376)</f>
        <v>0</v>
      </c>
      <c r="N135" s="315">
        <f>SUMIF('Pre- and Production'!$T$4:$T$376, CONCATENATE(LEFT('WBS Summary by Year'!N$6,1),'WBS Summary by Year'!$C135,'WBS Summary by Year'!$B$128),'Pre- and Production'!AH$4:AH$376)</f>
        <v>0</v>
      </c>
      <c r="O135" s="316">
        <f>SUMIF('Pre- and Production'!$T$4:$T$376, CONCATENATE(LEFT('WBS Summary by Year'!O$6,1),'WBS Summary by Year'!$C135,'WBS Summary by Year'!$B$128),'Pre- and Production'!AR$4:AR$376)</f>
        <v>0</v>
      </c>
    </row>
    <row r="136" spans="3:15" s="352" customFormat="1">
      <c r="C136" s="46" t="s">
        <v>191</v>
      </c>
      <c r="D136" s="26">
        <f>SUMIF('Pre- and Production'!$T$4:$T$376, CONCATENATE(LEFT('WBS Summary by Year'!D$6,1),'WBS Summary by Year'!$C136,'WBS Summary by Year'!$B$128),'Pre- and Production'!AC$4:AC$376)</f>
        <v>0</v>
      </c>
      <c r="E136" s="303">
        <f>SUMIF('Pre- and Production'!$T$4:$T$376, CONCATENATE(LEFT('WBS Summary by Year'!E$6,1),'WBS Summary by Year'!$C136,'WBS Summary by Year'!$B$128),'Pre- and Production'!AM$4:AM$376)</f>
        <v>0</v>
      </c>
      <c r="F136" s="26">
        <f>SUMIF('Pre- and Production'!$T$4:$T$376, CONCATENATE(LEFT('WBS Summary by Year'!F$6,1),'WBS Summary by Year'!$C136,'WBS Summary by Year'!$B$128),'Pre- and Production'!AD$4:AD$376)</f>
        <v>0</v>
      </c>
      <c r="G136" s="296">
        <f>SUMIF('Pre- and Production'!$T$4:$T$376, CONCATENATE(LEFT('WBS Summary by Year'!G$6,1),'WBS Summary by Year'!$C136,'WBS Summary by Year'!$B$128),'Pre- and Production'!AN$4:AN$376)</f>
        <v>104</v>
      </c>
      <c r="H136" s="307">
        <f>SUMIF('Pre- and Production'!$T$4:$T$376, CONCATENATE(LEFT('WBS Summary by Year'!H$6,1),'WBS Summary by Year'!$C136,'WBS Summary by Year'!$B$128),'Pre- and Production'!AE$4:AE$376)</f>
        <v>0</v>
      </c>
      <c r="I136" s="303">
        <f>SUMIF('Pre- and Production'!$T$4:$T$376, CONCATENATE(LEFT('WBS Summary by Year'!I$6,1),'WBS Summary by Year'!$C136,'WBS Summary by Year'!$B$128),'Pre- and Production'!AO$4:AO$376)</f>
        <v>0</v>
      </c>
      <c r="J136" s="26">
        <f>SUMIF('Pre- and Production'!$T$4:$T$376, CONCATENATE(LEFT('WBS Summary by Year'!J$6,1),'WBS Summary by Year'!$C136,'WBS Summary by Year'!$B$128),'Pre- and Production'!AF$4:AFI$376)</f>
        <v>0</v>
      </c>
      <c r="K136" s="296">
        <f>SUMIF('Pre- and Production'!$T$4:$T$376, CONCATENATE(LEFT('WBS Summary by Year'!K$6,1),'WBS Summary by Year'!$C136,'WBS Summary by Year'!$B$128),'Pre- and Production'!AP$4:AP$376)</f>
        <v>66</v>
      </c>
      <c r="L136" s="307">
        <f>SUMIF('Pre- and Production'!$T$4:$T$376, CONCATENATE(LEFT('WBS Summary by Year'!L$6,1),'WBS Summary by Year'!$C136,'WBS Summary by Year'!$B$128),'Pre- and Production'!AG$4:AG$376)</f>
        <v>0</v>
      </c>
      <c r="M136" s="303">
        <f>SUMIF('Pre- and Production'!$T$4:$T$376, CONCATENATE(LEFT('WBS Summary by Year'!M$6,1),'WBS Summary by Year'!$C136,'WBS Summary by Year'!$B$128),'Pre- and Production'!AQ$4:AQ$376)</f>
        <v>0</v>
      </c>
      <c r="N136" s="315">
        <f>SUMIF('Pre- and Production'!$T$4:$T$376, CONCATENATE(LEFT('WBS Summary by Year'!N$6,1),'WBS Summary by Year'!$C136,'WBS Summary by Year'!$B$128),'Pre- and Production'!AH$4:AH$376)</f>
        <v>0</v>
      </c>
      <c r="O136" s="316">
        <f>SUMIF('Pre- and Production'!$T$4:$T$376, CONCATENATE(LEFT('WBS Summary by Year'!O$6,1),'WBS Summary by Year'!$C136,'WBS Summary by Year'!$B$128),'Pre- and Production'!AR$4:AR$376)</f>
        <v>210</v>
      </c>
    </row>
    <row r="137" spans="3:15" s="352" customFormat="1">
      <c r="C137" s="46" t="s">
        <v>193</v>
      </c>
      <c r="D137" s="26">
        <f>SUMIF('Pre- and Production'!$T$4:$T$376, CONCATENATE(LEFT('WBS Summary by Year'!D$6,1),'WBS Summary by Year'!$C137,'WBS Summary by Year'!$B$128),'Pre- and Production'!AC$4:AC$376)</f>
        <v>96</v>
      </c>
      <c r="E137" s="303">
        <f>SUMIF('Pre- and Production'!$T$4:$T$376, CONCATENATE(LEFT('WBS Summary by Year'!E$6,1),'WBS Summary by Year'!$C137,'WBS Summary by Year'!$B$128),'Pre- and Production'!AM$4:AM$376)</f>
        <v>0</v>
      </c>
      <c r="F137" s="26">
        <f>SUMIF('Pre- and Production'!$T$4:$T$376, CONCATENATE(LEFT('WBS Summary by Year'!F$6,1),'WBS Summary by Year'!$C137,'WBS Summary by Year'!$B$128),'Pre- and Production'!AD$4:AD$376)</f>
        <v>0</v>
      </c>
      <c r="G137" s="296">
        <f>SUMIF('Pre- and Production'!$T$4:$T$376, CONCATENATE(LEFT('WBS Summary by Year'!G$6,1),'WBS Summary by Year'!$C137,'WBS Summary by Year'!$B$128),'Pre- and Production'!AN$4:AN$376)</f>
        <v>0</v>
      </c>
      <c r="H137" s="307">
        <f>SUMIF('Pre- and Production'!$T$4:$T$376, CONCATENATE(LEFT('WBS Summary by Year'!H$6,1),'WBS Summary by Year'!$C137,'WBS Summary by Year'!$B$128),'Pre- and Production'!AE$4:AE$376)</f>
        <v>0</v>
      </c>
      <c r="I137" s="303">
        <f>SUMIF('Pre- and Production'!$T$4:$T$376, CONCATENATE(LEFT('WBS Summary by Year'!I$6,1),'WBS Summary by Year'!$C137,'WBS Summary by Year'!$B$128),'Pre- and Production'!AO$4:AO$376)</f>
        <v>0</v>
      </c>
      <c r="J137" s="26">
        <f>SUMIF('Pre- and Production'!$T$4:$T$376, CONCATENATE(LEFT('WBS Summary by Year'!J$6,1),'WBS Summary by Year'!$C137,'WBS Summary by Year'!$B$128),'Pre- and Production'!AF$4:AFI$376)</f>
        <v>6</v>
      </c>
      <c r="K137" s="296">
        <f>SUMIF('Pre- and Production'!$T$4:$T$376, CONCATENATE(LEFT('WBS Summary by Year'!K$6,1),'WBS Summary by Year'!$C137,'WBS Summary by Year'!$B$128),'Pre- and Production'!AP$4:AP$376)</f>
        <v>0</v>
      </c>
      <c r="L137" s="307">
        <f>SUMIF('Pre- and Production'!$T$4:$T$376, CONCATENATE(LEFT('WBS Summary by Year'!L$6,1),'WBS Summary by Year'!$C137,'WBS Summary by Year'!$B$128),'Pre- and Production'!AG$4:AG$376)</f>
        <v>0</v>
      </c>
      <c r="M137" s="303">
        <f>SUMIF('Pre- and Production'!$T$4:$T$376, CONCATENATE(LEFT('WBS Summary by Year'!M$6,1),'WBS Summary by Year'!$C137,'WBS Summary by Year'!$B$128),'Pre- and Production'!AQ$4:AQ$376)</f>
        <v>0</v>
      </c>
      <c r="N137" s="315">
        <f>SUMIF('Pre- and Production'!$T$4:$T$376, CONCATENATE(LEFT('WBS Summary by Year'!N$6,1),'WBS Summary by Year'!$C137,'WBS Summary by Year'!$B$128),'Pre- and Production'!AH$4:AH$376)</f>
        <v>96</v>
      </c>
      <c r="O137" s="316">
        <f>SUMIF('Pre- and Production'!$T$4:$T$376, CONCATENATE(LEFT('WBS Summary by Year'!O$6,1),'WBS Summary by Year'!$C137,'WBS Summary by Year'!$B$128),'Pre- and Production'!AR$4:AR$376)</f>
        <v>0</v>
      </c>
    </row>
    <row r="138" spans="3:15" s="352" customFormat="1">
      <c r="C138" s="46" t="s">
        <v>195</v>
      </c>
      <c r="D138" s="26">
        <f>SUMIF('Pre- and Production'!$T$4:$T$376, CONCATENATE(LEFT('WBS Summary by Year'!D$6,1),'WBS Summary by Year'!$C138,'WBS Summary by Year'!$B$128),'Pre- and Production'!AC$4:AC$376)</f>
        <v>32</v>
      </c>
      <c r="E138" s="303">
        <f>SUMIF('Pre- and Production'!$T$4:$T$376, CONCATENATE(LEFT('WBS Summary by Year'!E$6,1),'WBS Summary by Year'!$C138,'WBS Summary by Year'!$B$128),'Pre- and Production'!AM$4:AM$376)</f>
        <v>0</v>
      </c>
      <c r="F138" s="26">
        <f>SUMIF('Pre- and Production'!$T$4:$T$376, CONCATENATE(LEFT('WBS Summary by Year'!F$6,1),'WBS Summary by Year'!$C138,'WBS Summary by Year'!$B$128),'Pre- and Production'!AD$4:AD$376)</f>
        <v>118</v>
      </c>
      <c r="G138" s="296">
        <f>SUMIF('Pre- and Production'!$T$4:$T$376, CONCATENATE(LEFT('WBS Summary by Year'!G$6,1),'WBS Summary by Year'!$C138,'WBS Summary by Year'!$B$128),'Pre- and Production'!AN$4:AN$376)</f>
        <v>48</v>
      </c>
      <c r="H138" s="307">
        <f>SUMIF('Pre- and Production'!$T$4:$T$376, CONCATENATE(LEFT('WBS Summary by Year'!H$6,1),'WBS Summary by Year'!$C138,'WBS Summary by Year'!$B$128),'Pre- and Production'!AE$4:AE$376)</f>
        <v>0</v>
      </c>
      <c r="I138" s="303">
        <f>SUMIF('Pre- and Production'!$T$4:$T$376, CONCATENATE(LEFT('WBS Summary by Year'!I$6,1),'WBS Summary by Year'!$C138,'WBS Summary by Year'!$B$128),'Pre- and Production'!AO$4:AO$376)</f>
        <v>0</v>
      </c>
      <c r="J138" s="26">
        <f>SUMIF('Pre- and Production'!$T$4:$T$376, CONCATENATE(LEFT('WBS Summary by Year'!J$6,1),'WBS Summary by Year'!$C138,'WBS Summary by Year'!$B$128),'Pre- and Production'!AF$4:AFI$376)</f>
        <v>59</v>
      </c>
      <c r="K138" s="296">
        <f>SUMIF('Pre- and Production'!$T$4:$T$376, CONCATENATE(LEFT('WBS Summary by Year'!K$6,1),'WBS Summary by Year'!$C138,'WBS Summary by Year'!$B$128),'Pre- and Production'!AP$4:AP$376)</f>
        <v>16</v>
      </c>
      <c r="L138" s="307">
        <f>SUMIF('Pre- and Production'!$T$4:$T$376, CONCATENATE(LEFT('WBS Summary by Year'!L$6,1),'WBS Summary by Year'!$C138,'WBS Summary by Year'!$B$128),'Pre- and Production'!AG$4:AG$376)</f>
        <v>0</v>
      </c>
      <c r="M138" s="303">
        <f>SUMIF('Pre- and Production'!$T$4:$T$376, CONCATENATE(LEFT('WBS Summary by Year'!M$6,1),'WBS Summary by Year'!$C138,'WBS Summary by Year'!$B$128),'Pre- and Production'!AQ$4:AQ$376)</f>
        <v>0</v>
      </c>
      <c r="N138" s="315">
        <f>SUMIF('Pre- and Production'!$T$4:$T$376, CONCATENATE(LEFT('WBS Summary by Year'!N$6,1),'WBS Summary by Year'!$C138,'WBS Summary by Year'!$B$128),'Pre- and Production'!AH$4:AH$376)</f>
        <v>12632.5</v>
      </c>
      <c r="O138" s="316">
        <f>SUMIF('Pre- and Production'!$T$4:$T$376, CONCATENATE(LEFT('WBS Summary by Year'!O$6,1),'WBS Summary by Year'!$C138,'WBS Summary by Year'!$B$128),'Pre- and Production'!AR$4:AR$376)</f>
        <v>210</v>
      </c>
    </row>
    <row r="139" spans="3:15" s="352" customFormat="1">
      <c r="C139" s="134" t="s">
        <v>190</v>
      </c>
      <c r="D139" s="26">
        <f>SUMIF('Pre- and Production'!$T$4:$T$376, CONCATENATE(LEFT('WBS Summary by Year'!D$6,1),'WBS Summary by Year'!$C139,'WBS Summary by Year'!$B$128),'Pre- and Production'!AC$4:AC$376)</f>
        <v>0</v>
      </c>
      <c r="E139" s="303">
        <f>SUMIF('Pre- and Production'!$T$4:$T$376, CONCATENATE(LEFT('WBS Summary by Year'!E$6,1),'WBS Summary by Year'!$C139,'WBS Summary by Year'!$B$128),'Pre- and Production'!AM$4:AM$376)</f>
        <v>0</v>
      </c>
      <c r="F139" s="26">
        <f>SUMIF('Pre- and Production'!$T$4:$T$376, CONCATENATE(LEFT('WBS Summary by Year'!F$6,1),'WBS Summary by Year'!$C139,'WBS Summary by Year'!$B$128),'Pre- and Production'!AD$4:AD$376)</f>
        <v>0</v>
      </c>
      <c r="G139" s="296">
        <f>SUMIF('Pre- and Production'!$T$4:$T$376, CONCATENATE(LEFT('WBS Summary by Year'!G$6,1),'WBS Summary by Year'!$C139,'WBS Summary by Year'!$B$128),'Pre- and Production'!AN$4:AN$376)</f>
        <v>0</v>
      </c>
      <c r="H139" s="307">
        <f>SUMIF('Pre- and Production'!$T$4:$T$376, CONCATENATE(LEFT('WBS Summary by Year'!H$6,1),'WBS Summary by Year'!$C139,'WBS Summary by Year'!$B$128),'Pre- and Production'!AE$4:AE$376)</f>
        <v>0</v>
      </c>
      <c r="I139" s="303">
        <f>SUMIF('Pre- and Production'!$T$4:$T$376, CONCATENATE(LEFT('WBS Summary by Year'!I$6,1),'WBS Summary by Year'!$C139,'WBS Summary by Year'!$B$128),'Pre- and Production'!AO$4:AO$376)</f>
        <v>0</v>
      </c>
      <c r="J139" s="26">
        <f>SUMIF('Pre- and Production'!$T$4:$T$376, CONCATENATE(LEFT('WBS Summary by Year'!J$6,1),'WBS Summary by Year'!$C139,'WBS Summary by Year'!$B$128),'Pre- and Production'!AF$4:AFI$376)</f>
        <v>0</v>
      </c>
      <c r="K139" s="296">
        <f>SUMIF('Pre- and Production'!$T$4:$T$376, CONCATENATE(LEFT('WBS Summary by Year'!K$6,1),'WBS Summary by Year'!$C139,'WBS Summary by Year'!$B$128),'Pre- and Production'!AP$4:AP$376)</f>
        <v>0</v>
      </c>
      <c r="L139" s="307">
        <f>SUMIF('Pre- and Production'!$T$4:$T$376, CONCATENATE(LEFT('WBS Summary by Year'!L$6,1),'WBS Summary by Year'!$C139,'WBS Summary by Year'!$B$128),'Pre- and Production'!AG$4:AG$376)</f>
        <v>0</v>
      </c>
      <c r="M139" s="303">
        <f>SUMIF('Pre- and Production'!$T$4:$T$376, CONCATENATE(LEFT('WBS Summary by Year'!M$6,1),'WBS Summary by Year'!$C139,'WBS Summary by Year'!$B$128),'Pre- and Production'!AQ$4:AQ$376)</f>
        <v>0</v>
      </c>
      <c r="N139" s="315">
        <f>SUMIF('Pre- and Production'!$T$4:$T$376, CONCATENATE(LEFT('WBS Summary by Year'!N$6,1),'WBS Summary by Year'!$C139,'WBS Summary by Year'!$B$128),'Pre- and Production'!AH$4:AH$376)</f>
        <v>0</v>
      </c>
      <c r="O139" s="316">
        <f>SUMIF('Pre- and Production'!$T$4:$T$376, CONCATENATE(LEFT('WBS Summary by Year'!O$6,1),'WBS Summary by Year'!$C139,'WBS Summary by Year'!$B$128),'Pre- and Production'!AR$4:AR$376)</f>
        <v>0</v>
      </c>
    </row>
    <row r="140" spans="3:15" s="352" customFormat="1">
      <c r="C140" s="46" t="s">
        <v>198</v>
      </c>
      <c r="D140" s="26">
        <f>SUMIF('Pre- and Production'!$T$4:$T$376, CONCATENATE(LEFT('WBS Summary by Year'!D$6,1),'WBS Summary by Year'!$C140,'WBS Summary by Year'!$B$128),'Pre- and Production'!AC$4:AC$376)</f>
        <v>0</v>
      </c>
      <c r="E140" s="303">
        <f>SUMIF('Pre- and Production'!$T$4:$T$376, CONCATENATE(LEFT('WBS Summary by Year'!E$6,1),'WBS Summary by Year'!$C140,'WBS Summary by Year'!$B$128),'Pre- and Production'!AM$4:AM$376)</f>
        <v>0</v>
      </c>
      <c r="F140" s="26">
        <f>SUMIF('Pre- and Production'!$T$4:$T$376, CONCATENATE(LEFT('WBS Summary by Year'!F$6,1),'WBS Summary by Year'!$C140,'WBS Summary by Year'!$B$128),'Pre- and Production'!AD$4:AD$376)</f>
        <v>0</v>
      </c>
      <c r="G140" s="296">
        <f>SUMIF('Pre- and Production'!$T$4:$T$376, CONCATENATE(LEFT('WBS Summary by Year'!G$6,1),'WBS Summary by Year'!$C140,'WBS Summary by Year'!$B$128),'Pre- and Production'!AN$4:AN$376)</f>
        <v>0</v>
      </c>
      <c r="H140" s="307">
        <f>SUMIF('Pre- and Production'!$T$4:$T$376, CONCATENATE(LEFT('WBS Summary by Year'!H$6,1),'WBS Summary by Year'!$C140,'WBS Summary by Year'!$B$128),'Pre- and Production'!AE$4:AE$376)</f>
        <v>0</v>
      </c>
      <c r="I140" s="303">
        <f>SUMIF('Pre- and Production'!$T$4:$T$376, CONCATENATE(LEFT('WBS Summary by Year'!I$6,1),'WBS Summary by Year'!$C140,'WBS Summary by Year'!$B$128),'Pre- and Production'!AO$4:AO$376)</f>
        <v>0</v>
      </c>
      <c r="J140" s="26">
        <f>SUMIF('Pre- and Production'!$T$4:$T$376, CONCATENATE(LEFT('WBS Summary by Year'!J$6,1),'WBS Summary by Year'!$C140,'WBS Summary by Year'!$B$128),'Pre- and Production'!AF$4:AFI$376)</f>
        <v>0</v>
      </c>
      <c r="K140" s="296">
        <f>SUMIF('Pre- and Production'!$T$4:$T$376, CONCATENATE(LEFT('WBS Summary by Year'!K$6,1),'WBS Summary by Year'!$C140,'WBS Summary by Year'!$B$128),'Pre- and Production'!AP$4:AP$376)</f>
        <v>0</v>
      </c>
      <c r="L140" s="307">
        <f>SUMIF('Pre- and Production'!$T$4:$T$376, CONCATENATE(LEFT('WBS Summary by Year'!L$6,1),'WBS Summary by Year'!$C140,'WBS Summary by Year'!$B$128),'Pre- and Production'!AG$4:AG$376)</f>
        <v>0</v>
      </c>
      <c r="M140" s="303">
        <f>SUMIF('Pre- and Production'!$T$4:$T$376, CONCATENATE(LEFT('WBS Summary by Year'!M$6,1),'WBS Summary by Year'!$C140,'WBS Summary by Year'!$B$128),'Pre- and Production'!AQ$4:AQ$376)</f>
        <v>0</v>
      </c>
      <c r="N140" s="315">
        <f>SUMIF('Pre- and Production'!$T$4:$T$376, CONCATENATE(LEFT('WBS Summary by Year'!N$6,1),'WBS Summary by Year'!$C140,'WBS Summary by Year'!$B$128),'Pre- and Production'!AH$4:AH$376)</f>
        <v>0</v>
      </c>
      <c r="O140" s="316">
        <f>SUMIF('Pre- and Production'!$T$4:$T$376, CONCATENATE(LEFT('WBS Summary by Year'!O$6,1),'WBS Summary by Year'!$C140,'WBS Summary by Year'!$B$128),'Pre- and Production'!AR$4:AR$376)</f>
        <v>0</v>
      </c>
    </row>
    <row r="141" spans="3:15" s="352" customFormat="1">
      <c r="C141" s="46" t="s">
        <v>199</v>
      </c>
      <c r="D141" s="26">
        <f>SUMIF('Pre- and Production'!$T$4:$T$376, CONCATENATE(LEFT('WBS Summary by Year'!D$6,1),'WBS Summary by Year'!$C141,'WBS Summary by Year'!$B$128),'Pre- and Production'!AC$4:AC$376)</f>
        <v>0</v>
      </c>
      <c r="E141" s="303">
        <f>SUMIF('Pre- and Production'!$T$4:$T$376, CONCATENATE(LEFT('WBS Summary by Year'!E$6,1),'WBS Summary by Year'!$C141,'WBS Summary by Year'!$B$128),'Pre- and Production'!AM$4:AM$376)</f>
        <v>0</v>
      </c>
      <c r="F141" s="26">
        <f>SUMIF('Pre- and Production'!$T$4:$T$376, CONCATENATE(LEFT('WBS Summary by Year'!F$6,1),'WBS Summary by Year'!$C141,'WBS Summary by Year'!$B$128),'Pre- and Production'!AD$4:AD$376)</f>
        <v>0</v>
      </c>
      <c r="G141" s="296">
        <f>SUMIF('Pre- and Production'!$T$4:$T$376, CONCATENATE(LEFT('WBS Summary by Year'!G$6,1),'WBS Summary by Year'!$C141,'WBS Summary by Year'!$B$128),'Pre- and Production'!AN$4:AN$376)</f>
        <v>0</v>
      </c>
      <c r="H141" s="307">
        <f>SUMIF('Pre- and Production'!$T$4:$T$376, CONCATENATE(LEFT('WBS Summary by Year'!H$6,1),'WBS Summary by Year'!$C141,'WBS Summary by Year'!$B$128),'Pre- and Production'!AE$4:AE$376)</f>
        <v>0</v>
      </c>
      <c r="I141" s="303">
        <f>SUMIF('Pre- and Production'!$T$4:$T$376, CONCATENATE(LEFT('WBS Summary by Year'!I$6,1),'WBS Summary by Year'!$C141,'WBS Summary by Year'!$B$128),'Pre- and Production'!AO$4:AO$376)</f>
        <v>0</v>
      </c>
      <c r="J141" s="26">
        <f>SUMIF('Pre- and Production'!$T$4:$T$376, CONCATENATE(LEFT('WBS Summary by Year'!J$6,1),'WBS Summary by Year'!$C141,'WBS Summary by Year'!$B$128),'Pre- and Production'!AF$4:AFI$376)</f>
        <v>0</v>
      </c>
      <c r="K141" s="296">
        <f>SUMIF('Pre- and Production'!$T$4:$T$376, CONCATENATE(LEFT('WBS Summary by Year'!K$6,1),'WBS Summary by Year'!$C141,'WBS Summary by Year'!$B$128),'Pre- and Production'!AP$4:AP$376)</f>
        <v>0</v>
      </c>
      <c r="L141" s="307">
        <f>SUMIF('Pre- and Production'!$T$4:$T$376, CONCATENATE(LEFT('WBS Summary by Year'!L$6,1),'WBS Summary by Year'!$C141,'WBS Summary by Year'!$B$128),'Pre- and Production'!AG$4:AG$376)</f>
        <v>0</v>
      </c>
      <c r="M141" s="303">
        <f>SUMIF('Pre- and Production'!$T$4:$T$376, CONCATENATE(LEFT('WBS Summary by Year'!M$6,1),'WBS Summary by Year'!$C141,'WBS Summary by Year'!$B$128),'Pre- and Production'!AQ$4:AQ$376)</f>
        <v>0</v>
      </c>
      <c r="N141" s="315">
        <f>SUMIF('Pre- and Production'!$T$4:$T$376, CONCATENATE(LEFT('WBS Summary by Year'!N$6,1),'WBS Summary by Year'!$C141,'WBS Summary by Year'!$B$128),'Pre- and Production'!AH$4:AH$376)</f>
        <v>0</v>
      </c>
      <c r="O141" s="316">
        <f>SUMIF('Pre- and Production'!$T$4:$T$376, CONCATENATE(LEFT('WBS Summary by Year'!O$6,1),'WBS Summary by Year'!$C141,'WBS Summary by Year'!$B$128),'Pre- and Production'!AR$4:AR$376)</f>
        <v>0</v>
      </c>
    </row>
    <row r="142" spans="3:15" s="352" customFormat="1">
      <c r="C142" s="46" t="s">
        <v>200</v>
      </c>
      <c r="D142" s="26">
        <f>SUMIF('Pre- and Production'!$T$4:$T$376, CONCATENATE(LEFT('WBS Summary by Year'!D$6,1),'WBS Summary by Year'!$C142,'WBS Summary by Year'!$B$128),'Pre- and Production'!AC$4:AC$376)</f>
        <v>64</v>
      </c>
      <c r="E142" s="303">
        <f>SUMIF('Pre- and Production'!$T$4:$T$376, CONCATENATE(LEFT('WBS Summary by Year'!E$6,1),'WBS Summary by Year'!$C142,'WBS Summary by Year'!$B$128),'Pre- and Production'!AM$4:AM$376)</f>
        <v>0</v>
      </c>
      <c r="F142" s="26">
        <f>SUMIF('Pre- and Production'!$T$4:$T$376, CONCATENATE(LEFT('WBS Summary by Year'!F$6,1),'WBS Summary by Year'!$C142,'WBS Summary by Year'!$B$128),'Pre- and Production'!AD$4:AD$376)</f>
        <v>112</v>
      </c>
      <c r="G142" s="296">
        <f>SUMIF('Pre- and Production'!$T$4:$T$376, CONCATENATE(LEFT('WBS Summary by Year'!G$6,1),'WBS Summary by Year'!$C142,'WBS Summary by Year'!$B$128),'Pre- and Production'!AN$4:AN$376)</f>
        <v>0</v>
      </c>
      <c r="H142" s="307">
        <f>SUMIF('Pre- and Production'!$T$4:$T$376, CONCATENATE(LEFT('WBS Summary by Year'!H$6,1),'WBS Summary by Year'!$C142,'WBS Summary by Year'!$B$128),'Pre- and Production'!AE$4:AE$376)</f>
        <v>0</v>
      </c>
      <c r="I142" s="303">
        <f>SUMIF('Pre- and Production'!$T$4:$T$376, CONCATENATE(LEFT('WBS Summary by Year'!I$6,1),'WBS Summary by Year'!$C142,'WBS Summary by Year'!$B$128),'Pre- and Production'!AO$4:AO$376)</f>
        <v>0</v>
      </c>
      <c r="J142" s="26">
        <f>SUMIF('Pre- and Production'!$T$4:$T$376, CONCATENATE(LEFT('WBS Summary by Year'!J$6,1),'WBS Summary by Year'!$C142,'WBS Summary by Year'!$B$128),'Pre- and Production'!AF$4:AFI$376)</f>
        <v>72</v>
      </c>
      <c r="K142" s="296">
        <f>SUMIF('Pre- and Production'!$T$4:$T$376, CONCATENATE(LEFT('WBS Summary by Year'!K$6,1),'WBS Summary by Year'!$C142,'WBS Summary by Year'!$B$128),'Pre- and Production'!AP$4:AP$376)</f>
        <v>0</v>
      </c>
      <c r="L142" s="307">
        <f>SUMIF('Pre- and Production'!$T$4:$T$376, CONCATENATE(LEFT('WBS Summary by Year'!L$6,1),'WBS Summary by Year'!$C142,'WBS Summary by Year'!$B$128),'Pre- and Production'!AG$4:AG$376)</f>
        <v>0</v>
      </c>
      <c r="M142" s="303">
        <f>SUMIF('Pre- and Production'!$T$4:$T$376, CONCATENATE(LEFT('WBS Summary by Year'!M$6,1),'WBS Summary by Year'!$C142,'WBS Summary by Year'!$B$128),'Pre- and Production'!AQ$4:AQ$376)</f>
        <v>0</v>
      </c>
      <c r="N142" s="315">
        <f>SUMIF('Pre- and Production'!$T$4:$T$376, CONCATENATE(LEFT('WBS Summary by Year'!N$6,1),'WBS Summary by Year'!$C142,'WBS Summary by Year'!$B$128),'Pre- and Production'!AH$4:AH$376)</f>
        <v>1160</v>
      </c>
      <c r="O142" s="316">
        <f>SUMIF('Pre- and Production'!$T$4:$T$376, CONCATENATE(LEFT('WBS Summary by Year'!O$6,1),'WBS Summary by Year'!$C142,'WBS Summary by Year'!$B$128),'Pre- and Production'!AR$4:AR$376)</f>
        <v>0</v>
      </c>
    </row>
    <row r="143" spans="3:15" s="352" customFormat="1">
      <c r="C143" s="46" t="s">
        <v>201</v>
      </c>
      <c r="D143" s="26">
        <f>SUMIF('Pre- and Production'!$T$4:$T$376, CONCATENATE(LEFT('WBS Summary by Year'!D$6,1),'WBS Summary by Year'!$C143,'WBS Summary by Year'!$B$128),'Pre- and Production'!AC$4:AC$376)</f>
        <v>0</v>
      </c>
      <c r="E143" s="303">
        <f>SUMIF('Pre- and Production'!$T$4:$T$376, CONCATENATE(LEFT('WBS Summary by Year'!E$6,1),'WBS Summary by Year'!$C143,'WBS Summary by Year'!$B$128),'Pre- and Production'!AM$4:AM$376)</f>
        <v>0</v>
      </c>
      <c r="F143" s="26">
        <f>SUMIF('Pre- and Production'!$T$4:$T$376, CONCATENATE(LEFT('WBS Summary by Year'!F$6,1),'WBS Summary by Year'!$C143,'WBS Summary by Year'!$B$128),'Pre- and Production'!AD$4:AD$376)</f>
        <v>0</v>
      </c>
      <c r="G143" s="296">
        <f>SUMIF('Pre- and Production'!$T$4:$T$376, CONCATENATE(LEFT('WBS Summary by Year'!G$6,1),'WBS Summary by Year'!$C143,'WBS Summary by Year'!$B$128),'Pre- and Production'!AN$4:AN$376)</f>
        <v>0</v>
      </c>
      <c r="H143" s="307">
        <f>SUMIF('Pre- and Production'!$T$4:$T$376, CONCATENATE(LEFT('WBS Summary by Year'!H$6,1),'WBS Summary by Year'!$C143,'WBS Summary by Year'!$B$128),'Pre- and Production'!AE$4:AE$376)</f>
        <v>0</v>
      </c>
      <c r="I143" s="303">
        <f>SUMIF('Pre- and Production'!$T$4:$T$376, CONCATENATE(LEFT('WBS Summary by Year'!I$6,1),'WBS Summary by Year'!$C143,'WBS Summary by Year'!$B$128),'Pre- and Production'!AO$4:AO$376)</f>
        <v>0</v>
      </c>
      <c r="J143" s="26">
        <f>SUMIF('Pre- and Production'!$T$4:$T$376, CONCATENATE(LEFT('WBS Summary by Year'!J$6,1),'WBS Summary by Year'!$C143,'WBS Summary by Year'!$B$128),'Pre- and Production'!AF$4:AFI$376)</f>
        <v>0</v>
      </c>
      <c r="K143" s="296">
        <f>SUMIF('Pre- and Production'!$T$4:$T$376, CONCATENATE(LEFT('WBS Summary by Year'!K$6,1),'WBS Summary by Year'!$C143,'WBS Summary by Year'!$B$128),'Pre- and Production'!AP$4:AP$376)</f>
        <v>0</v>
      </c>
      <c r="L143" s="307">
        <f>SUMIF('Pre- and Production'!$T$4:$T$376, CONCATENATE(LEFT('WBS Summary by Year'!L$6,1),'WBS Summary by Year'!$C143,'WBS Summary by Year'!$B$128),'Pre- and Production'!AG$4:AG$376)</f>
        <v>0</v>
      </c>
      <c r="M143" s="303">
        <f>SUMIF('Pre- and Production'!$T$4:$T$376, CONCATENATE(LEFT('WBS Summary by Year'!M$6,1),'WBS Summary by Year'!$C143,'WBS Summary by Year'!$B$128),'Pre- and Production'!AQ$4:AQ$376)</f>
        <v>0</v>
      </c>
      <c r="N143" s="315">
        <f>SUMIF('Pre- and Production'!$T$4:$T$376, CONCATENATE(LEFT('WBS Summary by Year'!N$6,1),'WBS Summary by Year'!$C143,'WBS Summary by Year'!$B$128),'Pre- and Production'!AH$4:AH$376)</f>
        <v>0</v>
      </c>
      <c r="O143" s="316">
        <f>SUMIF('Pre- and Production'!$T$4:$T$376, CONCATENATE(LEFT('WBS Summary by Year'!O$6,1),'WBS Summary by Year'!$C143,'WBS Summary by Year'!$B$128),'Pre- and Production'!AR$4:AR$376)</f>
        <v>0</v>
      </c>
    </row>
    <row r="144" spans="3:15" s="352" customFormat="1">
      <c r="C144" s="46" t="s">
        <v>206</v>
      </c>
      <c r="D144" s="26">
        <f>SUMIF('Pre- and Production'!$T$4:$T$376, CONCATENATE(LEFT('WBS Summary by Year'!D$6,1),'WBS Summary by Year'!$C144,'WBS Summary by Year'!$B$128),'Pre- and Production'!AC$4:AC$376)</f>
        <v>56</v>
      </c>
      <c r="E144" s="303">
        <f>SUMIF('Pre- and Production'!$T$4:$T$376, CONCATENATE(LEFT('WBS Summary by Year'!E$6,1),'WBS Summary by Year'!$C144,'WBS Summary by Year'!$B$128),'Pre- and Production'!AM$4:AM$376)</f>
        <v>0</v>
      </c>
      <c r="F144" s="26">
        <f>SUMIF('Pre- and Production'!$T$4:$T$376, CONCATENATE(LEFT('WBS Summary by Year'!F$6,1),'WBS Summary by Year'!$C144,'WBS Summary by Year'!$B$128),'Pre- and Production'!AD$4:AD$376)</f>
        <v>116</v>
      </c>
      <c r="G144" s="296">
        <f>SUMIF('Pre- and Production'!$T$4:$T$376, CONCATENATE(LEFT('WBS Summary by Year'!G$6,1),'WBS Summary by Year'!$C144,'WBS Summary by Year'!$B$128),'Pre- and Production'!AN$4:AN$376)</f>
        <v>0</v>
      </c>
      <c r="H144" s="307">
        <f>SUMIF('Pre- and Production'!$T$4:$T$376, CONCATENATE(LEFT('WBS Summary by Year'!H$6,1),'WBS Summary by Year'!$C144,'WBS Summary by Year'!$B$128),'Pre- and Production'!AE$4:AE$376)</f>
        <v>0</v>
      </c>
      <c r="I144" s="303">
        <f>SUMIF('Pre- and Production'!$T$4:$T$376, CONCATENATE(LEFT('WBS Summary by Year'!I$6,1),'WBS Summary by Year'!$C144,'WBS Summary by Year'!$B$128),'Pre- and Production'!AO$4:AO$376)</f>
        <v>0</v>
      </c>
      <c r="J144" s="26">
        <f>SUMIF('Pre- and Production'!$T$4:$T$376, CONCATENATE(LEFT('WBS Summary by Year'!J$6,1),'WBS Summary by Year'!$C144,'WBS Summary by Year'!$B$128),'Pre- and Production'!AF$4:AFI$376)</f>
        <v>104</v>
      </c>
      <c r="K144" s="296">
        <f>SUMIF('Pre- and Production'!$T$4:$T$376, CONCATENATE(LEFT('WBS Summary by Year'!K$6,1),'WBS Summary by Year'!$C144,'WBS Summary by Year'!$B$128),'Pre- and Production'!AP$4:AP$376)</f>
        <v>0</v>
      </c>
      <c r="L144" s="307">
        <f>SUMIF('Pre- and Production'!$T$4:$T$376, CONCATENATE(LEFT('WBS Summary by Year'!L$6,1),'WBS Summary by Year'!$C144,'WBS Summary by Year'!$B$128),'Pre- and Production'!AG$4:AG$376)</f>
        <v>8</v>
      </c>
      <c r="M144" s="303">
        <f>SUMIF('Pre- and Production'!$T$4:$T$376, CONCATENATE(LEFT('WBS Summary by Year'!M$6,1),'WBS Summary by Year'!$C144,'WBS Summary by Year'!$B$128),'Pre- and Production'!AQ$4:AQ$376)</f>
        <v>0</v>
      </c>
      <c r="N144" s="315">
        <f>SUMIF('Pre- and Production'!$T$4:$T$376, CONCATENATE(LEFT('WBS Summary by Year'!N$6,1),'WBS Summary by Year'!$C144,'WBS Summary by Year'!$B$128),'Pre- and Production'!AH$4:AH$376)</f>
        <v>3280</v>
      </c>
      <c r="O144" s="316">
        <f>SUMIF('Pre- and Production'!$T$4:$T$376, CONCATENATE(LEFT('WBS Summary by Year'!O$6,1),'WBS Summary by Year'!$C144,'WBS Summary by Year'!$B$128),'Pre- and Production'!AR$4:AR$376)</f>
        <v>0</v>
      </c>
    </row>
    <row r="145" spans="3:15" s="352" customFormat="1">
      <c r="C145" s="46" t="s">
        <v>207</v>
      </c>
      <c r="D145" s="26">
        <f>SUMIF('Pre- and Production'!$T$4:$T$376, CONCATENATE(LEFT('WBS Summary by Year'!D$6,1),'WBS Summary by Year'!$C145,'WBS Summary by Year'!$B$128),'Pre- and Production'!AC$4:AC$376)</f>
        <v>0</v>
      </c>
      <c r="E145" s="303">
        <f>SUMIF('Pre- and Production'!$T$4:$T$376, CONCATENATE(LEFT('WBS Summary by Year'!E$6,1),'WBS Summary by Year'!$C145,'WBS Summary by Year'!$B$128),'Pre- and Production'!AM$4:AM$376)</f>
        <v>0</v>
      </c>
      <c r="F145" s="26">
        <f>SUMIF('Pre- and Production'!$T$4:$T$376, CONCATENATE(LEFT('WBS Summary by Year'!F$6,1),'WBS Summary by Year'!$C145,'WBS Summary by Year'!$B$128),'Pre- and Production'!AD$4:AD$376)</f>
        <v>8</v>
      </c>
      <c r="G145" s="296">
        <f>SUMIF('Pre- and Production'!$T$4:$T$376, CONCATENATE(LEFT('WBS Summary by Year'!G$6,1),'WBS Summary by Year'!$C145,'WBS Summary by Year'!$B$128),'Pre- and Production'!AN$4:AN$376)</f>
        <v>0</v>
      </c>
      <c r="H145" s="307">
        <f>SUMIF('Pre- and Production'!$T$4:$T$376, CONCATENATE(LEFT('WBS Summary by Year'!H$6,1),'WBS Summary by Year'!$C145,'WBS Summary by Year'!$B$128),'Pre- and Production'!AE$4:AE$376)</f>
        <v>0</v>
      </c>
      <c r="I145" s="303">
        <f>SUMIF('Pre- and Production'!$T$4:$T$376, CONCATENATE(LEFT('WBS Summary by Year'!I$6,1),'WBS Summary by Year'!$C145,'WBS Summary by Year'!$B$128),'Pre- and Production'!AO$4:AO$376)</f>
        <v>0</v>
      </c>
      <c r="J145" s="26">
        <f>SUMIF('Pre- and Production'!$T$4:$T$376, CONCATENATE(LEFT('WBS Summary by Year'!J$6,1),'WBS Summary by Year'!$C145,'WBS Summary by Year'!$B$128),'Pre- and Production'!AF$4:AFI$376)</f>
        <v>0</v>
      </c>
      <c r="K145" s="296">
        <f>SUMIF('Pre- and Production'!$T$4:$T$376, CONCATENATE(LEFT('WBS Summary by Year'!K$6,1),'WBS Summary by Year'!$C145,'WBS Summary by Year'!$B$128),'Pre- and Production'!AP$4:AP$376)</f>
        <v>0</v>
      </c>
      <c r="L145" s="307">
        <f>SUMIF('Pre- and Production'!$T$4:$T$376, CONCATENATE(LEFT('WBS Summary by Year'!L$6,1),'WBS Summary by Year'!$C145,'WBS Summary by Year'!$B$128),'Pre- and Production'!AG$4:AG$376)</f>
        <v>8</v>
      </c>
      <c r="M145" s="303">
        <f>SUMIF('Pre- and Production'!$T$4:$T$376, CONCATENATE(LEFT('WBS Summary by Year'!M$6,1),'WBS Summary by Year'!$C145,'WBS Summary by Year'!$B$128),'Pre- and Production'!AQ$4:AQ$376)</f>
        <v>0</v>
      </c>
      <c r="N145" s="315">
        <f>SUMIF('Pre- and Production'!$T$4:$T$376, CONCATENATE(LEFT('WBS Summary by Year'!N$6,1),'WBS Summary by Year'!$C145,'WBS Summary by Year'!$B$128),'Pre- and Production'!AH$4:AH$376)</f>
        <v>2000</v>
      </c>
      <c r="O145" s="316">
        <f>SUMIF('Pre- and Production'!$T$4:$T$376, CONCATENATE(LEFT('WBS Summary by Year'!O$6,1),'WBS Summary by Year'!$C145,'WBS Summary by Year'!$B$128),'Pre- and Production'!AR$4:AR$376)</f>
        <v>0</v>
      </c>
    </row>
    <row r="146" spans="3:15" s="352" customFormat="1">
      <c r="C146" s="100" t="s">
        <v>405</v>
      </c>
      <c r="D146" s="26">
        <f>SUMIF('Pre- and Production'!$T$4:$T$376, CONCATENATE(LEFT('WBS Summary by Year'!D$6,1),'WBS Summary by Year'!$C146,'WBS Summary by Year'!$B$128),'Pre- and Production'!AC$4:AC$376)</f>
        <v>0</v>
      </c>
      <c r="E146" s="303">
        <f>SUMIF('Pre- and Production'!$T$4:$T$376, CONCATENATE(LEFT('WBS Summary by Year'!E$6,1),'WBS Summary by Year'!$C146,'WBS Summary by Year'!$B$128),'Pre- and Production'!AM$4:AM$376)</f>
        <v>0</v>
      </c>
      <c r="F146" s="26">
        <f>SUMIF('Pre- and Production'!$T$4:$T$376, CONCATENATE(LEFT('WBS Summary by Year'!F$6,1),'WBS Summary by Year'!$C146,'WBS Summary by Year'!$B$128),'Pre- and Production'!AD$4:AD$376)</f>
        <v>0</v>
      </c>
      <c r="G146" s="296">
        <f>SUMIF('Pre- and Production'!$T$4:$T$376, CONCATENATE(LEFT('WBS Summary by Year'!G$6,1),'WBS Summary by Year'!$C146,'WBS Summary by Year'!$B$128),'Pre- and Production'!AN$4:AN$376)</f>
        <v>0</v>
      </c>
      <c r="H146" s="307">
        <f>SUMIF('Pre- and Production'!$T$4:$T$376, CONCATENATE(LEFT('WBS Summary by Year'!H$6,1),'WBS Summary by Year'!$C146,'WBS Summary by Year'!$B$128),'Pre- and Production'!AE$4:AE$376)</f>
        <v>0</v>
      </c>
      <c r="I146" s="303">
        <f>SUMIF('Pre- and Production'!$T$4:$T$376, CONCATENATE(LEFT('WBS Summary by Year'!I$6,1),'WBS Summary by Year'!$C146,'WBS Summary by Year'!$B$128),'Pre- and Production'!AO$4:AO$376)</f>
        <v>0</v>
      </c>
      <c r="J146" s="26">
        <f>SUMIF('Pre- and Production'!$T$4:$T$376, CONCATENATE(LEFT('WBS Summary by Year'!J$6,1),'WBS Summary by Year'!$C146,'WBS Summary by Year'!$B$128),'Pre- and Production'!AF$4:AFI$376)</f>
        <v>0</v>
      </c>
      <c r="K146" s="296">
        <f>SUMIF('Pre- and Production'!$T$4:$T$376, CONCATENATE(LEFT('WBS Summary by Year'!K$6,1),'WBS Summary by Year'!$C146,'WBS Summary by Year'!$B$128),'Pre- and Production'!AP$4:AP$376)</f>
        <v>0</v>
      </c>
      <c r="L146" s="307">
        <f>SUMIF('Pre- and Production'!$T$4:$T$376, CONCATENATE(LEFT('WBS Summary by Year'!L$6,1),'WBS Summary by Year'!$C146,'WBS Summary by Year'!$B$128),'Pre- and Production'!AG$4:AG$376)</f>
        <v>0</v>
      </c>
      <c r="M146" s="303">
        <f>SUMIF('Pre- and Production'!$T$4:$T$376, CONCATENATE(LEFT('WBS Summary by Year'!M$6,1),'WBS Summary by Year'!$C146,'WBS Summary by Year'!$B$128),'Pre- and Production'!AQ$4:AQ$376)</f>
        <v>0</v>
      </c>
      <c r="N146" s="315">
        <f>SUMIF('Pre- and Production'!$T$4:$T$376, CONCATENATE(LEFT('WBS Summary by Year'!N$6,1),'WBS Summary by Year'!$C146,'WBS Summary by Year'!$B$128),'Pre- and Production'!AH$4:AH$376)</f>
        <v>0</v>
      </c>
      <c r="O146" s="316">
        <f>SUMIF('Pre- and Production'!$T$4:$T$376, CONCATENATE(LEFT('WBS Summary by Year'!O$6,1),'WBS Summary by Year'!$C146,'WBS Summary by Year'!$B$128),'Pre- and Production'!AR$4:AR$376)</f>
        <v>0</v>
      </c>
    </row>
    <row r="147" spans="3:15" s="352" customFormat="1">
      <c r="C147" s="134" t="s">
        <v>406</v>
      </c>
      <c r="D147" s="26">
        <f>SUMIF('Pre- and Production'!$T$4:$T$376, CONCATENATE(LEFT('WBS Summary by Year'!D$6,1),'WBS Summary by Year'!$C147,'WBS Summary by Year'!$B$128),'Pre- and Production'!AC$4:AC$376)</f>
        <v>0</v>
      </c>
      <c r="E147" s="303">
        <f>SUMIF('Pre- and Production'!$T$4:$T$376, CONCATENATE(LEFT('WBS Summary by Year'!E$6,1),'WBS Summary by Year'!$C147,'WBS Summary by Year'!$B$128),'Pre- and Production'!AM$4:AM$376)</f>
        <v>0</v>
      </c>
      <c r="F147" s="26">
        <f>SUMIF('Pre- and Production'!$T$4:$T$376, CONCATENATE(LEFT('WBS Summary by Year'!F$6,1),'WBS Summary by Year'!$C147,'WBS Summary by Year'!$B$128),'Pre- and Production'!AD$4:AD$376)</f>
        <v>0</v>
      </c>
      <c r="G147" s="296">
        <f>SUMIF('Pre- and Production'!$T$4:$T$376, CONCATENATE(LEFT('WBS Summary by Year'!G$6,1),'WBS Summary by Year'!$C147,'WBS Summary by Year'!$B$128),'Pre- and Production'!AN$4:AN$376)</f>
        <v>0</v>
      </c>
      <c r="H147" s="307">
        <f>SUMIF('Pre- and Production'!$T$4:$T$376, CONCATENATE(LEFT('WBS Summary by Year'!H$6,1),'WBS Summary by Year'!$C147,'WBS Summary by Year'!$B$128),'Pre- and Production'!AE$4:AE$376)</f>
        <v>0</v>
      </c>
      <c r="I147" s="303">
        <f>SUMIF('Pre- and Production'!$T$4:$T$376, CONCATENATE(LEFT('WBS Summary by Year'!I$6,1),'WBS Summary by Year'!$C147,'WBS Summary by Year'!$B$128),'Pre- and Production'!AO$4:AO$376)</f>
        <v>0</v>
      </c>
      <c r="J147" s="26">
        <f>SUMIF('Pre- and Production'!$T$4:$T$376, CONCATENATE(LEFT('WBS Summary by Year'!J$6,1),'WBS Summary by Year'!$C147,'WBS Summary by Year'!$B$128),'Pre- and Production'!AF$4:AFI$376)</f>
        <v>0</v>
      </c>
      <c r="K147" s="296">
        <f>SUMIF('Pre- and Production'!$T$4:$T$376, CONCATENATE(LEFT('WBS Summary by Year'!K$6,1),'WBS Summary by Year'!$C147,'WBS Summary by Year'!$B$128),'Pre- and Production'!AP$4:AP$376)</f>
        <v>0</v>
      </c>
      <c r="L147" s="307">
        <f>SUMIF('Pre- and Production'!$T$4:$T$376, CONCATENATE(LEFT('WBS Summary by Year'!L$6,1),'WBS Summary by Year'!$C147,'WBS Summary by Year'!$B$128),'Pre- and Production'!AG$4:AG$376)</f>
        <v>0</v>
      </c>
      <c r="M147" s="303">
        <f>SUMIF('Pre- and Production'!$T$4:$T$376, CONCATENATE(LEFT('WBS Summary by Year'!M$6,1),'WBS Summary by Year'!$C147,'WBS Summary by Year'!$B$128),'Pre- and Production'!AQ$4:AQ$376)</f>
        <v>0</v>
      </c>
      <c r="N147" s="315">
        <f>SUMIF('Pre- and Production'!$T$4:$T$376, CONCATENATE(LEFT('WBS Summary by Year'!N$6,1),'WBS Summary by Year'!$C147,'WBS Summary by Year'!$B$128),'Pre- and Production'!AH$4:AH$376)</f>
        <v>0</v>
      </c>
      <c r="O147" s="316">
        <f>SUMIF('Pre- and Production'!$T$4:$T$376, CONCATENATE(LEFT('WBS Summary by Year'!O$6,1),'WBS Summary by Year'!$C147,'WBS Summary by Year'!$B$128),'Pre- and Production'!AR$4:AR$376)</f>
        <v>0</v>
      </c>
    </row>
    <row r="148" spans="3:15" s="352" customFormat="1">
      <c r="C148" s="46" t="s">
        <v>407</v>
      </c>
      <c r="D148" s="26">
        <f>SUMIF('Pre- and Production'!$T$4:$T$376, CONCATENATE(LEFT('WBS Summary by Year'!D$6,1),'WBS Summary by Year'!$C148,'WBS Summary by Year'!$B$128),'Pre- and Production'!AC$4:AC$376)</f>
        <v>320</v>
      </c>
      <c r="E148" s="303">
        <f>SUMIF('Pre- and Production'!$T$4:$T$376, CONCATENATE(LEFT('WBS Summary by Year'!E$6,1),'WBS Summary by Year'!$C148,'WBS Summary by Year'!$B$128),'Pre- and Production'!AM$4:AM$376)</f>
        <v>93</v>
      </c>
      <c r="F148" s="26">
        <f>SUMIF('Pre- and Production'!$T$4:$T$376, CONCATENATE(LEFT('WBS Summary by Year'!F$6,1),'WBS Summary by Year'!$C148,'WBS Summary by Year'!$B$128),'Pre- and Production'!AD$4:AD$376)</f>
        <v>148</v>
      </c>
      <c r="G148" s="296">
        <f>SUMIF('Pre- and Production'!$T$4:$T$376, CONCATENATE(LEFT('WBS Summary by Year'!G$6,1),'WBS Summary by Year'!$C148,'WBS Summary by Year'!$B$128),'Pre- and Production'!AN$4:AN$376)</f>
        <v>84</v>
      </c>
      <c r="H148" s="307">
        <f>SUMIF('Pre- and Production'!$T$4:$T$376, CONCATENATE(LEFT('WBS Summary by Year'!H$6,1),'WBS Summary by Year'!$C148,'WBS Summary by Year'!$B$128),'Pre- and Production'!AE$4:AE$376)</f>
        <v>0</v>
      </c>
      <c r="I148" s="303">
        <f>SUMIF('Pre- and Production'!$T$4:$T$376, CONCATENATE(LEFT('WBS Summary by Year'!I$6,1),'WBS Summary by Year'!$C148,'WBS Summary by Year'!$B$128),'Pre- and Production'!AO$4:AO$376)</f>
        <v>0</v>
      </c>
      <c r="J148" s="26">
        <f>SUMIF('Pre- and Production'!$T$4:$T$376, CONCATENATE(LEFT('WBS Summary by Year'!J$6,1),'WBS Summary by Year'!$C148,'WBS Summary by Year'!$B$128),'Pre- and Production'!AF$4:AFI$376)</f>
        <v>132</v>
      </c>
      <c r="K148" s="296">
        <f>SUMIF('Pre- and Production'!$T$4:$T$376, CONCATENATE(LEFT('WBS Summary by Year'!K$6,1),'WBS Summary by Year'!$C148,'WBS Summary by Year'!$B$128),'Pre- and Production'!AP$4:AP$376)</f>
        <v>62</v>
      </c>
      <c r="L148" s="307">
        <f>SUMIF('Pre- and Production'!$T$4:$T$376, CONCATENATE(LEFT('WBS Summary by Year'!L$6,1),'WBS Summary by Year'!$C148,'WBS Summary by Year'!$B$128),'Pre- and Production'!AG$4:AG$376)</f>
        <v>0</v>
      </c>
      <c r="M148" s="303">
        <f>SUMIF('Pre- and Production'!$T$4:$T$376, CONCATENATE(LEFT('WBS Summary by Year'!M$6,1),'WBS Summary by Year'!$C148,'WBS Summary by Year'!$B$128),'Pre- and Production'!AQ$4:AQ$376)</f>
        <v>0</v>
      </c>
      <c r="N148" s="315">
        <f>SUMIF('Pre- and Production'!$T$4:$T$376, CONCATENATE(LEFT('WBS Summary by Year'!N$6,1),'WBS Summary by Year'!$C148,'WBS Summary by Year'!$B$128),'Pre- and Production'!AH$4:AH$376)</f>
        <v>1600</v>
      </c>
      <c r="O148" s="316">
        <f>SUMIF('Pre- and Production'!$T$4:$T$376, CONCATENATE(LEFT('WBS Summary by Year'!O$6,1),'WBS Summary by Year'!$C148,'WBS Summary by Year'!$B$128),'Pre- and Production'!AR$4:AR$376)</f>
        <v>576</v>
      </c>
    </row>
    <row r="149" spans="3:15" s="352" customFormat="1">
      <c r="C149" s="46" t="s">
        <v>408</v>
      </c>
      <c r="D149" s="26">
        <f>SUMIF('Pre- and Production'!$T$4:$T$376, CONCATENATE(LEFT('WBS Summary by Year'!D$6,1),'WBS Summary by Year'!$C149,'WBS Summary by Year'!$B$128),'Pre- and Production'!AC$4:AC$376)</f>
        <v>0</v>
      </c>
      <c r="E149" s="303">
        <f>SUMIF('Pre- and Production'!$T$4:$T$376, CONCATENATE(LEFT('WBS Summary by Year'!E$6,1),'WBS Summary by Year'!$C149,'WBS Summary by Year'!$B$128),'Pre- and Production'!AM$4:AM$376)</f>
        <v>0</v>
      </c>
      <c r="F149" s="26">
        <f>SUMIF('Pre- and Production'!$T$4:$T$376, CONCATENATE(LEFT('WBS Summary by Year'!F$6,1),'WBS Summary by Year'!$C149,'WBS Summary by Year'!$B$128),'Pre- and Production'!AD$4:AD$376)</f>
        <v>0</v>
      </c>
      <c r="G149" s="296">
        <f>SUMIF('Pre- and Production'!$T$4:$T$376, CONCATENATE(LEFT('WBS Summary by Year'!G$6,1),'WBS Summary by Year'!$C149,'WBS Summary by Year'!$B$128),'Pre- and Production'!AN$4:AN$376)</f>
        <v>0</v>
      </c>
      <c r="H149" s="307">
        <f>SUMIF('Pre- and Production'!$T$4:$T$376, CONCATENATE(LEFT('WBS Summary by Year'!H$6,1),'WBS Summary by Year'!$C149,'WBS Summary by Year'!$B$128),'Pre- and Production'!AE$4:AE$376)</f>
        <v>0</v>
      </c>
      <c r="I149" s="303">
        <f>SUMIF('Pre- and Production'!$T$4:$T$376, CONCATENATE(LEFT('WBS Summary by Year'!I$6,1),'WBS Summary by Year'!$C149,'WBS Summary by Year'!$B$128),'Pre- and Production'!AO$4:AO$376)</f>
        <v>0</v>
      </c>
      <c r="J149" s="26">
        <f>SUMIF('Pre- and Production'!$T$4:$T$376, CONCATENATE(LEFT('WBS Summary by Year'!J$6,1),'WBS Summary by Year'!$C149,'WBS Summary by Year'!$B$128),'Pre- and Production'!AF$4:AFI$376)</f>
        <v>0</v>
      </c>
      <c r="K149" s="296">
        <f>SUMIF('Pre- and Production'!$T$4:$T$376, CONCATENATE(LEFT('WBS Summary by Year'!K$6,1),'WBS Summary by Year'!$C149,'WBS Summary by Year'!$B$128),'Pre- and Production'!AP$4:AP$376)</f>
        <v>0</v>
      </c>
      <c r="L149" s="307">
        <f>SUMIF('Pre- and Production'!$T$4:$T$376, CONCATENATE(LEFT('WBS Summary by Year'!L$6,1),'WBS Summary by Year'!$C149,'WBS Summary by Year'!$B$128),'Pre- and Production'!AG$4:AG$376)</f>
        <v>0</v>
      </c>
      <c r="M149" s="303">
        <f>SUMIF('Pre- and Production'!$T$4:$T$376, CONCATENATE(LEFT('WBS Summary by Year'!M$6,1),'WBS Summary by Year'!$C149,'WBS Summary by Year'!$B$128),'Pre- and Production'!AQ$4:AQ$376)</f>
        <v>0</v>
      </c>
      <c r="N149" s="315">
        <f>SUMIF('Pre- and Production'!$T$4:$T$376, CONCATENATE(LEFT('WBS Summary by Year'!N$6,1),'WBS Summary by Year'!$C149,'WBS Summary by Year'!$B$128),'Pre- and Production'!AH$4:AH$376)</f>
        <v>0</v>
      </c>
      <c r="O149" s="316">
        <f>SUMIF('Pre- and Production'!$T$4:$T$376, CONCATENATE(LEFT('WBS Summary by Year'!O$6,1),'WBS Summary by Year'!$C149,'WBS Summary by Year'!$B$128),'Pre- and Production'!AR$4:AR$376)</f>
        <v>0</v>
      </c>
    </row>
    <row r="150" spans="3:15" s="352" customFormat="1">
      <c r="C150" s="134" t="s">
        <v>409</v>
      </c>
      <c r="D150" s="26">
        <f>SUMIF('Pre- and Production'!$T$4:$T$376, CONCATENATE(LEFT('WBS Summary by Year'!D$6,1),'WBS Summary by Year'!$C150,'WBS Summary by Year'!$B$128),'Pre- and Production'!AC$4:AC$376)</f>
        <v>0</v>
      </c>
      <c r="E150" s="303">
        <f>SUMIF('Pre- and Production'!$T$4:$T$376, CONCATENATE(LEFT('WBS Summary by Year'!E$6,1),'WBS Summary by Year'!$C150,'WBS Summary by Year'!$B$128),'Pre- and Production'!AM$4:AM$376)</f>
        <v>0</v>
      </c>
      <c r="F150" s="26">
        <f>SUMIF('Pre- and Production'!$T$4:$T$376, CONCATENATE(LEFT('WBS Summary by Year'!F$6,1),'WBS Summary by Year'!$C150,'WBS Summary by Year'!$B$128),'Pre- and Production'!AD$4:AD$376)</f>
        <v>0</v>
      </c>
      <c r="G150" s="296">
        <f>SUMIF('Pre- and Production'!$T$4:$T$376, CONCATENATE(LEFT('WBS Summary by Year'!G$6,1),'WBS Summary by Year'!$C150,'WBS Summary by Year'!$B$128),'Pre- and Production'!AN$4:AN$376)</f>
        <v>0</v>
      </c>
      <c r="H150" s="307">
        <f>SUMIF('Pre- and Production'!$T$4:$T$376, CONCATENATE(LEFT('WBS Summary by Year'!H$6,1),'WBS Summary by Year'!$C150,'WBS Summary by Year'!$B$128),'Pre- and Production'!AE$4:AE$376)</f>
        <v>0</v>
      </c>
      <c r="I150" s="303">
        <f>SUMIF('Pre- and Production'!$T$4:$T$376, CONCATENATE(LEFT('WBS Summary by Year'!I$6,1),'WBS Summary by Year'!$C150,'WBS Summary by Year'!$B$128),'Pre- and Production'!AO$4:AO$376)</f>
        <v>0</v>
      </c>
      <c r="J150" s="26">
        <f>SUMIF('Pre- and Production'!$T$4:$T$376, CONCATENATE(LEFT('WBS Summary by Year'!J$6,1),'WBS Summary by Year'!$C150,'WBS Summary by Year'!$B$128),'Pre- and Production'!AF$4:AFI$376)</f>
        <v>0</v>
      </c>
      <c r="K150" s="296">
        <f>SUMIF('Pre- and Production'!$T$4:$T$376, CONCATENATE(LEFT('WBS Summary by Year'!K$6,1),'WBS Summary by Year'!$C150,'WBS Summary by Year'!$B$128),'Pre- and Production'!AP$4:AP$376)</f>
        <v>0</v>
      </c>
      <c r="L150" s="307">
        <f>SUMIF('Pre- and Production'!$T$4:$T$376, CONCATENATE(LEFT('WBS Summary by Year'!L$6,1),'WBS Summary by Year'!$C150,'WBS Summary by Year'!$B$128),'Pre- and Production'!AG$4:AG$376)</f>
        <v>0</v>
      </c>
      <c r="M150" s="303">
        <f>SUMIF('Pre- and Production'!$T$4:$T$376, CONCATENATE(LEFT('WBS Summary by Year'!M$6,1),'WBS Summary by Year'!$C150,'WBS Summary by Year'!$B$128),'Pre- and Production'!AQ$4:AQ$376)</f>
        <v>0</v>
      </c>
      <c r="N150" s="315">
        <f>SUMIF('Pre- and Production'!$T$4:$T$376, CONCATENATE(LEFT('WBS Summary by Year'!N$6,1),'WBS Summary by Year'!$C150,'WBS Summary by Year'!$B$128),'Pre- and Production'!AH$4:AH$376)</f>
        <v>0</v>
      </c>
      <c r="O150" s="316">
        <f>SUMIF('Pre- and Production'!$T$4:$T$376, CONCATENATE(LEFT('WBS Summary by Year'!O$6,1),'WBS Summary by Year'!$C150,'WBS Summary by Year'!$B$128),'Pre- and Production'!AR$4:AR$376)</f>
        <v>0</v>
      </c>
    </row>
    <row r="151" spans="3:15" s="352" customFormat="1">
      <c r="C151" s="134" t="s">
        <v>410</v>
      </c>
      <c r="D151" s="26">
        <f>SUMIF('Pre- and Production'!$T$4:$T$376, CONCATENATE(LEFT('WBS Summary by Year'!D$6,1),'WBS Summary by Year'!$C151,'WBS Summary by Year'!$B$128),'Pre- and Production'!AC$4:AC$376)</f>
        <v>0</v>
      </c>
      <c r="E151" s="303">
        <f>SUMIF('Pre- and Production'!$T$4:$T$376, CONCATENATE(LEFT('WBS Summary by Year'!E$6,1),'WBS Summary by Year'!$C151,'WBS Summary by Year'!$B$128),'Pre- and Production'!AM$4:AM$376)</f>
        <v>40</v>
      </c>
      <c r="F151" s="26">
        <f>SUMIF('Pre- and Production'!$T$4:$T$376, CONCATENATE(LEFT('WBS Summary by Year'!F$6,1),'WBS Summary by Year'!$C151,'WBS Summary by Year'!$B$128),'Pre- and Production'!AD$4:AD$376)</f>
        <v>80</v>
      </c>
      <c r="G151" s="296">
        <f>SUMIF('Pre- and Production'!$T$4:$T$376, CONCATENATE(LEFT('WBS Summary by Year'!G$6,1),'WBS Summary by Year'!$C151,'WBS Summary by Year'!$B$128),'Pre- and Production'!AN$4:AN$376)</f>
        <v>78</v>
      </c>
      <c r="H151" s="307">
        <f>SUMIF('Pre- and Production'!$T$4:$T$376, CONCATENATE(LEFT('WBS Summary by Year'!H$6,1),'WBS Summary by Year'!$C151,'WBS Summary by Year'!$B$128),'Pre- and Production'!AE$4:AE$376)</f>
        <v>124</v>
      </c>
      <c r="I151" s="303">
        <f>SUMIF('Pre- and Production'!$T$4:$T$376, CONCATENATE(LEFT('WBS Summary by Year'!I$6,1),'WBS Summary by Year'!$C151,'WBS Summary by Year'!$B$128),'Pre- and Production'!AO$4:AO$376)</f>
        <v>60</v>
      </c>
      <c r="J151" s="26">
        <f>SUMIF('Pre- and Production'!$T$4:$T$376, CONCATENATE(LEFT('WBS Summary by Year'!J$6,1),'WBS Summary by Year'!$C151,'WBS Summary by Year'!$B$128),'Pre- and Production'!AF$4:AFI$376)</f>
        <v>178</v>
      </c>
      <c r="K151" s="296">
        <f>SUMIF('Pre- and Production'!$T$4:$T$376, CONCATENATE(LEFT('WBS Summary by Year'!K$6,1),'WBS Summary by Year'!$C151,'WBS Summary by Year'!$B$128),'Pre- and Production'!AP$4:AP$376)</f>
        <v>62</v>
      </c>
      <c r="L151" s="307">
        <f>SUMIF('Pre- and Production'!$T$4:$T$376, CONCATENATE(LEFT('WBS Summary by Year'!L$6,1),'WBS Summary by Year'!$C151,'WBS Summary by Year'!$B$128),'Pre- and Production'!AG$4:AG$376)</f>
        <v>0</v>
      </c>
      <c r="M151" s="303">
        <f>SUMIF('Pre- and Production'!$T$4:$T$376, CONCATENATE(LEFT('WBS Summary by Year'!M$6,1),'WBS Summary by Year'!$C151,'WBS Summary by Year'!$B$128),'Pre- and Production'!AQ$4:AQ$376)</f>
        <v>0</v>
      </c>
      <c r="N151" s="315">
        <f>SUMIF('Pre- and Production'!$T$4:$T$376, CONCATENATE(LEFT('WBS Summary by Year'!N$6,1),'WBS Summary by Year'!$C151,'WBS Summary by Year'!$B$128),'Pre- and Production'!AH$4:AH$376)</f>
        <v>240</v>
      </c>
      <c r="O151" s="316">
        <f>SUMIF('Pre- and Production'!$T$4:$T$376, CONCATENATE(LEFT('WBS Summary by Year'!O$6,1),'WBS Summary by Year'!$C151,'WBS Summary by Year'!$B$128),'Pre- and Production'!AR$4:AR$376)</f>
        <v>240</v>
      </c>
    </row>
    <row r="152" spans="3:15">
      <c r="C152" s="134" t="s">
        <v>411</v>
      </c>
      <c r="D152" s="26">
        <f>SUMIF('Pre- and Production'!$T$4:$T$376, CONCATENATE(LEFT('WBS Summary by Year'!D$6,1),'WBS Summary by Year'!$C152,'WBS Summary by Year'!$B$128),'Pre- and Production'!AC$4:AC$376)</f>
        <v>0</v>
      </c>
      <c r="E152" s="303">
        <f>SUMIF('Pre- and Production'!$T$4:$T$376, CONCATENATE(LEFT('WBS Summary by Year'!E$6,1),'WBS Summary by Year'!$C152,'WBS Summary by Year'!$B$128),'Pre- and Production'!AM$4:AM$376)</f>
        <v>0</v>
      </c>
      <c r="F152" s="26">
        <f>SUMIF('Pre- and Production'!$T$4:$T$376, CONCATENATE(LEFT('WBS Summary by Year'!F$6,1),'WBS Summary by Year'!$C152,'WBS Summary by Year'!$B$128),'Pre- and Production'!AD$4:AD$376)</f>
        <v>0</v>
      </c>
      <c r="G152" s="296">
        <f>SUMIF('Pre- and Production'!$T$4:$T$376, CONCATENATE(LEFT('WBS Summary by Year'!G$6,1),'WBS Summary by Year'!$C152,'WBS Summary by Year'!$B$128),'Pre- and Production'!AN$4:AN$376)</f>
        <v>0</v>
      </c>
      <c r="H152" s="307">
        <f>SUMIF('Pre- and Production'!$T$4:$T$376, CONCATENATE(LEFT('WBS Summary by Year'!H$6,1),'WBS Summary by Year'!$C152,'WBS Summary by Year'!$B$128),'Pre- and Production'!AE$4:AE$376)</f>
        <v>0</v>
      </c>
      <c r="I152" s="303">
        <f>SUMIF('Pre- and Production'!$T$4:$T$376, CONCATENATE(LEFT('WBS Summary by Year'!I$6,1),'WBS Summary by Year'!$C152,'WBS Summary by Year'!$B$128),'Pre- and Production'!AO$4:AO$376)</f>
        <v>0</v>
      </c>
      <c r="J152" s="26">
        <f>SUMIF('Pre- and Production'!$T$4:$T$376, CONCATENATE(LEFT('WBS Summary by Year'!J$6,1),'WBS Summary by Year'!$C152,'WBS Summary by Year'!$B$128),'Pre- and Production'!AF$4:AFI$376)</f>
        <v>0</v>
      </c>
      <c r="K152" s="296">
        <f>SUMIF('Pre- and Production'!$T$4:$T$376, CONCATENATE(LEFT('WBS Summary by Year'!K$6,1),'WBS Summary by Year'!$C152,'WBS Summary by Year'!$B$128),'Pre- and Production'!AP$4:AP$376)</f>
        <v>0</v>
      </c>
      <c r="L152" s="307">
        <f>SUMIF('Pre- and Production'!$T$4:$T$376, CONCATENATE(LEFT('WBS Summary by Year'!L$6,1),'WBS Summary by Year'!$C152,'WBS Summary by Year'!$B$128),'Pre- and Production'!AG$4:AG$376)</f>
        <v>0</v>
      </c>
      <c r="M152" s="303">
        <f>SUMIF('Pre- and Production'!$T$4:$T$376, CONCATENATE(LEFT('WBS Summary by Year'!M$6,1),'WBS Summary by Year'!$C152,'WBS Summary by Year'!$B$128),'Pre- and Production'!AQ$4:AQ$376)</f>
        <v>0</v>
      </c>
      <c r="N152" s="315">
        <f>SUMIF('Pre- and Production'!$T$4:$T$376, CONCATENATE(LEFT('WBS Summary by Year'!N$6,1),'WBS Summary by Year'!$C152,'WBS Summary by Year'!$B$128),'Pre- and Production'!AH$4:AH$376)</f>
        <v>0</v>
      </c>
      <c r="O152" s="316">
        <f>SUMIF('Pre- and Production'!$T$4:$T$376, CONCATENATE(LEFT('WBS Summary by Year'!O$6,1),'WBS Summary by Year'!$C152,'WBS Summary by Year'!$B$128),'Pre- and Production'!AR$4:AR$376)</f>
        <v>0</v>
      </c>
    </row>
    <row r="153" spans="3:15">
      <c r="C153" s="46" t="s">
        <v>412</v>
      </c>
      <c r="D153" s="26">
        <f>SUMIF('Pre- and Production'!$T$4:$T$376, CONCATENATE(LEFT('WBS Summary by Year'!D$6,1),'WBS Summary by Year'!$C153,'WBS Summary by Year'!$B$128),'Pre- and Production'!AC$4:AC$376)</f>
        <v>0</v>
      </c>
      <c r="E153" s="303">
        <f>SUMIF('Pre- and Production'!$T$4:$T$376, CONCATENATE(LEFT('WBS Summary by Year'!E$6,1),'WBS Summary by Year'!$C153,'WBS Summary by Year'!$B$128),'Pre- and Production'!AM$4:AM$376)</f>
        <v>0</v>
      </c>
      <c r="F153" s="26">
        <f>SUMIF('Pre- and Production'!$T$4:$T$376, CONCATENATE(LEFT('WBS Summary by Year'!F$6,1),'WBS Summary by Year'!$C153,'WBS Summary by Year'!$B$128),'Pre- and Production'!AD$4:AD$376)</f>
        <v>0</v>
      </c>
      <c r="G153" s="296">
        <f>SUMIF('Pre- and Production'!$T$4:$T$376, CONCATENATE(LEFT('WBS Summary by Year'!G$6,1),'WBS Summary by Year'!$C153,'WBS Summary by Year'!$B$128),'Pre- and Production'!AN$4:AN$376)</f>
        <v>0</v>
      </c>
      <c r="H153" s="307">
        <f>SUMIF('Pre- and Production'!$T$4:$T$376, CONCATENATE(LEFT('WBS Summary by Year'!H$6,1),'WBS Summary by Year'!$C153,'WBS Summary by Year'!$B$128),'Pre- and Production'!AE$4:AE$376)</f>
        <v>0</v>
      </c>
      <c r="I153" s="303">
        <f>SUMIF('Pre- and Production'!$T$4:$T$376, CONCATENATE(LEFT('WBS Summary by Year'!I$6,1),'WBS Summary by Year'!$C153,'WBS Summary by Year'!$B$128),'Pre- and Production'!AO$4:AO$376)</f>
        <v>0</v>
      </c>
      <c r="J153" s="26">
        <f>SUMIF('Pre- and Production'!$T$4:$T$376, CONCATENATE(LEFT('WBS Summary by Year'!J$6,1),'WBS Summary by Year'!$C153,'WBS Summary by Year'!$B$128),'Pre- and Production'!AF$4:AFI$376)</f>
        <v>0</v>
      </c>
      <c r="K153" s="296">
        <f>SUMIF('Pre- and Production'!$T$4:$T$376, CONCATENATE(LEFT('WBS Summary by Year'!K$6,1),'WBS Summary by Year'!$C153,'WBS Summary by Year'!$B$128),'Pre- and Production'!AP$4:AP$376)</f>
        <v>0</v>
      </c>
      <c r="L153" s="307">
        <f>SUMIF('Pre- and Production'!$T$4:$T$376, CONCATENATE(LEFT('WBS Summary by Year'!L$6,1),'WBS Summary by Year'!$C153,'WBS Summary by Year'!$B$128),'Pre- and Production'!AG$4:AG$376)</f>
        <v>0</v>
      </c>
      <c r="M153" s="303">
        <f>SUMIF('Pre- and Production'!$T$4:$T$376, CONCATENATE(LEFT('WBS Summary by Year'!M$6,1),'WBS Summary by Year'!$C153,'WBS Summary by Year'!$B$128),'Pre- and Production'!AQ$4:AQ$376)</f>
        <v>0</v>
      </c>
      <c r="N153" s="315">
        <f>SUMIF('Pre- and Production'!$T$4:$T$376, CONCATENATE(LEFT('WBS Summary by Year'!N$6,1),'WBS Summary by Year'!$C153,'WBS Summary by Year'!$B$128),'Pre- and Production'!AH$4:AH$376)</f>
        <v>0</v>
      </c>
      <c r="O153" s="316">
        <f>SUMIF('Pre- and Production'!$T$4:$T$376, CONCATENATE(LEFT('WBS Summary by Year'!O$6,1),'WBS Summary by Year'!$C153,'WBS Summary by Year'!$B$128),'Pre- and Production'!AR$4:AR$376)</f>
        <v>0</v>
      </c>
    </row>
    <row r="154" spans="3:15">
      <c r="C154" s="46" t="s">
        <v>413</v>
      </c>
      <c r="D154" s="26">
        <f>SUMIF('Pre- and Production'!$T$4:$T$376, CONCATENATE(LEFT('WBS Summary by Year'!D$6,1),'WBS Summary by Year'!$C154,'WBS Summary by Year'!$B$128),'Pre- and Production'!AC$4:AC$376)</f>
        <v>40</v>
      </c>
      <c r="E154" s="303">
        <f>SUMIF('Pre- and Production'!$T$4:$T$376, CONCATENATE(LEFT('WBS Summary by Year'!E$6,1),'WBS Summary by Year'!$C154,'WBS Summary by Year'!$B$128),'Pre- and Production'!AM$4:AM$376)</f>
        <v>0</v>
      </c>
      <c r="F154" s="26">
        <f>SUMIF('Pre- and Production'!$T$4:$T$376, CONCATENATE(LEFT('WBS Summary by Year'!F$6,1),'WBS Summary by Year'!$C154,'WBS Summary by Year'!$B$128),'Pre- and Production'!AD$4:AD$376)</f>
        <v>328</v>
      </c>
      <c r="G154" s="296">
        <f>SUMIF('Pre- and Production'!$T$4:$T$376, CONCATENATE(LEFT('WBS Summary by Year'!G$6,1),'WBS Summary by Year'!$C154,'WBS Summary by Year'!$B$128),'Pre- and Production'!AN$4:AN$376)</f>
        <v>0</v>
      </c>
      <c r="H154" s="307">
        <f>SUMIF('Pre- and Production'!$T$4:$T$376, CONCATENATE(LEFT('WBS Summary by Year'!H$6,1),'WBS Summary by Year'!$C154,'WBS Summary by Year'!$B$128),'Pre- and Production'!AE$4:AE$376)</f>
        <v>0</v>
      </c>
      <c r="I154" s="303">
        <f>SUMIF('Pre- and Production'!$T$4:$T$376, CONCATENATE(LEFT('WBS Summary by Year'!I$6,1),'WBS Summary by Year'!$C154,'WBS Summary by Year'!$B$128),'Pre- and Production'!AO$4:AO$376)</f>
        <v>0</v>
      </c>
      <c r="J154" s="26">
        <f>SUMIF('Pre- and Production'!$T$4:$T$376, CONCATENATE(LEFT('WBS Summary by Year'!J$6,1),'WBS Summary by Year'!$C154,'WBS Summary by Year'!$B$128),'Pre- and Production'!AF$4:AFI$376)</f>
        <v>300</v>
      </c>
      <c r="K154" s="296">
        <f>SUMIF('Pre- and Production'!$T$4:$T$376, CONCATENATE(LEFT('WBS Summary by Year'!K$6,1),'WBS Summary by Year'!$C154,'WBS Summary by Year'!$B$128),'Pre- and Production'!AP$4:AP$376)</f>
        <v>0</v>
      </c>
      <c r="L154" s="307">
        <f>SUMIF('Pre- and Production'!$T$4:$T$376, CONCATENATE(LEFT('WBS Summary by Year'!L$6,1),'WBS Summary by Year'!$C154,'WBS Summary by Year'!$B$128),'Pre- and Production'!AG$4:AG$376)</f>
        <v>0</v>
      </c>
      <c r="M154" s="303">
        <f>SUMIF('Pre- and Production'!$T$4:$T$376, CONCATENATE(LEFT('WBS Summary by Year'!M$6,1),'WBS Summary by Year'!$C154,'WBS Summary by Year'!$B$128),'Pre- and Production'!AQ$4:AQ$376)</f>
        <v>0</v>
      </c>
      <c r="N154" s="315">
        <f>SUMIF('Pre- and Production'!$T$4:$T$376, CONCATENATE(LEFT('WBS Summary by Year'!N$6,1),'WBS Summary by Year'!$C154,'WBS Summary by Year'!$B$128),'Pre- and Production'!AH$4:AH$376)</f>
        <v>2200</v>
      </c>
      <c r="O154" s="316">
        <f>SUMIF('Pre- and Production'!$T$4:$T$376, CONCATENATE(LEFT('WBS Summary by Year'!O$6,1),'WBS Summary by Year'!$C154,'WBS Summary by Year'!$B$128),'Pre- and Production'!AR$4:AR$376)</f>
        <v>0</v>
      </c>
    </row>
    <row r="155" spans="3:15">
      <c r="C155" s="134" t="s">
        <v>414</v>
      </c>
      <c r="D155" s="26">
        <f>SUMIF('Pre- and Production'!$T$4:$T$376, CONCATENATE(LEFT('WBS Summary by Year'!D$6,1),'WBS Summary by Year'!$C155,'WBS Summary by Year'!$B$128),'Pre- and Production'!AC$4:AC$376)</f>
        <v>0</v>
      </c>
      <c r="E155" s="303">
        <f>SUMIF('Pre- and Production'!$T$4:$T$376, CONCATENATE(LEFT('WBS Summary by Year'!E$6,1),'WBS Summary by Year'!$C155,'WBS Summary by Year'!$B$128),'Pre- and Production'!AM$4:AM$376)</f>
        <v>0</v>
      </c>
      <c r="F155" s="26">
        <f>SUMIF('Pre- and Production'!$T$4:$T$376, CONCATENATE(LEFT('WBS Summary by Year'!F$6,1),'WBS Summary by Year'!$C155,'WBS Summary by Year'!$B$128),'Pre- and Production'!AD$4:AD$376)</f>
        <v>0</v>
      </c>
      <c r="G155" s="296">
        <f>SUMIF('Pre- and Production'!$T$4:$T$376, CONCATENATE(LEFT('WBS Summary by Year'!G$6,1),'WBS Summary by Year'!$C155,'WBS Summary by Year'!$B$128),'Pre- and Production'!AN$4:AN$376)</f>
        <v>0</v>
      </c>
      <c r="H155" s="307">
        <f>SUMIF('Pre- and Production'!$T$4:$T$376, CONCATENATE(LEFT('WBS Summary by Year'!H$6,1),'WBS Summary by Year'!$C155,'WBS Summary by Year'!$B$128),'Pre- and Production'!AE$4:AE$376)</f>
        <v>0</v>
      </c>
      <c r="I155" s="303">
        <f>SUMIF('Pre- and Production'!$T$4:$T$376, CONCATENATE(LEFT('WBS Summary by Year'!I$6,1),'WBS Summary by Year'!$C155,'WBS Summary by Year'!$B$128),'Pre- and Production'!AO$4:AO$376)</f>
        <v>0</v>
      </c>
      <c r="J155" s="26">
        <f>SUMIF('Pre- and Production'!$T$4:$T$376, CONCATENATE(LEFT('WBS Summary by Year'!J$6,1),'WBS Summary by Year'!$C155,'WBS Summary by Year'!$B$128),'Pre- and Production'!AF$4:AFI$376)</f>
        <v>0</v>
      </c>
      <c r="K155" s="296">
        <f>SUMIF('Pre- and Production'!$T$4:$T$376, CONCATENATE(LEFT('WBS Summary by Year'!K$6,1),'WBS Summary by Year'!$C155,'WBS Summary by Year'!$B$128),'Pre- and Production'!AP$4:AP$376)</f>
        <v>0</v>
      </c>
      <c r="L155" s="307">
        <f>SUMIF('Pre- and Production'!$T$4:$T$376, CONCATENATE(LEFT('WBS Summary by Year'!L$6,1),'WBS Summary by Year'!$C155,'WBS Summary by Year'!$B$128),'Pre- and Production'!AG$4:AG$376)</f>
        <v>0</v>
      </c>
      <c r="M155" s="303">
        <f>SUMIF('Pre- and Production'!$T$4:$T$376, CONCATENATE(LEFT('WBS Summary by Year'!M$6,1),'WBS Summary by Year'!$C155,'WBS Summary by Year'!$B$128),'Pre- and Production'!AQ$4:AQ$376)</f>
        <v>0</v>
      </c>
      <c r="N155" s="315">
        <f>SUMIF('Pre- and Production'!$T$4:$T$376, CONCATENATE(LEFT('WBS Summary by Year'!N$6,1),'WBS Summary by Year'!$C155,'WBS Summary by Year'!$B$128),'Pre- and Production'!AH$4:AH$376)</f>
        <v>0</v>
      </c>
      <c r="O155" s="316">
        <f>SUMIF('Pre- and Production'!$T$4:$T$376, CONCATENATE(LEFT('WBS Summary by Year'!O$6,1),'WBS Summary by Year'!$C155,'WBS Summary by Year'!$B$128),'Pre- and Production'!AR$4:AR$376)</f>
        <v>0</v>
      </c>
    </row>
    <row r="156" spans="3:15">
      <c r="C156" s="100" t="s">
        <v>449</v>
      </c>
      <c r="D156" s="26">
        <f>SUMIF('Pre- and Production'!$T$4:$T$376, CONCATENATE(LEFT('WBS Summary by Year'!D$6,1),'WBS Summary by Year'!$C156,'WBS Summary by Year'!$B$128),'Pre- and Production'!AC$4:AC$376)</f>
        <v>0</v>
      </c>
      <c r="E156" s="303">
        <f>SUMIF('Pre- and Production'!$T$4:$T$376, CONCATENATE(LEFT('WBS Summary by Year'!E$6,1),'WBS Summary by Year'!$C156,'WBS Summary by Year'!$B$128),'Pre- and Production'!AM$4:AM$376)</f>
        <v>0</v>
      </c>
      <c r="F156" s="26">
        <f>SUMIF('Pre- and Production'!$T$4:$T$376, CONCATENATE(LEFT('WBS Summary by Year'!F$6,1),'WBS Summary by Year'!$C156,'WBS Summary by Year'!$B$128),'Pre- and Production'!AD$4:AD$376)</f>
        <v>0</v>
      </c>
      <c r="G156" s="296">
        <f>SUMIF('Pre- and Production'!$T$4:$T$376, CONCATENATE(LEFT('WBS Summary by Year'!G$6,1),'WBS Summary by Year'!$C156,'WBS Summary by Year'!$B$128),'Pre- and Production'!AN$4:AN$376)</f>
        <v>0</v>
      </c>
      <c r="H156" s="307">
        <f>SUMIF('Pre- and Production'!$T$4:$T$376, CONCATENATE(LEFT('WBS Summary by Year'!H$6,1),'WBS Summary by Year'!$C156,'WBS Summary by Year'!$B$128),'Pre- and Production'!AE$4:AE$376)</f>
        <v>0</v>
      </c>
      <c r="I156" s="303">
        <f>SUMIF('Pre- and Production'!$T$4:$T$376, CONCATENATE(LEFT('WBS Summary by Year'!I$6,1),'WBS Summary by Year'!$C156,'WBS Summary by Year'!$B$128),'Pre- and Production'!AO$4:AO$376)</f>
        <v>0</v>
      </c>
      <c r="J156" s="26">
        <f>SUMIF('Pre- and Production'!$T$4:$T$376, CONCATENATE(LEFT('WBS Summary by Year'!J$6,1),'WBS Summary by Year'!$C156,'WBS Summary by Year'!$B$128),'Pre- and Production'!AF$4:AFI$376)</f>
        <v>0</v>
      </c>
      <c r="K156" s="296">
        <f>SUMIF('Pre- and Production'!$T$4:$T$376, CONCATENATE(LEFT('WBS Summary by Year'!K$6,1),'WBS Summary by Year'!$C156,'WBS Summary by Year'!$B$128),'Pre- and Production'!AP$4:AP$376)</f>
        <v>0</v>
      </c>
      <c r="L156" s="307">
        <f>SUMIF('Pre- and Production'!$T$4:$T$376, CONCATENATE(LEFT('WBS Summary by Year'!L$6,1),'WBS Summary by Year'!$C156,'WBS Summary by Year'!$B$128),'Pre- and Production'!AG$4:AG$376)</f>
        <v>0</v>
      </c>
      <c r="M156" s="303">
        <f>SUMIF('Pre- and Production'!$T$4:$T$376, CONCATENATE(LEFT('WBS Summary by Year'!M$6,1),'WBS Summary by Year'!$C156,'WBS Summary by Year'!$B$128),'Pre- and Production'!AQ$4:AQ$376)</f>
        <v>0</v>
      </c>
      <c r="N156" s="315">
        <f>SUMIF('Pre- and Production'!$T$4:$T$376, CONCATENATE(LEFT('WBS Summary by Year'!N$6,1),'WBS Summary by Year'!$C156,'WBS Summary by Year'!$B$128),'Pre- and Production'!AH$4:AH$376)</f>
        <v>0</v>
      </c>
      <c r="O156" s="316">
        <f>SUMIF('Pre- and Production'!$T$4:$T$376, CONCATENATE(LEFT('WBS Summary by Year'!O$6,1),'WBS Summary by Year'!$C156,'WBS Summary by Year'!$B$128),'Pre- and Production'!AR$4:AR$376)</f>
        <v>0</v>
      </c>
    </row>
    <row r="157" spans="3:15">
      <c r="C157" s="134" t="s">
        <v>450</v>
      </c>
      <c r="D157" s="26">
        <f>SUMIF('Pre- and Production'!$T$4:$T$376, CONCATENATE(LEFT('WBS Summary by Year'!D$6,1),'WBS Summary by Year'!$C157,'WBS Summary by Year'!$B$128),'Pre- and Production'!AC$4:AC$376)</f>
        <v>0</v>
      </c>
      <c r="E157" s="303">
        <f>SUMIF('Pre- and Production'!$T$4:$T$376, CONCATENATE(LEFT('WBS Summary by Year'!E$6,1),'WBS Summary by Year'!$C157,'WBS Summary by Year'!$B$128),'Pre- and Production'!AM$4:AM$376)</f>
        <v>0</v>
      </c>
      <c r="F157" s="26">
        <f>SUMIF('Pre- and Production'!$T$4:$T$376, CONCATENATE(LEFT('WBS Summary by Year'!F$6,1),'WBS Summary by Year'!$C157,'WBS Summary by Year'!$B$128),'Pre- and Production'!AD$4:AD$376)</f>
        <v>0</v>
      </c>
      <c r="G157" s="296">
        <f>SUMIF('Pre- and Production'!$T$4:$T$376, CONCATENATE(LEFT('WBS Summary by Year'!G$6,1),'WBS Summary by Year'!$C157,'WBS Summary by Year'!$B$128),'Pre- and Production'!AN$4:AN$376)</f>
        <v>0</v>
      </c>
      <c r="H157" s="307">
        <f>SUMIF('Pre- and Production'!$T$4:$T$376, CONCATENATE(LEFT('WBS Summary by Year'!H$6,1),'WBS Summary by Year'!$C157,'WBS Summary by Year'!$B$128),'Pre- and Production'!AE$4:AE$376)</f>
        <v>0</v>
      </c>
      <c r="I157" s="303">
        <f>SUMIF('Pre- and Production'!$T$4:$T$376, CONCATENATE(LEFT('WBS Summary by Year'!I$6,1),'WBS Summary by Year'!$C157,'WBS Summary by Year'!$B$128),'Pre- and Production'!AO$4:AO$376)</f>
        <v>0</v>
      </c>
      <c r="J157" s="26">
        <f>SUMIF('Pre- and Production'!$T$4:$T$376, CONCATENATE(LEFT('WBS Summary by Year'!J$6,1),'WBS Summary by Year'!$C157,'WBS Summary by Year'!$B$128),'Pre- and Production'!AF$4:AFI$376)</f>
        <v>0</v>
      </c>
      <c r="K157" s="296">
        <f>SUMIF('Pre- and Production'!$T$4:$T$376, CONCATENATE(LEFT('WBS Summary by Year'!K$6,1),'WBS Summary by Year'!$C157,'WBS Summary by Year'!$B$128),'Pre- and Production'!AP$4:AP$376)</f>
        <v>0</v>
      </c>
      <c r="L157" s="307">
        <f>SUMIF('Pre- and Production'!$T$4:$T$376, CONCATENATE(LEFT('WBS Summary by Year'!L$6,1),'WBS Summary by Year'!$C157,'WBS Summary by Year'!$B$128),'Pre- and Production'!AG$4:AG$376)</f>
        <v>0</v>
      </c>
      <c r="M157" s="303">
        <f>SUMIF('Pre- and Production'!$T$4:$T$376, CONCATENATE(LEFT('WBS Summary by Year'!M$6,1),'WBS Summary by Year'!$C157,'WBS Summary by Year'!$B$128),'Pre- and Production'!AQ$4:AQ$376)</f>
        <v>0</v>
      </c>
      <c r="N157" s="315">
        <f>SUMIF('Pre- and Production'!$T$4:$T$376, CONCATENATE(LEFT('WBS Summary by Year'!N$6,1),'WBS Summary by Year'!$C157,'WBS Summary by Year'!$B$128),'Pre- and Production'!AH$4:AH$376)</f>
        <v>0</v>
      </c>
      <c r="O157" s="316">
        <f>SUMIF('Pre- and Production'!$T$4:$T$376, CONCATENATE(LEFT('WBS Summary by Year'!O$6,1),'WBS Summary by Year'!$C157,'WBS Summary by Year'!$B$128),'Pre- and Production'!AR$4:AR$376)</f>
        <v>0</v>
      </c>
    </row>
    <row r="158" spans="3:15">
      <c r="C158" s="46" t="s">
        <v>451</v>
      </c>
      <c r="D158" s="26">
        <f>SUMIF('Pre- and Production'!$T$4:$T$376, CONCATENATE(LEFT('WBS Summary by Year'!D$6,1),'WBS Summary by Year'!$C158,'WBS Summary by Year'!$B$128),'Pre- and Production'!AC$4:AC$376)</f>
        <v>40</v>
      </c>
      <c r="E158" s="303">
        <f>SUMIF('Pre- and Production'!$T$4:$T$376, CONCATENATE(LEFT('WBS Summary by Year'!E$6,1),'WBS Summary by Year'!$C158,'WBS Summary by Year'!$B$128),'Pre- and Production'!AM$4:AM$376)</f>
        <v>0</v>
      </c>
      <c r="F158" s="26">
        <f>SUMIF('Pre- and Production'!$T$4:$T$376, CONCATENATE(LEFT('WBS Summary by Year'!F$6,1),'WBS Summary by Year'!$C158,'WBS Summary by Year'!$B$128),'Pre- and Production'!AD$4:AD$376)</f>
        <v>80</v>
      </c>
      <c r="G158" s="296">
        <f>SUMIF('Pre- and Production'!$T$4:$T$376, CONCATENATE(LEFT('WBS Summary by Year'!G$6,1),'WBS Summary by Year'!$C158,'WBS Summary by Year'!$B$128),'Pre- and Production'!AN$4:AN$376)</f>
        <v>0</v>
      </c>
      <c r="H158" s="307">
        <f>SUMIF('Pre- and Production'!$T$4:$T$376, CONCATENATE(LEFT('WBS Summary by Year'!H$6,1),'WBS Summary by Year'!$C158,'WBS Summary by Year'!$B$128),'Pre- and Production'!AE$4:AE$376)</f>
        <v>0</v>
      </c>
      <c r="I158" s="303">
        <f>SUMIF('Pre- and Production'!$T$4:$T$376, CONCATENATE(LEFT('WBS Summary by Year'!I$6,1),'WBS Summary by Year'!$C158,'WBS Summary by Year'!$B$128),'Pre- and Production'!AO$4:AO$376)</f>
        <v>0</v>
      </c>
      <c r="J158" s="26">
        <f>SUMIF('Pre- and Production'!$T$4:$T$376, CONCATENATE(LEFT('WBS Summary by Year'!J$6,1),'WBS Summary by Year'!$C158,'WBS Summary by Year'!$B$128),'Pre- and Production'!AF$4:AFI$376)</f>
        <v>224</v>
      </c>
      <c r="K158" s="296">
        <f>SUMIF('Pre- and Production'!$T$4:$T$376, CONCATENATE(LEFT('WBS Summary by Year'!K$6,1),'WBS Summary by Year'!$C158,'WBS Summary by Year'!$B$128),'Pre- and Production'!AP$4:AP$376)</f>
        <v>160</v>
      </c>
      <c r="L158" s="307">
        <f>SUMIF('Pre- and Production'!$T$4:$T$376, CONCATENATE(LEFT('WBS Summary by Year'!L$6,1),'WBS Summary by Year'!$C158,'WBS Summary by Year'!$B$128),'Pre- and Production'!AG$4:AG$376)</f>
        <v>0</v>
      </c>
      <c r="M158" s="303">
        <f>SUMIF('Pre- and Production'!$T$4:$T$376, CONCATENATE(LEFT('WBS Summary by Year'!M$6,1),'WBS Summary by Year'!$C158,'WBS Summary by Year'!$B$128),'Pre- and Production'!AQ$4:AQ$376)</f>
        <v>0</v>
      </c>
      <c r="N158" s="315">
        <f>SUMIF('Pre- and Production'!$T$4:$T$376, CONCATENATE(LEFT('WBS Summary by Year'!N$6,1),'WBS Summary by Year'!$C158,'WBS Summary by Year'!$B$128),'Pre- and Production'!AH$4:AH$376)</f>
        <v>18000</v>
      </c>
      <c r="O158" s="316">
        <f>SUMIF('Pre- and Production'!$T$4:$T$376, CONCATENATE(LEFT('WBS Summary by Year'!O$6,1),'WBS Summary by Year'!$C158,'WBS Summary by Year'!$B$128),'Pre- and Production'!AR$4:AR$376)</f>
        <v>0</v>
      </c>
    </row>
    <row r="159" spans="3:15">
      <c r="C159" s="46" t="s">
        <v>452</v>
      </c>
      <c r="D159" s="26">
        <f>SUMIF('Pre- and Production'!$T$4:$T$376, CONCATENATE(LEFT('WBS Summary by Year'!D$6,1),'WBS Summary by Year'!$C159,'WBS Summary by Year'!$B$128),'Pre- and Production'!AC$4:AC$376)</f>
        <v>0</v>
      </c>
      <c r="E159" s="303">
        <f>SUMIF('Pre- and Production'!$T$4:$T$376, CONCATENATE(LEFT('WBS Summary by Year'!E$6,1),'WBS Summary by Year'!$C159,'WBS Summary by Year'!$B$128),'Pre- and Production'!AM$4:AM$376)</f>
        <v>0</v>
      </c>
      <c r="F159" s="26">
        <f>SUMIF('Pre- and Production'!$T$4:$T$376, CONCATENATE(LEFT('WBS Summary by Year'!F$6,1),'WBS Summary by Year'!$C159,'WBS Summary by Year'!$B$128),'Pre- and Production'!AD$4:AD$376)</f>
        <v>0</v>
      </c>
      <c r="G159" s="296">
        <f>SUMIF('Pre- and Production'!$T$4:$T$376, CONCATENATE(LEFT('WBS Summary by Year'!G$6,1),'WBS Summary by Year'!$C159,'WBS Summary by Year'!$B$128),'Pre- and Production'!AN$4:AN$376)</f>
        <v>0</v>
      </c>
      <c r="H159" s="307">
        <f>SUMIF('Pre- and Production'!$T$4:$T$376, CONCATENATE(LEFT('WBS Summary by Year'!H$6,1),'WBS Summary by Year'!$C159,'WBS Summary by Year'!$B$128),'Pre- and Production'!AE$4:AE$376)</f>
        <v>0</v>
      </c>
      <c r="I159" s="303">
        <f>SUMIF('Pre- and Production'!$T$4:$T$376, CONCATENATE(LEFT('WBS Summary by Year'!I$6,1),'WBS Summary by Year'!$C159,'WBS Summary by Year'!$B$128),'Pre- and Production'!AO$4:AO$376)</f>
        <v>0</v>
      </c>
      <c r="J159" s="26">
        <f>SUMIF('Pre- and Production'!$T$4:$T$376, CONCATENATE(LEFT('WBS Summary by Year'!J$6,1),'WBS Summary by Year'!$C159,'WBS Summary by Year'!$B$128),'Pre- and Production'!AF$4:AFI$376)</f>
        <v>0</v>
      </c>
      <c r="K159" s="296">
        <f>SUMIF('Pre- and Production'!$T$4:$T$376, CONCATENATE(LEFT('WBS Summary by Year'!K$6,1),'WBS Summary by Year'!$C159,'WBS Summary by Year'!$B$128),'Pre- and Production'!AP$4:AP$376)</f>
        <v>0</v>
      </c>
      <c r="L159" s="307">
        <f>SUMIF('Pre- and Production'!$T$4:$T$376, CONCATENATE(LEFT('WBS Summary by Year'!L$6,1),'WBS Summary by Year'!$C159,'WBS Summary by Year'!$B$128),'Pre- and Production'!AG$4:AG$376)</f>
        <v>0</v>
      </c>
      <c r="M159" s="303">
        <f>SUMIF('Pre- and Production'!$T$4:$T$376, CONCATENATE(LEFT('WBS Summary by Year'!M$6,1),'WBS Summary by Year'!$C159,'WBS Summary by Year'!$B$128),'Pre- and Production'!AQ$4:AQ$376)</f>
        <v>0</v>
      </c>
      <c r="N159" s="315">
        <f>SUMIF('Pre- and Production'!$T$4:$T$376, CONCATENATE(LEFT('WBS Summary by Year'!N$6,1),'WBS Summary by Year'!$C159,'WBS Summary by Year'!$B$128),'Pre- and Production'!AH$4:AH$376)</f>
        <v>0</v>
      </c>
      <c r="O159" s="316">
        <f>SUMIF('Pre- and Production'!$T$4:$T$376, CONCATENATE(LEFT('WBS Summary by Year'!O$6,1),'WBS Summary by Year'!$C159,'WBS Summary by Year'!$B$128),'Pre- and Production'!AR$4:AR$376)</f>
        <v>0</v>
      </c>
    </row>
    <row r="160" spans="3:15">
      <c r="C160" s="46" t="s">
        <v>453</v>
      </c>
      <c r="D160" s="26">
        <f>SUMIF('Pre- and Production'!$T$4:$T$376, CONCATENATE(LEFT('WBS Summary by Year'!D$6,1),'WBS Summary by Year'!$C160,'WBS Summary by Year'!$B$128),'Pre- and Production'!AC$4:AC$376)</f>
        <v>0</v>
      </c>
      <c r="E160" s="303">
        <f>SUMIF('Pre- and Production'!$T$4:$T$376, CONCATENATE(LEFT('WBS Summary by Year'!E$6,1),'WBS Summary by Year'!$C160,'WBS Summary by Year'!$B$128),'Pre- and Production'!AM$4:AM$376)</f>
        <v>0</v>
      </c>
      <c r="F160" s="26">
        <f>SUMIF('Pre- and Production'!$T$4:$T$376, CONCATENATE(LEFT('WBS Summary by Year'!F$6,1),'WBS Summary by Year'!$C160,'WBS Summary by Year'!$B$128),'Pre- and Production'!AD$4:AD$376)</f>
        <v>0</v>
      </c>
      <c r="G160" s="296">
        <f>SUMIF('Pre- and Production'!$T$4:$T$376, CONCATENATE(LEFT('WBS Summary by Year'!G$6,1),'WBS Summary by Year'!$C160,'WBS Summary by Year'!$B$128),'Pre- and Production'!AN$4:AN$376)</f>
        <v>0</v>
      </c>
      <c r="H160" s="307">
        <f>SUMIF('Pre- and Production'!$T$4:$T$376, CONCATENATE(LEFT('WBS Summary by Year'!H$6,1),'WBS Summary by Year'!$C160,'WBS Summary by Year'!$B$128),'Pre- and Production'!AE$4:AE$376)</f>
        <v>0</v>
      </c>
      <c r="I160" s="303">
        <f>SUMIF('Pre- and Production'!$T$4:$T$376, CONCATENATE(LEFT('WBS Summary by Year'!I$6,1),'WBS Summary by Year'!$C160,'WBS Summary by Year'!$B$128),'Pre- and Production'!AO$4:AO$376)</f>
        <v>0</v>
      </c>
      <c r="J160" s="26">
        <f>SUMIF('Pre- and Production'!$T$4:$T$376, CONCATENATE(LEFT('WBS Summary by Year'!J$6,1),'WBS Summary by Year'!$C160,'WBS Summary by Year'!$B$128),'Pre- and Production'!AF$4:AFI$376)</f>
        <v>0</v>
      </c>
      <c r="K160" s="296">
        <f>SUMIF('Pre- and Production'!$T$4:$T$376, CONCATENATE(LEFT('WBS Summary by Year'!K$6,1),'WBS Summary by Year'!$C160,'WBS Summary by Year'!$B$128),'Pre- and Production'!AP$4:AP$376)</f>
        <v>0</v>
      </c>
      <c r="L160" s="307">
        <f>SUMIF('Pre- and Production'!$T$4:$T$376, CONCATENATE(LEFT('WBS Summary by Year'!L$6,1),'WBS Summary by Year'!$C160,'WBS Summary by Year'!$B$128),'Pre- and Production'!AG$4:AG$376)</f>
        <v>0</v>
      </c>
      <c r="M160" s="303">
        <f>SUMIF('Pre- and Production'!$T$4:$T$376, CONCATENATE(LEFT('WBS Summary by Year'!M$6,1),'WBS Summary by Year'!$C160,'WBS Summary by Year'!$B$128),'Pre- and Production'!AQ$4:AQ$376)</f>
        <v>0</v>
      </c>
      <c r="N160" s="315">
        <f>SUMIF('Pre- and Production'!$T$4:$T$376, CONCATENATE(LEFT('WBS Summary by Year'!N$6,1),'WBS Summary by Year'!$C160,'WBS Summary by Year'!$B$128),'Pre- and Production'!AH$4:AH$376)</f>
        <v>0</v>
      </c>
      <c r="O160" s="316">
        <f>SUMIF('Pre- and Production'!$T$4:$T$376, CONCATENATE(LEFT('WBS Summary by Year'!O$6,1),'WBS Summary by Year'!$C160,'WBS Summary by Year'!$B$128),'Pre- and Production'!AR$4:AR$376)</f>
        <v>0</v>
      </c>
    </row>
    <row r="161" spans="2:15">
      <c r="C161" s="134" t="s">
        <v>459</v>
      </c>
      <c r="D161" s="26">
        <f>SUMIF('Pre- and Production'!$T$4:$T$376, CONCATENATE(LEFT('WBS Summary by Year'!D$6,1),'WBS Summary by Year'!$C161,'WBS Summary by Year'!$B$128),'Pre- and Production'!AC$4:AC$376)</f>
        <v>0</v>
      </c>
      <c r="E161" s="303">
        <f>SUMIF('Pre- and Production'!$T$4:$T$376, CONCATENATE(LEFT('WBS Summary by Year'!E$6,1),'WBS Summary by Year'!$C161,'WBS Summary by Year'!$B$128),'Pre- and Production'!AM$4:AM$376)</f>
        <v>0</v>
      </c>
      <c r="F161" s="26">
        <f>SUMIF('Pre- and Production'!$T$4:$T$376, CONCATENATE(LEFT('WBS Summary by Year'!F$6,1),'WBS Summary by Year'!$C161,'WBS Summary by Year'!$B$128),'Pre- and Production'!AD$4:AD$376)</f>
        <v>0</v>
      </c>
      <c r="G161" s="296">
        <f>SUMIF('Pre- and Production'!$T$4:$T$376, CONCATENATE(LEFT('WBS Summary by Year'!G$6,1),'WBS Summary by Year'!$C161,'WBS Summary by Year'!$B$128),'Pre- and Production'!AN$4:AN$376)</f>
        <v>0</v>
      </c>
      <c r="H161" s="307">
        <f>SUMIF('Pre- and Production'!$T$4:$T$376, CONCATENATE(LEFT('WBS Summary by Year'!H$6,1),'WBS Summary by Year'!$C161,'WBS Summary by Year'!$B$128),'Pre- and Production'!AE$4:AE$376)</f>
        <v>0</v>
      </c>
      <c r="I161" s="303">
        <f>SUMIF('Pre- and Production'!$T$4:$T$376, CONCATENATE(LEFT('WBS Summary by Year'!I$6,1),'WBS Summary by Year'!$C161,'WBS Summary by Year'!$B$128),'Pre- and Production'!AO$4:AO$376)</f>
        <v>0</v>
      </c>
      <c r="J161" s="26">
        <f>SUMIF('Pre- and Production'!$T$4:$T$376, CONCATENATE(LEFT('WBS Summary by Year'!J$6,1),'WBS Summary by Year'!$C161,'WBS Summary by Year'!$B$128),'Pre- and Production'!AF$4:AFI$376)</f>
        <v>0</v>
      </c>
      <c r="K161" s="296">
        <f>SUMIF('Pre- and Production'!$T$4:$T$376, CONCATENATE(LEFT('WBS Summary by Year'!K$6,1),'WBS Summary by Year'!$C161,'WBS Summary by Year'!$B$128),'Pre- and Production'!AP$4:AP$376)</f>
        <v>0</v>
      </c>
      <c r="L161" s="307">
        <f>SUMIF('Pre- and Production'!$T$4:$T$376, CONCATENATE(LEFT('WBS Summary by Year'!L$6,1),'WBS Summary by Year'!$C161,'WBS Summary by Year'!$B$128),'Pre- and Production'!AG$4:AG$376)</f>
        <v>0</v>
      </c>
      <c r="M161" s="303">
        <f>SUMIF('Pre- and Production'!$T$4:$T$376, CONCATENATE(LEFT('WBS Summary by Year'!M$6,1),'WBS Summary by Year'!$C161,'WBS Summary by Year'!$B$128),'Pre- and Production'!AQ$4:AQ$376)</f>
        <v>0</v>
      </c>
      <c r="N161" s="315">
        <f>SUMIF('Pre- and Production'!$T$4:$T$376, CONCATENATE(LEFT('WBS Summary by Year'!N$6,1),'WBS Summary by Year'!$C161,'WBS Summary by Year'!$B$128),'Pre- and Production'!AH$4:AH$376)</f>
        <v>0</v>
      </c>
      <c r="O161" s="316">
        <f>SUMIF('Pre- and Production'!$T$4:$T$376, CONCATENATE(LEFT('WBS Summary by Year'!O$6,1),'WBS Summary by Year'!$C161,'WBS Summary by Year'!$B$128),'Pre- and Production'!AR$4:AR$376)</f>
        <v>0</v>
      </c>
    </row>
    <row r="162" spans="2:15">
      <c r="C162" s="46" t="s">
        <v>460</v>
      </c>
      <c r="D162" s="26">
        <f>SUMIF('Pre- and Production'!$T$4:$T$376, CONCATENATE(LEFT('WBS Summary by Year'!D$6,1),'WBS Summary by Year'!$C162,'WBS Summary by Year'!$B$128),'Pre- and Production'!AC$4:AC$376)</f>
        <v>0</v>
      </c>
      <c r="E162" s="303">
        <f>SUMIF('Pre- and Production'!$T$4:$T$376, CONCATENATE(LEFT('WBS Summary by Year'!E$6,1),'WBS Summary by Year'!$C162,'WBS Summary by Year'!$B$128),'Pre- and Production'!AM$4:AM$376)</f>
        <v>0</v>
      </c>
      <c r="F162" s="26">
        <f>SUMIF('Pre- and Production'!$T$4:$T$376, CONCATENATE(LEFT('WBS Summary by Year'!F$6,1),'WBS Summary by Year'!$C162,'WBS Summary by Year'!$B$128),'Pre- and Production'!AD$4:AD$376)</f>
        <v>0</v>
      </c>
      <c r="G162" s="296">
        <f>SUMIF('Pre- and Production'!$T$4:$T$376, CONCATENATE(LEFT('WBS Summary by Year'!G$6,1),'WBS Summary by Year'!$C162,'WBS Summary by Year'!$B$128),'Pre- and Production'!AN$4:AN$376)</f>
        <v>0</v>
      </c>
      <c r="H162" s="307">
        <f>SUMIF('Pre- and Production'!$T$4:$T$376, CONCATENATE(LEFT('WBS Summary by Year'!H$6,1),'WBS Summary by Year'!$C162,'WBS Summary by Year'!$B$128),'Pre- and Production'!AE$4:AE$376)</f>
        <v>0</v>
      </c>
      <c r="I162" s="303">
        <f>SUMIF('Pre- and Production'!$T$4:$T$376, CONCATENATE(LEFT('WBS Summary by Year'!I$6,1),'WBS Summary by Year'!$C162,'WBS Summary by Year'!$B$128),'Pre- and Production'!AO$4:AO$376)</f>
        <v>0</v>
      </c>
      <c r="J162" s="26">
        <f>SUMIF('Pre- and Production'!$T$4:$T$376, CONCATENATE(LEFT('WBS Summary by Year'!J$6,1),'WBS Summary by Year'!$C162,'WBS Summary by Year'!$B$128),'Pre- and Production'!AF$4:AFI$376)</f>
        <v>0</v>
      </c>
      <c r="K162" s="296">
        <f>SUMIF('Pre- and Production'!$T$4:$T$376, CONCATENATE(LEFT('WBS Summary by Year'!K$6,1),'WBS Summary by Year'!$C162,'WBS Summary by Year'!$B$128),'Pre- and Production'!AP$4:AP$376)</f>
        <v>0</v>
      </c>
      <c r="L162" s="307">
        <f>SUMIF('Pre- and Production'!$T$4:$T$376, CONCATENATE(LEFT('WBS Summary by Year'!L$6,1),'WBS Summary by Year'!$C162,'WBS Summary by Year'!$B$128),'Pre- and Production'!AG$4:AG$376)</f>
        <v>0</v>
      </c>
      <c r="M162" s="303">
        <f>SUMIF('Pre- and Production'!$T$4:$T$376, CONCATENATE(LEFT('WBS Summary by Year'!M$6,1),'WBS Summary by Year'!$C162,'WBS Summary by Year'!$B$128),'Pre- and Production'!AQ$4:AQ$376)</f>
        <v>0</v>
      </c>
      <c r="N162" s="315">
        <f>SUMIF('Pre- and Production'!$T$4:$T$376, CONCATENATE(LEFT('WBS Summary by Year'!N$6,1),'WBS Summary by Year'!$C162,'WBS Summary by Year'!$B$128),'Pre- and Production'!AH$4:AH$376)</f>
        <v>0</v>
      </c>
      <c r="O162" s="316">
        <f>SUMIF('Pre- and Production'!$T$4:$T$376, CONCATENATE(LEFT('WBS Summary by Year'!O$6,1),'WBS Summary by Year'!$C162,'WBS Summary by Year'!$B$128),'Pre- and Production'!AR$4:AR$376)</f>
        <v>0</v>
      </c>
    </row>
    <row r="163" spans="2:15">
      <c r="C163" s="46" t="s">
        <v>461</v>
      </c>
      <c r="D163" s="26">
        <f>SUMIF('Pre- and Production'!$T$4:$T$376, CONCATENATE(LEFT('WBS Summary by Year'!D$6,1),'WBS Summary by Year'!$C163,'WBS Summary by Year'!$B$128),'Pre- and Production'!AC$4:AC$376)</f>
        <v>0</v>
      </c>
      <c r="E163" s="303">
        <f>SUMIF('Pre- and Production'!$T$4:$T$376, CONCATENATE(LEFT('WBS Summary by Year'!E$6,1),'WBS Summary by Year'!$C163,'WBS Summary by Year'!$B$128),'Pre- and Production'!AM$4:AM$376)</f>
        <v>0</v>
      </c>
      <c r="F163" s="26">
        <f>SUMIF('Pre- and Production'!$T$4:$T$376, CONCATENATE(LEFT('WBS Summary by Year'!F$6,1),'WBS Summary by Year'!$C163,'WBS Summary by Year'!$B$128),'Pre- and Production'!AD$4:AD$376)</f>
        <v>0</v>
      </c>
      <c r="G163" s="296">
        <f>SUMIF('Pre- and Production'!$T$4:$T$376, CONCATENATE(LEFT('WBS Summary by Year'!G$6,1),'WBS Summary by Year'!$C163,'WBS Summary by Year'!$B$128),'Pre- and Production'!AN$4:AN$376)</f>
        <v>0</v>
      </c>
      <c r="H163" s="307">
        <f>SUMIF('Pre- and Production'!$T$4:$T$376, CONCATENATE(LEFT('WBS Summary by Year'!H$6,1),'WBS Summary by Year'!$C163,'WBS Summary by Year'!$B$128),'Pre- and Production'!AE$4:AE$376)</f>
        <v>0</v>
      </c>
      <c r="I163" s="303">
        <f>SUMIF('Pre- and Production'!$T$4:$T$376, CONCATENATE(LEFT('WBS Summary by Year'!I$6,1),'WBS Summary by Year'!$C163,'WBS Summary by Year'!$B$128),'Pre- and Production'!AO$4:AO$376)</f>
        <v>0</v>
      </c>
      <c r="J163" s="26">
        <f>SUMIF('Pre- and Production'!$T$4:$T$376, CONCATENATE(LEFT('WBS Summary by Year'!J$6,1),'WBS Summary by Year'!$C163,'WBS Summary by Year'!$B$128),'Pre- and Production'!AF$4:AFI$376)</f>
        <v>0</v>
      </c>
      <c r="K163" s="296">
        <f>SUMIF('Pre- and Production'!$T$4:$T$376, CONCATENATE(LEFT('WBS Summary by Year'!K$6,1),'WBS Summary by Year'!$C163,'WBS Summary by Year'!$B$128),'Pre- and Production'!AP$4:AP$376)</f>
        <v>0</v>
      </c>
      <c r="L163" s="307">
        <f>SUMIF('Pre- and Production'!$T$4:$T$376, CONCATENATE(LEFT('WBS Summary by Year'!L$6,1),'WBS Summary by Year'!$C163,'WBS Summary by Year'!$B$128),'Pre- and Production'!AG$4:AG$376)</f>
        <v>0</v>
      </c>
      <c r="M163" s="303">
        <f>SUMIF('Pre- and Production'!$T$4:$T$376, CONCATENATE(LEFT('WBS Summary by Year'!M$6,1),'WBS Summary by Year'!$C163,'WBS Summary by Year'!$B$128),'Pre- and Production'!AQ$4:AQ$376)</f>
        <v>0</v>
      </c>
      <c r="N163" s="315">
        <f>SUMIF('Pre- and Production'!$T$4:$T$376, CONCATENATE(LEFT('WBS Summary by Year'!N$6,1),'WBS Summary by Year'!$C163,'WBS Summary by Year'!$B$128),'Pre- and Production'!AH$4:AH$376)</f>
        <v>0</v>
      </c>
      <c r="O163" s="316">
        <f>SUMIF('Pre- and Production'!$T$4:$T$376, CONCATENATE(LEFT('WBS Summary by Year'!O$6,1),'WBS Summary by Year'!$C163,'WBS Summary by Year'!$B$128),'Pre- and Production'!AR$4:AR$376)</f>
        <v>0</v>
      </c>
    </row>
    <row r="164" spans="2:15" ht="13.5" thickBot="1">
      <c r="C164" s="46" t="s">
        <v>462</v>
      </c>
      <c r="D164" s="297">
        <f>SUMIF('Pre- and Production'!$T$4:$T$376, CONCATENATE(LEFT('WBS Summary by Year'!D$6,1),'WBS Summary by Year'!$C164,'WBS Summary by Year'!$B$128),'Pre- and Production'!AC$4:AC$376)</f>
        <v>0</v>
      </c>
      <c r="E164" s="304">
        <f>SUMIF('Pre- and Production'!$T$4:$T$376, CONCATENATE(LEFT('WBS Summary by Year'!E$6,1),'WBS Summary by Year'!$C164,'WBS Summary by Year'!$B$128),'Pre- and Production'!AM$4:AM$376)</f>
        <v>0</v>
      </c>
      <c r="F164" s="297">
        <f>SUMIF('Pre- and Production'!$T$4:$T$376, CONCATENATE(LEFT('WBS Summary by Year'!F$6,1),'WBS Summary by Year'!$C164,'WBS Summary by Year'!$B$128),'Pre- and Production'!AD$4:AD$376)</f>
        <v>0</v>
      </c>
      <c r="G164" s="298">
        <f>SUMIF('Pre- and Production'!$T$4:$T$376, CONCATENATE(LEFT('WBS Summary by Year'!G$6,1),'WBS Summary by Year'!$C164,'WBS Summary by Year'!$B$128),'Pre- and Production'!AN$4:AN$376)</f>
        <v>0</v>
      </c>
      <c r="H164" s="308">
        <f>SUMIF('Pre- and Production'!$T$4:$T$376, CONCATENATE(LEFT('WBS Summary by Year'!H$6,1),'WBS Summary by Year'!$C164,'WBS Summary by Year'!$B$128),'Pre- and Production'!AE$4:AE$376)</f>
        <v>0</v>
      </c>
      <c r="I164" s="304">
        <f>SUMIF('Pre- and Production'!$T$4:$T$376, CONCATENATE(LEFT('WBS Summary by Year'!I$6,1),'WBS Summary by Year'!$C164,'WBS Summary by Year'!$B$128),'Pre- and Production'!AO$4:AO$376)</f>
        <v>0</v>
      </c>
      <c r="J164" s="297">
        <f>SUMIF('Pre- and Production'!$T$4:$T$376, CONCATENATE(LEFT('WBS Summary by Year'!J$6,1),'WBS Summary by Year'!$C164,'WBS Summary by Year'!$B$128),'Pre- and Production'!AF$4:AFI$376)</f>
        <v>0</v>
      </c>
      <c r="K164" s="298">
        <f>SUMIF('Pre- and Production'!$T$4:$T$376, CONCATENATE(LEFT('WBS Summary by Year'!K$6,1),'WBS Summary by Year'!$C164,'WBS Summary by Year'!$B$128),'Pre- and Production'!AP$4:AP$376)</f>
        <v>0</v>
      </c>
      <c r="L164" s="308">
        <f>SUMIF('Pre- and Production'!$T$4:$T$376, CONCATENATE(LEFT('WBS Summary by Year'!L$6,1),'WBS Summary by Year'!$C164,'WBS Summary by Year'!$B$128),'Pre- and Production'!AG$4:AG$376)</f>
        <v>0</v>
      </c>
      <c r="M164" s="304">
        <f>SUMIF('Pre- and Production'!$T$4:$T$376, CONCATENATE(LEFT('WBS Summary by Year'!M$6,1),'WBS Summary by Year'!$C164,'WBS Summary by Year'!$B$128),'Pre- and Production'!AQ$4:AQ$376)</f>
        <v>0</v>
      </c>
      <c r="N164" s="317">
        <f>SUMIF('Pre- and Production'!$T$4:$T$376, CONCATENATE(LEFT('WBS Summary by Year'!N$6,1),'WBS Summary by Year'!$C164,'WBS Summary by Year'!$B$128),'Pre- and Production'!AH$4:AH$376)</f>
        <v>0</v>
      </c>
      <c r="O164" s="318">
        <f>SUMIF('Pre- and Production'!$T$4:$T$376, CONCATENATE(LEFT('WBS Summary by Year'!O$6,1),'WBS Summary by Year'!$C164,'WBS Summary by Year'!$B$128),'Pre- and Production'!AR$4:AR$376)</f>
        <v>0</v>
      </c>
    </row>
    <row r="165" spans="2:15" ht="13.5" thickTop="1"/>
    <row r="166" spans="2:15">
      <c r="D166">
        <f>SUM(D131:D164)</f>
        <v>694.75</v>
      </c>
      <c r="E166">
        <f t="shared" ref="E166:O166" si="8">SUM(E131:E164)</f>
        <v>226</v>
      </c>
      <c r="F166">
        <f t="shared" si="8"/>
        <v>1021</v>
      </c>
      <c r="G166">
        <f t="shared" si="8"/>
        <v>356</v>
      </c>
      <c r="H166">
        <f t="shared" si="8"/>
        <v>124</v>
      </c>
      <c r="I166">
        <f t="shared" si="8"/>
        <v>60</v>
      </c>
      <c r="J166">
        <f t="shared" si="8"/>
        <v>1135</v>
      </c>
      <c r="K166">
        <f t="shared" si="8"/>
        <v>454</v>
      </c>
      <c r="L166">
        <f t="shared" si="8"/>
        <v>16</v>
      </c>
      <c r="M166">
        <f t="shared" si="8"/>
        <v>0</v>
      </c>
      <c r="N166" s="310">
        <f t="shared" ca="1" si="8"/>
        <v>48703.5</v>
      </c>
      <c r="O166" s="310">
        <f t="shared" si="8"/>
        <v>1820</v>
      </c>
    </row>
    <row r="167" spans="2:15">
      <c r="C167" s="352" t="s">
        <v>401</v>
      </c>
      <c r="D167" s="346">
        <f>D166/1720</f>
        <v>0.40392441860465117</v>
      </c>
      <c r="E167" s="346">
        <f t="shared" ref="E167:I167" si="9">E166/1720</f>
        <v>0.1313953488372093</v>
      </c>
      <c r="F167" s="346">
        <f t="shared" si="9"/>
        <v>0.59360465116279071</v>
      </c>
      <c r="G167" s="346">
        <f t="shared" si="9"/>
        <v>0.2069767441860465</v>
      </c>
      <c r="H167" s="346">
        <f t="shared" si="9"/>
        <v>7.2093023255813959E-2</v>
      </c>
      <c r="I167" s="346">
        <f t="shared" si="9"/>
        <v>3.4883720930232558E-2</v>
      </c>
      <c r="J167" s="346">
        <f>J166/1720</f>
        <v>0.65988372093023251</v>
      </c>
      <c r="K167" s="346">
        <f t="shared" ref="K167:M167" si="10">K166/1720</f>
        <v>0.26395348837209304</v>
      </c>
      <c r="L167" s="346">
        <f t="shared" si="10"/>
        <v>9.3023255813953487E-3</v>
      </c>
      <c r="M167" s="346">
        <f t="shared" si="10"/>
        <v>0</v>
      </c>
    </row>
    <row r="168" spans="2:15">
      <c r="C168" s="352" t="s">
        <v>402</v>
      </c>
      <c r="D168" s="348">
        <f>D166*Shop</f>
        <v>70906.184999999998</v>
      </c>
      <c r="E168" s="348">
        <f>E166*Shop</f>
        <v>23065.56</v>
      </c>
      <c r="F168" s="348">
        <f>F166*M_Tech</f>
        <v>96760.170000000013</v>
      </c>
      <c r="G168" s="348">
        <f>G166*M_Tech</f>
        <v>33738.120000000003</v>
      </c>
      <c r="H168" s="348">
        <f>H167*CMM</f>
        <v>7.3578139534883729</v>
      </c>
      <c r="I168" s="348">
        <f>I166*CMM</f>
        <v>6123.6</v>
      </c>
      <c r="J168" s="348">
        <f>J166*ENG</f>
        <v>137902.50000000003</v>
      </c>
      <c r="K168" s="348">
        <f>K166*ENG</f>
        <v>55161.000000000007</v>
      </c>
      <c r="L168" s="348">
        <f>L166*DES</f>
        <v>1620</v>
      </c>
      <c r="M168" s="348">
        <f>M166*DES</f>
        <v>0</v>
      </c>
    </row>
    <row r="169" spans="2:15" ht="18.75" thickBot="1">
      <c r="B169" s="309">
        <v>2013</v>
      </c>
    </row>
    <row r="170" spans="2:15" ht="13.5" thickTop="1">
      <c r="D170" s="396" t="s">
        <v>41</v>
      </c>
      <c r="E170" s="397"/>
      <c r="F170" s="396" t="s">
        <v>380</v>
      </c>
      <c r="G170" s="398"/>
      <c r="H170" s="399" t="s">
        <v>37</v>
      </c>
      <c r="I170" s="397"/>
      <c r="J170" s="396" t="s">
        <v>381</v>
      </c>
      <c r="K170" s="398"/>
      <c r="L170" s="399" t="s">
        <v>31</v>
      </c>
      <c r="M170" s="397"/>
      <c r="N170" s="394" t="s">
        <v>382</v>
      </c>
      <c r="O170" s="395"/>
    </row>
    <row r="171" spans="2:15" ht="13.5" thickBot="1">
      <c r="D171" s="299" t="s">
        <v>70</v>
      </c>
      <c r="E171" s="301" t="s">
        <v>383</v>
      </c>
      <c r="F171" s="299" t="s">
        <v>70</v>
      </c>
      <c r="G171" s="300" t="s">
        <v>383</v>
      </c>
      <c r="H171" s="305" t="s">
        <v>70</v>
      </c>
      <c r="I171" s="301" t="s">
        <v>383</v>
      </c>
      <c r="J171" s="299" t="s">
        <v>70</v>
      </c>
      <c r="K171" s="300" t="s">
        <v>383</v>
      </c>
      <c r="L171" s="305" t="s">
        <v>70</v>
      </c>
      <c r="M171" s="301" t="s">
        <v>383</v>
      </c>
      <c r="N171" s="311" t="s">
        <v>70</v>
      </c>
      <c r="O171" s="312" t="s">
        <v>383</v>
      </c>
    </row>
    <row r="172" spans="2:15" ht="13.5" thickTop="1">
      <c r="C172" s="20" t="s">
        <v>180</v>
      </c>
      <c r="D172" s="294">
        <f>SUMIF('Pre- and Production'!$T$4:$T$376, CONCATENATE(LEFT('WBS Summary by Year'!D$6,1),'WBS Summary by Year'!$C172,'WBS Summary by Year'!$B$169),'Pre- and Production'!AC$4:AC$376)</f>
        <v>16</v>
      </c>
      <c r="E172" s="302">
        <f>SUMIF('Pre- and Production'!$T$4:$T$376, CONCATENATE(LEFT('WBS Summary by Year'!E$6,1),'WBS Summary by Year'!$C172,'WBS Summary by Year'!$B$169),'Pre- and Production'!AM$4:AM$376)</f>
        <v>0</v>
      </c>
      <c r="F172" s="294">
        <f>SUMIF('Pre- and Production'!$T$4:$T$376, CONCATENATE(LEFT('WBS Summary by Year'!F$6,1),'WBS Summary by Year'!$C172,'WBS Summary by Year'!$B$169),'Pre- and Production'!AD$4:AD$376)</f>
        <v>52</v>
      </c>
      <c r="G172" s="295">
        <f>SUMIF('Pre- and Production'!$T$4:$T$376, CONCATENATE(LEFT('WBS Summary by Year'!G$6,1),'WBS Summary by Year'!$C172,'WBS Summary by Year'!$B$169),'Pre- and Production'!AN$4:AN$376)</f>
        <v>0</v>
      </c>
      <c r="H172" s="306">
        <f>SUMIF('Pre- and Production'!$T$4:$T$376, CONCATENATE(LEFT('WBS Summary by Year'!H$6,1),'WBS Summary by Year'!$C172,'WBS Summary by Year'!$B$169),'Pre- and Production'!AE$4:AE$376)</f>
        <v>0</v>
      </c>
      <c r="I172" s="302">
        <f>SUMIF('Pre- and Production'!$T$4:$T$376, CONCATENATE(LEFT('WBS Summary by Year'!I$6,1),'WBS Summary by Year'!$C172,'WBS Summary by Year'!$B$169),'Pre- and Production'!AO$4:AO$376)</f>
        <v>0</v>
      </c>
      <c r="J172" s="294">
        <f>SUMIF('Pre- and Production'!$T$4:$T$376, CONCATENATE(LEFT('WBS Summary by Year'!J$6,1),'WBS Summary by Year'!$C172,'WBS Summary by Year'!$B$169),'Pre- and Production'!AF$4:AFI$376)</f>
        <v>0</v>
      </c>
      <c r="K172" s="295">
        <f>SUMIF('Pre- and Production'!$T$4:$T$376, CONCATENATE(LEFT('WBS Summary by Year'!K$6,1),'WBS Summary by Year'!$C172,'WBS Summary by Year'!$B$169),'Pre- and Production'!AP$4:AP$376)</f>
        <v>0</v>
      </c>
      <c r="L172" s="306">
        <f>SUMIF('Pre- and Production'!$T$4:$T$376, CONCATENATE(LEFT('WBS Summary by Year'!L$6,1),'WBS Summary by Year'!$C172,'WBS Summary by Year'!$B$169),'Pre- and Production'!AG$4:AG$376)</f>
        <v>0</v>
      </c>
      <c r="M172" s="302">
        <f>SUMIF('Pre- and Production'!$T$4:$T$376, CONCATENATE(LEFT('WBS Summary by Year'!M$6,1),'WBS Summary by Year'!$C172,'WBS Summary by Year'!$B$169),'Pre- and Production'!AQ$4:AQ$376)</f>
        <v>0</v>
      </c>
      <c r="N172" s="313">
        <f>SUMIF('Pre- and Production'!$T$4:$T$376, CONCATENATE(LEFT('WBS Summary by Year'!N$6,1),'WBS Summary by Year'!$C172,'WBS Summary by Year'!$B$169),'Pre- and Production'!AH$4:AH$376)</f>
        <v>7420</v>
      </c>
      <c r="O172" s="314">
        <f>SUMIF('Pre- and Production'!$T$4:$T$376, CONCATENATE(LEFT('WBS Summary by Year'!O$6,1),'WBS Summary by Year'!$C172,'WBS Summary by Year'!$B$169),'Pre- and Production'!AR$4:AR$376)</f>
        <v>0</v>
      </c>
    </row>
    <row r="173" spans="2:15">
      <c r="C173" s="134" t="s">
        <v>182</v>
      </c>
      <c r="D173" s="26">
        <f>SUMIF('Pre- and Production'!$T$4:$T$376, CONCATENATE(LEFT('WBS Summary by Year'!D$6,1),'WBS Summary by Year'!$C173,'WBS Summary by Year'!$B$169),'Pre- and Production'!AC$4:AC$376)</f>
        <v>0</v>
      </c>
      <c r="E173" s="303">
        <f>SUMIF('Pre- and Production'!$T$4:$T$376, CONCATENATE(LEFT('WBS Summary by Year'!E$6,1),'WBS Summary by Year'!$C173,'WBS Summary by Year'!$B$169),'Pre- and Production'!AM$4:AM$376)</f>
        <v>0</v>
      </c>
      <c r="F173" s="26">
        <f>SUMIF('Pre- and Production'!$T$4:$T$376, CONCATENATE(LEFT('WBS Summary by Year'!F$6,1),'WBS Summary by Year'!$C173,'WBS Summary by Year'!$B$169),'Pre- and Production'!AD$4:AD$376)</f>
        <v>0</v>
      </c>
      <c r="G173" s="296">
        <f>SUMIF('Pre- and Production'!$T$4:$T$376, CONCATENATE(LEFT('WBS Summary by Year'!G$6,1),'WBS Summary by Year'!$C173,'WBS Summary by Year'!$B$169),'Pre- and Production'!AN$4:AN$376)</f>
        <v>0</v>
      </c>
      <c r="H173" s="307">
        <f>SUMIF('Pre- and Production'!$T$4:$T$376, CONCATENATE(LEFT('WBS Summary by Year'!H$6,1),'WBS Summary by Year'!$C173,'WBS Summary by Year'!$B$169),'Pre- and Production'!AE$4:AE$376)</f>
        <v>0</v>
      </c>
      <c r="I173" s="303">
        <f>SUMIF('Pre- and Production'!$T$4:$T$376, CONCATENATE(LEFT('WBS Summary by Year'!I$6,1),'WBS Summary by Year'!$C173,'WBS Summary by Year'!$B$169),'Pre- and Production'!AO$4:AO$376)</f>
        <v>0</v>
      </c>
      <c r="J173" s="26">
        <f>SUMIF('Pre- and Production'!$T$4:$T$376, CONCATENATE(LEFT('WBS Summary by Year'!J$6,1),'WBS Summary by Year'!$C173,'WBS Summary by Year'!$B$169),'Pre- and Production'!AF$4:AFI$376)</f>
        <v>0</v>
      </c>
      <c r="K173" s="296">
        <f>SUMIF('Pre- and Production'!$T$4:$T$376, CONCATENATE(LEFT('WBS Summary by Year'!K$6,1),'WBS Summary by Year'!$C173,'WBS Summary by Year'!$B$169),'Pre- and Production'!AP$4:AP$376)</f>
        <v>0</v>
      </c>
      <c r="L173" s="307">
        <f>SUMIF('Pre- and Production'!$T$4:$T$376, CONCATENATE(LEFT('WBS Summary by Year'!L$6,1),'WBS Summary by Year'!$C173,'WBS Summary by Year'!$B$169),'Pre- and Production'!AG$4:AG$376)</f>
        <v>0</v>
      </c>
      <c r="M173" s="303">
        <f>SUMIF('Pre- and Production'!$T$4:$T$376, CONCATENATE(LEFT('WBS Summary by Year'!M$6,1),'WBS Summary by Year'!$C173,'WBS Summary by Year'!$B$169),'Pre- and Production'!AQ$4:AQ$376)</f>
        <v>0</v>
      </c>
      <c r="N173" s="315">
        <f>SUMIF('Pre- and Production'!$T$4:$T$376, CONCATENATE(LEFT('WBS Summary by Year'!N$6,1),'WBS Summary by Year'!$C173,'WBS Summary by Year'!$B$169),'Pre- and Production'!AH$4:AH$376)</f>
        <v>0</v>
      </c>
      <c r="O173" s="316">
        <f>SUMIF('Pre- and Production'!$T$4:$T$376, CONCATENATE(LEFT('WBS Summary by Year'!O$6,1),'WBS Summary by Year'!$C173,'WBS Summary by Year'!$B$169),'Pre- and Production'!AR$4:AR$376)</f>
        <v>0</v>
      </c>
    </row>
    <row r="174" spans="2:15" s="352" customFormat="1">
      <c r="C174" s="46" t="s">
        <v>184</v>
      </c>
      <c r="D174" s="26">
        <f>SUMIF('Pre- and Production'!$T$4:$T$376, CONCATENATE(LEFT('WBS Summary by Year'!D$6,1),'WBS Summary by Year'!$C174,'WBS Summary by Year'!$B$169),'Pre- and Production'!AC$4:AC$376)</f>
        <v>16</v>
      </c>
      <c r="E174" s="303">
        <f>SUMIF('Pre- and Production'!$T$4:$T$376, CONCATENATE(LEFT('WBS Summary by Year'!E$6,1),'WBS Summary by Year'!$C174,'WBS Summary by Year'!$B$169),'Pre- and Production'!AM$4:AM$376)</f>
        <v>16</v>
      </c>
      <c r="F174" s="26">
        <f>SUMIF('Pre- and Production'!$T$4:$T$376, CONCATENATE(LEFT('WBS Summary by Year'!F$6,1),'WBS Summary by Year'!$C174,'WBS Summary by Year'!$B$169),'Pre- and Production'!AD$4:AD$376)</f>
        <v>2</v>
      </c>
      <c r="G174" s="296">
        <f>SUMIF('Pre- and Production'!$T$4:$T$376, CONCATENATE(LEFT('WBS Summary by Year'!G$6,1),'WBS Summary by Year'!$C174,'WBS Summary by Year'!$B$169),'Pre- and Production'!AN$4:AN$376)</f>
        <v>2</v>
      </c>
      <c r="H174" s="307">
        <f>SUMIF('Pre- and Production'!$T$4:$T$376, CONCATENATE(LEFT('WBS Summary by Year'!H$6,1),'WBS Summary by Year'!$C174,'WBS Summary by Year'!$B$169),'Pre- and Production'!AE$4:AE$376)</f>
        <v>0</v>
      </c>
      <c r="I174" s="303">
        <f>SUMIF('Pre- and Production'!$T$4:$T$376, CONCATENATE(LEFT('WBS Summary by Year'!I$6,1),'WBS Summary by Year'!$C174,'WBS Summary by Year'!$B$169),'Pre- and Production'!AO$4:AO$376)</f>
        <v>0</v>
      </c>
      <c r="J174" s="26">
        <f>SUMIF('Pre- and Production'!$T$4:$T$376, CONCATENATE(LEFT('WBS Summary by Year'!J$6,1),'WBS Summary by Year'!$C174,'WBS Summary by Year'!$B$169),'Pre- and Production'!AF$4:AFI$376)</f>
        <v>0</v>
      </c>
      <c r="K174" s="296">
        <f>SUMIF('Pre- and Production'!$T$4:$T$376, CONCATENATE(LEFT('WBS Summary by Year'!K$6,1),'WBS Summary by Year'!$C174,'WBS Summary by Year'!$B$169),'Pre- and Production'!AP$4:AP$376)</f>
        <v>40</v>
      </c>
      <c r="L174" s="307">
        <f>SUMIF('Pre- and Production'!$T$4:$T$376, CONCATENATE(LEFT('WBS Summary by Year'!L$6,1),'WBS Summary by Year'!$C174,'WBS Summary by Year'!$B$169),'Pre- and Production'!AG$4:AG$376)</f>
        <v>0</v>
      </c>
      <c r="M174" s="303">
        <f>SUMIF('Pre- and Production'!$T$4:$T$376, CONCATENATE(LEFT('WBS Summary by Year'!M$6,1),'WBS Summary by Year'!$C174,'WBS Summary by Year'!$B$169),'Pre- and Production'!AQ$4:AQ$376)</f>
        <v>0</v>
      </c>
      <c r="N174" s="315">
        <f>SUMIF('Pre- and Production'!$T$4:$T$376, CONCATENATE(LEFT('WBS Summary by Year'!N$6,1),'WBS Summary by Year'!$C174,'WBS Summary by Year'!$B$169),'Pre- and Production'!AH$4:AH$376)</f>
        <v>160</v>
      </c>
      <c r="O174" s="316">
        <f>SUMIF('Pre- and Production'!$T$4:$T$376, CONCATENATE(LEFT('WBS Summary by Year'!O$6,1),'WBS Summary by Year'!$C174,'WBS Summary by Year'!$B$169),'Pre- and Production'!AR$4:AR$376)</f>
        <v>1960</v>
      </c>
    </row>
    <row r="175" spans="2:15" s="352" customFormat="1">
      <c r="C175" s="46" t="s">
        <v>186</v>
      </c>
      <c r="D175" s="26">
        <f>SUMIF('Pre- and Production'!$T$4:$T$376, CONCATENATE(LEFT('WBS Summary by Year'!D$6,1),'WBS Summary by Year'!$C175,'WBS Summary by Year'!$B$169),'Pre- and Production'!AC$4:AC$376)</f>
        <v>387.5</v>
      </c>
      <c r="E175" s="303">
        <f>SUMIF('Pre- and Production'!$T$4:$T$376, CONCATENATE(LEFT('WBS Summary by Year'!E$6,1),'WBS Summary by Year'!$C175,'WBS Summary by Year'!$B$169),'Pre- and Production'!AM$4:AM$376)</f>
        <v>77.5</v>
      </c>
      <c r="F175" s="26">
        <f>SUMIF('Pre- and Production'!$T$4:$T$376, CONCATENATE(LEFT('WBS Summary by Year'!F$6,1),'WBS Summary by Year'!$C175,'WBS Summary by Year'!$B$169),'Pre- and Production'!AD$4:AD$376)</f>
        <v>224</v>
      </c>
      <c r="G175" s="296">
        <f>SUMIF('Pre- and Production'!$T$4:$T$376, CONCATENATE(LEFT('WBS Summary by Year'!G$6,1),'WBS Summary by Year'!$C175,'WBS Summary by Year'!$B$169),'Pre- and Production'!AN$4:AN$376)</f>
        <v>0</v>
      </c>
      <c r="H175" s="307">
        <f>SUMIF('Pre- and Production'!$T$4:$T$376, CONCATENATE(LEFT('WBS Summary by Year'!H$6,1),'WBS Summary by Year'!$C175,'WBS Summary by Year'!$B$169),'Pre- and Production'!AE$4:AE$376)</f>
        <v>0</v>
      </c>
      <c r="I175" s="303">
        <f>SUMIF('Pre- and Production'!$T$4:$T$376, CONCATENATE(LEFT('WBS Summary by Year'!I$6,1),'WBS Summary by Year'!$C175,'WBS Summary by Year'!$B$169),'Pre- and Production'!AO$4:AO$376)</f>
        <v>0</v>
      </c>
      <c r="J175" s="26">
        <f>SUMIF('Pre- and Production'!$T$4:$T$376, CONCATENATE(LEFT('WBS Summary by Year'!J$6,1),'WBS Summary by Year'!$C175,'WBS Summary by Year'!$B$169),'Pre- and Production'!AF$4:AFI$376)</f>
        <v>159</v>
      </c>
      <c r="K175" s="296">
        <f>SUMIF('Pre- and Production'!$T$4:$T$376, CONCATENATE(LEFT('WBS Summary by Year'!K$6,1),'WBS Summary by Year'!$C175,'WBS Summary by Year'!$B$169),'Pre- and Production'!AP$4:AP$376)</f>
        <v>100</v>
      </c>
      <c r="L175" s="307">
        <f>SUMIF('Pre- and Production'!$T$4:$T$376, CONCATENATE(LEFT('WBS Summary by Year'!L$6,1),'WBS Summary by Year'!$C175,'WBS Summary by Year'!$B$169),'Pre- and Production'!AG$4:AG$376)</f>
        <v>0</v>
      </c>
      <c r="M175" s="303">
        <f>SUMIF('Pre- and Production'!$T$4:$T$376, CONCATENATE(LEFT('WBS Summary by Year'!M$6,1),'WBS Summary by Year'!$C175,'WBS Summary by Year'!$B$169),'Pre- and Production'!AQ$4:AQ$376)</f>
        <v>0</v>
      </c>
      <c r="N175" s="315">
        <f>SUMIF('Pre- and Production'!$T$4:$T$376, CONCATENATE(LEFT('WBS Summary by Year'!N$6,1),'WBS Summary by Year'!$C175,'WBS Summary by Year'!$B$169),'Pre- and Production'!AH$4:AH$376)</f>
        <v>25552.5</v>
      </c>
      <c r="O175" s="316">
        <f>SUMIF('Pre- and Production'!$T$4:$T$376, CONCATENATE(LEFT('WBS Summary by Year'!O$6,1),'WBS Summary by Year'!$C175,'WBS Summary by Year'!$B$169),'Pre- and Production'!AR$4:AR$376)</f>
        <v>980</v>
      </c>
    </row>
    <row r="176" spans="2:15" s="352" customFormat="1">
      <c r="C176" s="134" t="s">
        <v>189</v>
      </c>
      <c r="D176" s="26">
        <f>SUMIF('Pre- and Production'!$T$4:$T$376, CONCATENATE(LEFT('WBS Summary by Year'!D$6,1),'WBS Summary by Year'!$C176,'WBS Summary by Year'!$B$169),'Pre- and Production'!AC$4:AC$376)</f>
        <v>0</v>
      </c>
      <c r="E176" s="303">
        <f>SUMIF('Pre- and Production'!$T$4:$T$376, CONCATENATE(LEFT('WBS Summary by Year'!E$6,1),'WBS Summary by Year'!$C176,'WBS Summary by Year'!$B$169),'Pre- and Production'!AM$4:AM$376)</f>
        <v>0</v>
      </c>
      <c r="F176" s="26">
        <f>SUMIF('Pre- and Production'!$T$4:$T$376, CONCATENATE(LEFT('WBS Summary by Year'!F$6,1),'WBS Summary by Year'!$C176,'WBS Summary by Year'!$B$169),'Pre- and Production'!AD$4:AD$376)</f>
        <v>0</v>
      </c>
      <c r="G176" s="296">
        <f>SUMIF('Pre- and Production'!$T$4:$T$376, CONCATENATE(LEFT('WBS Summary by Year'!G$6,1),'WBS Summary by Year'!$C176,'WBS Summary by Year'!$B$169),'Pre- and Production'!AN$4:AN$376)</f>
        <v>0</v>
      </c>
      <c r="H176" s="307">
        <f>SUMIF('Pre- and Production'!$T$4:$T$376, CONCATENATE(LEFT('WBS Summary by Year'!H$6,1),'WBS Summary by Year'!$C176,'WBS Summary by Year'!$B$169),'Pre- and Production'!AE$4:AE$376)</f>
        <v>0</v>
      </c>
      <c r="I176" s="303">
        <f>SUMIF('Pre- and Production'!$T$4:$T$376, CONCATENATE(LEFT('WBS Summary by Year'!I$6,1),'WBS Summary by Year'!$C176,'WBS Summary by Year'!$B$169),'Pre- and Production'!AO$4:AO$376)</f>
        <v>0</v>
      </c>
      <c r="J176" s="26">
        <f>SUMIF('Pre- and Production'!$T$4:$T$376, CONCATENATE(LEFT('WBS Summary by Year'!J$6,1),'WBS Summary by Year'!$C176,'WBS Summary by Year'!$B$169),'Pre- and Production'!AF$4:AFI$376)</f>
        <v>0</v>
      </c>
      <c r="K176" s="296">
        <f>SUMIF('Pre- and Production'!$T$4:$T$376, CONCATENATE(LEFT('WBS Summary by Year'!K$6,1),'WBS Summary by Year'!$C176,'WBS Summary by Year'!$B$169),'Pre- and Production'!AP$4:AP$376)</f>
        <v>0</v>
      </c>
      <c r="L176" s="307">
        <f>SUMIF('Pre- and Production'!$T$4:$T$376, CONCATENATE(LEFT('WBS Summary by Year'!L$6,1),'WBS Summary by Year'!$C176,'WBS Summary by Year'!$B$169),'Pre- and Production'!AG$4:AG$376)</f>
        <v>0</v>
      </c>
      <c r="M176" s="303">
        <f>SUMIF('Pre- and Production'!$T$4:$T$376, CONCATENATE(LEFT('WBS Summary by Year'!M$6,1),'WBS Summary by Year'!$C176,'WBS Summary by Year'!$B$169),'Pre- and Production'!AQ$4:AQ$376)</f>
        <v>0</v>
      </c>
      <c r="N176" s="315">
        <f>SUMIF('Pre- and Production'!$T$4:$T$376, CONCATENATE(LEFT('WBS Summary by Year'!N$6,1),'WBS Summary by Year'!$C176,'WBS Summary by Year'!$B$169),'Pre- and Production'!AH$4:AH$376)</f>
        <v>0</v>
      </c>
      <c r="O176" s="316">
        <f>SUMIF('Pre- and Production'!$T$4:$T$376, CONCATENATE(LEFT('WBS Summary by Year'!O$6,1),'WBS Summary by Year'!$C176,'WBS Summary by Year'!$B$169),'Pre- and Production'!AR$4:AR$376)</f>
        <v>0</v>
      </c>
    </row>
    <row r="177" spans="3:15" s="352" customFormat="1">
      <c r="C177" s="46" t="s">
        <v>191</v>
      </c>
      <c r="D177" s="26">
        <f>SUMIF('Pre- and Production'!$T$4:$T$376, CONCATENATE(LEFT('WBS Summary by Year'!D$6,1),'WBS Summary by Year'!$C177,'WBS Summary by Year'!$B$169),'Pre- and Production'!AC$4:AC$376)</f>
        <v>0</v>
      </c>
      <c r="E177" s="303">
        <f>SUMIF('Pre- and Production'!$T$4:$T$376, CONCATENATE(LEFT('WBS Summary by Year'!E$6,1),'WBS Summary by Year'!$C177,'WBS Summary by Year'!$B$169),'Pre- and Production'!AM$4:AM$376)</f>
        <v>0</v>
      </c>
      <c r="F177" s="26">
        <f>SUMIF('Pre- and Production'!$T$4:$T$376, CONCATENATE(LEFT('WBS Summary by Year'!F$6,1),'WBS Summary by Year'!$C177,'WBS Summary by Year'!$B$169),'Pre- and Production'!AD$4:AD$376)</f>
        <v>96</v>
      </c>
      <c r="G177" s="296">
        <f>SUMIF('Pre- and Production'!$T$4:$T$376, CONCATENATE(LEFT('WBS Summary by Year'!G$6,1),'WBS Summary by Year'!$C177,'WBS Summary by Year'!$B$169),'Pre- and Production'!AN$4:AN$376)</f>
        <v>112</v>
      </c>
      <c r="H177" s="307">
        <f>SUMIF('Pre- and Production'!$T$4:$T$376, CONCATENATE(LEFT('WBS Summary by Year'!H$6,1),'WBS Summary by Year'!$C177,'WBS Summary by Year'!$B$169),'Pre- and Production'!AE$4:AE$376)</f>
        <v>0</v>
      </c>
      <c r="I177" s="303">
        <f>SUMIF('Pre- and Production'!$T$4:$T$376, CONCATENATE(LEFT('WBS Summary by Year'!I$6,1),'WBS Summary by Year'!$C177,'WBS Summary by Year'!$B$169),'Pre- and Production'!AO$4:AO$376)</f>
        <v>0</v>
      </c>
      <c r="J177" s="26">
        <f>SUMIF('Pre- and Production'!$T$4:$T$376, CONCATENATE(LEFT('WBS Summary by Year'!J$6,1),'WBS Summary by Year'!$C177,'WBS Summary by Year'!$B$169),'Pre- and Production'!AF$4:AFI$376)</f>
        <v>16</v>
      </c>
      <c r="K177" s="296">
        <f>SUMIF('Pre- and Production'!$T$4:$T$376, CONCATENATE(LEFT('WBS Summary by Year'!K$6,1),'WBS Summary by Year'!$C177,'WBS Summary by Year'!$B$169),'Pre- and Production'!AP$4:AP$376)</f>
        <v>28</v>
      </c>
      <c r="L177" s="307">
        <f>SUMIF('Pre- and Production'!$T$4:$T$376, CONCATENATE(LEFT('WBS Summary by Year'!L$6,1),'WBS Summary by Year'!$C177,'WBS Summary by Year'!$B$169),'Pre- and Production'!AG$4:AG$376)</f>
        <v>0</v>
      </c>
      <c r="M177" s="303">
        <f>SUMIF('Pre- and Production'!$T$4:$T$376, CONCATENATE(LEFT('WBS Summary by Year'!M$6,1),'WBS Summary by Year'!$C177,'WBS Summary by Year'!$B$169),'Pre- and Production'!AQ$4:AQ$376)</f>
        <v>0</v>
      </c>
      <c r="N177" s="315">
        <f>SUMIF('Pre- and Production'!$T$4:$T$376, CONCATENATE(LEFT('WBS Summary by Year'!N$6,1),'WBS Summary by Year'!$C177,'WBS Summary by Year'!$B$169),'Pre- and Production'!AH$4:AH$376)</f>
        <v>0</v>
      </c>
      <c r="O177" s="316">
        <f>SUMIF('Pre- and Production'!$T$4:$T$376, CONCATENATE(LEFT('WBS Summary by Year'!O$6,1),'WBS Summary by Year'!$C177,'WBS Summary by Year'!$B$169),'Pre- and Production'!AR$4:AR$376)</f>
        <v>6105</v>
      </c>
    </row>
    <row r="178" spans="3:15" s="352" customFormat="1">
      <c r="C178" s="46" t="s">
        <v>193</v>
      </c>
      <c r="D178" s="26">
        <f>SUMIF('Pre- and Production'!$T$4:$T$376, CONCATENATE(LEFT('WBS Summary by Year'!D$6,1),'WBS Summary by Year'!$C178,'WBS Summary by Year'!$B$169),'Pre- and Production'!AC$4:AC$376)</f>
        <v>0</v>
      </c>
      <c r="E178" s="303">
        <f>SUMIF('Pre- and Production'!$T$4:$T$376, CONCATENATE(LEFT('WBS Summary by Year'!E$6,1),'WBS Summary by Year'!$C178,'WBS Summary by Year'!$B$169),'Pre- and Production'!AM$4:AM$376)</f>
        <v>0</v>
      </c>
      <c r="F178" s="26">
        <f>SUMIF('Pre- and Production'!$T$4:$T$376, CONCATENATE(LEFT('WBS Summary by Year'!F$6,1),'WBS Summary by Year'!$C178,'WBS Summary by Year'!$B$169),'Pre- and Production'!AD$4:AD$376)</f>
        <v>0</v>
      </c>
      <c r="G178" s="296">
        <f>SUMIF('Pre- and Production'!$T$4:$T$376, CONCATENATE(LEFT('WBS Summary by Year'!G$6,1),'WBS Summary by Year'!$C178,'WBS Summary by Year'!$B$169),'Pre- and Production'!AN$4:AN$376)</f>
        <v>0</v>
      </c>
      <c r="H178" s="307">
        <f>SUMIF('Pre- and Production'!$T$4:$T$376, CONCATENATE(LEFT('WBS Summary by Year'!H$6,1),'WBS Summary by Year'!$C178,'WBS Summary by Year'!$B$169),'Pre- and Production'!AE$4:AE$376)</f>
        <v>0</v>
      </c>
      <c r="I178" s="303">
        <f>SUMIF('Pre- and Production'!$T$4:$T$376, CONCATENATE(LEFT('WBS Summary by Year'!I$6,1),'WBS Summary by Year'!$C178,'WBS Summary by Year'!$B$169),'Pre- and Production'!AO$4:AO$376)</f>
        <v>0</v>
      </c>
      <c r="J178" s="26">
        <f>SUMIF('Pre- and Production'!$T$4:$T$376, CONCATENATE(LEFT('WBS Summary by Year'!J$6,1),'WBS Summary by Year'!$C178,'WBS Summary by Year'!$B$169),'Pre- and Production'!AF$4:AFI$376)</f>
        <v>0</v>
      </c>
      <c r="K178" s="296">
        <f>SUMIF('Pre- and Production'!$T$4:$T$376, CONCATENATE(LEFT('WBS Summary by Year'!K$6,1),'WBS Summary by Year'!$C178,'WBS Summary by Year'!$B$169),'Pre- and Production'!AP$4:AP$376)</f>
        <v>0</v>
      </c>
      <c r="L178" s="307">
        <f>SUMIF('Pre- and Production'!$T$4:$T$376, CONCATENATE(LEFT('WBS Summary by Year'!L$6,1),'WBS Summary by Year'!$C178,'WBS Summary by Year'!$B$169),'Pre- and Production'!AG$4:AG$376)</f>
        <v>0</v>
      </c>
      <c r="M178" s="303">
        <f>SUMIF('Pre- and Production'!$T$4:$T$376, CONCATENATE(LEFT('WBS Summary by Year'!M$6,1),'WBS Summary by Year'!$C178,'WBS Summary by Year'!$B$169),'Pre- and Production'!AQ$4:AQ$376)</f>
        <v>0</v>
      </c>
      <c r="N178" s="315">
        <f>SUMIF('Pre- and Production'!$T$4:$T$376, CONCATENATE(LEFT('WBS Summary by Year'!N$6,1),'WBS Summary by Year'!$C178,'WBS Summary by Year'!$B$169),'Pre- and Production'!AH$4:AH$376)</f>
        <v>0</v>
      </c>
      <c r="O178" s="316">
        <f>SUMIF('Pre- and Production'!$T$4:$T$376, CONCATENATE(LEFT('WBS Summary by Year'!O$6,1),'WBS Summary by Year'!$C178,'WBS Summary by Year'!$B$169),'Pre- and Production'!AR$4:AR$376)</f>
        <v>0</v>
      </c>
    </row>
    <row r="179" spans="3:15" s="352" customFormat="1">
      <c r="C179" s="46" t="s">
        <v>195</v>
      </c>
      <c r="D179" s="26">
        <f>SUMIF('Pre- and Production'!$T$4:$T$376, CONCATENATE(LEFT('WBS Summary by Year'!D$6,1),'WBS Summary by Year'!$C179,'WBS Summary by Year'!$B$169),'Pre- and Production'!AC$4:AC$376)</f>
        <v>48</v>
      </c>
      <c r="E179" s="303">
        <f>SUMIF('Pre- and Production'!$T$4:$T$376, CONCATENATE(LEFT('WBS Summary by Year'!E$6,1),'WBS Summary by Year'!$C179,'WBS Summary by Year'!$B$169),'Pre- and Production'!AM$4:AM$376)</f>
        <v>112</v>
      </c>
      <c r="F179" s="26">
        <f>SUMIF('Pre- and Production'!$T$4:$T$376, CONCATENATE(LEFT('WBS Summary by Year'!F$6,1),'WBS Summary by Year'!$C179,'WBS Summary by Year'!$B$169),'Pre- and Production'!AD$4:AD$376)</f>
        <v>64</v>
      </c>
      <c r="G179" s="296">
        <f>SUMIF('Pre- and Production'!$T$4:$T$376, CONCATENATE(LEFT('WBS Summary by Year'!G$6,1),'WBS Summary by Year'!$C179,'WBS Summary by Year'!$B$169),'Pre- and Production'!AN$4:AN$376)</f>
        <v>80</v>
      </c>
      <c r="H179" s="307">
        <f>SUMIF('Pre- and Production'!$T$4:$T$376, CONCATENATE(LEFT('WBS Summary by Year'!H$6,1),'WBS Summary by Year'!$C179,'WBS Summary by Year'!$B$169),'Pre- and Production'!AE$4:AE$376)</f>
        <v>0</v>
      </c>
      <c r="I179" s="303">
        <f>SUMIF('Pre- and Production'!$T$4:$T$376, CONCATENATE(LEFT('WBS Summary by Year'!I$6,1),'WBS Summary by Year'!$C179,'WBS Summary by Year'!$B$169),'Pre- and Production'!AO$4:AO$376)</f>
        <v>0</v>
      </c>
      <c r="J179" s="26">
        <f>SUMIF('Pre- and Production'!$T$4:$T$376, CONCATENATE(LEFT('WBS Summary by Year'!J$6,1),'WBS Summary by Year'!$C179,'WBS Summary by Year'!$B$169),'Pre- and Production'!AF$4:AFI$376)</f>
        <v>28</v>
      </c>
      <c r="K179" s="296">
        <f>SUMIF('Pre- and Production'!$T$4:$T$376, CONCATENATE(LEFT('WBS Summary by Year'!K$6,1),'WBS Summary by Year'!$C179,'WBS Summary by Year'!$B$169),'Pre- and Production'!AP$4:AP$376)</f>
        <v>86</v>
      </c>
      <c r="L179" s="307">
        <f>SUMIF('Pre- and Production'!$T$4:$T$376, CONCATENATE(LEFT('WBS Summary by Year'!L$6,1),'WBS Summary by Year'!$C179,'WBS Summary by Year'!$B$169),'Pre- and Production'!AG$4:AG$376)</f>
        <v>0</v>
      </c>
      <c r="M179" s="303">
        <f>SUMIF('Pre- and Production'!$T$4:$T$376, CONCATENATE(LEFT('WBS Summary by Year'!M$6,1),'WBS Summary by Year'!$C179,'WBS Summary by Year'!$B$169),'Pre- and Production'!AQ$4:AQ$376)</f>
        <v>0</v>
      </c>
      <c r="N179" s="315">
        <f>SUMIF('Pre- and Production'!$T$4:$T$376, CONCATENATE(LEFT('WBS Summary by Year'!N$6,1),'WBS Summary by Year'!$C179,'WBS Summary by Year'!$B$169),'Pre- and Production'!AH$4:AH$376)</f>
        <v>402</v>
      </c>
      <c r="O179" s="316">
        <f>SUMIF('Pre- and Production'!$T$4:$T$376, CONCATENATE(LEFT('WBS Summary by Year'!O$6,1),'WBS Summary by Year'!$C179,'WBS Summary by Year'!$B$169),'Pre- and Production'!AR$4:AR$376)</f>
        <v>1586</v>
      </c>
    </row>
    <row r="180" spans="3:15" s="352" customFormat="1">
      <c r="C180" s="134" t="s">
        <v>190</v>
      </c>
      <c r="D180" s="26">
        <f>SUMIF('Pre- and Production'!$T$4:$T$376, CONCATENATE(LEFT('WBS Summary by Year'!D$6,1),'WBS Summary by Year'!$C180,'WBS Summary by Year'!$B$169),'Pre- and Production'!AC$4:AC$376)</f>
        <v>0</v>
      </c>
      <c r="E180" s="303">
        <f>SUMIF('Pre- and Production'!$T$4:$T$376, CONCATENATE(LEFT('WBS Summary by Year'!E$6,1),'WBS Summary by Year'!$C180,'WBS Summary by Year'!$B$169),'Pre- and Production'!AM$4:AM$376)</f>
        <v>0</v>
      </c>
      <c r="F180" s="26">
        <f>SUMIF('Pre- and Production'!$T$4:$T$376, CONCATENATE(LEFT('WBS Summary by Year'!F$6,1),'WBS Summary by Year'!$C180,'WBS Summary by Year'!$B$169),'Pre- and Production'!AD$4:AD$376)</f>
        <v>0</v>
      </c>
      <c r="G180" s="296">
        <f>SUMIF('Pre- and Production'!$T$4:$T$376, CONCATENATE(LEFT('WBS Summary by Year'!G$6,1),'WBS Summary by Year'!$C180,'WBS Summary by Year'!$B$169),'Pre- and Production'!AN$4:AN$376)</f>
        <v>0</v>
      </c>
      <c r="H180" s="307">
        <f>SUMIF('Pre- and Production'!$T$4:$T$376, CONCATENATE(LEFT('WBS Summary by Year'!H$6,1),'WBS Summary by Year'!$C180,'WBS Summary by Year'!$B$169),'Pre- and Production'!AE$4:AE$376)</f>
        <v>0</v>
      </c>
      <c r="I180" s="303">
        <f>SUMIF('Pre- and Production'!$T$4:$T$376, CONCATENATE(LEFT('WBS Summary by Year'!I$6,1),'WBS Summary by Year'!$C180,'WBS Summary by Year'!$B$169),'Pre- and Production'!AO$4:AO$376)</f>
        <v>0</v>
      </c>
      <c r="J180" s="26">
        <f>SUMIF('Pre- and Production'!$T$4:$T$376, CONCATENATE(LEFT('WBS Summary by Year'!J$6,1),'WBS Summary by Year'!$C180,'WBS Summary by Year'!$B$169),'Pre- and Production'!AF$4:AFI$376)</f>
        <v>0</v>
      </c>
      <c r="K180" s="296">
        <f>SUMIF('Pre- and Production'!$T$4:$T$376, CONCATENATE(LEFT('WBS Summary by Year'!K$6,1),'WBS Summary by Year'!$C180,'WBS Summary by Year'!$B$169),'Pre- and Production'!AP$4:AP$376)</f>
        <v>0</v>
      </c>
      <c r="L180" s="307">
        <f>SUMIF('Pre- and Production'!$T$4:$T$376, CONCATENATE(LEFT('WBS Summary by Year'!L$6,1),'WBS Summary by Year'!$C180,'WBS Summary by Year'!$B$169),'Pre- and Production'!AG$4:AG$376)</f>
        <v>0</v>
      </c>
      <c r="M180" s="303">
        <f>SUMIF('Pre- and Production'!$T$4:$T$376, CONCATENATE(LEFT('WBS Summary by Year'!M$6,1),'WBS Summary by Year'!$C180,'WBS Summary by Year'!$B$169),'Pre- and Production'!AQ$4:AQ$376)</f>
        <v>0</v>
      </c>
      <c r="N180" s="315">
        <f>SUMIF('Pre- and Production'!$T$4:$T$376, CONCATENATE(LEFT('WBS Summary by Year'!N$6,1),'WBS Summary by Year'!$C180,'WBS Summary by Year'!$B$169),'Pre- and Production'!AH$4:AH$376)</f>
        <v>0</v>
      </c>
      <c r="O180" s="316">
        <f>SUMIF('Pre- and Production'!$T$4:$T$376, CONCATENATE(LEFT('WBS Summary by Year'!O$6,1),'WBS Summary by Year'!$C180,'WBS Summary by Year'!$B$169),'Pre- and Production'!AR$4:AR$376)</f>
        <v>0</v>
      </c>
    </row>
    <row r="181" spans="3:15" s="352" customFormat="1">
      <c r="C181" s="46" t="s">
        <v>198</v>
      </c>
      <c r="D181" s="26">
        <f>SUMIF('Pre- and Production'!$T$4:$T$376, CONCATENATE(LEFT('WBS Summary by Year'!D$6,1),'WBS Summary by Year'!$C181,'WBS Summary by Year'!$B$169),'Pre- and Production'!AC$4:AC$376)</f>
        <v>0</v>
      </c>
      <c r="E181" s="303">
        <f>SUMIF('Pre- and Production'!$T$4:$T$376, CONCATENATE(LEFT('WBS Summary by Year'!E$6,1),'WBS Summary by Year'!$C181,'WBS Summary by Year'!$B$169),'Pre- and Production'!AM$4:AM$376)</f>
        <v>0</v>
      </c>
      <c r="F181" s="26">
        <f>SUMIF('Pre- and Production'!$T$4:$T$376, CONCATENATE(LEFT('WBS Summary by Year'!F$6,1),'WBS Summary by Year'!$C181,'WBS Summary by Year'!$B$169),'Pre- and Production'!AD$4:AD$376)</f>
        <v>0</v>
      </c>
      <c r="G181" s="296">
        <f>SUMIF('Pre- and Production'!$T$4:$T$376, CONCATENATE(LEFT('WBS Summary by Year'!G$6,1),'WBS Summary by Year'!$C181,'WBS Summary by Year'!$B$169),'Pre- and Production'!AN$4:AN$376)</f>
        <v>0</v>
      </c>
      <c r="H181" s="307">
        <f>SUMIF('Pre- and Production'!$T$4:$T$376, CONCATENATE(LEFT('WBS Summary by Year'!H$6,1),'WBS Summary by Year'!$C181,'WBS Summary by Year'!$B$169),'Pre- and Production'!AE$4:AE$376)</f>
        <v>0</v>
      </c>
      <c r="I181" s="303">
        <f>SUMIF('Pre- and Production'!$T$4:$T$376, CONCATENATE(LEFT('WBS Summary by Year'!I$6,1),'WBS Summary by Year'!$C181,'WBS Summary by Year'!$B$169),'Pre- and Production'!AO$4:AO$376)</f>
        <v>0</v>
      </c>
      <c r="J181" s="26">
        <f>SUMIF('Pre- and Production'!$T$4:$T$376, CONCATENATE(LEFT('WBS Summary by Year'!J$6,1),'WBS Summary by Year'!$C181,'WBS Summary by Year'!$B$169),'Pre- and Production'!AF$4:AFI$376)</f>
        <v>0</v>
      </c>
      <c r="K181" s="296">
        <f>SUMIF('Pre- and Production'!$T$4:$T$376, CONCATENATE(LEFT('WBS Summary by Year'!K$6,1),'WBS Summary by Year'!$C181,'WBS Summary by Year'!$B$169),'Pre- and Production'!AP$4:AP$376)</f>
        <v>0</v>
      </c>
      <c r="L181" s="307">
        <f>SUMIF('Pre- and Production'!$T$4:$T$376, CONCATENATE(LEFT('WBS Summary by Year'!L$6,1),'WBS Summary by Year'!$C181,'WBS Summary by Year'!$B$169),'Pre- and Production'!AG$4:AG$376)</f>
        <v>0</v>
      </c>
      <c r="M181" s="303">
        <f>SUMIF('Pre- and Production'!$T$4:$T$376, CONCATENATE(LEFT('WBS Summary by Year'!M$6,1),'WBS Summary by Year'!$C181,'WBS Summary by Year'!$B$169),'Pre- and Production'!AQ$4:AQ$376)</f>
        <v>0</v>
      </c>
      <c r="N181" s="315">
        <f>SUMIF('Pre- and Production'!$T$4:$T$376, CONCATENATE(LEFT('WBS Summary by Year'!N$6,1),'WBS Summary by Year'!$C181,'WBS Summary by Year'!$B$169),'Pre- and Production'!AH$4:AH$376)</f>
        <v>0</v>
      </c>
      <c r="O181" s="316">
        <f>SUMIF('Pre- and Production'!$T$4:$T$376, CONCATENATE(LEFT('WBS Summary by Year'!O$6,1),'WBS Summary by Year'!$C181,'WBS Summary by Year'!$B$169),'Pre- and Production'!AR$4:AR$376)</f>
        <v>0</v>
      </c>
    </row>
    <row r="182" spans="3:15" s="352" customFormat="1">
      <c r="C182" s="46" t="s">
        <v>199</v>
      </c>
      <c r="D182" s="26">
        <f>SUMIF('Pre- and Production'!$T$4:$T$376, CONCATENATE(LEFT('WBS Summary by Year'!D$6,1),'WBS Summary by Year'!$C182,'WBS Summary by Year'!$B$169),'Pre- and Production'!AC$4:AC$376)</f>
        <v>0</v>
      </c>
      <c r="E182" s="303">
        <f>SUMIF('Pre- and Production'!$T$4:$T$376, CONCATENATE(LEFT('WBS Summary by Year'!E$6,1),'WBS Summary by Year'!$C182,'WBS Summary by Year'!$B$169),'Pre- and Production'!AM$4:AM$376)</f>
        <v>0</v>
      </c>
      <c r="F182" s="26">
        <f>SUMIF('Pre- and Production'!$T$4:$T$376, CONCATENATE(LEFT('WBS Summary by Year'!F$6,1),'WBS Summary by Year'!$C182,'WBS Summary by Year'!$B$169),'Pre- and Production'!AD$4:AD$376)</f>
        <v>0</v>
      </c>
      <c r="G182" s="296">
        <f>SUMIF('Pre- and Production'!$T$4:$T$376, CONCATENATE(LEFT('WBS Summary by Year'!G$6,1),'WBS Summary by Year'!$C182,'WBS Summary by Year'!$B$169),'Pre- and Production'!AN$4:AN$376)</f>
        <v>0</v>
      </c>
      <c r="H182" s="307">
        <f>SUMIF('Pre- and Production'!$T$4:$T$376, CONCATENATE(LEFT('WBS Summary by Year'!H$6,1),'WBS Summary by Year'!$C182,'WBS Summary by Year'!$B$169),'Pre- and Production'!AE$4:AE$376)</f>
        <v>0</v>
      </c>
      <c r="I182" s="303">
        <f>SUMIF('Pre- and Production'!$T$4:$T$376, CONCATENATE(LEFT('WBS Summary by Year'!I$6,1),'WBS Summary by Year'!$C182,'WBS Summary by Year'!$B$169),'Pre- and Production'!AO$4:AO$376)</f>
        <v>0</v>
      </c>
      <c r="J182" s="26">
        <f>SUMIF('Pre- and Production'!$T$4:$T$376, CONCATENATE(LEFT('WBS Summary by Year'!J$6,1),'WBS Summary by Year'!$C182,'WBS Summary by Year'!$B$169),'Pre- and Production'!AF$4:AFI$376)</f>
        <v>0</v>
      </c>
      <c r="K182" s="296">
        <f>SUMIF('Pre- and Production'!$T$4:$T$376, CONCATENATE(LEFT('WBS Summary by Year'!K$6,1),'WBS Summary by Year'!$C182,'WBS Summary by Year'!$B$169),'Pre- and Production'!AP$4:AP$376)</f>
        <v>0</v>
      </c>
      <c r="L182" s="307">
        <f>SUMIF('Pre- and Production'!$T$4:$T$376, CONCATENATE(LEFT('WBS Summary by Year'!L$6,1),'WBS Summary by Year'!$C182,'WBS Summary by Year'!$B$169),'Pre- and Production'!AG$4:AG$376)</f>
        <v>0</v>
      </c>
      <c r="M182" s="303">
        <f>SUMIF('Pre- and Production'!$T$4:$T$376, CONCATENATE(LEFT('WBS Summary by Year'!M$6,1),'WBS Summary by Year'!$C182,'WBS Summary by Year'!$B$169),'Pre- and Production'!AQ$4:AQ$376)</f>
        <v>0</v>
      </c>
      <c r="N182" s="315">
        <f>SUMIF('Pre- and Production'!$T$4:$T$376, CONCATENATE(LEFT('WBS Summary by Year'!N$6,1),'WBS Summary by Year'!$C182,'WBS Summary by Year'!$B$169),'Pre- and Production'!AH$4:AH$376)</f>
        <v>0</v>
      </c>
      <c r="O182" s="316">
        <f>SUMIF('Pre- and Production'!$T$4:$T$376, CONCATENATE(LEFT('WBS Summary by Year'!O$6,1),'WBS Summary by Year'!$C182,'WBS Summary by Year'!$B$169),'Pre- and Production'!AR$4:AR$376)</f>
        <v>0</v>
      </c>
    </row>
    <row r="183" spans="3:15" s="352" customFormat="1">
      <c r="C183" s="46" t="s">
        <v>200</v>
      </c>
      <c r="D183" s="26">
        <f>SUMIF('Pre- and Production'!$T$4:$T$376, CONCATENATE(LEFT('WBS Summary by Year'!D$6,1),'WBS Summary by Year'!$C183,'WBS Summary by Year'!$B$169),'Pre- and Production'!AC$4:AC$376)</f>
        <v>0</v>
      </c>
      <c r="E183" s="303">
        <f>SUMIF('Pre- and Production'!$T$4:$T$376, CONCATENATE(LEFT('WBS Summary by Year'!E$6,1),'WBS Summary by Year'!$C183,'WBS Summary by Year'!$B$169),'Pre- and Production'!AM$4:AM$376)</f>
        <v>0</v>
      </c>
      <c r="F183" s="26">
        <f>SUMIF('Pre- and Production'!$T$4:$T$376, CONCATENATE(LEFT('WBS Summary by Year'!F$6,1),'WBS Summary by Year'!$C183,'WBS Summary by Year'!$B$169),'Pre- and Production'!AD$4:AD$376)</f>
        <v>0</v>
      </c>
      <c r="G183" s="296">
        <f>SUMIF('Pre- and Production'!$T$4:$T$376, CONCATENATE(LEFT('WBS Summary by Year'!G$6,1),'WBS Summary by Year'!$C183,'WBS Summary by Year'!$B$169),'Pre- and Production'!AN$4:AN$376)</f>
        <v>0</v>
      </c>
      <c r="H183" s="307">
        <f>SUMIF('Pre- and Production'!$T$4:$T$376, CONCATENATE(LEFT('WBS Summary by Year'!H$6,1),'WBS Summary by Year'!$C183,'WBS Summary by Year'!$B$169),'Pre- and Production'!AE$4:AE$376)</f>
        <v>0</v>
      </c>
      <c r="I183" s="303">
        <f>SUMIF('Pre- and Production'!$T$4:$T$376, CONCATENATE(LEFT('WBS Summary by Year'!I$6,1),'WBS Summary by Year'!$C183,'WBS Summary by Year'!$B$169),'Pre- and Production'!AO$4:AO$376)</f>
        <v>0</v>
      </c>
      <c r="J183" s="26">
        <f>SUMIF('Pre- and Production'!$T$4:$T$376, CONCATENATE(LEFT('WBS Summary by Year'!J$6,1),'WBS Summary by Year'!$C183,'WBS Summary by Year'!$B$169),'Pre- and Production'!AF$4:AFI$376)</f>
        <v>0</v>
      </c>
      <c r="K183" s="296">
        <f>SUMIF('Pre- and Production'!$T$4:$T$376, CONCATENATE(LEFT('WBS Summary by Year'!K$6,1),'WBS Summary by Year'!$C183,'WBS Summary by Year'!$B$169),'Pre- and Production'!AP$4:AP$376)</f>
        <v>0</v>
      </c>
      <c r="L183" s="307">
        <f>SUMIF('Pre- and Production'!$T$4:$T$376, CONCATENATE(LEFT('WBS Summary by Year'!L$6,1),'WBS Summary by Year'!$C183,'WBS Summary by Year'!$B$169),'Pre- and Production'!AG$4:AG$376)</f>
        <v>0</v>
      </c>
      <c r="M183" s="303">
        <f>SUMIF('Pre- and Production'!$T$4:$T$376, CONCATENATE(LEFT('WBS Summary by Year'!M$6,1),'WBS Summary by Year'!$C183,'WBS Summary by Year'!$B$169),'Pre- and Production'!AQ$4:AQ$376)</f>
        <v>0</v>
      </c>
      <c r="N183" s="315">
        <f>SUMIF('Pre- and Production'!$T$4:$T$376, CONCATENATE(LEFT('WBS Summary by Year'!N$6,1),'WBS Summary by Year'!$C183,'WBS Summary by Year'!$B$169),'Pre- and Production'!AH$4:AH$376)</f>
        <v>0</v>
      </c>
      <c r="O183" s="316">
        <f>SUMIF('Pre- and Production'!$T$4:$T$376, CONCATENATE(LEFT('WBS Summary by Year'!O$6,1),'WBS Summary by Year'!$C183,'WBS Summary by Year'!$B$169),'Pre- and Production'!AR$4:AR$376)</f>
        <v>0</v>
      </c>
    </row>
    <row r="184" spans="3:15" s="352" customFormat="1">
      <c r="C184" s="46" t="s">
        <v>201</v>
      </c>
      <c r="D184" s="26">
        <f>SUMIF('Pre- and Production'!$T$4:$T$376, CONCATENATE(LEFT('WBS Summary by Year'!D$6,1),'WBS Summary by Year'!$C184,'WBS Summary by Year'!$B$169),'Pre- and Production'!AC$4:AC$376)</f>
        <v>64</v>
      </c>
      <c r="E184" s="303">
        <f>SUMIF('Pre- and Production'!$T$4:$T$376, CONCATENATE(LEFT('WBS Summary by Year'!E$6,1),'WBS Summary by Year'!$C184,'WBS Summary by Year'!$B$169),'Pre- and Production'!AM$4:AM$376)</f>
        <v>96</v>
      </c>
      <c r="F184" s="26">
        <f>SUMIF('Pre- and Production'!$T$4:$T$376, CONCATENATE(LEFT('WBS Summary by Year'!F$6,1),'WBS Summary by Year'!$C184,'WBS Summary by Year'!$B$169),'Pre- and Production'!AD$4:AD$376)</f>
        <v>112</v>
      </c>
      <c r="G184" s="296">
        <f>SUMIF('Pre- and Production'!$T$4:$T$376, CONCATENATE(LEFT('WBS Summary by Year'!G$6,1),'WBS Summary by Year'!$C184,'WBS Summary by Year'!$B$169),'Pre- and Production'!AN$4:AN$376)</f>
        <v>112</v>
      </c>
      <c r="H184" s="307">
        <f>SUMIF('Pre- and Production'!$T$4:$T$376, CONCATENATE(LEFT('WBS Summary by Year'!H$6,1),'WBS Summary by Year'!$C184,'WBS Summary by Year'!$B$169),'Pre- and Production'!AE$4:AE$376)</f>
        <v>0</v>
      </c>
      <c r="I184" s="303">
        <f>SUMIF('Pre- and Production'!$T$4:$T$376, CONCATENATE(LEFT('WBS Summary by Year'!I$6,1),'WBS Summary by Year'!$C184,'WBS Summary by Year'!$B$169),'Pre- and Production'!AO$4:AO$376)</f>
        <v>0</v>
      </c>
      <c r="J184" s="26">
        <f>SUMIF('Pre- and Production'!$T$4:$T$376, CONCATENATE(LEFT('WBS Summary by Year'!J$6,1),'WBS Summary by Year'!$C184,'WBS Summary by Year'!$B$169),'Pre- and Production'!AF$4:AFI$376)</f>
        <v>72</v>
      </c>
      <c r="K184" s="296">
        <f>SUMIF('Pre- and Production'!$T$4:$T$376, CONCATENATE(LEFT('WBS Summary by Year'!K$6,1),'WBS Summary by Year'!$C184,'WBS Summary by Year'!$B$169),'Pre- and Production'!AP$4:AP$376)</f>
        <v>112</v>
      </c>
      <c r="L184" s="307">
        <f>SUMIF('Pre- and Production'!$T$4:$T$376, CONCATENATE(LEFT('WBS Summary by Year'!L$6,1),'WBS Summary by Year'!$C184,'WBS Summary by Year'!$B$169),'Pre- and Production'!AG$4:AG$376)</f>
        <v>0</v>
      </c>
      <c r="M184" s="303">
        <f>SUMIF('Pre- and Production'!$T$4:$T$376, CONCATENATE(LEFT('WBS Summary by Year'!M$6,1),'WBS Summary by Year'!$C184,'WBS Summary by Year'!$B$169),'Pre- and Production'!AQ$4:AQ$376)</f>
        <v>0</v>
      </c>
      <c r="N184" s="315">
        <f>SUMIF('Pre- and Production'!$T$4:$T$376, CONCATENATE(LEFT('WBS Summary by Year'!N$6,1),'WBS Summary by Year'!$C184,'WBS Summary by Year'!$B$169),'Pre- and Production'!AH$4:AH$376)</f>
        <v>1160</v>
      </c>
      <c r="O184" s="316">
        <f>SUMIF('Pre- and Production'!$T$4:$T$376, CONCATENATE(LEFT('WBS Summary by Year'!O$6,1),'WBS Summary by Year'!$C184,'WBS Summary by Year'!$B$169),'Pre- and Production'!AR$4:AR$376)</f>
        <v>1160</v>
      </c>
    </row>
    <row r="185" spans="3:15" s="352" customFormat="1">
      <c r="C185" s="46" t="s">
        <v>206</v>
      </c>
      <c r="D185" s="26">
        <f>SUMIF('Pre- and Production'!$T$4:$T$376, CONCATENATE(LEFT('WBS Summary by Year'!D$6,1),'WBS Summary by Year'!$C185,'WBS Summary by Year'!$B$169),'Pre- and Production'!AC$4:AC$376)</f>
        <v>0</v>
      </c>
      <c r="E185" s="303">
        <f>SUMIF('Pre- and Production'!$T$4:$T$376, CONCATENATE(LEFT('WBS Summary by Year'!E$6,1),'WBS Summary by Year'!$C185,'WBS Summary by Year'!$B$169),'Pre- and Production'!AM$4:AM$376)</f>
        <v>0</v>
      </c>
      <c r="F185" s="26">
        <f>SUMIF('Pre- and Production'!$T$4:$T$376, CONCATENATE(LEFT('WBS Summary by Year'!F$6,1),'WBS Summary by Year'!$C185,'WBS Summary by Year'!$B$169),'Pre- and Production'!AD$4:AD$376)</f>
        <v>0</v>
      </c>
      <c r="G185" s="296">
        <f>SUMIF('Pre- and Production'!$T$4:$T$376, CONCATENATE(LEFT('WBS Summary by Year'!G$6,1),'WBS Summary by Year'!$C185,'WBS Summary by Year'!$B$169),'Pre- and Production'!AN$4:AN$376)</f>
        <v>0</v>
      </c>
      <c r="H185" s="307">
        <f>SUMIF('Pre- and Production'!$T$4:$T$376, CONCATENATE(LEFT('WBS Summary by Year'!H$6,1),'WBS Summary by Year'!$C185,'WBS Summary by Year'!$B$169),'Pre- and Production'!AE$4:AE$376)</f>
        <v>0</v>
      </c>
      <c r="I185" s="303">
        <f>SUMIF('Pre- and Production'!$T$4:$T$376, CONCATENATE(LEFT('WBS Summary by Year'!I$6,1),'WBS Summary by Year'!$C185,'WBS Summary by Year'!$B$169),'Pre- and Production'!AO$4:AO$376)</f>
        <v>0</v>
      </c>
      <c r="J185" s="26">
        <f>SUMIF('Pre- and Production'!$T$4:$T$376, CONCATENATE(LEFT('WBS Summary by Year'!J$6,1),'WBS Summary by Year'!$C185,'WBS Summary by Year'!$B$169),'Pre- and Production'!AF$4:AFI$376)</f>
        <v>0</v>
      </c>
      <c r="K185" s="296">
        <f>SUMIF('Pre- and Production'!$T$4:$T$376, CONCATENATE(LEFT('WBS Summary by Year'!K$6,1),'WBS Summary by Year'!$C185,'WBS Summary by Year'!$B$169),'Pre- and Production'!AP$4:AP$376)</f>
        <v>0</v>
      </c>
      <c r="L185" s="307">
        <f>SUMIF('Pre- and Production'!$T$4:$T$376, CONCATENATE(LEFT('WBS Summary by Year'!L$6,1),'WBS Summary by Year'!$C185,'WBS Summary by Year'!$B$169),'Pre- and Production'!AG$4:AG$376)</f>
        <v>0</v>
      </c>
      <c r="M185" s="303">
        <f>SUMIF('Pre- and Production'!$T$4:$T$376, CONCATENATE(LEFT('WBS Summary by Year'!M$6,1),'WBS Summary by Year'!$C185,'WBS Summary by Year'!$B$169),'Pre- and Production'!AQ$4:AQ$376)</f>
        <v>0</v>
      </c>
      <c r="N185" s="315">
        <f>SUMIF('Pre- and Production'!$T$4:$T$376, CONCATENATE(LEFT('WBS Summary by Year'!N$6,1),'WBS Summary by Year'!$C185,'WBS Summary by Year'!$B$169),'Pre- and Production'!AH$4:AH$376)</f>
        <v>0</v>
      </c>
      <c r="O185" s="316">
        <f>SUMIF('Pre- and Production'!$T$4:$T$376, CONCATENATE(LEFT('WBS Summary by Year'!O$6,1),'WBS Summary by Year'!$C185,'WBS Summary by Year'!$B$169),'Pre- and Production'!AR$4:AR$376)</f>
        <v>0</v>
      </c>
    </row>
    <row r="186" spans="3:15" s="352" customFormat="1">
      <c r="C186" s="46" t="s">
        <v>207</v>
      </c>
      <c r="D186" s="26">
        <f>SUMIF('Pre- and Production'!$T$4:$T$376, CONCATENATE(LEFT('WBS Summary by Year'!D$6,1),'WBS Summary by Year'!$C186,'WBS Summary by Year'!$B$169),'Pre- and Production'!AC$4:AC$376)</f>
        <v>96</v>
      </c>
      <c r="E186" s="303">
        <f>SUMIF('Pre- and Production'!$T$4:$T$376, CONCATENATE(LEFT('WBS Summary by Year'!E$6,1),'WBS Summary by Year'!$C186,'WBS Summary by Year'!$B$169),'Pre- and Production'!AM$4:AM$376)</f>
        <v>48</v>
      </c>
      <c r="F186" s="26">
        <f>SUMIF('Pre- and Production'!$T$4:$T$376, CONCATENATE(LEFT('WBS Summary by Year'!F$6,1),'WBS Summary by Year'!$C186,'WBS Summary by Year'!$B$169),'Pre- and Production'!AD$4:AD$376)</f>
        <v>240</v>
      </c>
      <c r="G186" s="296">
        <f>SUMIF('Pre- and Production'!$T$4:$T$376, CONCATENATE(LEFT('WBS Summary by Year'!G$6,1),'WBS Summary by Year'!$C186,'WBS Summary by Year'!$B$169),'Pre- and Production'!AN$4:AN$376)</f>
        <v>120</v>
      </c>
      <c r="H186" s="307">
        <f>SUMIF('Pre- and Production'!$T$4:$T$376, CONCATENATE(LEFT('WBS Summary by Year'!H$6,1),'WBS Summary by Year'!$C186,'WBS Summary by Year'!$B$169),'Pre- and Production'!AE$4:AE$376)</f>
        <v>0</v>
      </c>
      <c r="I186" s="303">
        <f>SUMIF('Pre- and Production'!$T$4:$T$376, CONCATENATE(LEFT('WBS Summary by Year'!I$6,1),'WBS Summary by Year'!$C186,'WBS Summary by Year'!$B$169),'Pre- and Production'!AO$4:AO$376)</f>
        <v>0</v>
      </c>
      <c r="J186" s="26">
        <f>SUMIF('Pre- and Production'!$T$4:$T$376, CONCATENATE(LEFT('WBS Summary by Year'!J$6,1),'WBS Summary by Year'!$C186,'WBS Summary by Year'!$B$169),'Pre- and Production'!AF$4:AFI$376)</f>
        <v>32</v>
      </c>
      <c r="K186" s="296">
        <f>SUMIF('Pre- and Production'!$T$4:$T$376, CONCATENATE(LEFT('WBS Summary by Year'!K$6,1),'WBS Summary by Year'!$C186,'WBS Summary by Year'!$B$169),'Pre- and Production'!AP$4:AP$376)</f>
        <v>16</v>
      </c>
      <c r="L186" s="307">
        <f>SUMIF('Pre- and Production'!$T$4:$T$376, CONCATENATE(LEFT('WBS Summary by Year'!L$6,1),'WBS Summary by Year'!$C186,'WBS Summary by Year'!$B$169),'Pre- and Production'!AG$4:AG$376)</f>
        <v>0</v>
      </c>
      <c r="M186" s="303">
        <f>SUMIF('Pre- and Production'!$T$4:$T$376, CONCATENATE(LEFT('WBS Summary by Year'!M$6,1),'WBS Summary by Year'!$C186,'WBS Summary by Year'!$B$169),'Pre- and Production'!AQ$4:AQ$376)</f>
        <v>0</v>
      </c>
      <c r="N186" s="315">
        <f>SUMIF('Pre- and Production'!$T$4:$T$376, CONCATENATE(LEFT('WBS Summary by Year'!N$6,1),'WBS Summary by Year'!$C186,'WBS Summary by Year'!$B$169),'Pre- and Production'!AH$4:AH$376)</f>
        <v>1280</v>
      </c>
      <c r="O186" s="316">
        <f>SUMIF('Pre- and Production'!$T$4:$T$376, CONCATENATE(LEFT('WBS Summary by Year'!O$6,1),'WBS Summary by Year'!$C186,'WBS Summary by Year'!$B$169),'Pre- and Production'!AR$4:AR$376)</f>
        <v>640</v>
      </c>
    </row>
    <row r="187" spans="3:15" s="352" customFormat="1">
      <c r="C187" s="100" t="s">
        <v>405</v>
      </c>
      <c r="D187" s="26">
        <f>SUMIF('Pre- and Production'!$T$4:$T$376, CONCATENATE(LEFT('WBS Summary by Year'!D$6,1),'WBS Summary by Year'!$C187,'WBS Summary by Year'!$B$169),'Pre- and Production'!AC$4:AC$376)</f>
        <v>0</v>
      </c>
      <c r="E187" s="303">
        <f>SUMIF('Pre- and Production'!$T$4:$T$376, CONCATENATE(LEFT('WBS Summary by Year'!E$6,1),'WBS Summary by Year'!$C187,'WBS Summary by Year'!$B$169),'Pre- and Production'!AM$4:AM$376)</f>
        <v>0</v>
      </c>
      <c r="F187" s="26">
        <f>SUMIF('Pre- and Production'!$T$4:$T$376, CONCATENATE(LEFT('WBS Summary by Year'!F$6,1),'WBS Summary by Year'!$C187,'WBS Summary by Year'!$B$169),'Pre- and Production'!AD$4:AD$376)</f>
        <v>0</v>
      </c>
      <c r="G187" s="296">
        <f>SUMIF('Pre- and Production'!$T$4:$T$376, CONCATENATE(LEFT('WBS Summary by Year'!G$6,1),'WBS Summary by Year'!$C187,'WBS Summary by Year'!$B$169),'Pre- and Production'!AN$4:AN$376)</f>
        <v>0</v>
      </c>
      <c r="H187" s="307">
        <f>SUMIF('Pre- and Production'!$T$4:$T$376, CONCATENATE(LEFT('WBS Summary by Year'!H$6,1),'WBS Summary by Year'!$C187,'WBS Summary by Year'!$B$169),'Pre- and Production'!AE$4:AE$376)</f>
        <v>0</v>
      </c>
      <c r="I187" s="303">
        <f>SUMIF('Pre- and Production'!$T$4:$T$376, CONCATENATE(LEFT('WBS Summary by Year'!I$6,1),'WBS Summary by Year'!$C187,'WBS Summary by Year'!$B$169),'Pre- and Production'!AO$4:AO$376)</f>
        <v>0</v>
      </c>
      <c r="J187" s="26">
        <f>SUMIF('Pre- and Production'!$T$4:$T$376, CONCATENATE(LEFT('WBS Summary by Year'!J$6,1),'WBS Summary by Year'!$C187,'WBS Summary by Year'!$B$169),'Pre- and Production'!AF$4:AFI$376)</f>
        <v>0</v>
      </c>
      <c r="K187" s="296">
        <f>SUMIF('Pre- and Production'!$T$4:$T$376, CONCATENATE(LEFT('WBS Summary by Year'!K$6,1),'WBS Summary by Year'!$C187,'WBS Summary by Year'!$B$169),'Pre- and Production'!AP$4:AP$376)</f>
        <v>0</v>
      </c>
      <c r="L187" s="307">
        <f>SUMIF('Pre- and Production'!$T$4:$T$376, CONCATENATE(LEFT('WBS Summary by Year'!L$6,1),'WBS Summary by Year'!$C187,'WBS Summary by Year'!$B$169),'Pre- and Production'!AG$4:AG$376)</f>
        <v>0</v>
      </c>
      <c r="M187" s="303">
        <f>SUMIF('Pre- and Production'!$T$4:$T$376, CONCATENATE(LEFT('WBS Summary by Year'!M$6,1),'WBS Summary by Year'!$C187,'WBS Summary by Year'!$B$169),'Pre- and Production'!AQ$4:AQ$376)</f>
        <v>0</v>
      </c>
      <c r="N187" s="315">
        <f>SUMIF('Pre- and Production'!$T$4:$T$376, CONCATENATE(LEFT('WBS Summary by Year'!N$6,1),'WBS Summary by Year'!$C187,'WBS Summary by Year'!$B$169),'Pre- and Production'!AH$4:AH$376)</f>
        <v>0</v>
      </c>
      <c r="O187" s="316">
        <f>SUMIF('Pre- and Production'!$T$4:$T$376, CONCATENATE(LEFT('WBS Summary by Year'!O$6,1),'WBS Summary by Year'!$C187,'WBS Summary by Year'!$B$169),'Pre- and Production'!AR$4:AR$376)</f>
        <v>0</v>
      </c>
    </row>
    <row r="188" spans="3:15" s="352" customFormat="1">
      <c r="C188" s="134" t="s">
        <v>406</v>
      </c>
      <c r="D188" s="26">
        <f>SUMIF('Pre- and Production'!$T$4:$T$376, CONCATENATE(LEFT('WBS Summary by Year'!D$6,1),'WBS Summary by Year'!$C188,'WBS Summary by Year'!$B$169),'Pre- and Production'!AC$4:AC$376)</f>
        <v>0</v>
      </c>
      <c r="E188" s="303">
        <f>SUMIF('Pre- and Production'!$T$4:$T$376, CONCATENATE(LEFT('WBS Summary by Year'!E$6,1),'WBS Summary by Year'!$C188,'WBS Summary by Year'!$B$169),'Pre- and Production'!AM$4:AM$376)</f>
        <v>0</v>
      </c>
      <c r="F188" s="26">
        <f>SUMIF('Pre- and Production'!$T$4:$T$376, CONCATENATE(LEFT('WBS Summary by Year'!F$6,1),'WBS Summary by Year'!$C188,'WBS Summary by Year'!$B$169),'Pre- and Production'!AD$4:AD$376)</f>
        <v>0</v>
      </c>
      <c r="G188" s="296">
        <f>SUMIF('Pre- and Production'!$T$4:$T$376, CONCATENATE(LEFT('WBS Summary by Year'!G$6,1),'WBS Summary by Year'!$C188,'WBS Summary by Year'!$B$169),'Pre- and Production'!AN$4:AN$376)</f>
        <v>0</v>
      </c>
      <c r="H188" s="307">
        <f>SUMIF('Pre- and Production'!$T$4:$T$376, CONCATENATE(LEFT('WBS Summary by Year'!H$6,1),'WBS Summary by Year'!$C188,'WBS Summary by Year'!$B$169),'Pre- and Production'!AE$4:AE$376)</f>
        <v>0</v>
      </c>
      <c r="I188" s="303">
        <f>SUMIF('Pre- and Production'!$T$4:$T$376, CONCATENATE(LEFT('WBS Summary by Year'!I$6,1),'WBS Summary by Year'!$C188,'WBS Summary by Year'!$B$169),'Pre- and Production'!AO$4:AO$376)</f>
        <v>0</v>
      </c>
      <c r="J188" s="26">
        <f>SUMIF('Pre- and Production'!$T$4:$T$376, CONCATENATE(LEFT('WBS Summary by Year'!J$6,1),'WBS Summary by Year'!$C188,'WBS Summary by Year'!$B$169),'Pre- and Production'!AF$4:AFI$376)</f>
        <v>0</v>
      </c>
      <c r="K188" s="296">
        <f>SUMIF('Pre- and Production'!$T$4:$T$376, CONCATENATE(LEFT('WBS Summary by Year'!K$6,1),'WBS Summary by Year'!$C188,'WBS Summary by Year'!$B$169),'Pre- and Production'!AP$4:AP$376)</f>
        <v>0</v>
      </c>
      <c r="L188" s="307">
        <f>SUMIF('Pre- and Production'!$T$4:$T$376, CONCATENATE(LEFT('WBS Summary by Year'!L$6,1),'WBS Summary by Year'!$C188,'WBS Summary by Year'!$B$169),'Pre- and Production'!AG$4:AG$376)</f>
        <v>0</v>
      </c>
      <c r="M188" s="303">
        <f>SUMIF('Pre- and Production'!$T$4:$T$376, CONCATENATE(LEFT('WBS Summary by Year'!M$6,1),'WBS Summary by Year'!$C188,'WBS Summary by Year'!$B$169),'Pre- and Production'!AQ$4:AQ$376)</f>
        <v>0</v>
      </c>
      <c r="N188" s="315">
        <f>SUMIF('Pre- and Production'!$T$4:$T$376, CONCATENATE(LEFT('WBS Summary by Year'!N$6,1),'WBS Summary by Year'!$C188,'WBS Summary by Year'!$B$169),'Pre- and Production'!AH$4:AH$376)</f>
        <v>0</v>
      </c>
      <c r="O188" s="316">
        <f>SUMIF('Pre- and Production'!$T$4:$T$376, CONCATENATE(LEFT('WBS Summary by Year'!O$6,1),'WBS Summary by Year'!$C188,'WBS Summary by Year'!$B$169),'Pre- and Production'!AR$4:AR$376)</f>
        <v>0</v>
      </c>
    </row>
    <row r="189" spans="3:15" s="352" customFormat="1">
      <c r="C189" s="46" t="s">
        <v>407</v>
      </c>
      <c r="D189" s="26">
        <f>SUMIF('Pre- and Production'!$T$4:$T$376, CONCATENATE(LEFT('WBS Summary by Year'!D$6,1),'WBS Summary by Year'!$C189,'WBS Summary by Year'!$B$169),'Pre- and Production'!AC$4:AC$376)</f>
        <v>0</v>
      </c>
      <c r="E189" s="303">
        <f>SUMIF('Pre- and Production'!$T$4:$T$376, CONCATENATE(LEFT('WBS Summary by Year'!E$6,1),'WBS Summary by Year'!$C189,'WBS Summary by Year'!$B$169),'Pre- and Production'!AM$4:AM$376)</f>
        <v>320</v>
      </c>
      <c r="F189" s="26">
        <f>SUMIF('Pre- and Production'!$T$4:$T$376, CONCATENATE(LEFT('WBS Summary by Year'!F$6,1),'WBS Summary by Year'!$C189,'WBS Summary by Year'!$B$169),'Pre- and Production'!AD$4:AD$376)</f>
        <v>0</v>
      </c>
      <c r="G189" s="296">
        <f>SUMIF('Pre- and Production'!$T$4:$T$376, CONCATENATE(LEFT('WBS Summary by Year'!G$6,1),'WBS Summary by Year'!$C189,'WBS Summary by Year'!$B$169),'Pre- and Production'!AN$4:AN$376)</f>
        <v>56</v>
      </c>
      <c r="H189" s="307">
        <f>SUMIF('Pre- and Production'!$T$4:$T$376, CONCATENATE(LEFT('WBS Summary by Year'!H$6,1),'WBS Summary by Year'!$C189,'WBS Summary by Year'!$B$169),'Pre- and Production'!AE$4:AE$376)</f>
        <v>0</v>
      </c>
      <c r="I189" s="303">
        <f>SUMIF('Pre- and Production'!$T$4:$T$376, CONCATENATE(LEFT('WBS Summary by Year'!I$6,1),'WBS Summary by Year'!$C189,'WBS Summary by Year'!$B$169),'Pre- and Production'!AO$4:AO$376)</f>
        <v>0</v>
      </c>
      <c r="J189" s="26">
        <f>SUMIF('Pre- and Production'!$T$4:$T$376, CONCATENATE(LEFT('WBS Summary by Year'!J$6,1),'WBS Summary by Year'!$C189,'WBS Summary by Year'!$B$169),'Pre- and Production'!AF$4:AFI$376)</f>
        <v>0</v>
      </c>
      <c r="K189" s="296">
        <f>SUMIF('Pre- and Production'!$T$4:$T$376, CONCATENATE(LEFT('WBS Summary by Year'!K$6,1),'WBS Summary by Year'!$C189,'WBS Summary by Year'!$B$169),'Pre- and Production'!AP$4:AP$376)</f>
        <v>70</v>
      </c>
      <c r="L189" s="307">
        <f>SUMIF('Pre- and Production'!$T$4:$T$376, CONCATENATE(LEFT('WBS Summary by Year'!L$6,1),'WBS Summary by Year'!$C189,'WBS Summary by Year'!$B$169),'Pre- and Production'!AG$4:AG$376)</f>
        <v>0</v>
      </c>
      <c r="M189" s="303">
        <f>SUMIF('Pre- and Production'!$T$4:$T$376, CONCATENATE(LEFT('WBS Summary by Year'!M$6,1),'WBS Summary by Year'!$C189,'WBS Summary by Year'!$B$169),'Pre- and Production'!AQ$4:AQ$376)</f>
        <v>0</v>
      </c>
      <c r="N189" s="315">
        <f>SUMIF('Pre- and Production'!$T$4:$T$376, CONCATENATE(LEFT('WBS Summary by Year'!N$6,1),'WBS Summary by Year'!$C189,'WBS Summary by Year'!$B$169),'Pre- and Production'!AH$4:AH$376)</f>
        <v>0</v>
      </c>
      <c r="O189" s="316">
        <f>SUMIF('Pre- and Production'!$T$4:$T$376, CONCATENATE(LEFT('WBS Summary by Year'!O$6,1),'WBS Summary by Year'!$C189,'WBS Summary by Year'!$B$169),'Pre- and Production'!AR$4:AR$376)</f>
        <v>1608</v>
      </c>
    </row>
    <row r="190" spans="3:15" s="352" customFormat="1">
      <c r="C190" s="46" t="s">
        <v>408</v>
      </c>
      <c r="D190" s="26">
        <f>SUMIF('Pre- and Production'!$T$4:$T$376, CONCATENATE(LEFT('WBS Summary by Year'!D$6,1),'WBS Summary by Year'!$C190,'WBS Summary by Year'!$B$169),'Pre- and Production'!AC$4:AC$376)</f>
        <v>0</v>
      </c>
      <c r="E190" s="303">
        <f>SUMIF('Pre- and Production'!$T$4:$T$376, CONCATENATE(LEFT('WBS Summary by Year'!E$6,1),'WBS Summary by Year'!$C190,'WBS Summary by Year'!$B$169),'Pre- and Production'!AM$4:AM$376)</f>
        <v>0</v>
      </c>
      <c r="F190" s="26">
        <f>SUMIF('Pre- and Production'!$T$4:$T$376, CONCATENATE(LEFT('WBS Summary by Year'!F$6,1),'WBS Summary by Year'!$C190,'WBS Summary by Year'!$B$169),'Pre- and Production'!AD$4:AD$376)</f>
        <v>300</v>
      </c>
      <c r="G190" s="296">
        <f>SUMIF('Pre- and Production'!$T$4:$T$376, CONCATENATE(LEFT('WBS Summary by Year'!G$6,1),'WBS Summary by Year'!$C190,'WBS Summary by Year'!$B$169),'Pre- and Production'!AN$4:AN$376)</f>
        <v>120</v>
      </c>
      <c r="H190" s="307">
        <f>SUMIF('Pre- and Production'!$T$4:$T$376, CONCATENATE(LEFT('WBS Summary by Year'!H$6,1),'WBS Summary by Year'!$C190,'WBS Summary by Year'!$B$169),'Pre- and Production'!AE$4:AE$376)</f>
        <v>0</v>
      </c>
      <c r="I190" s="303">
        <f>SUMIF('Pre- and Production'!$T$4:$T$376, CONCATENATE(LEFT('WBS Summary by Year'!I$6,1),'WBS Summary by Year'!$C190,'WBS Summary by Year'!$B$169),'Pre- and Production'!AO$4:AO$376)</f>
        <v>0</v>
      </c>
      <c r="J190" s="26">
        <f>SUMIF('Pre- and Production'!$T$4:$T$376, CONCATENATE(LEFT('WBS Summary by Year'!J$6,1),'WBS Summary by Year'!$C190,'WBS Summary by Year'!$B$169),'Pre- and Production'!AF$4:AFI$376)</f>
        <v>50</v>
      </c>
      <c r="K190" s="296">
        <f>SUMIF('Pre- and Production'!$T$4:$T$376, CONCATENATE(LEFT('WBS Summary by Year'!K$6,1),'WBS Summary by Year'!$C190,'WBS Summary by Year'!$B$169),'Pre- and Production'!AP$4:AP$376)</f>
        <v>20</v>
      </c>
      <c r="L190" s="307">
        <f>SUMIF('Pre- and Production'!$T$4:$T$376, CONCATENATE(LEFT('WBS Summary by Year'!L$6,1),'WBS Summary by Year'!$C190,'WBS Summary by Year'!$B$169),'Pre- and Production'!AG$4:AG$376)</f>
        <v>0</v>
      </c>
      <c r="M190" s="303">
        <f>SUMIF('Pre- and Production'!$T$4:$T$376, CONCATENATE(LEFT('WBS Summary by Year'!M$6,1),'WBS Summary by Year'!$C190,'WBS Summary by Year'!$B$169),'Pre- and Production'!AQ$4:AQ$376)</f>
        <v>0</v>
      </c>
      <c r="N190" s="315">
        <f>SUMIF('Pre- and Production'!$T$4:$T$376, CONCATENATE(LEFT('WBS Summary by Year'!N$6,1),'WBS Summary by Year'!$C190,'WBS Summary by Year'!$B$169),'Pre- and Production'!AH$4:AH$376)</f>
        <v>0</v>
      </c>
      <c r="O190" s="316">
        <f>SUMIF('Pre- and Production'!$T$4:$T$376, CONCATENATE(LEFT('WBS Summary by Year'!O$6,1),'WBS Summary by Year'!$C190,'WBS Summary by Year'!$B$169),'Pre- and Production'!AR$4:AR$376)</f>
        <v>0</v>
      </c>
    </row>
    <row r="191" spans="3:15" s="352" customFormat="1">
      <c r="C191" s="134" t="s">
        <v>409</v>
      </c>
      <c r="D191" s="26">
        <f>SUMIF('Pre- and Production'!$T$4:$T$376, CONCATENATE(LEFT('WBS Summary by Year'!D$6,1),'WBS Summary by Year'!$C191,'WBS Summary by Year'!$B$169),'Pre- and Production'!AC$4:AC$376)</f>
        <v>0</v>
      </c>
      <c r="E191" s="303">
        <f>SUMIF('Pre- and Production'!$T$4:$T$376, CONCATENATE(LEFT('WBS Summary by Year'!E$6,1),'WBS Summary by Year'!$C191,'WBS Summary by Year'!$B$169),'Pre- and Production'!AM$4:AM$376)</f>
        <v>0</v>
      </c>
      <c r="F191" s="26">
        <f>SUMIF('Pre- and Production'!$T$4:$T$376, CONCATENATE(LEFT('WBS Summary by Year'!F$6,1),'WBS Summary by Year'!$C191,'WBS Summary by Year'!$B$169),'Pre- and Production'!AD$4:AD$376)</f>
        <v>96</v>
      </c>
      <c r="G191" s="296">
        <f>SUMIF('Pre- and Production'!$T$4:$T$376, CONCATENATE(LEFT('WBS Summary by Year'!G$6,1),'WBS Summary by Year'!$C191,'WBS Summary by Year'!$B$169),'Pre- and Production'!AN$4:AN$376)</f>
        <v>48</v>
      </c>
      <c r="H191" s="307">
        <f>SUMIF('Pre- and Production'!$T$4:$T$376, CONCATENATE(LEFT('WBS Summary by Year'!H$6,1),'WBS Summary by Year'!$C191,'WBS Summary by Year'!$B$169),'Pre- and Production'!AE$4:AE$376)</f>
        <v>32</v>
      </c>
      <c r="I191" s="303">
        <f>SUMIF('Pre- and Production'!$T$4:$T$376, CONCATENATE(LEFT('WBS Summary by Year'!I$6,1),'WBS Summary by Year'!$C191,'WBS Summary by Year'!$B$169),'Pre- and Production'!AO$4:AO$376)</f>
        <v>16</v>
      </c>
      <c r="J191" s="26">
        <f>SUMIF('Pre- and Production'!$T$4:$T$376, CONCATENATE(LEFT('WBS Summary by Year'!J$6,1),'WBS Summary by Year'!$C191,'WBS Summary by Year'!$B$169),'Pre- and Production'!AF$4:AFI$376)</f>
        <v>32</v>
      </c>
      <c r="K191" s="296">
        <f>SUMIF('Pre- and Production'!$T$4:$T$376, CONCATENATE(LEFT('WBS Summary by Year'!K$6,1),'WBS Summary by Year'!$C191,'WBS Summary by Year'!$B$169),'Pre- and Production'!AP$4:AP$376)</f>
        <v>8</v>
      </c>
      <c r="L191" s="307">
        <f>SUMIF('Pre- and Production'!$T$4:$T$376, CONCATENATE(LEFT('WBS Summary by Year'!L$6,1),'WBS Summary by Year'!$C191,'WBS Summary by Year'!$B$169),'Pre- and Production'!AG$4:AG$376)</f>
        <v>0</v>
      </c>
      <c r="M191" s="303">
        <f>SUMIF('Pre- and Production'!$T$4:$T$376, CONCATENATE(LEFT('WBS Summary by Year'!M$6,1),'WBS Summary by Year'!$C191,'WBS Summary by Year'!$B$169),'Pre- and Production'!AQ$4:AQ$376)</f>
        <v>0</v>
      </c>
      <c r="N191" s="315">
        <f>SUMIF('Pre- and Production'!$T$4:$T$376, CONCATENATE(LEFT('WBS Summary by Year'!N$6,1),'WBS Summary by Year'!$C191,'WBS Summary by Year'!$B$169),'Pre- and Production'!AH$4:AH$376)</f>
        <v>0</v>
      </c>
      <c r="O191" s="316">
        <f>SUMIF('Pre- and Production'!$T$4:$T$376, CONCATENATE(LEFT('WBS Summary by Year'!O$6,1),'WBS Summary by Year'!$C191,'WBS Summary by Year'!$B$169),'Pre- and Production'!AR$4:AR$376)</f>
        <v>0</v>
      </c>
    </row>
    <row r="192" spans="3:15" s="352" customFormat="1">
      <c r="C192" s="134" t="s">
        <v>410</v>
      </c>
      <c r="D192" s="26">
        <f>SUMIF('Pre- and Production'!$T$4:$T$376, CONCATENATE(LEFT('WBS Summary by Year'!D$6,1),'WBS Summary by Year'!$C192,'WBS Summary by Year'!$B$169),'Pre- and Production'!AC$4:AC$376)</f>
        <v>0</v>
      </c>
      <c r="E192" s="303">
        <f>SUMIF('Pre- and Production'!$T$4:$T$376, CONCATENATE(LEFT('WBS Summary by Year'!E$6,1),'WBS Summary by Year'!$C192,'WBS Summary by Year'!$B$169),'Pre- and Production'!AM$4:AM$376)</f>
        <v>0</v>
      </c>
      <c r="F192" s="26">
        <f>SUMIF('Pre- and Production'!$T$4:$T$376, CONCATENATE(LEFT('WBS Summary by Year'!F$6,1),'WBS Summary by Year'!$C192,'WBS Summary by Year'!$B$169),'Pre- and Production'!AD$4:AD$376)</f>
        <v>126</v>
      </c>
      <c r="G192" s="296">
        <f>SUMIF('Pre- and Production'!$T$4:$T$376, CONCATENATE(LEFT('WBS Summary by Year'!G$6,1),'WBS Summary by Year'!$C192,'WBS Summary by Year'!$B$169),'Pre- and Production'!AN$4:AN$376)</f>
        <v>24</v>
      </c>
      <c r="H192" s="307">
        <f>SUMIF('Pre- and Production'!$T$4:$T$376, CONCATENATE(LEFT('WBS Summary by Year'!H$6,1),'WBS Summary by Year'!$C192,'WBS Summary by Year'!$B$169),'Pre- and Production'!AE$4:AE$376)</f>
        <v>220</v>
      </c>
      <c r="I192" s="303">
        <f>SUMIF('Pre- and Production'!$T$4:$T$376, CONCATENATE(LEFT('WBS Summary by Year'!I$6,1),'WBS Summary by Year'!$C192,'WBS Summary by Year'!$B$169),'Pre- and Production'!AO$4:AO$376)</f>
        <v>16</v>
      </c>
      <c r="J192" s="26">
        <f>SUMIF('Pre- and Production'!$T$4:$T$376, CONCATENATE(LEFT('WBS Summary by Year'!J$6,1),'WBS Summary by Year'!$C192,'WBS Summary by Year'!$B$169),'Pre- and Production'!AF$4:AFI$376)</f>
        <v>190</v>
      </c>
      <c r="K192" s="296">
        <f>SUMIF('Pre- and Production'!$T$4:$T$376, CONCATENATE(LEFT('WBS Summary by Year'!K$6,1),'WBS Summary by Year'!$C192,'WBS Summary by Year'!$B$169),'Pre- and Production'!AP$4:AP$376)</f>
        <v>24</v>
      </c>
      <c r="L192" s="307">
        <f>SUMIF('Pre- and Production'!$T$4:$T$376, CONCATENATE(LEFT('WBS Summary by Year'!L$6,1),'WBS Summary by Year'!$C192,'WBS Summary by Year'!$B$169),'Pre- and Production'!AG$4:AG$376)</f>
        <v>0</v>
      </c>
      <c r="M192" s="303">
        <f>SUMIF('Pre- and Production'!$T$4:$T$376, CONCATENATE(LEFT('WBS Summary by Year'!M$6,1),'WBS Summary by Year'!$C192,'WBS Summary by Year'!$B$169),'Pre- and Production'!AQ$4:AQ$376)</f>
        <v>0</v>
      </c>
      <c r="N192" s="315">
        <f>SUMIF('Pre- and Production'!$T$4:$T$376, CONCATENATE(LEFT('WBS Summary by Year'!N$6,1),'WBS Summary by Year'!$C192,'WBS Summary by Year'!$B$169),'Pre- and Production'!AH$4:AH$376)</f>
        <v>0</v>
      </c>
      <c r="O192" s="316">
        <f>SUMIF('Pre- and Production'!$T$4:$T$376, CONCATENATE(LEFT('WBS Summary by Year'!O$6,1),'WBS Summary by Year'!$C192,'WBS Summary by Year'!$B$169),'Pre- and Production'!AR$4:AR$376)</f>
        <v>0</v>
      </c>
    </row>
    <row r="193" spans="3:15">
      <c r="C193" s="134" t="s">
        <v>411</v>
      </c>
      <c r="D193" s="26">
        <f>SUMIF('Pre- and Production'!$T$4:$T$376, CONCATENATE(LEFT('WBS Summary by Year'!D$6,1),'WBS Summary by Year'!$C193,'WBS Summary by Year'!$B$169),'Pre- and Production'!AC$4:AC$376)</f>
        <v>0</v>
      </c>
      <c r="E193" s="303">
        <f>SUMIF('Pre- and Production'!$T$4:$T$376, CONCATENATE(LEFT('WBS Summary by Year'!E$6,1),'WBS Summary by Year'!$C193,'WBS Summary by Year'!$B$169),'Pre- and Production'!AM$4:AM$376)</f>
        <v>0</v>
      </c>
      <c r="F193" s="26">
        <f>SUMIF('Pre- and Production'!$T$4:$T$376, CONCATENATE(LEFT('WBS Summary by Year'!F$6,1),'WBS Summary by Year'!$C193,'WBS Summary by Year'!$B$169),'Pre- and Production'!AD$4:AD$376)</f>
        <v>0</v>
      </c>
      <c r="G193" s="296">
        <f>SUMIF('Pre- and Production'!$T$4:$T$376, CONCATENATE(LEFT('WBS Summary by Year'!G$6,1),'WBS Summary by Year'!$C193,'WBS Summary by Year'!$B$169),'Pre- and Production'!AN$4:AN$376)</f>
        <v>0</v>
      </c>
      <c r="H193" s="307">
        <f>SUMIF('Pre- and Production'!$T$4:$T$376, CONCATENATE(LEFT('WBS Summary by Year'!H$6,1),'WBS Summary by Year'!$C193,'WBS Summary by Year'!$B$169),'Pre- and Production'!AE$4:AE$376)</f>
        <v>0</v>
      </c>
      <c r="I193" s="303">
        <f>SUMIF('Pre- and Production'!$T$4:$T$376, CONCATENATE(LEFT('WBS Summary by Year'!I$6,1),'WBS Summary by Year'!$C193,'WBS Summary by Year'!$B$169),'Pre- and Production'!AO$4:AO$376)</f>
        <v>0</v>
      </c>
      <c r="J193" s="26">
        <f>SUMIF('Pre- and Production'!$T$4:$T$376, CONCATENATE(LEFT('WBS Summary by Year'!J$6,1),'WBS Summary by Year'!$C193,'WBS Summary by Year'!$B$169),'Pre- and Production'!AF$4:AFI$376)</f>
        <v>0</v>
      </c>
      <c r="K193" s="296">
        <f>SUMIF('Pre- and Production'!$T$4:$T$376, CONCATENATE(LEFT('WBS Summary by Year'!K$6,1),'WBS Summary by Year'!$C193,'WBS Summary by Year'!$B$169),'Pre- and Production'!AP$4:AP$376)</f>
        <v>0</v>
      </c>
      <c r="L193" s="307">
        <f>SUMIF('Pre- and Production'!$T$4:$T$376, CONCATENATE(LEFT('WBS Summary by Year'!L$6,1),'WBS Summary by Year'!$C193,'WBS Summary by Year'!$B$169),'Pre- and Production'!AG$4:AG$376)</f>
        <v>0</v>
      </c>
      <c r="M193" s="303">
        <f>SUMIF('Pre- and Production'!$T$4:$T$376, CONCATENATE(LEFT('WBS Summary by Year'!M$6,1),'WBS Summary by Year'!$C193,'WBS Summary by Year'!$B$169),'Pre- and Production'!AQ$4:AQ$376)</f>
        <v>0</v>
      </c>
      <c r="N193" s="315">
        <f>SUMIF('Pre- and Production'!$T$4:$T$376, CONCATENATE(LEFT('WBS Summary by Year'!N$6,1),'WBS Summary by Year'!$C193,'WBS Summary by Year'!$B$169),'Pre- and Production'!AH$4:AH$376)</f>
        <v>0</v>
      </c>
      <c r="O193" s="316">
        <f>SUMIF('Pre- and Production'!$T$4:$T$376, CONCATENATE(LEFT('WBS Summary by Year'!O$6,1),'WBS Summary by Year'!$C193,'WBS Summary by Year'!$B$169),'Pre- and Production'!AR$4:AR$376)</f>
        <v>0</v>
      </c>
    </row>
    <row r="194" spans="3:15">
      <c r="C194" s="46" t="s">
        <v>412</v>
      </c>
      <c r="D194" s="26">
        <f>SUMIF('Pre- and Production'!$T$4:$T$376, CONCATENATE(LEFT('WBS Summary by Year'!D$6,1),'WBS Summary by Year'!$C194,'WBS Summary by Year'!$B$169),'Pre- and Production'!AC$4:AC$376)</f>
        <v>0</v>
      </c>
      <c r="E194" s="303">
        <f>SUMIF('Pre- and Production'!$T$4:$T$376, CONCATENATE(LEFT('WBS Summary by Year'!E$6,1),'WBS Summary by Year'!$C194,'WBS Summary by Year'!$B$169),'Pre- and Production'!AM$4:AM$376)</f>
        <v>64</v>
      </c>
      <c r="F194" s="26">
        <f>SUMIF('Pre- and Production'!$T$4:$T$376, CONCATENATE(LEFT('WBS Summary by Year'!F$6,1),'WBS Summary by Year'!$C194,'WBS Summary by Year'!$B$169),'Pre- and Production'!AD$4:AD$376)</f>
        <v>128</v>
      </c>
      <c r="G194" s="296">
        <f>SUMIF('Pre- and Production'!$T$4:$T$376, CONCATENATE(LEFT('WBS Summary by Year'!G$6,1),'WBS Summary by Year'!$C194,'WBS Summary by Year'!$B$169),'Pre- and Production'!AN$4:AN$376)</f>
        <v>128</v>
      </c>
      <c r="H194" s="307">
        <f>SUMIF('Pre- and Production'!$T$4:$T$376, CONCATENATE(LEFT('WBS Summary by Year'!H$6,1),'WBS Summary by Year'!$C194,'WBS Summary by Year'!$B$169),'Pre- and Production'!AE$4:AE$376)</f>
        <v>0</v>
      </c>
      <c r="I194" s="303">
        <f>SUMIF('Pre- and Production'!$T$4:$T$376, CONCATENATE(LEFT('WBS Summary by Year'!I$6,1),'WBS Summary by Year'!$C194,'WBS Summary by Year'!$B$169),'Pre- and Production'!AO$4:AO$376)</f>
        <v>0</v>
      </c>
      <c r="J194" s="26">
        <f>SUMIF('Pre- and Production'!$T$4:$T$376, CONCATENATE(LEFT('WBS Summary by Year'!J$6,1),'WBS Summary by Year'!$C194,'WBS Summary by Year'!$B$169),'Pre- and Production'!AF$4:AFI$376)</f>
        <v>48</v>
      </c>
      <c r="K194" s="296">
        <f>SUMIF('Pre- and Production'!$T$4:$T$376, CONCATENATE(LEFT('WBS Summary by Year'!K$6,1),'WBS Summary by Year'!$C194,'WBS Summary by Year'!$B$169),'Pre- and Production'!AP$4:AP$376)</f>
        <v>48</v>
      </c>
      <c r="L194" s="307">
        <f>SUMIF('Pre- and Production'!$T$4:$T$376, CONCATENATE(LEFT('WBS Summary by Year'!L$6,1),'WBS Summary by Year'!$C194,'WBS Summary by Year'!$B$169),'Pre- and Production'!AG$4:AG$376)</f>
        <v>0</v>
      </c>
      <c r="M194" s="303">
        <f>SUMIF('Pre- and Production'!$T$4:$T$376, CONCATENATE(LEFT('WBS Summary by Year'!M$6,1),'WBS Summary by Year'!$C194,'WBS Summary by Year'!$B$169),'Pre- and Production'!AQ$4:AQ$376)</f>
        <v>0</v>
      </c>
      <c r="N194" s="315">
        <f>SUMIF('Pre- and Production'!$T$4:$T$376, CONCATENATE(LEFT('WBS Summary by Year'!N$6,1),'WBS Summary by Year'!$C194,'WBS Summary by Year'!$B$169),'Pre- and Production'!AH$4:AH$376)</f>
        <v>9600</v>
      </c>
      <c r="O194" s="316">
        <f>SUMIF('Pre- and Production'!$T$4:$T$376, CONCATENATE(LEFT('WBS Summary by Year'!O$6,1),'WBS Summary by Year'!$C194,'WBS Summary by Year'!$B$169),'Pre- and Production'!AR$4:AR$376)</f>
        <v>9600</v>
      </c>
    </row>
    <row r="195" spans="3:15">
      <c r="C195" s="46" t="s">
        <v>413</v>
      </c>
      <c r="D195" s="26">
        <f>SUMIF('Pre- and Production'!$T$4:$T$376, CONCATENATE(LEFT('WBS Summary by Year'!D$6,1),'WBS Summary by Year'!$C195,'WBS Summary by Year'!$B$169),'Pre- and Production'!AC$4:AC$376)</f>
        <v>0</v>
      </c>
      <c r="E195" s="303">
        <f>SUMIF('Pre- and Production'!$T$4:$T$376, CONCATENATE(LEFT('WBS Summary by Year'!E$6,1),'WBS Summary by Year'!$C195,'WBS Summary by Year'!$B$169),'Pre- and Production'!AM$4:AM$376)</f>
        <v>0</v>
      </c>
      <c r="F195" s="26">
        <f>SUMIF('Pre- and Production'!$T$4:$T$376, CONCATENATE(LEFT('WBS Summary by Year'!F$6,1),'WBS Summary by Year'!$C195,'WBS Summary by Year'!$B$169),'Pre- and Production'!AD$4:AD$376)</f>
        <v>160</v>
      </c>
      <c r="G195" s="296">
        <f>SUMIF('Pre- and Production'!$T$4:$T$376, CONCATENATE(LEFT('WBS Summary by Year'!G$6,1),'WBS Summary by Year'!$C195,'WBS Summary by Year'!$B$169),'Pre- and Production'!AN$4:AN$376)</f>
        <v>0</v>
      </c>
      <c r="H195" s="307">
        <f>SUMIF('Pre- and Production'!$T$4:$T$376, CONCATENATE(LEFT('WBS Summary by Year'!H$6,1),'WBS Summary by Year'!$C195,'WBS Summary by Year'!$B$169),'Pre- and Production'!AE$4:AE$376)</f>
        <v>0</v>
      </c>
      <c r="I195" s="303">
        <f>SUMIF('Pre- and Production'!$T$4:$T$376, CONCATENATE(LEFT('WBS Summary by Year'!I$6,1),'WBS Summary by Year'!$C195,'WBS Summary by Year'!$B$169),'Pre- and Production'!AO$4:AO$376)</f>
        <v>0</v>
      </c>
      <c r="J195" s="26">
        <f>SUMIF('Pre- and Production'!$T$4:$T$376, CONCATENATE(LEFT('WBS Summary by Year'!J$6,1),'WBS Summary by Year'!$C195,'WBS Summary by Year'!$B$169),'Pre- and Production'!AF$4:AFI$376)</f>
        <v>80</v>
      </c>
      <c r="K195" s="296">
        <f>SUMIF('Pre- and Production'!$T$4:$T$376, CONCATENATE(LEFT('WBS Summary by Year'!K$6,1),'WBS Summary by Year'!$C195,'WBS Summary by Year'!$B$169),'Pre- and Production'!AP$4:AP$376)</f>
        <v>0</v>
      </c>
      <c r="L195" s="307">
        <f>SUMIF('Pre- and Production'!$T$4:$T$376, CONCATENATE(LEFT('WBS Summary by Year'!L$6,1),'WBS Summary by Year'!$C195,'WBS Summary by Year'!$B$169),'Pre- and Production'!AG$4:AG$376)</f>
        <v>0</v>
      </c>
      <c r="M195" s="303">
        <f>SUMIF('Pre- and Production'!$T$4:$T$376, CONCATENATE(LEFT('WBS Summary by Year'!M$6,1),'WBS Summary by Year'!$C195,'WBS Summary by Year'!$B$169),'Pre- and Production'!AQ$4:AQ$376)</f>
        <v>0</v>
      </c>
      <c r="N195" s="315">
        <f>SUMIF('Pre- and Production'!$T$4:$T$376, CONCATENATE(LEFT('WBS Summary by Year'!N$6,1),'WBS Summary by Year'!$C195,'WBS Summary by Year'!$B$169),'Pre- and Production'!AH$4:AH$376)</f>
        <v>0</v>
      </c>
      <c r="O195" s="316">
        <f>SUMIF('Pre- and Production'!$T$4:$T$376, CONCATENATE(LEFT('WBS Summary by Year'!O$6,1),'WBS Summary by Year'!$C195,'WBS Summary by Year'!$B$169),'Pre- and Production'!AR$4:AR$376)</f>
        <v>0</v>
      </c>
    </row>
    <row r="196" spans="3:15">
      <c r="C196" s="134" t="s">
        <v>414</v>
      </c>
      <c r="D196" s="26">
        <f>SUMIF('Pre- and Production'!$T$4:$T$376, CONCATENATE(LEFT('WBS Summary by Year'!D$6,1),'WBS Summary by Year'!$C196,'WBS Summary by Year'!$B$169),'Pre- and Production'!AC$4:AC$376)</f>
        <v>0</v>
      </c>
      <c r="E196" s="303">
        <f>SUMIF('Pre- and Production'!$T$4:$T$376, CONCATENATE(LEFT('WBS Summary by Year'!E$6,1),'WBS Summary by Year'!$C196,'WBS Summary by Year'!$B$169),'Pre- and Production'!AM$4:AM$376)</f>
        <v>0</v>
      </c>
      <c r="F196" s="26">
        <f>SUMIF('Pre- and Production'!$T$4:$T$376, CONCATENATE(LEFT('WBS Summary by Year'!F$6,1),'WBS Summary by Year'!$C196,'WBS Summary by Year'!$B$169),'Pre- and Production'!AD$4:AD$376)</f>
        <v>0</v>
      </c>
      <c r="G196" s="296">
        <f>SUMIF('Pre- and Production'!$T$4:$T$376, CONCATENATE(LEFT('WBS Summary by Year'!G$6,1),'WBS Summary by Year'!$C196,'WBS Summary by Year'!$B$169),'Pre- and Production'!AN$4:AN$376)</f>
        <v>0</v>
      </c>
      <c r="H196" s="307">
        <f>SUMIF('Pre- and Production'!$T$4:$T$376, CONCATENATE(LEFT('WBS Summary by Year'!H$6,1),'WBS Summary by Year'!$C196,'WBS Summary by Year'!$B$169),'Pre- and Production'!AE$4:AE$376)</f>
        <v>0</v>
      </c>
      <c r="I196" s="303">
        <f>SUMIF('Pre- and Production'!$T$4:$T$376, CONCATENATE(LEFT('WBS Summary by Year'!I$6,1),'WBS Summary by Year'!$C196,'WBS Summary by Year'!$B$169),'Pre- and Production'!AO$4:AO$376)</f>
        <v>0</v>
      </c>
      <c r="J196" s="26">
        <f>SUMIF('Pre- and Production'!$T$4:$T$376, CONCATENATE(LEFT('WBS Summary by Year'!J$6,1),'WBS Summary by Year'!$C196,'WBS Summary by Year'!$B$169),'Pre- and Production'!AF$4:AFI$376)</f>
        <v>0</v>
      </c>
      <c r="K196" s="296">
        <f>SUMIF('Pre- and Production'!$T$4:$T$376, CONCATENATE(LEFT('WBS Summary by Year'!K$6,1),'WBS Summary by Year'!$C196,'WBS Summary by Year'!$B$169),'Pre- and Production'!AP$4:AP$376)</f>
        <v>0</v>
      </c>
      <c r="L196" s="307">
        <f>SUMIF('Pre- and Production'!$T$4:$T$376, CONCATENATE(LEFT('WBS Summary by Year'!L$6,1),'WBS Summary by Year'!$C196,'WBS Summary by Year'!$B$169),'Pre- and Production'!AG$4:AG$376)</f>
        <v>0</v>
      </c>
      <c r="M196" s="303">
        <f>SUMIF('Pre- and Production'!$T$4:$T$376, CONCATENATE(LEFT('WBS Summary by Year'!M$6,1),'WBS Summary by Year'!$C196,'WBS Summary by Year'!$B$169),'Pre- and Production'!AQ$4:AQ$376)</f>
        <v>0</v>
      </c>
      <c r="N196" s="315">
        <f>SUMIF('Pre- and Production'!$T$4:$T$376, CONCATENATE(LEFT('WBS Summary by Year'!N$6,1),'WBS Summary by Year'!$C196,'WBS Summary by Year'!$B$169),'Pre- and Production'!AH$4:AH$376)</f>
        <v>0</v>
      </c>
      <c r="O196" s="316">
        <f>SUMIF('Pre- and Production'!$T$4:$T$376, CONCATENATE(LEFT('WBS Summary by Year'!O$6,1),'WBS Summary by Year'!$C196,'WBS Summary by Year'!$B$169),'Pre- and Production'!AR$4:AR$376)</f>
        <v>0</v>
      </c>
    </row>
    <row r="197" spans="3:15">
      <c r="C197" s="100" t="s">
        <v>449</v>
      </c>
      <c r="D197" s="26">
        <f>SUMIF('Pre- and Production'!$T$4:$T$376, CONCATENATE(LEFT('WBS Summary by Year'!D$6,1),'WBS Summary by Year'!$C197,'WBS Summary by Year'!$B$169),'Pre- and Production'!AC$4:AC$376)</f>
        <v>0</v>
      </c>
      <c r="E197" s="303">
        <f>SUMIF('Pre- and Production'!$T$4:$T$376, CONCATENATE(LEFT('WBS Summary by Year'!E$6,1),'WBS Summary by Year'!$C197,'WBS Summary by Year'!$B$169),'Pre- and Production'!AM$4:AM$376)</f>
        <v>0</v>
      </c>
      <c r="F197" s="26">
        <f>SUMIF('Pre- and Production'!$T$4:$T$376, CONCATENATE(LEFT('WBS Summary by Year'!F$6,1),'WBS Summary by Year'!$C197,'WBS Summary by Year'!$B$169),'Pre- and Production'!AD$4:AD$376)</f>
        <v>0</v>
      </c>
      <c r="G197" s="296">
        <f>SUMIF('Pre- and Production'!$T$4:$T$376, CONCATENATE(LEFT('WBS Summary by Year'!G$6,1),'WBS Summary by Year'!$C197,'WBS Summary by Year'!$B$169),'Pre- and Production'!AN$4:AN$376)</f>
        <v>0</v>
      </c>
      <c r="H197" s="307">
        <f>SUMIF('Pre- and Production'!$T$4:$T$376, CONCATENATE(LEFT('WBS Summary by Year'!H$6,1),'WBS Summary by Year'!$C197,'WBS Summary by Year'!$B$169),'Pre- and Production'!AE$4:AE$376)</f>
        <v>0</v>
      </c>
      <c r="I197" s="303">
        <f>SUMIF('Pre- and Production'!$T$4:$T$376, CONCATENATE(LEFT('WBS Summary by Year'!I$6,1),'WBS Summary by Year'!$C197,'WBS Summary by Year'!$B$169),'Pre- and Production'!AO$4:AO$376)</f>
        <v>0</v>
      </c>
      <c r="J197" s="26">
        <f>SUMIF('Pre- and Production'!$T$4:$T$376, CONCATENATE(LEFT('WBS Summary by Year'!J$6,1),'WBS Summary by Year'!$C197,'WBS Summary by Year'!$B$169),'Pre- and Production'!AF$4:AFI$376)</f>
        <v>0</v>
      </c>
      <c r="K197" s="296">
        <f>SUMIF('Pre- and Production'!$T$4:$T$376, CONCATENATE(LEFT('WBS Summary by Year'!K$6,1),'WBS Summary by Year'!$C197,'WBS Summary by Year'!$B$169),'Pre- and Production'!AP$4:AP$376)</f>
        <v>0</v>
      </c>
      <c r="L197" s="307">
        <f>SUMIF('Pre- and Production'!$T$4:$T$376, CONCATENATE(LEFT('WBS Summary by Year'!L$6,1),'WBS Summary by Year'!$C197,'WBS Summary by Year'!$B$169),'Pre- and Production'!AG$4:AG$376)</f>
        <v>0</v>
      </c>
      <c r="M197" s="303">
        <f>SUMIF('Pre- and Production'!$T$4:$T$376, CONCATENATE(LEFT('WBS Summary by Year'!M$6,1),'WBS Summary by Year'!$C197,'WBS Summary by Year'!$B$169),'Pre- and Production'!AQ$4:AQ$376)</f>
        <v>0</v>
      </c>
      <c r="N197" s="315">
        <f>SUMIF('Pre- and Production'!$T$4:$T$376, CONCATENATE(LEFT('WBS Summary by Year'!N$6,1),'WBS Summary by Year'!$C197,'WBS Summary by Year'!$B$169),'Pre- and Production'!AH$4:AH$376)</f>
        <v>0</v>
      </c>
      <c r="O197" s="316">
        <f>SUMIF('Pre- and Production'!$T$4:$T$376, CONCATENATE(LEFT('WBS Summary by Year'!O$6,1),'WBS Summary by Year'!$C197,'WBS Summary by Year'!$B$169),'Pre- and Production'!AR$4:AR$376)</f>
        <v>0</v>
      </c>
    </row>
    <row r="198" spans="3:15">
      <c r="C198" s="134" t="s">
        <v>450</v>
      </c>
      <c r="D198" s="26">
        <f>SUMIF('Pre- and Production'!$T$4:$T$376, CONCATENATE(LEFT('WBS Summary by Year'!D$6,1),'WBS Summary by Year'!$C198,'WBS Summary by Year'!$B$169),'Pre- and Production'!AC$4:AC$376)</f>
        <v>0</v>
      </c>
      <c r="E198" s="303">
        <f>SUMIF('Pre- and Production'!$T$4:$T$376, CONCATENATE(LEFT('WBS Summary by Year'!E$6,1),'WBS Summary by Year'!$C198,'WBS Summary by Year'!$B$169),'Pre- and Production'!AM$4:AM$376)</f>
        <v>0</v>
      </c>
      <c r="F198" s="26">
        <f>SUMIF('Pre- and Production'!$T$4:$T$376, CONCATENATE(LEFT('WBS Summary by Year'!F$6,1),'WBS Summary by Year'!$C198,'WBS Summary by Year'!$B$169),'Pre- and Production'!AD$4:AD$376)</f>
        <v>0</v>
      </c>
      <c r="G198" s="296">
        <f>SUMIF('Pre- and Production'!$T$4:$T$376, CONCATENATE(LEFT('WBS Summary by Year'!G$6,1),'WBS Summary by Year'!$C198,'WBS Summary by Year'!$B$169),'Pre- and Production'!AN$4:AN$376)</f>
        <v>0</v>
      </c>
      <c r="H198" s="307">
        <f>SUMIF('Pre- and Production'!$T$4:$T$376, CONCATENATE(LEFT('WBS Summary by Year'!H$6,1),'WBS Summary by Year'!$C198,'WBS Summary by Year'!$B$169),'Pre- and Production'!AE$4:AE$376)</f>
        <v>0</v>
      </c>
      <c r="I198" s="303">
        <f>SUMIF('Pre- and Production'!$T$4:$T$376, CONCATENATE(LEFT('WBS Summary by Year'!I$6,1),'WBS Summary by Year'!$C198,'WBS Summary by Year'!$B$169),'Pre- and Production'!AO$4:AO$376)</f>
        <v>0</v>
      </c>
      <c r="J198" s="26">
        <f>SUMIF('Pre- and Production'!$T$4:$T$376, CONCATENATE(LEFT('WBS Summary by Year'!J$6,1),'WBS Summary by Year'!$C198,'WBS Summary by Year'!$B$169),'Pre- and Production'!AF$4:AFI$376)</f>
        <v>0</v>
      </c>
      <c r="K198" s="296">
        <f>SUMIF('Pre- and Production'!$T$4:$T$376, CONCATENATE(LEFT('WBS Summary by Year'!K$6,1),'WBS Summary by Year'!$C198,'WBS Summary by Year'!$B$169),'Pre- and Production'!AP$4:AP$376)</f>
        <v>0</v>
      </c>
      <c r="L198" s="307">
        <f>SUMIF('Pre- and Production'!$T$4:$T$376, CONCATENATE(LEFT('WBS Summary by Year'!L$6,1),'WBS Summary by Year'!$C198,'WBS Summary by Year'!$B$169),'Pre- and Production'!AG$4:AG$376)</f>
        <v>0</v>
      </c>
      <c r="M198" s="303">
        <f>SUMIF('Pre- and Production'!$T$4:$T$376, CONCATENATE(LEFT('WBS Summary by Year'!M$6,1),'WBS Summary by Year'!$C198,'WBS Summary by Year'!$B$169),'Pre- and Production'!AQ$4:AQ$376)</f>
        <v>0</v>
      </c>
      <c r="N198" s="315">
        <f>SUMIF('Pre- and Production'!$T$4:$T$376, CONCATENATE(LEFT('WBS Summary by Year'!N$6,1),'WBS Summary by Year'!$C198,'WBS Summary by Year'!$B$169),'Pre- and Production'!AH$4:AH$376)</f>
        <v>0</v>
      </c>
      <c r="O198" s="316">
        <f>SUMIF('Pre- and Production'!$T$4:$T$376, CONCATENATE(LEFT('WBS Summary by Year'!O$6,1),'WBS Summary by Year'!$C198,'WBS Summary by Year'!$B$169),'Pre- and Production'!AR$4:AR$376)</f>
        <v>0</v>
      </c>
    </row>
    <row r="199" spans="3:15">
      <c r="C199" s="46" t="s">
        <v>451</v>
      </c>
      <c r="D199" s="26">
        <f>SUMIF('Pre- and Production'!$T$4:$T$376, CONCATENATE(LEFT('WBS Summary by Year'!D$6,1),'WBS Summary by Year'!$C199,'WBS Summary by Year'!$B$169),'Pre- and Production'!AC$4:AC$376)</f>
        <v>0</v>
      </c>
      <c r="E199" s="303">
        <f>SUMIF('Pre- and Production'!$T$4:$T$376, CONCATENATE(LEFT('WBS Summary by Year'!E$6,1),'WBS Summary by Year'!$C199,'WBS Summary by Year'!$B$169),'Pre- and Production'!AM$4:AM$376)</f>
        <v>0</v>
      </c>
      <c r="F199" s="26">
        <f>SUMIF('Pre- and Production'!$T$4:$T$376, CONCATENATE(LEFT('WBS Summary by Year'!F$6,1),'WBS Summary by Year'!$C199,'WBS Summary by Year'!$B$169),'Pre- and Production'!AD$4:AD$376)</f>
        <v>0</v>
      </c>
      <c r="G199" s="296">
        <f>SUMIF('Pre- and Production'!$T$4:$T$376, CONCATENATE(LEFT('WBS Summary by Year'!G$6,1),'WBS Summary by Year'!$C199,'WBS Summary by Year'!$B$169),'Pre- and Production'!AN$4:AN$376)</f>
        <v>0</v>
      </c>
      <c r="H199" s="307">
        <f>SUMIF('Pre- and Production'!$T$4:$T$376, CONCATENATE(LEFT('WBS Summary by Year'!H$6,1),'WBS Summary by Year'!$C199,'WBS Summary by Year'!$B$169),'Pre- and Production'!AE$4:AE$376)</f>
        <v>0</v>
      </c>
      <c r="I199" s="303">
        <f>SUMIF('Pre- and Production'!$T$4:$T$376, CONCATENATE(LEFT('WBS Summary by Year'!I$6,1),'WBS Summary by Year'!$C199,'WBS Summary by Year'!$B$169),'Pre- and Production'!AO$4:AO$376)</f>
        <v>0</v>
      </c>
      <c r="J199" s="26">
        <f>SUMIF('Pre- and Production'!$T$4:$T$376, CONCATENATE(LEFT('WBS Summary by Year'!J$6,1),'WBS Summary by Year'!$C199,'WBS Summary by Year'!$B$169),'Pre- and Production'!AF$4:AFI$376)</f>
        <v>0</v>
      </c>
      <c r="K199" s="296">
        <f>SUMIF('Pre- and Production'!$T$4:$T$376, CONCATENATE(LEFT('WBS Summary by Year'!K$6,1),'WBS Summary by Year'!$C199,'WBS Summary by Year'!$B$169),'Pre- and Production'!AP$4:AP$376)</f>
        <v>0</v>
      </c>
      <c r="L199" s="307">
        <f>SUMIF('Pre- and Production'!$T$4:$T$376, CONCATENATE(LEFT('WBS Summary by Year'!L$6,1),'WBS Summary by Year'!$C199,'WBS Summary by Year'!$B$169),'Pre- and Production'!AG$4:AG$376)</f>
        <v>0</v>
      </c>
      <c r="M199" s="303">
        <f>SUMIF('Pre- and Production'!$T$4:$T$376, CONCATENATE(LEFT('WBS Summary by Year'!M$6,1),'WBS Summary by Year'!$C199,'WBS Summary by Year'!$B$169),'Pre- and Production'!AQ$4:AQ$376)</f>
        <v>0</v>
      </c>
      <c r="N199" s="315">
        <f>SUMIF('Pre- and Production'!$T$4:$T$376, CONCATENATE(LEFT('WBS Summary by Year'!N$6,1),'WBS Summary by Year'!$C199,'WBS Summary by Year'!$B$169),'Pre- and Production'!AH$4:AH$376)</f>
        <v>0</v>
      </c>
      <c r="O199" s="316">
        <f>SUMIF('Pre- and Production'!$T$4:$T$376, CONCATENATE(LEFT('WBS Summary by Year'!O$6,1),'WBS Summary by Year'!$C199,'WBS Summary by Year'!$B$169),'Pre- and Production'!AR$4:AR$376)</f>
        <v>0</v>
      </c>
    </row>
    <row r="200" spans="3:15">
      <c r="C200" s="46" t="s">
        <v>452</v>
      </c>
      <c r="D200" s="26">
        <f>SUMIF('Pre- and Production'!$T$4:$T$376, CONCATENATE(LEFT('WBS Summary by Year'!D$6,1),'WBS Summary by Year'!$C200,'WBS Summary by Year'!$B$169),'Pre- and Production'!AC$4:AC$376)</f>
        <v>40</v>
      </c>
      <c r="E200" s="303">
        <f>SUMIF('Pre- and Production'!$T$4:$T$376, CONCATENATE(LEFT('WBS Summary by Year'!E$6,1),'WBS Summary by Year'!$C200,'WBS Summary by Year'!$B$169),'Pre- and Production'!AM$4:AM$376)</f>
        <v>0</v>
      </c>
      <c r="F200" s="26">
        <f>SUMIF('Pre- and Production'!$T$4:$T$376, CONCATENATE(LEFT('WBS Summary by Year'!F$6,1),'WBS Summary by Year'!$C200,'WBS Summary by Year'!$B$169),'Pre- and Production'!AD$4:AD$376)</f>
        <v>100</v>
      </c>
      <c r="G200" s="296">
        <f>SUMIF('Pre- and Production'!$T$4:$T$376, CONCATENATE(LEFT('WBS Summary by Year'!G$6,1),'WBS Summary by Year'!$C200,'WBS Summary by Year'!$B$169),'Pre- and Production'!AN$4:AN$376)</f>
        <v>0</v>
      </c>
      <c r="H200" s="307">
        <f>SUMIF('Pre- and Production'!$T$4:$T$376, CONCATENATE(LEFT('WBS Summary by Year'!H$6,1),'WBS Summary by Year'!$C200,'WBS Summary by Year'!$B$169),'Pre- and Production'!AE$4:AE$376)</f>
        <v>0</v>
      </c>
      <c r="I200" s="303">
        <f>SUMIF('Pre- and Production'!$T$4:$T$376, CONCATENATE(LEFT('WBS Summary by Year'!I$6,1),'WBS Summary by Year'!$C200,'WBS Summary by Year'!$B$169),'Pre- and Production'!AO$4:AO$376)</f>
        <v>0</v>
      </c>
      <c r="J200" s="26">
        <f>SUMIF('Pre- and Production'!$T$4:$T$376, CONCATENATE(LEFT('WBS Summary by Year'!J$6,1),'WBS Summary by Year'!$C200,'WBS Summary by Year'!$B$169),'Pre- and Production'!AF$4:AFI$376)</f>
        <v>96</v>
      </c>
      <c r="K200" s="296">
        <f>SUMIF('Pre- and Production'!$T$4:$T$376, CONCATENATE(LEFT('WBS Summary by Year'!K$6,1),'WBS Summary by Year'!$C200,'WBS Summary by Year'!$B$169),'Pre- and Production'!AP$4:AP$376)</f>
        <v>0</v>
      </c>
      <c r="L200" s="307">
        <f>SUMIF('Pre- and Production'!$T$4:$T$376, CONCATENATE(LEFT('WBS Summary by Year'!L$6,1),'WBS Summary by Year'!$C200,'WBS Summary by Year'!$B$169),'Pre- and Production'!AG$4:AG$376)</f>
        <v>0</v>
      </c>
      <c r="M200" s="303">
        <f>SUMIF('Pre- and Production'!$T$4:$T$376, CONCATENATE(LEFT('WBS Summary by Year'!M$6,1),'WBS Summary by Year'!$C200,'WBS Summary by Year'!$B$169),'Pre- and Production'!AQ$4:AQ$376)</f>
        <v>0</v>
      </c>
      <c r="N200" s="315">
        <f>SUMIF('Pre- and Production'!$T$4:$T$376, CONCATENATE(LEFT('WBS Summary by Year'!N$6,1),'WBS Summary by Year'!$C200,'WBS Summary by Year'!$B$169),'Pre- and Production'!AH$4:AH$376)</f>
        <v>2800</v>
      </c>
      <c r="O200" s="316">
        <f>SUMIF('Pre- and Production'!$T$4:$T$376, CONCATENATE(LEFT('WBS Summary by Year'!O$6,1),'WBS Summary by Year'!$C200,'WBS Summary by Year'!$B$169),'Pre- and Production'!AR$4:AR$376)</f>
        <v>0</v>
      </c>
    </row>
    <row r="201" spans="3:15">
      <c r="C201" s="46" t="s">
        <v>453</v>
      </c>
      <c r="D201" s="26">
        <f>SUMIF('Pre- and Production'!$T$4:$T$376, CONCATENATE(LEFT('WBS Summary by Year'!D$6,1),'WBS Summary by Year'!$C201,'WBS Summary by Year'!$B$169),'Pre- and Production'!AC$4:AC$376)</f>
        <v>96</v>
      </c>
      <c r="E201" s="303">
        <f>SUMIF('Pre- and Production'!$T$4:$T$376, CONCATENATE(LEFT('WBS Summary by Year'!E$6,1),'WBS Summary by Year'!$C201,'WBS Summary by Year'!$B$169),'Pre- and Production'!AM$4:AM$376)</f>
        <v>0</v>
      </c>
      <c r="F201" s="26">
        <f>SUMIF('Pre- and Production'!$T$4:$T$376, CONCATENATE(LEFT('WBS Summary by Year'!F$6,1),'WBS Summary by Year'!$C201,'WBS Summary by Year'!$B$169),'Pre- and Production'!AD$4:AD$376)</f>
        <v>104</v>
      </c>
      <c r="G201" s="296">
        <f>SUMIF('Pre- and Production'!$T$4:$T$376, CONCATENATE(LEFT('WBS Summary by Year'!G$6,1),'WBS Summary by Year'!$C201,'WBS Summary by Year'!$B$169),'Pre- and Production'!AN$4:AN$376)</f>
        <v>0</v>
      </c>
      <c r="H201" s="307">
        <f>SUMIF('Pre- and Production'!$T$4:$T$376, CONCATENATE(LEFT('WBS Summary by Year'!H$6,1),'WBS Summary by Year'!$C201,'WBS Summary by Year'!$B$169),'Pre- and Production'!AE$4:AE$376)</f>
        <v>0</v>
      </c>
      <c r="I201" s="303">
        <f>SUMIF('Pre- and Production'!$T$4:$T$376, CONCATENATE(LEFT('WBS Summary by Year'!I$6,1),'WBS Summary by Year'!$C201,'WBS Summary by Year'!$B$169),'Pre- and Production'!AO$4:AO$376)</f>
        <v>0</v>
      </c>
      <c r="J201" s="26">
        <f>SUMIF('Pre- and Production'!$T$4:$T$376, CONCATENATE(LEFT('WBS Summary by Year'!J$6,1),'WBS Summary by Year'!$C201,'WBS Summary by Year'!$B$169),'Pre- and Production'!AF$4:AFI$376)</f>
        <v>40</v>
      </c>
      <c r="K201" s="296">
        <f>SUMIF('Pre- and Production'!$T$4:$T$376, CONCATENATE(LEFT('WBS Summary by Year'!K$6,1),'WBS Summary by Year'!$C201,'WBS Summary by Year'!$B$169),'Pre- and Production'!AP$4:AP$376)</f>
        <v>0</v>
      </c>
      <c r="L201" s="307">
        <f>SUMIF('Pre- and Production'!$T$4:$T$376, CONCATENATE(LEFT('WBS Summary by Year'!L$6,1),'WBS Summary by Year'!$C201,'WBS Summary by Year'!$B$169),'Pre- and Production'!AG$4:AG$376)</f>
        <v>0</v>
      </c>
      <c r="M201" s="303">
        <f>SUMIF('Pre- and Production'!$T$4:$T$376, CONCATENATE(LEFT('WBS Summary by Year'!M$6,1),'WBS Summary by Year'!$C201,'WBS Summary by Year'!$B$169),'Pre- and Production'!AQ$4:AQ$376)</f>
        <v>0</v>
      </c>
      <c r="N201" s="315">
        <f>SUMIF('Pre- and Production'!$T$4:$T$376, CONCATENATE(LEFT('WBS Summary by Year'!N$6,1),'WBS Summary by Year'!$C201,'WBS Summary by Year'!$B$169),'Pre- and Production'!AH$4:AH$376)</f>
        <v>1280</v>
      </c>
      <c r="O201" s="316">
        <f>SUMIF('Pre- and Production'!$T$4:$T$376, CONCATENATE(LEFT('WBS Summary by Year'!O$6,1),'WBS Summary by Year'!$C201,'WBS Summary by Year'!$B$169),'Pre- and Production'!AR$4:AR$376)</f>
        <v>0</v>
      </c>
    </row>
    <row r="202" spans="3:15">
      <c r="C202" s="134" t="s">
        <v>459</v>
      </c>
      <c r="D202" s="26">
        <f>SUMIF('Pre- and Production'!$T$4:$T$376, CONCATENATE(LEFT('WBS Summary by Year'!D$6,1),'WBS Summary by Year'!$C202,'WBS Summary by Year'!$B$169),'Pre- and Production'!AC$4:AC$376)</f>
        <v>0</v>
      </c>
      <c r="E202" s="303">
        <f>SUMIF('Pre- and Production'!$T$4:$T$376, CONCATENATE(LEFT('WBS Summary by Year'!E$6,1),'WBS Summary by Year'!$C202,'WBS Summary by Year'!$B$169),'Pre- and Production'!AM$4:AM$376)</f>
        <v>0</v>
      </c>
      <c r="F202" s="26">
        <f>SUMIF('Pre- and Production'!$T$4:$T$376, CONCATENATE(LEFT('WBS Summary by Year'!F$6,1),'WBS Summary by Year'!$C202,'WBS Summary by Year'!$B$169),'Pre- and Production'!AD$4:AD$376)</f>
        <v>0</v>
      </c>
      <c r="G202" s="296">
        <f>SUMIF('Pre- and Production'!$T$4:$T$376, CONCATENATE(LEFT('WBS Summary by Year'!G$6,1),'WBS Summary by Year'!$C202,'WBS Summary by Year'!$B$169),'Pre- and Production'!AN$4:AN$376)</f>
        <v>0</v>
      </c>
      <c r="H202" s="307">
        <f>SUMIF('Pre- and Production'!$T$4:$T$376, CONCATENATE(LEFT('WBS Summary by Year'!H$6,1),'WBS Summary by Year'!$C202,'WBS Summary by Year'!$B$169),'Pre- and Production'!AE$4:AE$376)</f>
        <v>0</v>
      </c>
      <c r="I202" s="303">
        <f>SUMIF('Pre- and Production'!$T$4:$T$376, CONCATENATE(LEFT('WBS Summary by Year'!I$6,1),'WBS Summary by Year'!$C202,'WBS Summary by Year'!$B$169),'Pre- and Production'!AO$4:AO$376)</f>
        <v>0</v>
      </c>
      <c r="J202" s="26">
        <f>SUMIF('Pre- and Production'!$T$4:$T$376, CONCATENATE(LEFT('WBS Summary by Year'!J$6,1),'WBS Summary by Year'!$C202,'WBS Summary by Year'!$B$169),'Pre- and Production'!AF$4:AFI$376)</f>
        <v>0</v>
      </c>
      <c r="K202" s="296">
        <f>SUMIF('Pre- and Production'!$T$4:$T$376, CONCATENATE(LEFT('WBS Summary by Year'!K$6,1),'WBS Summary by Year'!$C202,'WBS Summary by Year'!$B$169),'Pre- and Production'!AP$4:AP$376)</f>
        <v>0</v>
      </c>
      <c r="L202" s="307">
        <f>SUMIF('Pre- and Production'!$T$4:$T$376, CONCATENATE(LEFT('WBS Summary by Year'!L$6,1),'WBS Summary by Year'!$C202,'WBS Summary by Year'!$B$169),'Pre- and Production'!AG$4:AG$376)</f>
        <v>0</v>
      </c>
      <c r="M202" s="303">
        <f>SUMIF('Pre- and Production'!$T$4:$T$376, CONCATENATE(LEFT('WBS Summary by Year'!M$6,1),'WBS Summary by Year'!$C202,'WBS Summary by Year'!$B$169),'Pre- and Production'!AQ$4:AQ$376)</f>
        <v>0</v>
      </c>
      <c r="N202" s="315">
        <f>SUMIF('Pre- and Production'!$T$4:$T$376, CONCATENATE(LEFT('WBS Summary by Year'!N$6,1),'WBS Summary by Year'!$C202,'WBS Summary by Year'!$B$169),'Pre- and Production'!AH$4:AH$376)</f>
        <v>0</v>
      </c>
      <c r="O202" s="316">
        <f>SUMIF('Pre- and Production'!$T$4:$T$376, CONCATENATE(LEFT('WBS Summary by Year'!O$6,1),'WBS Summary by Year'!$C202,'WBS Summary by Year'!$B$169),'Pre- and Production'!AR$4:AR$376)</f>
        <v>0</v>
      </c>
    </row>
    <row r="203" spans="3:15">
      <c r="C203" s="46" t="s">
        <v>460</v>
      </c>
      <c r="D203" s="26">
        <f>SUMIF('Pre- and Production'!$T$4:$T$376, CONCATENATE(LEFT('WBS Summary by Year'!D$6,1),'WBS Summary by Year'!$C203,'WBS Summary by Year'!$B$169),'Pre- and Production'!AC$4:AC$376)</f>
        <v>0</v>
      </c>
      <c r="E203" s="303">
        <f>SUMIF('Pre- and Production'!$T$4:$T$376, CONCATENATE(LEFT('WBS Summary by Year'!E$6,1),'WBS Summary by Year'!$C203,'WBS Summary by Year'!$B$169),'Pre- and Production'!AM$4:AM$376)</f>
        <v>0</v>
      </c>
      <c r="F203" s="26">
        <f>SUMIF('Pre- and Production'!$T$4:$T$376, CONCATENATE(LEFT('WBS Summary by Year'!F$6,1),'WBS Summary by Year'!$C203,'WBS Summary by Year'!$B$169),'Pre- and Production'!AD$4:AD$376)</f>
        <v>0</v>
      </c>
      <c r="G203" s="296">
        <f>SUMIF('Pre- and Production'!$T$4:$T$376, CONCATENATE(LEFT('WBS Summary by Year'!G$6,1),'WBS Summary by Year'!$C203,'WBS Summary by Year'!$B$169),'Pre- and Production'!AN$4:AN$376)</f>
        <v>0</v>
      </c>
      <c r="H203" s="307">
        <f>SUMIF('Pre- and Production'!$T$4:$T$376, CONCATENATE(LEFT('WBS Summary by Year'!H$6,1),'WBS Summary by Year'!$C203,'WBS Summary by Year'!$B$169),'Pre- and Production'!AE$4:AE$376)</f>
        <v>0</v>
      </c>
      <c r="I203" s="303">
        <f>SUMIF('Pre- and Production'!$T$4:$T$376, CONCATENATE(LEFT('WBS Summary by Year'!I$6,1),'WBS Summary by Year'!$C203,'WBS Summary by Year'!$B$169),'Pre- and Production'!AO$4:AO$376)</f>
        <v>0</v>
      </c>
      <c r="J203" s="26">
        <f>SUMIF('Pre- and Production'!$T$4:$T$376, CONCATENATE(LEFT('WBS Summary by Year'!J$6,1),'WBS Summary by Year'!$C203,'WBS Summary by Year'!$B$169),'Pre- and Production'!AF$4:AFI$376)</f>
        <v>0</v>
      </c>
      <c r="K203" s="296">
        <f>SUMIF('Pre- and Production'!$T$4:$T$376, CONCATENATE(LEFT('WBS Summary by Year'!K$6,1),'WBS Summary by Year'!$C203,'WBS Summary by Year'!$B$169),'Pre- and Production'!AP$4:AP$376)</f>
        <v>0</v>
      </c>
      <c r="L203" s="307">
        <f>SUMIF('Pre- and Production'!$T$4:$T$376, CONCATENATE(LEFT('WBS Summary by Year'!L$6,1),'WBS Summary by Year'!$C203,'WBS Summary by Year'!$B$169),'Pre- and Production'!AG$4:AG$376)</f>
        <v>0</v>
      </c>
      <c r="M203" s="303">
        <f>SUMIF('Pre- and Production'!$T$4:$T$376, CONCATENATE(LEFT('WBS Summary by Year'!M$6,1),'WBS Summary by Year'!$C203,'WBS Summary by Year'!$B$169),'Pre- and Production'!AQ$4:AQ$376)</f>
        <v>0</v>
      </c>
      <c r="N203" s="315">
        <f>SUMIF('Pre- and Production'!$T$4:$T$376, CONCATENATE(LEFT('WBS Summary by Year'!N$6,1),'WBS Summary by Year'!$C203,'WBS Summary by Year'!$B$169),'Pre- and Production'!AH$4:AH$376)</f>
        <v>0</v>
      </c>
      <c r="O203" s="316">
        <f>SUMIF('Pre- and Production'!$T$4:$T$376, CONCATENATE(LEFT('WBS Summary by Year'!O$6,1),'WBS Summary by Year'!$C203,'WBS Summary by Year'!$B$169),'Pre- and Production'!AR$4:AR$376)</f>
        <v>0</v>
      </c>
    </row>
    <row r="204" spans="3:15">
      <c r="C204" s="46" t="s">
        <v>461</v>
      </c>
      <c r="D204" s="26">
        <f>SUMIF('Pre- and Production'!$T$4:$T$376, CONCATENATE(LEFT('WBS Summary by Year'!D$6,1),'WBS Summary by Year'!$C204,'WBS Summary by Year'!$B$169),'Pre- and Production'!AC$4:AC$376)</f>
        <v>0</v>
      </c>
      <c r="E204" s="303">
        <f>SUMIF('Pre- and Production'!$T$4:$T$376, CONCATENATE(LEFT('WBS Summary by Year'!E$6,1),'WBS Summary by Year'!$C204,'WBS Summary by Year'!$B$169),'Pre- and Production'!AM$4:AM$376)</f>
        <v>0</v>
      </c>
      <c r="F204" s="26">
        <f>SUMIF('Pre- and Production'!$T$4:$T$376, CONCATENATE(LEFT('WBS Summary by Year'!F$6,1),'WBS Summary by Year'!$C204,'WBS Summary by Year'!$B$169),'Pre- and Production'!AD$4:AD$376)</f>
        <v>0</v>
      </c>
      <c r="G204" s="296">
        <f>SUMIF('Pre- and Production'!$T$4:$T$376, CONCATENATE(LEFT('WBS Summary by Year'!G$6,1),'WBS Summary by Year'!$C204,'WBS Summary by Year'!$B$169),'Pre- and Production'!AN$4:AN$376)</f>
        <v>0</v>
      </c>
      <c r="H204" s="307">
        <f>SUMIF('Pre- and Production'!$T$4:$T$376, CONCATENATE(LEFT('WBS Summary by Year'!H$6,1),'WBS Summary by Year'!$C204,'WBS Summary by Year'!$B$169),'Pre- and Production'!AE$4:AE$376)</f>
        <v>0</v>
      </c>
      <c r="I204" s="303">
        <f>SUMIF('Pre- and Production'!$T$4:$T$376, CONCATENATE(LEFT('WBS Summary by Year'!I$6,1),'WBS Summary by Year'!$C204,'WBS Summary by Year'!$B$169),'Pre- and Production'!AO$4:AO$376)</f>
        <v>0</v>
      </c>
      <c r="J204" s="26">
        <f>SUMIF('Pre- and Production'!$T$4:$T$376, CONCATENATE(LEFT('WBS Summary by Year'!J$6,1),'WBS Summary by Year'!$C204,'WBS Summary by Year'!$B$169),'Pre- and Production'!AF$4:AFI$376)</f>
        <v>0</v>
      </c>
      <c r="K204" s="296">
        <f>SUMIF('Pre- and Production'!$T$4:$T$376, CONCATENATE(LEFT('WBS Summary by Year'!K$6,1),'WBS Summary by Year'!$C204,'WBS Summary by Year'!$B$169),'Pre- and Production'!AP$4:AP$376)</f>
        <v>0</v>
      </c>
      <c r="L204" s="307">
        <f>SUMIF('Pre- and Production'!$T$4:$T$376, CONCATENATE(LEFT('WBS Summary by Year'!L$6,1),'WBS Summary by Year'!$C204,'WBS Summary by Year'!$B$169),'Pre- and Production'!AG$4:AG$376)</f>
        <v>0</v>
      </c>
      <c r="M204" s="303">
        <f>SUMIF('Pre- and Production'!$T$4:$T$376, CONCATENATE(LEFT('WBS Summary by Year'!M$6,1),'WBS Summary by Year'!$C204,'WBS Summary by Year'!$B$169),'Pre- and Production'!AQ$4:AQ$376)</f>
        <v>0</v>
      </c>
      <c r="N204" s="315">
        <f>SUMIF('Pre- and Production'!$T$4:$T$376, CONCATENATE(LEFT('WBS Summary by Year'!N$6,1),'WBS Summary by Year'!$C204,'WBS Summary by Year'!$B$169),'Pre- and Production'!AH$4:AH$376)</f>
        <v>0</v>
      </c>
      <c r="O204" s="316">
        <f>SUMIF('Pre- and Production'!$T$4:$T$376, CONCATENATE(LEFT('WBS Summary by Year'!O$6,1),'WBS Summary by Year'!$C204,'WBS Summary by Year'!$B$169),'Pre- and Production'!AR$4:AR$376)</f>
        <v>0</v>
      </c>
    </row>
    <row r="205" spans="3:15" ht="13.5" thickBot="1">
      <c r="C205" s="46" t="s">
        <v>462</v>
      </c>
      <c r="D205" s="297">
        <f>SUMIF('Pre- and Production'!$T$4:$T$376, CONCATENATE(LEFT('WBS Summary by Year'!D$6,1),'WBS Summary by Year'!$C205,'WBS Summary by Year'!$B$169),'Pre- and Production'!AC$4:AC$376)</f>
        <v>0</v>
      </c>
      <c r="E205" s="304">
        <f>SUMIF('Pre- and Production'!$T$4:$T$376, CONCATENATE(LEFT('WBS Summary by Year'!E$6,1),'WBS Summary by Year'!$C205,'WBS Summary by Year'!$B$169),'Pre- and Production'!AM$4:AM$376)</f>
        <v>0</v>
      </c>
      <c r="F205" s="297">
        <f>SUMIF('Pre- and Production'!$T$4:$T$376, CONCATENATE(LEFT('WBS Summary by Year'!F$6,1),'WBS Summary by Year'!$C205,'WBS Summary by Year'!$B$169),'Pre- and Production'!AD$4:AD$376)</f>
        <v>0</v>
      </c>
      <c r="G205" s="298">
        <f>SUMIF('Pre- and Production'!$T$4:$T$376, CONCATENATE(LEFT('WBS Summary by Year'!G$6,1),'WBS Summary by Year'!$C205,'WBS Summary by Year'!$B$169),'Pre- and Production'!AN$4:AN$376)</f>
        <v>0</v>
      </c>
      <c r="H205" s="308">
        <f>SUMIF('Pre- and Production'!$T$4:$T$376, CONCATENATE(LEFT('WBS Summary by Year'!H$6,1),'WBS Summary by Year'!$C205,'WBS Summary by Year'!$B$169),'Pre- and Production'!AE$4:AE$376)</f>
        <v>0</v>
      </c>
      <c r="I205" s="304">
        <f>SUMIF('Pre- and Production'!$T$4:$T$376, CONCATENATE(LEFT('WBS Summary by Year'!I$6,1),'WBS Summary by Year'!$C205,'WBS Summary by Year'!$B$169),'Pre- and Production'!AO$4:AO$376)</f>
        <v>0</v>
      </c>
      <c r="J205" s="297">
        <f>SUMIF('Pre- and Production'!$T$4:$T$376, CONCATENATE(LEFT('WBS Summary by Year'!J$6,1),'WBS Summary by Year'!$C205,'WBS Summary by Year'!$B$169),'Pre- and Production'!AF$4:AFI$376)</f>
        <v>0</v>
      </c>
      <c r="K205" s="298">
        <f>SUMIF('Pre- and Production'!$T$4:$T$376, CONCATENATE(LEFT('WBS Summary by Year'!K$6,1),'WBS Summary by Year'!$C205,'WBS Summary by Year'!$B$169),'Pre- and Production'!AP$4:AP$376)</f>
        <v>0</v>
      </c>
      <c r="L205" s="308">
        <f>SUMIF('Pre- and Production'!$T$4:$T$376, CONCATENATE(LEFT('WBS Summary by Year'!L$6,1),'WBS Summary by Year'!$C205,'WBS Summary by Year'!$B$169),'Pre- and Production'!AG$4:AG$376)</f>
        <v>0</v>
      </c>
      <c r="M205" s="304">
        <f>SUMIF('Pre- and Production'!$T$4:$T$376, CONCATENATE(LEFT('WBS Summary by Year'!M$6,1),'WBS Summary by Year'!$C205,'WBS Summary by Year'!$B$169),'Pre- and Production'!AQ$4:AQ$376)</f>
        <v>0</v>
      </c>
      <c r="N205" s="317">
        <f>SUMIF('Pre- and Production'!$T$4:$T$376, CONCATENATE(LEFT('WBS Summary by Year'!N$6,1),'WBS Summary by Year'!$C205,'WBS Summary by Year'!$B$169),'Pre- and Production'!AH$4:AH$376)</f>
        <v>0</v>
      </c>
      <c r="O205" s="318">
        <f>SUMIF('Pre- and Production'!$T$4:$T$376, CONCATENATE(LEFT('WBS Summary by Year'!O$6,1),'WBS Summary by Year'!$C205,'WBS Summary by Year'!$B$169),'Pre- and Production'!AR$4:AR$376)</f>
        <v>0</v>
      </c>
    </row>
    <row r="206" spans="3:15" ht="13.5" thickTop="1"/>
    <row r="207" spans="3:15">
      <c r="D207">
        <f>SUM(D172:D205)</f>
        <v>763.5</v>
      </c>
      <c r="E207">
        <f t="shared" ref="E207:O207" si="11">SUM(E172:E205)</f>
        <v>733.5</v>
      </c>
      <c r="F207">
        <f t="shared" si="11"/>
        <v>1804</v>
      </c>
      <c r="G207">
        <f t="shared" si="11"/>
        <v>802</v>
      </c>
      <c r="H207">
        <f t="shared" si="11"/>
        <v>252</v>
      </c>
      <c r="I207">
        <f t="shared" si="11"/>
        <v>32</v>
      </c>
      <c r="J207">
        <f t="shared" si="11"/>
        <v>843</v>
      </c>
      <c r="K207">
        <f t="shared" si="11"/>
        <v>552</v>
      </c>
      <c r="L207">
        <f t="shared" si="11"/>
        <v>0</v>
      </c>
      <c r="M207">
        <f t="shared" si="11"/>
        <v>0</v>
      </c>
      <c r="N207" s="310">
        <f t="shared" si="11"/>
        <v>49654.5</v>
      </c>
      <c r="O207" s="310">
        <f t="shared" si="11"/>
        <v>23639</v>
      </c>
    </row>
    <row r="208" spans="3:15">
      <c r="C208" s="352" t="s">
        <v>401</v>
      </c>
      <c r="D208" s="346">
        <f>D207/1720</f>
        <v>0.44389534883720932</v>
      </c>
      <c r="E208" s="346">
        <f t="shared" ref="E208:I208" si="12">E207/1720</f>
        <v>0.42645348837209301</v>
      </c>
      <c r="F208" s="346">
        <f t="shared" si="12"/>
        <v>1.0488372093023255</v>
      </c>
      <c r="G208" s="346">
        <f t="shared" si="12"/>
        <v>0.46627906976744188</v>
      </c>
      <c r="H208" s="346">
        <f t="shared" si="12"/>
        <v>0.14651162790697675</v>
      </c>
      <c r="I208" s="346">
        <f t="shared" si="12"/>
        <v>1.8604651162790697E-2</v>
      </c>
      <c r="J208" s="346">
        <f>J207/1720</f>
        <v>0.49011627906976746</v>
      </c>
      <c r="K208" s="346">
        <f t="shared" ref="K208:M208" si="13">K207/1720</f>
        <v>0.32093023255813952</v>
      </c>
      <c r="L208" s="346">
        <f t="shared" si="13"/>
        <v>0</v>
      </c>
      <c r="M208" s="346">
        <f t="shared" si="13"/>
        <v>0</v>
      </c>
    </row>
    <row r="209" spans="2:15">
      <c r="C209" s="352" t="s">
        <v>402</v>
      </c>
      <c r="D209" s="348">
        <f>D207*Shop</f>
        <v>77922.81</v>
      </c>
      <c r="E209" s="348">
        <f>E207*Shop</f>
        <v>74861.009999999995</v>
      </c>
      <c r="F209" s="348">
        <f>F207*M_Tech</f>
        <v>170965.08000000002</v>
      </c>
      <c r="G209" s="348">
        <f>G207*M_Tech</f>
        <v>76005.540000000008</v>
      </c>
      <c r="H209" s="348">
        <f>H208*CMM</f>
        <v>14.952976744186047</v>
      </c>
      <c r="I209" s="348">
        <f>I207*CMM</f>
        <v>3265.92</v>
      </c>
      <c r="J209" s="348">
        <f>J207*ENG</f>
        <v>102424.50000000001</v>
      </c>
      <c r="K209" s="348">
        <f>K207*ENG</f>
        <v>67068.000000000015</v>
      </c>
      <c r="L209" s="348">
        <f>L207*DES</f>
        <v>0</v>
      </c>
      <c r="M209" s="348">
        <f>M207*DES</f>
        <v>0</v>
      </c>
    </row>
    <row r="210" spans="2:15" ht="18.75" thickBot="1">
      <c r="B210" s="309" t="s">
        <v>177</v>
      </c>
    </row>
    <row r="211" spans="2:15" ht="13.5" thickTop="1">
      <c r="D211" s="396" t="s">
        <v>41</v>
      </c>
      <c r="E211" s="397"/>
      <c r="F211" s="396" t="s">
        <v>380</v>
      </c>
      <c r="G211" s="398"/>
      <c r="H211" s="399" t="s">
        <v>37</v>
      </c>
      <c r="I211" s="397"/>
      <c r="J211" s="396" t="s">
        <v>381</v>
      </c>
      <c r="K211" s="398"/>
      <c r="L211" s="399" t="s">
        <v>31</v>
      </c>
      <c r="M211" s="397"/>
      <c r="N211" s="394" t="s">
        <v>382</v>
      </c>
      <c r="O211" s="395"/>
    </row>
    <row r="212" spans="2:15" ht="13.5" thickBot="1">
      <c r="D212" s="299" t="s">
        <v>70</v>
      </c>
      <c r="E212" s="301" t="s">
        <v>383</v>
      </c>
      <c r="F212" s="299" t="s">
        <v>70</v>
      </c>
      <c r="G212" s="300" t="s">
        <v>383</v>
      </c>
      <c r="H212" s="305" t="s">
        <v>70</v>
      </c>
      <c r="I212" s="301" t="s">
        <v>383</v>
      </c>
      <c r="J212" s="299" t="s">
        <v>70</v>
      </c>
      <c r="K212" s="300" t="s">
        <v>383</v>
      </c>
      <c r="L212" s="305" t="s">
        <v>70</v>
      </c>
      <c r="M212" s="301" t="s">
        <v>383</v>
      </c>
      <c r="N212" s="311" t="s">
        <v>70</v>
      </c>
      <c r="O212" s="312" t="s">
        <v>383</v>
      </c>
    </row>
    <row r="213" spans="2:15" ht="13.5" thickTop="1">
      <c r="C213" s="20" t="s">
        <v>180</v>
      </c>
      <c r="D213" s="294">
        <f>SUMIF('Pre- and Production'!$T$4:$T$376, CONCATENATE(LEFT('WBS Summary by Year'!D$6,1),'WBS Summary by Year'!$C213,'WBS Summary by Year'!$B$210),'Pre- and Production'!AC$4:AC$376)</f>
        <v>0</v>
      </c>
      <c r="E213" s="302">
        <f>SUMIF('Pre- and Production'!$T$4:$T$376, CONCATENATE(LEFT('WBS Summary by Year'!E$6,1),'WBS Summary by Year'!$C213,'WBS Summary by Year'!$B$210),'Pre- and Production'!AM$4:AM$376)</f>
        <v>0</v>
      </c>
      <c r="F213" s="294">
        <f>SUMIF('Pre- and Production'!$T$4:$T$376, CONCATENATE(LEFT('WBS Summary by Year'!F$6,1),'WBS Summary by Year'!$C213,'WBS Summary by Year'!$B$210),'Pre- and Production'!AD$4:AD$376)</f>
        <v>0</v>
      </c>
      <c r="G213" s="295">
        <f>SUMIF('Pre- and Production'!$T$4:$T$376, CONCATENATE(LEFT('WBS Summary by Year'!G$6,1),'WBS Summary by Year'!$C213,'WBS Summary by Year'!$B$210),'Pre- and Production'!AN$4:AN$376)</f>
        <v>0</v>
      </c>
      <c r="H213" s="306">
        <f>SUMIF('Pre- and Production'!$T$4:$T$376, CONCATENATE(LEFT('WBS Summary by Year'!H$6,1),'WBS Summary by Year'!$C213,'WBS Summary by Year'!$B$210),'Pre- and Production'!AE$4:AE$376)</f>
        <v>0</v>
      </c>
      <c r="I213" s="302">
        <f>SUMIF('Pre- and Production'!$T$4:$T$376, CONCATENATE(LEFT('WBS Summary by Year'!I$6,1),'WBS Summary by Year'!$C213,'WBS Summary by Year'!$B$210),'Pre- and Production'!AO$4:AO$376)</f>
        <v>0</v>
      </c>
      <c r="J213" s="294">
        <f>SUMIF('Pre- and Production'!$T$4:$T$376, CONCATENATE(LEFT('WBS Summary by Year'!J$6,1),'WBS Summary by Year'!$C213,'WBS Summary by Year'!$B$210),'Pre- and Production'!AF$4:AFI$376)</f>
        <v>0</v>
      </c>
      <c r="K213" s="295">
        <f>SUMIF('Pre- and Production'!$T$4:$T$376, CONCATENATE(LEFT('WBS Summary by Year'!K$6,1),'WBS Summary by Year'!$C213,'WBS Summary by Year'!$B$210),'Pre- and Production'!AP$4:AP$376)</f>
        <v>0</v>
      </c>
      <c r="L213" s="306">
        <f>SUMIF('Pre- and Production'!$T$4:$T$376, CONCATENATE(LEFT('WBS Summary by Year'!L$6,1),'WBS Summary by Year'!$C213,'WBS Summary by Year'!$B$210),'Pre- and Production'!AG$4:AG$376)</f>
        <v>0</v>
      </c>
      <c r="M213" s="302">
        <f>SUMIF('Pre- and Production'!$T$4:$T$376, CONCATENATE(LEFT('WBS Summary by Year'!M$6,1),'WBS Summary by Year'!$C213,'WBS Summary by Year'!$B$210),'Pre- and Production'!AQ$4:AQ$376)</f>
        <v>0</v>
      </c>
      <c r="N213" s="313">
        <f>SUMIF('Pre- and Production'!$T$4:$T$376, CONCATENATE(LEFT('WBS Summary by Year'!N$6,1),'WBS Summary by Year'!$C213,'WBS Summary by Year'!$B$210),'Pre- and Production'!AH$4:AH$376)</f>
        <v>0</v>
      </c>
      <c r="O213" s="314">
        <f>SUMIF('Pre- and Production'!$T$4:$T$376, CONCATENATE(LEFT('WBS Summary by Year'!O$6,1),'WBS Summary by Year'!$C213,'WBS Summary by Year'!$B$210),'Pre- and Production'!AR$4:AR$376)</f>
        <v>0</v>
      </c>
    </row>
    <row r="214" spans="2:15">
      <c r="C214" s="134" t="s">
        <v>182</v>
      </c>
      <c r="D214" s="26">
        <f>SUMIF('Pre- and Production'!$T$4:$T$376, CONCATENATE(LEFT('WBS Summary by Year'!D$6,1),'WBS Summary by Year'!$C214,'WBS Summary by Year'!$B$210),'Pre- and Production'!AC$4:AC$376)</f>
        <v>0</v>
      </c>
      <c r="E214" s="303">
        <f>SUMIF('Pre- and Production'!$T$4:$T$376, CONCATENATE(LEFT('WBS Summary by Year'!E$6,1),'WBS Summary by Year'!$C214,'WBS Summary by Year'!$B$210),'Pre- and Production'!AM$4:AM$376)</f>
        <v>0</v>
      </c>
      <c r="F214" s="26">
        <f>SUMIF('Pre- and Production'!$T$4:$T$376, CONCATENATE(LEFT('WBS Summary by Year'!F$6,1),'WBS Summary by Year'!$C214,'WBS Summary by Year'!$B$210),'Pre- and Production'!AD$4:AD$376)</f>
        <v>0</v>
      </c>
      <c r="G214" s="296">
        <f>SUMIF('Pre- and Production'!$T$4:$T$376, CONCATENATE(LEFT('WBS Summary by Year'!G$6,1),'WBS Summary by Year'!$C214,'WBS Summary by Year'!$B$210),'Pre- and Production'!AN$4:AN$376)</f>
        <v>0</v>
      </c>
      <c r="H214" s="307">
        <f>SUMIF('Pre- and Production'!$T$4:$T$376, CONCATENATE(LEFT('WBS Summary by Year'!H$6,1),'WBS Summary by Year'!$C214,'WBS Summary by Year'!$B$210),'Pre- and Production'!AE$4:AE$376)</f>
        <v>0</v>
      </c>
      <c r="I214" s="303">
        <f>SUMIF('Pre- and Production'!$T$4:$T$376, CONCATENATE(LEFT('WBS Summary by Year'!I$6,1),'WBS Summary by Year'!$C214,'WBS Summary by Year'!$B$210),'Pre- and Production'!AO$4:AO$376)</f>
        <v>0</v>
      </c>
      <c r="J214" s="26">
        <f>SUMIF('Pre- and Production'!$T$4:$T$376, CONCATENATE(LEFT('WBS Summary by Year'!J$6,1),'WBS Summary by Year'!$C214,'WBS Summary by Year'!$B$210),'Pre- and Production'!AF$4:AFI$376)</f>
        <v>0</v>
      </c>
      <c r="K214" s="296">
        <f>SUMIF('Pre- and Production'!$T$4:$T$376, CONCATENATE(LEFT('WBS Summary by Year'!K$6,1),'WBS Summary by Year'!$C214,'WBS Summary by Year'!$B$210),'Pre- and Production'!AP$4:AP$376)</f>
        <v>0</v>
      </c>
      <c r="L214" s="307">
        <f>SUMIF('Pre- and Production'!$T$4:$T$376, CONCATENATE(LEFT('WBS Summary by Year'!L$6,1),'WBS Summary by Year'!$C214,'WBS Summary by Year'!$B$210),'Pre- and Production'!AG$4:AG$376)</f>
        <v>0</v>
      </c>
      <c r="M214" s="303">
        <f>SUMIF('Pre- and Production'!$T$4:$T$376, CONCATENATE(LEFT('WBS Summary by Year'!M$6,1),'WBS Summary by Year'!$C214,'WBS Summary by Year'!$B$210),'Pre- and Production'!AQ$4:AQ$376)</f>
        <v>0</v>
      </c>
      <c r="N214" s="315">
        <f>SUMIF('Pre- and Production'!$T$4:$T$376, CONCATENATE(LEFT('WBS Summary by Year'!N$6,1),'WBS Summary by Year'!$C214,'WBS Summary by Year'!$B$210),'Pre- and Production'!AH$4:AH$376)</f>
        <v>0</v>
      </c>
      <c r="O214" s="316">
        <f>SUMIF('Pre- and Production'!$T$4:$T$376, CONCATENATE(LEFT('WBS Summary by Year'!O$6,1),'WBS Summary by Year'!$C214,'WBS Summary by Year'!$B$210),'Pre- and Production'!AR$4:AR$376)</f>
        <v>0</v>
      </c>
    </row>
    <row r="215" spans="2:15" s="352" customFormat="1">
      <c r="C215" s="46" t="s">
        <v>184</v>
      </c>
      <c r="D215" s="26">
        <f>SUMIF('Pre- and Production'!$T$4:$T$376, CONCATENATE(LEFT('WBS Summary by Year'!D$6,1),'WBS Summary by Year'!$C215,'WBS Summary by Year'!$B$210),'Pre- and Production'!AC$4:AC$376)</f>
        <v>0</v>
      </c>
      <c r="E215" s="303">
        <f>SUMIF('Pre- and Production'!$T$4:$T$376, CONCATENATE(LEFT('WBS Summary by Year'!E$6,1),'WBS Summary by Year'!$C215,'WBS Summary by Year'!$B$210),'Pre- and Production'!AM$4:AM$376)</f>
        <v>0</v>
      </c>
      <c r="F215" s="26">
        <f>SUMIF('Pre- and Production'!$T$4:$T$376, CONCATENATE(LEFT('WBS Summary by Year'!F$6,1),'WBS Summary by Year'!$C215,'WBS Summary by Year'!$B$210),'Pre- and Production'!AD$4:AD$376)</f>
        <v>0</v>
      </c>
      <c r="G215" s="296">
        <f>SUMIF('Pre- and Production'!$T$4:$T$376, CONCATENATE(LEFT('WBS Summary by Year'!G$6,1),'WBS Summary by Year'!$C215,'WBS Summary by Year'!$B$210),'Pre- and Production'!AN$4:AN$376)</f>
        <v>0</v>
      </c>
      <c r="H215" s="307">
        <f>SUMIF('Pre- and Production'!$T$4:$T$376, CONCATENATE(LEFT('WBS Summary by Year'!H$6,1),'WBS Summary by Year'!$C215,'WBS Summary by Year'!$B$210),'Pre- and Production'!AE$4:AE$376)</f>
        <v>0</v>
      </c>
      <c r="I215" s="303">
        <f>SUMIF('Pre- and Production'!$T$4:$T$376, CONCATENATE(LEFT('WBS Summary by Year'!I$6,1),'WBS Summary by Year'!$C215,'WBS Summary by Year'!$B$210),'Pre- and Production'!AO$4:AO$376)</f>
        <v>0</v>
      </c>
      <c r="J215" s="26">
        <f>SUMIF('Pre- and Production'!$T$4:$T$376, CONCATENATE(LEFT('WBS Summary by Year'!J$6,1),'WBS Summary by Year'!$C215,'WBS Summary by Year'!$B$210),'Pre- and Production'!AF$4:AFI$376)</f>
        <v>0</v>
      </c>
      <c r="K215" s="296">
        <f>SUMIF('Pre- and Production'!$T$4:$T$376, CONCATENATE(LEFT('WBS Summary by Year'!K$6,1),'WBS Summary by Year'!$C215,'WBS Summary by Year'!$B$210),'Pre- and Production'!AP$4:AP$376)</f>
        <v>0</v>
      </c>
      <c r="L215" s="307">
        <f>SUMIF('Pre- and Production'!$T$4:$T$376, CONCATENATE(LEFT('WBS Summary by Year'!L$6,1),'WBS Summary by Year'!$C215,'WBS Summary by Year'!$B$210),'Pre- and Production'!AG$4:AG$376)</f>
        <v>0</v>
      </c>
      <c r="M215" s="303">
        <f>SUMIF('Pre- and Production'!$T$4:$T$376, CONCATENATE(LEFT('WBS Summary by Year'!M$6,1),'WBS Summary by Year'!$C215,'WBS Summary by Year'!$B$210),'Pre- and Production'!AQ$4:AQ$376)</f>
        <v>0</v>
      </c>
      <c r="N215" s="315">
        <f>SUMIF('Pre- and Production'!$T$4:$T$376, CONCATENATE(LEFT('WBS Summary by Year'!N$6,1),'WBS Summary by Year'!$C215,'WBS Summary by Year'!$B$210),'Pre- and Production'!AH$4:AH$376)</f>
        <v>0</v>
      </c>
      <c r="O215" s="316">
        <f>SUMIF('Pre- and Production'!$T$4:$T$376, CONCATENATE(LEFT('WBS Summary by Year'!O$6,1),'WBS Summary by Year'!$C215,'WBS Summary by Year'!$B$210),'Pre- and Production'!AR$4:AR$376)</f>
        <v>0</v>
      </c>
    </row>
    <row r="216" spans="2:15" s="352" customFormat="1">
      <c r="C216" s="46" t="s">
        <v>186</v>
      </c>
      <c r="D216" s="26">
        <f>SUMIF('Pre- and Production'!$T$4:$T$376, CONCATENATE(LEFT('WBS Summary by Year'!D$6,1),'WBS Summary by Year'!$C216,'WBS Summary by Year'!$B$210),'Pre- and Production'!AC$4:AC$376)</f>
        <v>0</v>
      </c>
      <c r="E216" s="303">
        <f>SUMIF('Pre- and Production'!$T$4:$T$376, CONCATENATE(LEFT('WBS Summary by Year'!E$6,1),'WBS Summary by Year'!$C216,'WBS Summary by Year'!$B$210),'Pre- and Production'!AM$4:AM$376)</f>
        <v>0</v>
      </c>
      <c r="F216" s="26">
        <f>SUMIF('Pre- and Production'!$T$4:$T$376, CONCATENATE(LEFT('WBS Summary by Year'!F$6,1),'WBS Summary by Year'!$C216,'WBS Summary by Year'!$B$210),'Pre- and Production'!AD$4:AD$376)</f>
        <v>0</v>
      </c>
      <c r="G216" s="296">
        <f>SUMIF('Pre- and Production'!$T$4:$T$376, CONCATENATE(LEFT('WBS Summary by Year'!G$6,1),'WBS Summary by Year'!$C216,'WBS Summary by Year'!$B$210),'Pre- and Production'!AN$4:AN$376)</f>
        <v>0</v>
      </c>
      <c r="H216" s="307">
        <f>SUMIF('Pre- and Production'!$T$4:$T$376, CONCATENATE(LEFT('WBS Summary by Year'!H$6,1),'WBS Summary by Year'!$C216,'WBS Summary by Year'!$B$210),'Pre- and Production'!AE$4:AE$376)</f>
        <v>0</v>
      </c>
      <c r="I216" s="303">
        <f>SUMIF('Pre- and Production'!$T$4:$T$376, CONCATENATE(LEFT('WBS Summary by Year'!I$6,1),'WBS Summary by Year'!$C216,'WBS Summary by Year'!$B$210),'Pre- and Production'!AO$4:AO$376)</f>
        <v>0</v>
      </c>
      <c r="J216" s="26">
        <f>SUMIF('Pre- and Production'!$T$4:$T$376, CONCATENATE(LEFT('WBS Summary by Year'!J$6,1),'WBS Summary by Year'!$C216,'WBS Summary by Year'!$B$210),'Pre- and Production'!AF$4:AFI$376)</f>
        <v>0</v>
      </c>
      <c r="K216" s="296">
        <f>SUMIF('Pre- and Production'!$T$4:$T$376, CONCATENATE(LEFT('WBS Summary by Year'!K$6,1),'WBS Summary by Year'!$C216,'WBS Summary by Year'!$B$210),'Pre- and Production'!AP$4:AP$376)</f>
        <v>0</v>
      </c>
      <c r="L216" s="307">
        <f>SUMIF('Pre- and Production'!$T$4:$T$376, CONCATENATE(LEFT('WBS Summary by Year'!L$6,1),'WBS Summary by Year'!$C216,'WBS Summary by Year'!$B$210),'Pre- and Production'!AG$4:AG$376)</f>
        <v>0</v>
      </c>
      <c r="M216" s="303">
        <f>SUMIF('Pre- and Production'!$T$4:$T$376, CONCATENATE(LEFT('WBS Summary by Year'!M$6,1),'WBS Summary by Year'!$C216,'WBS Summary by Year'!$B$210),'Pre- and Production'!AQ$4:AQ$376)</f>
        <v>0</v>
      </c>
      <c r="N216" s="315">
        <f>SUMIF('Pre- and Production'!$T$4:$T$376, CONCATENATE(LEFT('WBS Summary by Year'!N$6,1),'WBS Summary by Year'!$C216,'WBS Summary by Year'!$B$210),'Pre- and Production'!AH$4:AH$376)</f>
        <v>0</v>
      </c>
      <c r="O216" s="316">
        <f>SUMIF('Pre- and Production'!$T$4:$T$376, CONCATENATE(LEFT('WBS Summary by Year'!O$6,1),'WBS Summary by Year'!$C216,'WBS Summary by Year'!$B$210),'Pre- and Production'!AR$4:AR$376)</f>
        <v>0</v>
      </c>
    </row>
    <row r="217" spans="2:15" s="352" customFormat="1">
      <c r="C217" s="134" t="s">
        <v>189</v>
      </c>
      <c r="D217" s="26">
        <f>SUMIF('Pre- and Production'!$T$4:$T$376, CONCATENATE(LEFT('WBS Summary by Year'!D$6,1),'WBS Summary by Year'!$C217,'WBS Summary by Year'!$B$210),'Pre- and Production'!AC$4:AC$376)</f>
        <v>0</v>
      </c>
      <c r="E217" s="303">
        <f>SUMIF('Pre- and Production'!$T$4:$T$376, CONCATENATE(LEFT('WBS Summary by Year'!E$6,1),'WBS Summary by Year'!$C217,'WBS Summary by Year'!$B$210),'Pre- and Production'!AM$4:AM$376)</f>
        <v>0</v>
      </c>
      <c r="F217" s="26">
        <f>SUMIF('Pre- and Production'!$T$4:$T$376, CONCATENATE(LEFT('WBS Summary by Year'!F$6,1),'WBS Summary by Year'!$C217,'WBS Summary by Year'!$B$210),'Pre- and Production'!AD$4:AD$376)</f>
        <v>0</v>
      </c>
      <c r="G217" s="296">
        <f>SUMIF('Pre- and Production'!$T$4:$T$376, CONCATENATE(LEFT('WBS Summary by Year'!G$6,1),'WBS Summary by Year'!$C217,'WBS Summary by Year'!$B$210),'Pre- and Production'!AN$4:AN$376)</f>
        <v>0</v>
      </c>
      <c r="H217" s="307">
        <f>SUMIF('Pre- and Production'!$T$4:$T$376, CONCATENATE(LEFT('WBS Summary by Year'!H$6,1),'WBS Summary by Year'!$C217,'WBS Summary by Year'!$B$210),'Pre- and Production'!AE$4:AE$376)</f>
        <v>0</v>
      </c>
      <c r="I217" s="303">
        <f>SUMIF('Pre- and Production'!$T$4:$T$376, CONCATENATE(LEFT('WBS Summary by Year'!I$6,1),'WBS Summary by Year'!$C217,'WBS Summary by Year'!$B$210),'Pre- and Production'!AO$4:AO$376)</f>
        <v>0</v>
      </c>
      <c r="J217" s="26">
        <f>SUMIF('Pre- and Production'!$T$4:$T$376, CONCATENATE(LEFT('WBS Summary by Year'!J$6,1),'WBS Summary by Year'!$C217,'WBS Summary by Year'!$B$210),'Pre- and Production'!AF$4:AFI$376)</f>
        <v>0</v>
      </c>
      <c r="K217" s="296">
        <f>SUMIF('Pre- and Production'!$T$4:$T$376, CONCATENATE(LEFT('WBS Summary by Year'!K$6,1),'WBS Summary by Year'!$C217,'WBS Summary by Year'!$B$210),'Pre- and Production'!AP$4:AP$376)</f>
        <v>0</v>
      </c>
      <c r="L217" s="307">
        <f>SUMIF('Pre- and Production'!$T$4:$T$376, CONCATENATE(LEFT('WBS Summary by Year'!L$6,1),'WBS Summary by Year'!$C217,'WBS Summary by Year'!$B$210),'Pre- and Production'!AG$4:AG$376)</f>
        <v>0</v>
      </c>
      <c r="M217" s="303">
        <f>SUMIF('Pre- and Production'!$T$4:$T$376, CONCATENATE(LEFT('WBS Summary by Year'!M$6,1),'WBS Summary by Year'!$C217,'WBS Summary by Year'!$B$210),'Pre- and Production'!AQ$4:AQ$376)</f>
        <v>0</v>
      </c>
      <c r="N217" s="315">
        <f>SUMIF('Pre- and Production'!$T$4:$T$376, CONCATENATE(LEFT('WBS Summary by Year'!N$6,1),'WBS Summary by Year'!$C217,'WBS Summary by Year'!$B$210),'Pre- and Production'!AH$4:AH$376)</f>
        <v>0</v>
      </c>
      <c r="O217" s="316">
        <f>SUMIF('Pre- and Production'!$T$4:$T$376, CONCATENATE(LEFT('WBS Summary by Year'!O$6,1),'WBS Summary by Year'!$C217,'WBS Summary by Year'!$B$210),'Pre- and Production'!AR$4:AR$376)</f>
        <v>0</v>
      </c>
    </row>
    <row r="218" spans="2:15" s="352" customFormat="1">
      <c r="C218" s="46" t="s">
        <v>191</v>
      </c>
      <c r="D218" s="26">
        <f>SUMIF('Pre- and Production'!$T$4:$T$376, CONCATENATE(LEFT('WBS Summary by Year'!D$6,1),'WBS Summary by Year'!$C218,'WBS Summary by Year'!$B$210),'Pre- and Production'!AC$4:AC$376)</f>
        <v>0</v>
      </c>
      <c r="E218" s="303">
        <f>SUMIF('Pre- and Production'!$T$4:$T$376, CONCATENATE(LEFT('WBS Summary by Year'!E$6,1),'WBS Summary by Year'!$C218,'WBS Summary by Year'!$B$210),'Pre- and Production'!AM$4:AM$376)</f>
        <v>0</v>
      </c>
      <c r="F218" s="26">
        <f>SUMIF('Pre- and Production'!$T$4:$T$376, CONCATENATE(LEFT('WBS Summary by Year'!F$6,1),'WBS Summary by Year'!$C218,'WBS Summary by Year'!$B$210),'Pre- and Production'!AD$4:AD$376)</f>
        <v>0</v>
      </c>
      <c r="G218" s="296">
        <f>SUMIF('Pre- and Production'!$T$4:$T$376, CONCATENATE(LEFT('WBS Summary by Year'!G$6,1),'WBS Summary by Year'!$C218,'WBS Summary by Year'!$B$210),'Pre- and Production'!AN$4:AN$376)</f>
        <v>0</v>
      </c>
      <c r="H218" s="307">
        <f>SUMIF('Pre- and Production'!$T$4:$T$376, CONCATENATE(LEFT('WBS Summary by Year'!H$6,1),'WBS Summary by Year'!$C218,'WBS Summary by Year'!$B$210),'Pre- and Production'!AE$4:AE$376)</f>
        <v>0</v>
      </c>
      <c r="I218" s="303">
        <f>SUMIF('Pre- and Production'!$T$4:$T$376, CONCATENATE(LEFT('WBS Summary by Year'!I$6,1),'WBS Summary by Year'!$C218,'WBS Summary by Year'!$B$210),'Pre- and Production'!AO$4:AO$376)</f>
        <v>0</v>
      </c>
      <c r="J218" s="26">
        <f>SUMIF('Pre- and Production'!$T$4:$T$376, CONCATENATE(LEFT('WBS Summary by Year'!J$6,1),'WBS Summary by Year'!$C218,'WBS Summary by Year'!$B$210),'Pre- and Production'!AF$4:AFI$376)</f>
        <v>0</v>
      </c>
      <c r="K218" s="296">
        <f>SUMIF('Pre- and Production'!$T$4:$T$376, CONCATENATE(LEFT('WBS Summary by Year'!K$6,1),'WBS Summary by Year'!$C218,'WBS Summary by Year'!$B$210),'Pre- and Production'!AP$4:AP$376)</f>
        <v>0</v>
      </c>
      <c r="L218" s="307">
        <f>SUMIF('Pre- and Production'!$T$4:$T$376, CONCATENATE(LEFT('WBS Summary by Year'!L$6,1),'WBS Summary by Year'!$C218,'WBS Summary by Year'!$B$210),'Pre- and Production'!AG$4:AG$376)</f>
        <v>0</v>
      </c>
      <c r="M218" s="303">
        <f>SUMIF('Pre- and Production'!$T$4:$T$376, CONCATENATE(LEFT('WBS Summary by Year'!M$6,1),'WBS Summary by Year'!$C218,'WBS Summary by Year'!$B$210),'Pre- and Production'!AQ$4:AQ$376)</f>
        <v>0</v>
      </c>
      <c r="N218" s="315">
        <f>SUMIF('Pre- and Production'!$T$4:$T$376, CONCATENATE(LEFT('WBS Summary by Year'!N$6,1),'WBS Summary by Year'!$C218,'WBS Summary by Year'!$B$210),'Pre- and Production'!AH$4:AH$376)</f>
        <v>0</v>
      </c>
      <c r="O218" s="316">
        <f>SUMIF('Pre- and Production'!$T$4:$T$376, CONCATENATE(LEFT('WBS Summary by Year'!O$6,1),'WBS Summary by Year'!$C218,'WBS Summary by Year'!$B$210),'Pre- and Production'!AR$4:AR$376)</f>
        <v>0</v>
      </c>
    </row>
    <row r="219" spans="2:15" s="352" customFormat="1">
      <c r="C219" s="46" t="s">
        <v>193</v>
      </c>
      <c r="D219" s="26">
        <f>SUMIF('Pre- and Production'!$T$4:$T$376, CONCATENATE(LEFT('WBS Summary by Year'!D$6,1),'WBS Summary by Year'!$C219,'WBS Summary by Year'!$B$210),'Pre- and Production'!AC$4:AC$376)</f>
        <v>0</v>
      </c>
      <c r="E219" s="303">
        <f>SUMIF('Pre- and Production'!$T$4:$T$376, CONCATENATE(LEFT('WBS Summary by Year'!E$6,1),'WBS Summary by Year'!$C219,'WBS Summary by Year'!$B$210),'Pre- and Production'!AM$4:AM$376)</f>
        <v>0</v>
      </c>
      <c r="F219" s="26">
        <f>SUMIF('Pre- and Production'!$T$4:$T$376, CONCATENATE(LEFT('WBS Summary by Year'!F$6,1),'WBS Summary by Year'!$C219,'WBS Summary by Year'!$B$210),'Pre- and Production'!AD$4:AD$376)</f>
        <v>0</v>
      </c>
      <c r="G219" s="296">
        <f>SUMIF('Pre- and Production'!$T$4:$T$376, CONCATENATE(LEFT('WBS Summary by Year'!G$6,1),'WBS Summary by Year'!$C219,'WBS Summary by Year'!$B$210),'Pre- and Production'!AN$4:AN$376)</f>
        <v>0</v>
      </c>
      <c r="H219" s="307">
        <f>SUMIF('Pre- and Production'!$T$4:$T$376, CONCATENATE(LEFT('WBS Summary by Year'!H$6,1),'WBS Summary by Year'!$C219,'WBS Summary by Year'!$B$210),'Pre- and Production'!AE$4:AE$376)</f>
        <v>0</v>
      </c>
      <c r="I219" s="303">
        <f>SUMIF('Pre- and Production'!$T$4:$T$376, CONCATENATE(LEFT('WBS Summary by Year'!I$6,1),'WBS Summary by Year'!$C219,'WBS Summary by Year'!$B$210),'Pre- and Production'!AO$4:AO$376)</f>
        <v>0</v>
      </c>
      <c r="J219" s="26">
        <f>SUMIF('Pre- and Production'!$T$4:$T$376, CONCATENATE(LEFT('WBS Summary by Year'!J$6,1),'WBS Summary by Year'!$C219,'WBS Summary by Year'!$B$210),'Pre- and Production'!AF$4:AFI$376)</f>
        <v>0</v>
      </c>
      <c r="K219" s="296">
        <f>SUMIF('Pre- and Production'!$T$4:$T$376, CONCATENATE(LEFT('WBS Summary by Year'!K$6,1),'WBS Summary by Year'!$C219,'WBS Summary by Year'!$B$210),'Pre- and Production'!AP$4:AP$376)</f>
        <v>0</v>
      </c>
      <c r="L219" s="307">
        <f>SUMIF('Pre- and Production'!$T$4:$T$376, CONCATENATE(LEFT('WBS Summary by Year'!L$6,1),'WBS Summary by Year'!$C219,'WBS Summary by Year'!$B$210),'Pre- and Production'!AG$4:AG$376)</f>
        <v>0</v>
      </c>
      <c r="M219" s="303">
        <f>SUMIF('Pre- and Production'!$T$4:$T$376, CONCATENATE(LEFT('WBS Summary by Year'!M$6,1),'WBS Summary by Year'!$C219,'WBS Summary by Year'!$B$210),'Pre- and Production'!AQ$4:AQ$376)</f>
        <v>0</v>
      </c>
      <c r="N219" s="315">
        <f>SUMIF('Pre- and Production'!$T$4:$T$376, CONCATENATE(LEFT('WBS Summary by Year'!N$6,1),'WBS Summary by Year'!$C219,'WBS Summary by Year'!$B$210),'Pre- and Production'!AH$4:AH$376)</f>
        <v>0</v>
      </c>
      <c r="O219" s="316">
        <f>SUMIF('Pre- and Production'!$T$4:$T$376, CONCATENATE(LEFT('WBS Summary by Year'!O$6,1),'WBS Summary by Year'!$C219,'WBS Summary by Year'!$B$210),'Pre- and Production'!AR$4:AR$376)</f>
        <v>0</v>
      </c>
    </row>
    <row r="220" spans="2:15" s="352" customFormat="1">
      <c r="C220" s="46" t="s">
        <v>195</v>
      </c>
      <c r="D220" s="26">
        <f>SUMIF('Pre- and Production'!$T$4:$T$376, CONCATENATE(LEFT('WBS Summary by Year'!D$6,1),'WBS Summary by Year'!$C220,'WBS Summary by Year'!$B$210),'Pre- and Production'!AC$4:AC$376)</f>
        <v>0</v>
      </c>
      <c r="E220" s="303">
        <f>SUMIF('Pre- and Production'!$T$4:$T$376, CONCATENATE(LEFT('WBS Summary by Year'!E$6,1),'WBS Summary by Year'!$C220,'WBS Summary by Year'!$B$210),'Pre- and Production'!AM$4:AM$376)</f>
        <v>0</v>
      </c>
      <c r="F220" s="26">
        <f>SUMIF('Pre- and Production'!$T$4:$T$376, CONCATENATE(LEFT('WBS Summary by Year'!F$6,1),'WBS Summary by Year'!$C220,'WBS Summary by Year'!$B$210),'Pre- and Production'!AD$4:AD$376)</f>
        <v>0</v>
      </c>
      <c r="G220" s="296">
        <f>SUMIF('Pre- and Production'!$T$4:$T$376, CONCATENATE(LEFT('WBS Summary by Year'!G$6,1),'WBS Summary by Year'!$C220,'WBS Summary by Year'!$B$210),'Pre- and Production'!AN$4:AN$376)</f>
        <v>0</v>
      </c>
      <c r="H220" s="307">
        <f>SUMIF('Pre- and Production'!$T$4:$T$376, CONCATENATE(LEFT('WBS Summary by Year'!H$6,1),'WBS Summary by Year'!$C220,'WBS Summary by Year'!$B$210),'Pre- and Production'!AE$4:AE$376)</f>
        <v>0</v>
      </c>
      <c r="I220" s="303">
        <f>SUMIF('Pre- and Production'!$T$4:$T$376, CONCATENATE(LEFT('WBS Summary by Year'!I$6,1),'WBS Summary by Year'!$C220,'WBS Summary by Year'!$B$210),'Pre- and Production'!AO$4:AO$376)</f>
        <v>0</v>
      </c>
      <c r="J220" s="26">
        <f>SUMIF('Pre- and Production'!$T$4:$T$376, CONCATENATE(LEFT('WBS Summary by Year'!J$6,1),'WBS Summary by Year'!$C220,'WBS Summary by Year'!$B$210),'Pre- and Production'!AF$4:AFI$376)</f>
        <v>0</v>
      </c>
      <c r="K220" s="296">
        <f>SUMIF('Pre- and Production'!$T$4:$T$376, CONCATENATE(LEFT('WBS Summary by Year'!K$6,1),'WBS Summary by Year'!$C220,'WBS Summary by Year'!$B$210),'Pre- and Production'!AP$4:AP$376)</f>
        <v>0</v>
      </c>
      <c r="L220" s="307">
        <f>SUMIF('Pre- and Production'!$T$4:$T$376, CONCATENATE(LEFT('WBS Summary by Year'!L$6,1),'WBS Summary by Year'!$C220,'WBS Summary by Year'!$B$210),'Pre- and Production'!AG$4:AG$376)</f>
        <v>0</v>
      </c>
      <c r="M220" s="303">
        <f>SUMIF('Pre- and Production'!$T$4:$T$376, CONCATENATE(LEFT('WBS Summary by Year'!M$6,1),'WBS Summary by Year'!$C220,'WBS Summary by Year'!$B$210),'Pre- and Production'!AQ$4:AQ$376)</f>
        <v>0</v>
      </c>
      <c r="N220" s="315">
        <f>SUMIF('Pre- and Production'!$T$4:$T$376, CONCATENATE(LEFT('WBS Summary by Year'!N$6,1),'WBS Summary by Year'!$C220,'WBS Summary by Year'!$B$210),'Pre- and Production'!AH$4:AH$376)</f>
        <v>0</v>
      </c>
      <c r="O220" s="316">
        <f>SUMIF('Pre- and Production'!$T$4:$T$376, CONCATENATE(LEFT('WBS Summary by Year'!O$6,1),'WBS Summary by Year'!$C220,'WBS Summary by Year'!$B$210),'Pre- and Production'!AR$4:AR$376)</f>
        <v>0</v>
      </c>
    </row>
    <row r="221" spans="2:15" s="352" customFormat="1">
      <c r="C221" s="134" t="s">
        <v>190</v>
      </c>
      <c r="D221" s="26">
        <f>SUMIF('Pre- and Production'!$T$4:$T$376, CONCATENATE(LEFT('WBS Summary by Year'!D$6,1),'WBS Summary by Year'!$C221,'WBS Summary by Year'!$B$210),'Pre- and Production'!AC$4:AC$376)</f>
        <v>0</v>
      </c>
      <c r="E221" s="303">
        <f>SUMIF('Pre- and Production'!$T$4:$T$376, CONCATENATE(LEFT('WBS Summary by Year'!E$6,1),'WBS Summary by Year'!$C221,'WBS Summary by Year'!$B$210),'Pre- and Production'!AM$4:AM$376)</f>
        <v>0</v>
      </c>
      <c r="F221" s="26">
        <f>SUMIF('Pre- and Production'!$T$4:$T$376, CONCATENATE(LEFT('WBS Summary by Year'!F$6,1),'WBS Summary by Year'!$C221,'WBS Summary by Year'!$B$210),'Pre- and Production'!AD$4:AD$376)</f>
        <v>0</v>
      </c>
      <c r="G221" s="296">
        <f>SUMIF('Pre- and Production'!$T$4:$T$376, CONCATENATE(LEFT('WBS Summary by Year'!G$6,1),'WBS Summary by Year'!$C221,'WBS Summary by Year'!$B$210),'Pre- and Production'!AN$4:AN$376)</f>
        <v>0</v>
      </c>
      <c r="H221" s="307">
        <f>SUMIF('Pre- and Production'!$T$4:$T$376, CONCATENATE(LEFT('WBS Summary by Year'!H$6,1),'WBS Summary by Year'!$C221,'WBS Summary by Year'!$B$210),'Pre- and Production'!AE$4:AE$376)</f>
        <v>0</v>
      </c>
      <c r="I221" s="303">
        <f>SUMIF('Pre- and Production'!$T$4:$T$376, CONCATENATE(LEFT('WBS Summary by Year'!I$6,1),'WBS Summary by Year'!$C221,'WBS Summary by Year'!$B$210),'Pre- and Production'!AO$4:AO$376)</f>
        <v>0</v>
      </c>
      <c r="J221" s="26">
        <f>SUMIF('Pre- and Production'!$T$4:$T$376, CONCATENATE(LEFT('WBS Summary by Year'!J$6,1),'WBS Summary by Year'!$C221,'WBS Summary by Year'!$B$210),'Pre- and Production'!AF$4:AFI$376)</f>
        <v>0</v>
      </c>
      <c r="K221" s="296">
        <f>SUMIF('Pre- and Production'!$T$4:$T$376, CONCATENATE(LEFT('WBS Summary by Year'!K$6,1),'WBS Summary by Year'!$C221,'WBS Summary by Year'!$B$210),'Pre- and Production'!AP$4:AP$376)</f>
        <v>0</v>
      </c>
      <c r="L221" s="307">
        <f>SUMIF('Pre- and Production'!$T$4:$T$376, CONCATENATE(LEFT('WBS Summary by Year'!L$6,1),'WBS Summary by Year'!$C221,'WBS Summary by Year'!$B$210),'Pre- and Production'!AG$4:AG$376)</f>
        <v>0</v>
      </c>
      <c r="M221" s="303">
        <f>SUMIF('Pre- and Production'!$T$4:$T$376, CONCATENATE(LEFT('WBS Summary by Year'!M$6,1),'WBS Summary by Year'!$C221,'WBS Summary by Year'!$B$210),'Pre- and Production'!AQ$4:AQ$376)</f>
        <v>0</v>
      </c>
      <c r="N221" s="315">
        <f>SUMIF('Pre- and Production'!$T$4:$T$376, CONCATENATE(LEFT('WBS Summary by Year'!N$6,1),'WBS Summary by Year'!$C221,'WBS Summary by Year'!$B$210),'Pre- and Production'!AH$4:AH$376)</f>
        <v>0</v>
      </c>
      <c r="O221" s="316">
        <f>SUMIF('Pre- and Production'!$T$4:$T$376, CONCATENATE(LEFT('WBS Summary by Year'!O$6,1),'WBS Summary by Year'!$C221,'WBS Summary by Year'!$B$210),'Pre- and Production'!AR$4:AR$376)</f>
        <v>0</v>
      </c>
    </row>
    <row r="222" spans="2:15" s="352" customFormat="1">
      <c r="C222" s="46" t="s">
        <v>198</v>
      </c>
      <c r="D222" s="26">
        <f>SUMIF('Pre- and Production'!$T$4:$T$376, CONCATENATE(LEFT('WBS Summary by Year'!D$6,1),'WBS Summary by Year'!$C222,'WBS Summary by Year'!$B$210),'Pre- and Production'!AC$4:AC$376)</f>
        <v>0</v>
      </c>
      <c r="E222" s="303">
        <f>SUMIF('Pre- and Production'!$T$4:$T$376, CONCATENATE(LEFT('WBS Summary by Year'!E$6,1),'WBS Summary by Year'!$C222,'WBS Summary by Year'!$B$210),'Pre- and Production'!AM$4:AM$376)</f>
        <v>0</v>
      </c>
      <c r="F222" s="26">
        <f>SUMIF('Pre- and Production'!$T$4:$T$376, CONCATENATE(LEFT('WBS Summary by Year'!F$6,1),'WBS Summary by Year'!$C222,'WBS Summary by Year'!$B$210),'Pre- and Production'!AD$4:AD$376)</f>
        <v>0</v>
      </c>
      <c r="G222" s="296">
        <f>SUMIF('Pre- and Production'!$T$4:$T$376, CONCATENATE(LEFT('WBS Summary by Year'!G$6,1),'WBS Summary by Year'!$C222,'WBS Summary by Year'!$B$210),'Pre- and Production'!AN$4:AN$376)</f>
        <v>0</v>
      </c>
      <c r="H222" s="307">
        <f>SUMIF('Pre- and Production'!$T$4:$T$376, CONCATENATE(LEFT('WBS Summary by Year'!H$6,1),'WBS Summary by Year'!$C222,'WBS Summary by Year'!$B$210),'Pre- and Production'!AE$4:AE$376)</f>
        <v>0</v>
      </c>
      <c r="I222" s="303">
        <f>SUMIF('Pre- and Production'!$T$4:$T$376, CONCATENATE(LEFT('WBS Summary by Year'!I$6,1),'WBS Summary by Year'!$C222,'WBS Summary by Year'!$B$210),'Pre- and Production'!AO$4:AO$376)</f>
        <v>0</v>
      </c>
      <c r="J222" s="26">
        <f>SUMIF('Pre- and Production'!$T$4:$T$376, CONCATENATE(LEFT('WBS Summary by Year'!J$6,1),'WBS Summary by Year'!$C222,'WBS Summary by Year'!$B$210),'Pre- and Production'!AF$4:AFI$376)</f>
        <v>0</v>
      </c>
      <c r="K222" s="296">
        <f>SUMIF('Pre- and Production'!$T$4:$T$376, CONCATENATE(LEFT('WBS Summary by Year'!K$6,1),'WBS Summary by Year'!$C222,'WBS Summary by Year'!$B$210),'Pre- and Production'!AP$4:AP$376)</f>
        <v>0</v>
      </c>
      <c r="L222" s="307">
        <f>SUMIF('Pre- and Production'!$T$4:$T$376, CONCATENATE(LEFT('WBS Summary by Year'!L$6,1),'WBS Summary by Year'!$C222,'WBS Summary by Year'!$B$210),'Pre- and Production'!AG$4:AG$376)</f>
        <v>0</v>
      </c>
      <c r="M222" s="303">
        <f>SUMIF('Pre- and Production'!$T$4:$T$376, CONCATENATE(LEFT('WBS Summary by Year'!M$6,1),'WBS Summary by Year'!$C222,'WBS Summary by Year'!$B$210),'Pre- and Production'!AQ$4:AQ$376)</f>
        <v>0</v>
      </c>
      <c r="N222" s="315">
        <f>SUMIF('Pre- and Production'!$T$4:$T$376, CONCATENATE(LEFT('WBS Summary by Year'!N$6,1),'WBS Summary by Year'!$C222,'WBS Summary by Year'!$B$210),'Pre- and Production'!AH$4:AH$376)</f>
        <v>0</v>
      </c>
      <c r="O222" s="316">
        <f>SUMIF('Pre- and Production'!$T$4:$T$376, CONCATENATE(LEFT('WBS Summary by Year'!O$6,1),'WBS Summary by Year'!$C222,'WBS Summary by Year'!$B$210),'Pre- and Production'!AR$4:AR$376)</f>
        <v>0</v>
      </c>
    </row>
    <row r="223" spans="2:15" s="352" customFormat="1">
      <c r="C223" s="46" t="s">
        <v>199</v>
      </c>
      <c r="D223" s="26">
        <f>SUMIF('Pre- and Production'!$T$4:$T$376, CONCATENATE(LEFT('WBS Summary by Year'!D$6,1),'WBS Summary by Year'!$C223,'WBS Summary by Year'!$B$210),'Pre- and Production'!AC$4:AC$376)</f>
        <v>0</v>
      </c>
      <c r="E223" s="303">
        <f>SUMIF('Pre- and Production'!$T$4:$T$376, CONCATENATE(LEFT('WBS Summary by Year'!E$6,1),'WBS Summary by Year'!$C223,'WBS Summary by Year'!$B$210),'Pre- and Production'!AM$4:AM$376)</f>
        <v>0</v>
      </c>
      <c r="F223" s="26">
        <f>SUMIF('Pre- and Production'!$T$4:$T$376, CONCATENATE(LEFT('WBS Summary by Year'!F$6,1),'WBS Summary by Year'!$C223,'WBS Summary by Year'!$B$210),'Pre- and Production'!AD$4:AD$376)</f>
        <v>0</v>
      </c>
      <c r="G223" s="296">
        <f>SUMIF('Pre- and Production'!$T$4:$T$376, CONCATENATE(LEFT('WBS Summary by Year'!G$6,1),'WBS Summary by Year'!$C223,'WBS Summary by Year'!$B$210),'Pre- and Production'!AN$4:AN$376)</f>
        <v>0</v>
      </c>
      <c r="H223" s="307">
        <f>SUMIF('Pre- and Production'!$T$4:$T$376, CONCATENATE(LEFT('WBS Summary by Year'!H$6,1),'WBS Summary by Year'!$C223,'WBS Summary by Year'!$B$210),'Pre- and Production'!AE$4:AE$376)</f>
        <v>0</v>
      </c>
      <c r="I223" s="303">
        <f>SUMIF('Pre- and Production'!$T$4:$T$376, CONCATENATE(LEFT('WBS Summary by Year'!I$6,1),'WBS Summary by Year'!$C223,'WBS Summary by Year'!$B$210),'Pre- and Production'!AO$4:AO$376)</f>
        <v>0</v>
      </c>
      <c r="J223" s="26">
        <f>SUMIF('Pre- and Production'!$T$4:$T$376, CONCATENATE(LEFT('WBS Summary by Year'!J$6,1),'WBS Summary by Year'!$C223,'WBS Summary by Year'!$B$210),'Pre- and Production'!AF$4:AFI$376)</f>
        <v>0</v>
      </c>
      <c r="K223" s="296">
        <f>SUMIF('Pre- and Production'!$T$4:$T$376, CONCATENATE(LEFT('WBS Summary by Year'!K$6,1),'WBS Summary by Year'!$C223,'WBS Summary by Year'!$B$210),'Pre- and Production'!AP$4:AP$376)</f>
        <v>0</v>
      </c>
      <c r="L223" s="307">
        <f>SUMIF('Pre- and Production'!$T$4:$T$376, CONCATENATE(LEFT('WBS Summary by Year'!L$6,1),'WBS Summary by Year'!$C223,'WBS Summary by Year'!$B$210),'Pre- and Production'!AG$4:AG$376)</f>
        <v>0</v>
      </c>
      <c r="M223" s="303">
        <f>SUMIF('Pre- and Production'!$T$4:$T$376, CONCATENATE(LEFT('WBS Summary by Year'!M$6,1),'WBS Summary by Year'!$C223,'WBS Summary by Year'!$B$210),'Pre- and Production'!AQ$4:AQ$376)</f>
        <v>0</v>
      </c>
      <c r="N223" s="315">
        <f>SUMIF('Pre- and Production'!$T$4:$T$376, CONCATENATE(LEFT('WBS Summary by Year'!N$6,1),'WBS Summary by Year'!$C223,'WBS Summary by Year'!$B$210),'Pre- and Production'!AH$4:AH$376)</f>
        <v>0</v>
      </c>
      <c r="O223" s="316">
        <f>SUMIF('Pre- and Production'!$T$4:$T$376, CONCATENATE(LEFT('WBS Summary by Year'!O$6,1),'WBS Summary by Year'!$C223,'WBS Summary by Year'!$B$210),'Pre- and Production'!AR$4:AR$376)</f>
        <v>0</v>
      </c>
    </row>
    <row r="224" spans="2:15" s="352" customFormat="1">
      <c r="C224" s="46" t="s">
        <v>200</v>
      </c>
      <c r="D224" s="26">
        <f>SUMIF('Pre- and Production'!$T$4:$T$376, CONCATENATE(LEFT('WBS Summary by Year'!D$6,1),'WBS Summary by Year'!$C224,'WBS Summary by Year'!$B$210),'Pre- and Production'!AC$4:AC$376)</f>
        <v>0</v>
      </c>
      <c r="E224" s="303">
        <f>SUMIF('Pre- and Production'!$T$4:$T$376, CONCATENATE(LEFT('WBS Summary by Year'!E$6,1),'WBS Summary by Year'!$C224,'WBS Summary by Year'!$B$210),'Pre- and Production'!AM$4:AM$376)</f>
        <v>0</v>
      </c>
      <c r="F224" s="26">
        <f>SUMIF('Pre- and Production'!$T$4:$T$376, CONCATENATE(LEFT('WBS Summary by Year'!F$6,1),'WBS Summary by Year'!$C224,'WBS Summary by Year'!$B$210),'Pre- and Production'!AD$4:AD$376)</f>
        <v>0</v>
      </c>
      <c r="G224" s="296">
        <f>SUMIF('Pre- and Production'!$T$4:$T$376, CONCATENATE(LEFT('WBS Summary by Year'!G$6,1),'WBS Summary by Year'!$C224,'WBS Summary by Year'!$B$210),'Pre- and Production'!AN$4:AN$376)</f>
        <v>0</v>
      </c>
      <c r="H224" s="307">
        <f>SUMIF('Pre- and Production'!$T$4:$T$376, CONCATENATE(LEFT('WBS Summary by Year'!H$6,1),'WBS Summary by Year'!$C224,'WBS Summary by Year'!$B$210),'Pre- and Production'!AE$4:AE$376)</f>
        <v>0</v>
      </c>
      <c r="I224" s="303">
        <f>SUMIF('Pre- and Production'!$T$4:$T$376, CONCATENATE(LEFT('WBS Summary by Year'!I$6,1),'WBS Summary by Year'!$C224,'WBS Summary by Year'!$B$210),'Pre- and Production'!AO$4:AO$376)</f>
        <v>0</v>
      </c>
      <c r="J224" s="26">
        <f>SUMIF('Pre- and Production'!$T$4:$T$376, CONCATENATE(LEFT('WBS Summary by Year'!J$6,1),'WBS Summary by Year'!$C224,'WBS Summary by Year'!$B$210),'Pre- and Production'!AF$4:AFI$376)</f>
        <v>0</v>
      </c>
      <c r="K224" s="296">
        <f>SUMIF('Pre- and Production'!$T$4:$T$376, CONCATENATE(LEFT('WBS Summary by Year'!K$6,1),'WBS Summary by Year'!$C224,'WBS Summary by Year'!$B$210),'Pre- and Production'!AP$4:AP$376)</f>
        <v>0</v>
      </c>
      <c r="L224" s="307">
        <f>SUMIF('Pre- and Production'!$T$4:$T$376, CONCATENATE(LEFT('WBS Summary by Year'!L$6,1),'WBS Summary by Year'!$C224,'WBS Summary by Year'!$B$210),'Pre- and Production'!AG$4:AG$376)</f>
        <v>0</v>
      </c>
      <c r="M224" s="303">
        <f>SUMIF('Pre- and Production'!$T$4:$T$376, CONCATENATE(LEFT('WBS Summary by Year'!M$6,1),'WBS Summary by Year'!$C224,'WBS Summary by Year'!$B$210),'Pre- and Production'!AQ$4:AQ$376)</f>
        <v>0</v>
      </c>
      <c r="N224" s="315">
        <f>SUMIF('Pre- and Production'!$T$4:$T$376, CONCATENATE(LEFT('WBS Summary by Year'!N$6,1),'WBS Summary by Year'!$C224,'WBS Summary by Year'!$B$210),'Pre- and Production'!AH$4:AH$376)</f>
        <v>0</v>
      </c>
      <c r="O224" s="316">
        <f>SUMIF('Pre- and Production'!$T$4:$T$376, CONCATENATE(LEFT('WBS Summary by Year'!O$6,1),'WBS Summary by Year'!$C224,'WBS Summary by Year'!$B$210),'Pre- and Production'!AR$4:AR$376)</f>
        <v>0</v>
      </c>
    </row>
    <row r="225" spans="3:15" s="352" customFormat="1">
      <c r="C225" s="46" t="s">
        <v>201</v>
      </c>
      <c r="D225" s="26">
        <f>SUMIF('Pre- and Production'!$T$4:$T$376, CONCATENATE(LEFT('WBS Summary by Year'!D$6,1),'WBS Summary by Year'!$C225,'WBS Summary by Year'!$B$210),'Pre- and Production'!AC$4:AC$376)</f>
        <v>0</v>
      </c>
      <c r="E225" s="303">
        <f>SUMIF('Pre- and Production'!$T$4:$T$376, CONCATENATE(LEFT('WBS Summary by Year'!E$6,1),'WBS Summary by Year'!$C225,'WBS Summary by Year'!$B$210),'Pre- and Production'!AM$4:AM$376)</f>
        <v>0</v>
      </c>
      <c r="F225" s="26">
        <f>SUMIF('Pre- and Production'!$T$4:$T$376, CONCATENATE(LEFT('WBS Summary by Year'!F$6,1),'WBS Summary by Year'!$C225,'WBS Summary by Year'!$B$210),'Pre- and Production'!AD$4:AD$376)</f>
        <v>0</v>
      </c>
      <c r="G225" s="296">
        <f>SUMIF('Pre- and Production'!$T$4:$T$376, CONCATENATE(LEFT('WBS Summary by Year'!G$6,1),'WBS Summary by Year'!$C225,'WBS Summary by Year'!$B$210),'Pre- and Production'!AN$4:AN$376)</f>
        <v>0</v>
      </c>
      <c r="H225" s="307">
        <f>SUMIF('Pre- and Production'!$T$4:$T$376, CONCATENATE(LEFT('WBS Summary by Year'!H$6,1),'WBS Summary by Year'!$C225,'WBS Summary by Year'!$B$210),'Pre- and Production'!AE$4:AE$376)</f>
        <v>0</v>
      </c>
      <c r="I225" s="303">
        <f>SUMIF('Pre- and Production'!$T$4:$T$376, CONCATENATE(LEFT('WBS Summary by Year'!I$6,1),'WBS Summary by Year'!$C225,'WBS Summary by Year'!$B$210),'Pre- and Production'!AO$4:AO$376)</f>
        <v>0</v>
      </c>
      <c r="J225" s="26">
        <f>SUMIF('Pre- and Production'!$T$4:$T$376, CONCATENATE(LEFT('WBS Summary by Year'!J$6,1),'WBS Summary by Year'!$C225,'WBS Summary by Year'!$B$210),'Pre- and Production'!AF$4:AFI$376)</f>
        <v>0</v>
      </c>
      <c r="K225" s="296">
        <f>SUMIF('Pre- and Production'!$T$4:$T$376, CONCATENATE(LEFT('WBS Summary by Year'!K$6,1),'WBS Summary by Year'!$C225,'WBS Summary by Year'!$B$210),'Pre- and Production'!AP$4:AP$376)</f>
        <v>0</v>
      </c>
      <c r="L225" s="307">
        <f>SUMIF('Pre- and Production'!$T$4:$T$376, CONCATENATE(LEFT('WBS Summary by Year'!L$6,1),'WBS Summary by Year'!$C225,'WBS Summary by Year'!$B$210),'Pre- and Production'!AG$4:AG$376)</f>
        <v>0</v>
      </c>
      <c r="M225" s="303">
        <f>SUMIF('Pre- and Production'!$T$4:$T$376, CONCATENATE(LEFT('WBS Summary by Year'!M$6,1),'WBS Summary by Year'!$C225,'WBS Summary by Year'!$B$210),'Pre- and Production'!AQ$4:AQ$376)</f>
        <v>0</v>
      </c>
      <c r="N225" s="315">
        <f>SUMIF('Pre- and Production'!$T$4:$T$376, CONCATENATE(LEFT('WBS Summary by Year'!N$6,1),'WBS Summary by Year'!$C225,'WBS Summary by Year'!$B$210),'Pre- and Production'!AH$4:AH$376)</f>
        <v>0</v>
      </c>
      <c r="O225" s="316">
        <f>SUMIF('Pre- and Production'!$T$4:$T$376, CONCATENATE(LEFT('WBS Summary by Year'!O$6,1),'WBS Summary by Year'!$C225,'WBS Summary by Year'!$B$210),'Pre- and Production'!AR$4:AR$376)</f>
        <v>0</v>
      </c>
    </row>
    <row r="226" spans="3:15" s="352" customFormat="1">
      <c r="C226" s="46" t="s">
        <v>206</v>
      </c>
      <c r="D226" s="26">
        <f>SUMIF('Pre- and Production'!$T$4:$T$376, CONCATENATE(LEFT('WBS Summary by Year'!D$6,1),'WBS Summary by Year'!$C226,'WBS Summary by Year'!$B$210),'Pre- and Production'!AC$4:AC$376)</f>
        <v>0</v>
      </c>
      <c r="E226" s="303">
        <f>SUMIF('Pre- and Production'!$T$4:$T$376, CONCATENATE(LEFT('WBS Summary by Year'!E$6,1),'WBS Summary by Year'!$C226,'WBS Summary by Year'!$B$210),'Pre- and Production'!AM$4:AM$376)</f>
        <v>0</v>
      </c>
      <c r="F226" s="26">
        <f>SUMIF('Pre- and Production'!$T$4:$T$376, CONCATENATE(LEFT('WBS Summary by Year'!F$6,1),'WBS Summary by Year'!$C226,'WBS Summary by Year'!$B$210),'Pre- and Production'!AD$4:AD$376)</f>
        <v>0</v>
      </c>
      <c r="G226" s="296">
        <f>SUMIF('Pre- and Production'!$T$4:$T$376, CONCATENATE(LEFT('WBS Summary by Year'!G$6,1),'WBS Summary by Year'!$C226,'WBS Summary by Year'!$B$210),'Pre- and Production'!AN$4:AN$376)</f>
        <v>0</v>
      </c>
      <c r="H226" s="307">
        <f>SUMIF('Pre- and Production'!$T$4:$T$376, CONCATENATE(LEFT('WBS Summary by Year'!H$6,1),'WBS Summary by Year'!$C226,'WBS Summary by Year'!$B$210),'Pre- and Production'!AE$4:AE$376)</f>
        <v>0</v>
      </c>
      <c r="I226" s="303">
        <f>SUMIF('Pre- and Production'!$T$4:$T$376, CONCATENATE(LEFT('WBS Summary by Year'!I$6,1),'WBS Summary by Year'!$C226,'WBS Summary by Year'!$B$210),'Pre- and Production'!AO$4:AO$376)</f>
        <v>0</v>
      </c>
      <c r="J226" s="26">
        <f>SUMIF('Pre- and Production'!$T$4:$T$376, CONCATENATE(LEFT('WBS Summary by Year'!J$6,1),'WBS Summary by Year'!$C226,'WBS Summary by Year'!$B$210),'Pre- and Production'!AF$4:AFI$376)</f>
        <v>0</v>
      </c>
      <c r="K226" s="296">
        <f>SUMIF('Pre- and Production'!$T$4:$T$376, CONCATENATE(LEFT('WBS Summary by Year'!K$6,1),'WBS Summary by Year'!$C226,'WBS Summary by Year'!$B$210),'Pre- and Production'!AP$4:AP$376)</f>
        <v>0</v>
      </c>
      <c r="L226" s="307">
        <f>SUMIF('Pre- and Production'!$T$4:$T$376, CONCATENATE(LEFT('WBS Summary by Year'!L$6,1),'WBS Summary by Year'!$C226,'WBS Summary by Year'!$B$210),'Pre- and Production'!AG$4:AG$376)</f>
        <v>0</v>
      </c>
      <c r="M226" s="303">
        <f>SUMIF('Pre- and Production'!$T$4:$T$376, CONCATENATE(LEFT('WBS Summary by Year'!M$6,1),'WBS Summary by Year'!$C226,'WBS Summary by Year'!$B$210),'Pre- and Production'!AQ$4:AQ$376)</f>
        <v>0</v>
      </c>
      <c r="N226" s="315">
        <f>SUMIF('Pre- and Production'!$T$4:$T$376, CONCATENATE(LEFT('WBS Summary by Year'!N$6,1),'WBS Summary by Year'!$C226,'WBS Summary by Year'!$B$210),'Pre- and Production'!AH$4:AH$376)</f>
        <v>0</v>
      </c>
      <c r="O226" s="316">
        <f>SUMIF('Pre- and Production'!$T$4:$T$376, CONCATENATE(LEFT('WBS Summary by Year'!O$6,1),'WBS Summary by Year'!$C226,'WBS Summary by Year'!$B$210),'Pre- and Production'!AR$4:AR$376)</f>
        <v>0</v>
      </c>
    </row>
    <row r="227" spans="3:15" s="352" customFormat="1">
      <c r="C227" s="46" t="s">
        <v>207</v>
      </c>
      <c r="D227" s="26">
        <f>SUMIF('Pre- and Production'!$T$4:$T$376, CONCATENATE(LEFT('WBS Summary by Year'!D$6,1),'WBS Summary by Year'!$C227,'WBS Summary by Year'!$B$210),'Pre- and Production'!AC$4:AC$376)</f>
        <v>0</v>
      </c>
      <c r="E227" s="303">
        <f>SUMIF('Pre- and Production'!$T$4:$T$376, CONCATENATE(LEFT('WBS Summary by Year'!E$6,1),'WBS Summary by Year'!$C227,'WBS Summary by Year'!$B$210),'Pre- and Production'!AM$4:AM$376)</f>
        <v>0</v>
      </c>
      <c r="F227" s="26">
        <f>SUMIF('Pre- and Production'!$T$4:$T$376, CONCATENATE(LEFT('WBS Summary by Year'!F$6,1),'WBS Summary by Year'!$C227,'WBS Summary by Year'!$B$210),'Pre- and Production'!AD$4:AD$376)</f>
        <v>0</v>
      </c>
      <c r="G227" s="296">
        <f>SUMIF('Pre- and Production'!$T$4:$T$376, CONCATENATE(LEFT('WBS Summary by Year'!G$6,1),'WBS Summary by Year'!$C227,'WBS Summary by Year'!$B$210),'Pre- and Production'!AN$4:AN$376)</f>
        <v>0</v>
      </c>
      <c r="H227" s="307">
        <f>SUMIF('Pre- and Production'!$T$4:$T$376, CONCATENATE(LEFT('WBS Summary by Year'!H$6,1),'WBS Summary by Year'!$C227,'WBS Summary by Year'!$B$210),'Pre- and Production'!AE$4:AE$376)</f>
        <v>0</v>
      </c>
      <c r="I227" s="303">
        <f>SUMIF('Pre- and Production'!$T$4:$T$376, CONCATENATE(LEFT('WBS Summary by Year'!I$6,1),'WBS Summary by Year'!$C227,'WBS Summary by Year'!$B$210),'Pre- and Production'!AO$4:AO$376)</f>
        <v>0</v>
      </c>
      <c r="J227" s="26">
        <f>SUMIF('Pre- and Production'!$T$4:$T$376, CONCATENATE(LEFT('WBS Summary by Year'!J$6,1),'WBS Summary by Year'!$C227,'WBS Summary by Year'!$B$210),'Pre- and Production'!AF$4:AFI$376)</f>
        <v>0</v>
      </c>
      <c r="K227" s="296">
        <f>SUMIF('Pre- and Production'!$T$4:$T$376, CONCATENATE(LEFT('WBS Summary by Year'!K$6,1),'WBS Summary by Year'!$C227,'WBS Summary by Year'!$B$210),'Pre- and Production'!AP$4:AP$376)</f>
        <v>0</v>
      </c>
      <c r="L227" s="307">
        <f>SUMIF('Pre- and Production'!$T$4:$T$376, CONCATENATE(LEFT('WBS Summary by Year'!L$6,1),'WBS Summary by Year'!$C227,'WBS Summary by Year'!$B$210),'Pre- and Production'!AG$4:AG$376)</f>
        <v>0</v>
      </c>
      <c r="M227" s="303">
        <f>SUMIF('Pre- and Production'!$T$4:$T$376, CONCATENATE(LEFT('WBS Summary by Year'!M$6,1),'WBS Summary by Year'!$C227,'WBS Summary by Year'!$B$210),'Pre- and Production'!AQ$4:AQ$376)</f>
        <v>0</v>
      </c>
      <c r="N227" s="315">
        <f>SUMIF('Pre- and Production'!$T$4:$T$376, CONCATENATE(LEFT('WBS Summary by Year'!N$6,1),'WBS Summary by Year'!$C227,'WBS Summary by Year'!$B$210),'Pre- and Production'!AH$4:AH$376)</f>
        <v>0</v>
      </c>
      <c r="O227" s="316">
        <f>SUMIF('Pre- and Production'!$T$4:$T$376, CONCATENATE(LEFT('WBS Summary by Year'!O$6,1),'WBS Summary by Year'!$C227,'WBS Summary by Year'!$B$210),'Pre- and Production'!AR$4:AR$376)</f>
        <v>0</v>
      </c>
    </row>
    <row r="228" spans="3:15" s="352" customFormat="1">
      <c r="C228" s="100" t="s">
        <v>405</v>
      </c>
      <c r="D228" s="26">
        <f>SUMIF('Pre- and Production'!$T$4:$T$376, CONCATENATE(LEFT('WBS Summary by Year'!D$6,1),'WBS Summary by Year'!$C228,'WBS Summary by Year'!$B$210),'Pre- and Production'!AC$4:AC$376)</f>
        <v>0</v>
      </c>
      <c r="E228" s="303">
        <f>SUMIF('Pre- and Production'!$T$4:$T$376, CONCATENATE(LEFT('WBS Summary by Year'!E$6,1),'WBS Summary by Year'!$C228,'WBS Summary by Year'!$B$210),'Pre- and Production'!AM$4:AM$376)</f>
        <v>0</v>
      </c>
      <c r="F228" s="26">
        <f>SUMIF('Pre- and Production'!$T$4:$T$376, CONCATENATE(LEFT('WBS Summary by Year'!F$6,1),'WBS Summary by Year'!$C228,'WBS Summary by Year'!$B$210),'Pre- and Production'!AD$4:AD$376)</f>
        <v>0</v>
      </c>
      <c r="G228" s="296">
        <f>SUMIF('Pre- and Production'!$T$4:$T$376, CONCATENATE(LEFT('WBS Summary by Year'!G$6,1),'WBS Summary by Year'!$C228,'WBS Summary by Year'!$B$210),'Pre- and Production'!AN$4:AN$376)</f>
        <v>0</v>
      </c>
      <c r="H228" s="307">
        <f>SUMIF('Pre- and Production'!$T$4:$T$376, CONCATENATE(LEFT('WBS Summary by Year'!H$6,1),'WBS Summary by Year'!$C228,'WBS Summary by Year'!$B$210),'Pre- and Production'!AE$4:AE$376)</f>
        <v>0</v>
      </c>
      <c r="I228" s="303">
        <f>SUMIF('Pre- and Production'!$T$4:$T$376, CONCATENATE(LEFT('WBS Summary by Year'!I$6,1),'WBS Summary by Year'!$C228,'WBS Summary by Year'!$B$210),'Pre- and Production'!AO$4:AO$376)</f>
        <v>0</v>
      </c>
      <c r="J228" s="26">
        <f>SUMIF('Pre- and Production'!$T$4:$T$376, CONCATENATE(LEFT('WBS Summary by Year'!J$6,1),'WBS Summary by Year'!$C228,'WBS Summary by Year'!$B$210),'Pre- and Production'!AF$4:AFI$376)</f>
        <v>0</v>
      </c>
      <c r="K228" s="296">
        <f>SUMIF('Pre- and Production'!$T$4:$T$376, CONCATENATE(LEFT('WBS Summary by Year'!K$6,1),'WBS Summary by Year'!$C228,'WBS Summary by Year'!$B$210),'Pre- and Production'!AP$4:AP$376)</f>
        <v>0</v>
      </c>
      <c r="L228" s="307">
        <f>SUMIF('Pre- and Production'!$T$4:$T$376, CONCATENATE(LEFT('WBS Summary by Year'!L$6,1),'WBS Summary by Year'!$C228,'WBS Summary by Year'!$B$210),'Pre- and Production'!AG$4:AG$376)</f>
        <v>0</v>
      </c>
      <c r="M228" s="303">
        <f>SUMIF('Pre- and Production'!$T$4:$T$376, CONCATENATE(LEFT('WBS Summary by Year'!M$6,1),'WBS Summary by Year'!$C228,'WBS Summary by Year'!$B$210),'Pre- and Production'!AQ$4:AQ$376)</f>
        <v>0</v>
      </c>
      <c r="N228" s="315">
        <f>SUMIF('Pre- and Production'!$T$4:$T$376, CONCATENATE(LEFT('WBS Summary by Year'!N$6,1),'WBS Summary by Year'!$C228,'WBS Summary by Year'!$B$210),'Pre- and Production'!AH$4:AH$376)</f>
        <v>0</v>
      </c>
      <c r="O228" s="316">
        <f>SUMIF('Pre- and Production'!$T$4:$T$376, CONCATENATE(LEFT('WBS Summary by Year'!O$6,1),'WBS Summary by Year'!$C228,'WBS Summary by Year'!$B$210),'Pre- and Production'!AR$4:AR$376)</f>
        <v>0</v>
      </c>
    </row>
    <row r="229" spans="3:15" s="352" customFormat="1">
      <c r="C229" s="134" t="s">
        <v>406</v>
      </c>
      <c r="D229" s="26">
        <f>SUMIF('Pre- and Production'!$T$4:$T$376, CONCATENATE(LEFT('WBS Summary by Year'!D$6,1),'WBS Summary by Year'!$C229,'WBS Summary by Year'!$B$210),'Pre- and Production'!AC$4:AC$376)</f>
        <v>0</v>
      </c>
      <c r="E229" s="303">
        <f>SUMIF('Pre- and Production'!$T$4:$T$376, CONCATENATE(LEFT('WBS Summary by Year'!E$6,1),'WBS Summary by Year'!$C229,'WBS Summary by Year'!$B$210),'Pre- and Production'!AM$4:AM$376)</f>
        <v>0</v>
      </c>
      <c r="F229" s="26">
        <f>SUMIF('Pre- and Production'!$T$4:$T$376, CONCATENATE(LEFT('WBS Summary by Year'!F$6,1),'WBS Summary by Year'!$C229,'WBS Summary by Year'!$B$210),'Pre- and Production'!AD$4:AD$376)</f>
        <v>0</v>
      </c>
      <c r="G229" s="296">
        <f>SUMIF('Pre- and Production'!$T$4:$T$376, CONCATENATE(LEFT('WBS Summary by Year'!G$6,1),'WBS Summary by Year'!$C229,'WBS Summary by Year'!$B$210),'Pre- and Production'!AN$4:AN$376)</f>
        <v>0</v>
      </c>
      <c r="H229" s="307">
        <f>SUMIF('Pre- and Production'!$T$4:$T$376, CONCATENATE(LEFT('WBS Summary by Year'!H$6,1),'WBS Summary by Year'!$C229,'WBS Summary by Year'!$B$210),'Pre- and Production'!AE$4:AE$376)</f>
        <v>0</v>
      </c>
      <c r="I229" s="303">
        <f>SUMIF('Pre- and Production'!$T$4:$T$376, CONCATENATE(LEFT('WBS Summary by Year'!I$6,1),'WBS Summary by Year'!$C229,'WBS Summary by Year'!$B$210),'Pre- and Production'!AO$4:AO$376)</f>
        <v>0</v>
      </c>
      <c r="J229" s="26">
        <f>SUMIF('Pre- and Production'!$T$4:$T$376, CONCATENATE(LEFT('WBS Summary by Year'!J$6,1),'WBS Summary by Year'!$C229,'WBS Summary by Year'!$B$210),'Pre- and Production'!AF$4:AFI$376)</f>
        <v>0</v>
      </c>
      <c r="K229" s="296">
        <f>SUMIF('Pre- and Production'!$T$4:$T$376, CONCATENATE(LEFT('WBS Summary by Year'!K$6,1),'WBS Summary by Year'!$C229,'WBS Summary by Year'!$B$210),'Pre- and Production'!AP$4:AP$376)</f>
        <v>0</v>
      </c>
      <c r="L229" s="307">
        <f>SUMIF('Pre- and Production'!$T$4:$T$376, CONCATENATE(LEFT('WBS Summary by Year'!L$6,1),'WBS Summary by Year'!$C229,'WBS Summary by Year'!$B$210),'Pre- and Production'!AG$4:AG$376)</f>
        <v>0</v>
      </c>
      <c r="M229" s="303">
        <f>SUMIF('Pre- and Production'!$T$4:$T$376, CONCATENATE(LEFT('WBS Summary by Year'!M$6,1),'WBS Summary by Year'!$C229,'WBS Summary by Year'!$B$210),'Pre- and Production'!AQ$4:AQ$376)</f>
        <v>0</v>
      </c>
      <c r="N229" s="315">
        <f>SUMIF('Pre- and Production'!$T$4:$T$376, CONCATENATE(LEFT('WBS Summary by Year'!N$6,1),'WBS Summary by Year'!$C229,'WBS Summary by Year'!$B$210),'Pre- and Production'!AH$4:AH$376)</f>
        <v>0</v>
      </c>
      <c r="O229" s="316">
        <f>SUMIF('Pre- and Production'!$T$4:$T$376, CONCATENATE(LEFT('WBS Summary by Year'!O$6,1),'WBS Summary by Year'!$C229,'WBS Summary by Year'!$B$210),'Pre- and Production'!AR$4:AR$376)</f>
        <v>0</v>
      </c>
    </row>
    <row r="230" spans="3:15" s="352" customFormat="1">
      <c r="C230" s="46" t="s">
        <v>407</v>
      </c>
      <c r="D230" s="26">
        <f>SUMIF('Pre- and Production'!$T$4:$T$376, CONCATENATE(LEFT('WBS Summary by Year'!D$6,1),'WBS Summary by Year'!$C230,'WBS Summary by Year'!$B$210),'Pre- and Production'!AC$4:AC$376)</f>
        <v>0</v>
      </c>
      <c r="E230" s="303">
        <f>SUMIF('Pre- and Production'!$T$4:$T$376, CONCATENATE(LEFT('WBS Summary by Year'!E$6,1),'WBS Summary by Year'!$C230,'WBS Summary by Year'!$B$210),'Pre- and Production'!AM$4:AM$376)</f>
        <v>0</v>
      </c>
      <c r="F230" s="26">
        <f>SUMIF('Pre- and Production'!$T$4:$T$376, CONCATENATE(LEFT('WBS Summary by Year'!F$6,1),'WBS Summary by Year'!$C230,'WBS Summary by Year'!$B$210),'Pre- and Production'!AD$4:AD$376)</f>
        <v>0</v>
      </c>
      <c r="G230" s="296">
        <f>SUMIF('Pre- and Production'!$T$4:$T$376, CONCATENATE(LEFT('WBS Summary by Year'!G$6,1),'WBS Summary by Year'!$C230,'WBS Summary by Year'!$B$210),'Pre- and Production'!AN$4:AN$376)</f>
        <v>0</v>
      </c>
      <c r="H230" s="307">
        <f>SUMIF('Pre- and Production'!$T$4:$T$376, CONCATENATE(LEFT('WBS Summary by Year'!H$6,1),'WBS Summary by Year'!$C230,'WBS Summary by Year'!$B$210),'Pre- and Production'!AE$4:AE$376)</f>
        <v>0</v>
      </c>
      <c r="I230" s="303">
        <f>SUMIF('Pre- and Production'!$T$4:$T$376, CONCATENATE(LEFT('WBS Summary by Year'!I$6,1),'WBS Summary by Year'!$C230,'WBS Summary by Year'!$B$210),'Pre- and Production'!AO$4:AO$376)</f>
        <v>0</v>
      </c>
      <c r="J230" s="26">
        <f>SUMIF('Pre- and Production'!$T$4:$T$376, CONCATENATE(LEFT('WBS Summary by Year'!J$6,1),'WBS Summary by Year'!$C230,'WBS Summary by Year'!$B$210),'Pre- and Production'!AF$4:AFI$376)</f>
        <v>0</v>
      </c>
      <c r="K230" s="296">
        <f>SUMIF('Pre- and Production'!$T$4:$T$376, CONCATENATE(LEFT('WBS Summary by Year'!K$6,1),'WBS Summary by Year'!$C230,'WBS Summary by Year'!$B$210),'Pre- and Production'!AP$4:AP$376)</f>
        <v>0</v>
      </c>
      <c r="L230" s="307">
        <f>SUMIF('Pre- and Production'!$T$4:$T$376, CONCATENATE(LEFT('WBS Summary by Year'!L$6,1),'WBS Summary by Year'!$C230,'WBS Summary by Year'!$B$210),'Pre- and Production'!AG$4:AG$376)</f>
        <v>0</v>
      </c>
      <c r="M230" s="303">
        <f>SUMIF('Pre- and Production'!$T$4:$T$376, CONCATENATE(LEFT('WBS Summary by Year'!M$6,1),'WBS Summary by Year'!$C230,'WBS Summary by Year'!$B$210),'Pre- and Production'!AQ$4:AQ$376)</f>
        <v>0</v>
      </c>
      <c r="N230" s="315">
        <f>SUMIF('Pre- and Production'!$T$4:$T$376, CONCATENATE(LEFT('WBS Summary by Year'!N$6,1),'WBS Summary by Year'!$C230,'WBS Summary by Year'!$B$210),'Pre- and Production'!AH$4:AH$376)</f>
        <v>0</v>
      </c>
      <c r="O230" s="316">
        <f>SUMIF('Pre- and Production'!$T$4:$T$376, CONCATENATE(LEFT('WBS Summary by Year'!O$6,1),'WBS Summary by Year'!$C230,'WBS Summary by Year'!$B$210),'Pre- and Production'!AR$4:AR$376)</f>
        <v>0</v>
      </c>
    </row>
    <row r="231" spans="3:15" s="352" customFormat="1">
      <c r="C231" s="46" t="s">
        <v>408</v>
      </c>
      <c r="D231" s="26">
        <f>SUMIF('Pre- and Production'!$T$4:$T$376, CONCATENATE(LEFT('WBS Summary by Year'!D$6,1),'WBS Summary by Year'!$C231,'WBS Summary by Year'!$B$210),'Pre- and Production'!AC$4:AC$376)</f>
        <v>0</v>
      </c>
      <c r="E231" s="303">
        <f>SUMIF('Pre- and Production'!$T$4:$T$376, CONCATENATE(LEFT('WBS Summary by Year'!E$6,1),'WBS Summary by Year'!$C231,'WBS Summary by Year'!$B$210),'Pre- and Production'!AM$4:AM$376)</f>
        <v>0</v>
      </c>
      <c r="F231" s="26">
        <f>SUMIF('Pre- and Production'!$T$4:$T$376, CONCATENATE(LEFT('WBS Summary by Year'!F$6,1),'WBS Summary by Year'!$C231,'WBS Summary by Year'!$B$210),'Pre- and Production'!AD$4:AD$376)</f>
        <v>0</v>
      </c>
      <c r="G231" s="296">
        <f>SUMIF('Pre- and Production'!$T$4:$T$376, CONCATENATE(LEFT('WBS Summary by Year'!G$6,1),'WBS Summary by Year'!$C231,'WBS Summary by Year'!$B$210),'Pre- and Production'!AN$4:AN$376)</f>
        <v>0</v>
      </c>
      <c r="H231" s="307">
        <f>SUMIF('Pre- and Production'!$T$4:$T$376, CONCATENATE(LEFT('WBS Summary by Year'!H$6,1),'WBS Summary by Year'!$C231,'WBS Summary by Year'!$B$210),'Pre- and Production'!AE$4:AE$376)</f>
        <v>0</v>
      </c>
      <c r="I231" s="303">
        <f>SUMIF('Pre- and Production'!$T$4:$T$376, CONCATENATE(LEFT('WBS Summary by Year'!I$6,1),'WBS Summary by Year'!$C231,'WBS Summary by Year'!$B$210),'Pre- and Production'!AO$4:AO$376)</f>
        <v>0</v>
      </c>
      <c r="J231" s="26">
        <f>SUMIF('Pre- and Production'!$T$4:$T$376, CONCATENATE(LEFT('WBS Summary by Year'!J$6,1),'WBS Summary by Year'!$C231,'WBS Summary by Year'!$B$210),'Pre- and Production'!AF$4:AFI$376)</f>
        <v>0</v>
      </c>
      <c r="K231" s="296">
        <f>SUMIF('Pre- and Production'!$T$4:$T$376, CONCATENATE(LEFT('WBS Summary by Year'!K$6,1),'WBS Summary by Year'!$C231,'WBS Summary by Year'!$B$210),'Pre- and Production'!AP$4:AP$376)</f>
        <v>0</v>
      </c>
      <c r="L231" s="307">
        <f>SUMIF('Pre- and Production'!$T$4:$T$376, CONCATENATE(LEFT('WBS Summary by Year'!L$6,1),'WBS Summary by Year'!$C231,'WBS Summary by Year'!$B$210),'Pre- and Production'!AG$4:AG$376)</f>
        <v>0</v>
      </c>
      <c r="M231" s="303">
        <f>SUMIF('Pre- and Production'!$T$4:$T$376, CONCATENATE(LEFT('WBS Summary by Year'!M$6,1),'WBS Summary by Year'!$C231,'WBS Summary by Year'!$B$210),'Pre- and Production'!AQ$4:AQ$376)</f>
        <v>0</v>
      </c>
      <c r="N231" s="315">
        <f>SUMIF('Pre- and Production'!$T$4:$T$376, CONCATENATE(LEFT('WBS Summary by Year'!N$6,1),'WBS Summary by Year'!$C231,'WBS Summary by Year'!$B$210),'Pre- and Production'!AH$4:AH$376)</f>
        <v>0</v>
      </c>
      <c r="O231" s="316">
        <f>SUMIF('Pre- and Production'!$T$4:$T$376, CONCATENATE(LEFT('WBS Summary by Year'!O$6,1),'WBS Summary by Year'!$C231,'WBS Summary by Year'!$B$210),'Pre- and Production'!AR$4:AR$376)</f>
        <v>0</v>
      </c>
    </row>
    <row r="232" spans="3:15" s="352" customFormat="1">
      <c r="C232" s="134" t="s">
        <v>409</v>
      </c>
      <c r="D232" s="26">
        <f>SUMIF('Pre- and Production'!$T$4:$T$376, CONCATENATE(LEFT('WBS Summary by Year'!D$6,1),'WBS Summary by Year'!$C232,'WBS Summary by Year'!$B$210),'Pre- and Production'!AC$4:AC$376)</f>
        <v>0</v>
      </c>
      <c r="E232" s="303">
        <f>SUMIF('Pre- and Production'!$T$4:$T$376, CONCATENATE(LEFT('WBS Summary by Year'!E$6,1),'WBS Summary by Year'!$C232,'WBS Summary by Year'!$B$210),'Pre- and Production'!AM$4:AM$376)</f>
        <v>0</v>
      </c>
      <c r="F232" s="26">
        <f>SUMIF('Pre- and Production'!$T$4:$T$376, CONCATENATE(LEFT('WBS Summary by Year'!F$6,1),'WBS Summary by Year'!$C232,'WBS Summary by Year'!$B$210),'Pre- and Production'!AD$4:AD$376)</f>
        <v>0</v>
      </c>
      <c r="G232" s="296">
        <f>SUMIF('Pre- and Production'!$T$4:$T$376, CONCATENATE(LEFT('WBS Summary by Year'!G$6,1),'WBS Summary by Year'!$C232,'WBS Summary by Year'!$B$210),'Pre- and Production'!AN$4:AN$376)</f>
        <v>0</v>
      </c>
      <c r="H232" s="307">
        <f>SUMIF('Pre- and Production'!$T$4:$T$376, CONCATENATE(LEFT('WBS Summary by Year'!H$6,1),'WBS Summary by Year'!$C232,'WBS Summary by Year'!$B$210),'Pre- and Production'!AE$4:AE$376)</f>
        <v>0</v>
      </c>
      <c r="I232" s="303">
        <f>SUMIF('Pre- and Production'!$T$4:$T$376, CONCATENATE(LEFT('WBS Summary by Year'!I$6,1),'WBS Summary by Year'!$C232,'WBS Summary by Year'!$B$210),'Pre- and Production'!AO$4:AO$376)</f>
        <v>0</v>
      </c>
      <c r="J232" s="26">
        <f>SUMIF('Pre- and Production'!$T$4:$T$376, CONCATENATE(LEFT('WBS Summary by Year'!J$6,1),'WBS Summary by Year'!$C232,'WBS Summary by Year'!$B$210),'Pre- and Production'!AF$4:AFI$376)</f>
        <v>0</v>
      </c>
      <c r="K232" s="296">
        <f>SUMIF('Pre- and Production'!$T$4:$T$376, CONCATENATE(LEFT('WBS Summary by Year'!K$6,1),'WBS Summary by Year'!$C232,'WBS Summary by Year'!$B$210),'Pre- and Production'!AP$4:AP$376)</f>
        <v>0</v>
      </c>
      <c r="L232" s="307">
        <f>SUMIF('Pre- and Production'!$T$4:$T$376, CONCATENATE(LEFT('WBS Summary by Year'!L$6,1),'WBS Summary by Year'!$C232,'WBS Summary by Year'!$B$210),'Pre- and Production'!AG$4:AG$376)</f>
        <v>0</v>
      </c>
      <c r="M232" s="303">
        <f>SUMIF('Pre- and Production'!$T$4:$T$376, CONCATENATE(LEFT('WBS Summary by Year'!M$6,1),'WBS Summary by Year'!$C232,'WBS Summary by Year'!$B$210),'Pre- and Production'!AQ$4:AQ$376)</f>
        <v>0</v>
      </c>
      <c r="N232" s="315">
        <f>SUMIF('Pre- and Production'!$T$4:$T$376, CONCATENATE(LEFT('WBS Summary by Year'!N$6,1),'WBS Summary by Year'!$C232,'WBS Summary by Year'!$B$210),'Pre- and Production'!AH$4:AH$376)</f>
        <v>0</v>
      </c>
      <c r="O232" s="316">
        <f>SUMIF('Pre- and Production'!$T$4:$T$376, CONCATENATE(LEFT('WBS Summary by Year'!O$6,1),'WBS Summary by Year'!$C232,'WBS Summary by Year'!$B$210),'Pre- and Production'!AR$4:AR$376)</f>
        <v>0</v>
      </c>
    </row>
    <row r="233" spans="3:15" s="352" customFormat="1">
      <c r="C233" s="134" t="s">
        <v>410</v>
      </c>
      <c r="D233" s="26">
        <f>SUMIF('Pre- and Production'!$T$4:$T$376, CONCATENATE(LEFT('WBS Summary by Year'!D$6,1),'WBS Summary by Year'!$C233,'WBS Summary by Year'!$B$210),'Pre- and Production'!AC$4:AC$376)</f>
        <v>0</v>
      </c>
      <c r="E233" s="303">
        <f>SUMIF('Pre- and Production'!$T$4:$T$376, CONCATENATE(LEFT('WBS Summary by Year'!E$6,1),'WBS Summary by Year'!$C233,'WBS Summary by Year'!$B$210),'Pre- and Production'!AM$4:AM$376)</f>
        <v>0</v>
      </c>
      <c r="F233" s="26">
        <f>SUMIF('Pre- and Production'!$T$4:$T$376, CONCATENATE(LEFT('WBS Summary by Year'!F$6,1),'WBS Summary by Year'!$C233,'WBS Summary by Year'!$B$210),'Pre- and Production'!AD$4:AD$376)</f>
        <v>0</v>
      </c>
      <c r="G233" s="296">
        <f>SUMIF('Pre- and Production'!$T$4:$T$376, CONCATENATE(LEFT('WBS Summary by Year'!G$6,1),'WBS Summary by Year'!$C233,'WBS Summary by Year'!$B$210),'Pre- and Production'!AN$4:AN$376)</f>
        <v>0</v>
      </c>
      <c r="H233" s="307">
        <f>SUMIF('Pre- and Production'!$T$4:$T$376, CONCATENATE(LEFT('WBS Summary by Year'!H$6,1),'WBS Summary by Year'!$C233,'WBS Summary by Year'!$B$210),'Pre- and Production'!AE$4:AE$376)</f>
        <v>0</v>
      </c>
      <c r="I233" s="303">
        <f>SUMIF('Pre- and Production'!$T$4:$T$376, CONCATENATE(LEFT('WBS Summary by Year'!I$6,1),'WBS Summary by Year'!$C233,'WBS Summary by Year'!$B$210),'Pre- and Production'!AO$4:AO$376)</f>
        <v>0</v>
      </c>
      <c r="J233" s="26">
        <f>SUMIF('Pre- and Production'!$T$4:$T$376, CONCATENATE(LEFT('WBS Summary by Year'!J$6,1),'WBS Summary by Year'!$C233,'WBS Summary by Year'!$B$210),'Pre- and Production'!AF$4:AFI$376)</f>
        <v>0</v>
      </c>
      <c r="K233" s="296">
        <f>SUMIF('Pre- and Production'!$T$4:$T$376, CONCATENATE(LEFT('WBS Summary by Year'!K$6,1),'WBS Summary by Year'!$C233,'WBS Summary by Year'!$B$210),'Pre- and Production'!AP$4:AP$376)</f>
        <v>0</v>
      </c>
      <c r="L233" s="307">
        <f>SUMIF('Pre- and Production'!$T$4:$T$376, CONCATENATE(LEFT('WBS Summary by Year'!L$6,1),'WBS Summary by Year'!$C233,'WBS Summary by Year'!$B$210),'Pre- and Production'!AG$4:AG$376)</f>
        <v>0</v>
      </c>
      <c r="M233" s="303">
        <f>SUMIF('Pre- and Production'!$T$4:$T$376, CONCATENATE(LEFT('WBS Summary by Year'!M$6,1),'WBS Summary by Year'!$C233,'WBS Summary by Year'!$B$210),'Pre- and Production'!AQ$4:AQ$376)</f>
        <v>0</v>
      </c>
      <c r="N233" s="315">
        <f>SUMIF('Pre- and Production'!$T$4:$T$376, CONCATENATE(LEFT('WBS Summary by Year'!N$6,1),'WBS Summary by Year'!$C233,'WBS Summary by Year'!$B$210),'Pre- and Production'!AH$4:AH$376)</f>
        <v>0</v>
      </c>
      <c r="O233" s="316">
        <f>SUMIF('Pre- and Production'!$T$4:$T$376, CONCATENATE(LEFT('WBS Summary by Year'!O$6,1),'WBS Summary by Year'!$C233,'WBS Summary by Year'!$B$210),'Pre- and Production'!AR$4:AR$376)</f>
        <v>0</v>
      </c>
    </row>
    <row r="234" spans="3:15">
      <c r="C234" s="134" t="s">
        <v>411</v>
      </c>
      <c r="D234" s="26">
        <f>SUMIF('Pre- and Production'!$T$4:$T$376, CONCATENATE(LEFT('WBS Summary by Year'!D$6,1),'WBS Summary by Year'!$C234,'WBS Summary by Year'!$B$210),'Pre- and Production'!AC$4:AC$376)</f>
        <v>0</v>
      </c>
      <c r="E234" s="303">
        <f>SUMIF('Pre- and Production'!$T$4:$T$376, CONCATENATE(LEFT('WBS Summary by Year'!E$6,1),'WBS Summary by Year'!$C234,'WBS Summary by Year'!$B$210),'Pre- and Production'!AM$4:AM$376)</f>
        <v>0</v>
      </c>
      <c r="F234" s="26">
        <f>SUMIF('Pre- and Production'!$T$4:$T$376, CONCATENATE(LEFT('WBS Summary by Year'!F$6,1),'WBS Summary by Year'!$C234,'WBS Summary by Year'!$B$210),'Pre- and Production'!AD$4:AD$376)</f>
        <v>0</v>
      </c>
      <c r="G234" s="296">
        <f>SUMIF('Pre- and Production'!$T$4:$T$376, CONCATENATE(LEFT('WBS Summary by Year'!G$6,1),'WBS Summary by Year'!$C234,'WBS Summary by Year'!$B$210),'Pre- and Production'!AN$4:AN$376)</f>
        <v>0</v>
      </c>
      <c r="H234" s="307">
        <f>SUMIF('Pre- and Production'!$T$4:$T$376, CONCATENATE(LEFT('WBS Summary by Year'!H$6,1),'WBS Summary by Year'!$C234,'WBS Summary by Year'!$B$210),'Pre- and Production'!AE$4:AE$376)</f>
        <v>0</v>
      </c>
      <c r="I234" s="303">
        <f>SUMIF('Pre- and Production'!$T$4:$T$376, CONCATENATE(LEFT('WBS Summary by Year'!I$6,1),'WBS Summary by Year'!$C234,'WBS Summary by Year'!$B$210),'Pre- and Production'!AO$4:AO$376)</f>
        <v>0</v>
      </c>
      <c r="J234" s="26">
        <f>SUMIF('Pre- and Production'!$T$4:$T$376, CONCATENATE(LEFT('WBS Summary by Year'!J$6,1),'WBS Summary by Year'!$C234,'WBS Summary by Year'!$B$210),'Pre- and Production'!AF$4:AFI$376)</f>
        <v>0</v>
      </c>
      <c r="K234" s="296">
        <f>SUMIF('Pre- and Production'!$T$4:$T$376, CONCATENATE(LEFT('WBS Summary by Year'!K$6,1),'WBS Summary by Year'!$C234,'WBS Summary by Year'!$B$210),'Pre- and Production'!AP$4:AP$376)</f>
        <v>0</v>
      </c>
      <c r="L234" s="307">
        <f>SUMIF('Pre- and Production'!$T$4:$T$376, CONCATENATE(LEFT('WBS Summary by Year'!L$6,1),'WBS Summary by Year'!$C234,'WBS Summary by Year'!$B$210),'Pre- and Production'!AG$4:AG$376)</f>
        <v>0</v>
      </c>
      <c r="M234" s="303">
        <f>SUMIF('Pre- and Production'!$T$4:$T$376, CONCATENATE(LEFT('WBS Summary by Year'!M$6,1),'WBS Summary by Year'!$C234,'WBS Summary by Year'!$B$210),'Pre- and Production'!AQ$4:AQ$376)</f>
        <v>0</v>
      </c>
      <c r="N234" s="315">
        <f>SUMIF('Pre- and Production'!$T$4:$T$376, CONCATENATE(LEFT('WBS Summary by Year'!N$6,1),'WBS Summary by Year'!$C234,'WBS Summary by Year'!$B$210),'Pre- and Production'!AH$4:AH$376)</f>
        <v>0</v>
      </c>
      <c r="O234" s="316">
        <f>SUMIF('Pre- and Production'!$T$4:$T$376, CONCATENATE(LEFT('WBS Summary by Year'!O$6,1),'WBS Summary by Year'!$C234,'WBS Summary by Year'!$B$210),'Pre- and Production'!AR$4:AR$376)</f>
        <v>0</v>
      </c>
    </row>
    <row r="235" spans="3:15">
      <c r="C235" s="46" t="s">
        <v>412</v>
      </c>
      <c r="D235" s="26">
        <f>SUMIF('Pre- and Production'!$T$4:$T$376, CONCATENATE(LEFT('WBS Summary by Year'!D$6,1),'WBS Summary by Year'!$C235,'WBS Summary by Year'!$B$210),'Pre- and Production'!AC$4:AC$376)</f>
        <v>0</v>
      </c>
      <c r="E235" s="303">
        <f>SUMIF('Pre- and Production'!$T$4:$T$376, CONCATENATE(LEFT('WBS Summary by Year'!E$6,1),'WBS Summary by Year'!$C235,'WBS Summary by Year'!$B$210),'Pre- and Production'!AM$4:AM$376)</f>
        <v>0</v>
      </c>
      <c r="F235" s="26">
        <f>SUMIF('Pre- and Production'!$T$4:$T$376, CONCATENATE(LEFT('WBS Summary by Year'!F$6,1),'WBS Summary by Year'!$C235,'WBS Summary by Year'!$B$210),'Pre- and Production'!AD$4:AD$376)</f>
        <v>0</v>
      </c>
      <c r="G235" s="296">
        <f>SUMIF('Pre- and Production'!$T$4:$T$376, CONCATENATE(LEFT('WBS Summary by Year'!G$6,1),'WBS Summary by Year'!$C235,'WBS Summary by Year'!$B$210),'Pre- and Production'!AN$4:AN$376)</f>
        <v>0</v>
      </c>
      <c r="H235" s="307">
        <f>SUMIF('Pre- and Production'!$T$4:$T$376, CONCATENATE(LEFT('WBS Summary by Year'!H$6,1),'WBS Summary by Year'!$C235,'WBS Summary by Year'!$B$210),'Pre- and Production'!AE$4:AE$376)</f>
        <v>0</v>
      </c>
      <c r="I235" s="303">
        <f>SUMIF('Pre- and Production'!$T$4:$T$376, CONCATENATE(LEFT('WBS Summary by Year'!I$6,1),'WBS Summary by Year'!$C235,'WBS Summary by Year'!$B$210),'Pre- and Production'!AO$4:AO$376)</f>
        <v>0</v>
      </c>
      <c r="J235" s="26">
        <f>SUMIF('Pre- and Production'!$T$4:$T$376, CONCATENATE(LEFT('WBS Summary by Year'!J$6,1),'WBS Summary by Year'!$C235,'WBS Summary by Year'!$B$210),'Pre- and Production'!AF$4:AFI$376)</f>
        <v>0</v>
      </c>
      <c r="K235" s="296">
        <f>SUMIF('Pre- and Production'!$T$4:$T$376, CONCATENATE(LEFT('WBS Summary by Year'!K$6,1),'WBS Summary by Year'!$C235,'WBS Summary by Year'!$B$210),'Pre- and Production'!AP$4:AP$376)</f>
        <v>0</v>
      </c>
      <c r="L235" s="307">
        <f>SUMIF('Pre- and Production'!$T$4:$T$376, CONCATENATE(LEFT('WBS Summary by Year'!L$6,1),'WBS Summary by Year'!$C235,'WBS Summary by Year'!$B$210),'Pre- and Production'!AG$4:AG$376)</f>
        <v>0</v>
      </c>
      <c r="M235" s="303">
        <f>SUMIF('Pre- and Production'!$T$4:$T$376, CONCATENATE(LEFT('WBS Summary by Year'!M$6,1),'WBS Summary by Year'!$C235,'WBS Summary by Year'!$B$210),'Pre- and Production'!AQ$4:AQ$376)</f>
        <v>0</v>
      </c>
      <c r="N235" s="315">
        <f>SUMIF('Pre- and Production'!$T$4:$T$376, CONCATENATE(LEFT('WBS Summary by Year'!N$6,1),'WBS Summary by Year'!$C235,'WBS Summary by Year'!$B$210),'Pre- and Production'!AH$4:AH$376)</f>
        <v>0</v>
      </c>
      <c r="O235" s="316">
        <f>SUMIF('Pre- and Production'!$T$4:$T$376, CONCATENATE(LEFT('WBS Summary by Year'!O$6,1),'WBS Summary by Year'!$C235,'WBS Summary by Year'!$B$210),'Pre- and Production'!AR$4:AR$376)</f>
        <v>0</v>
      </c>
    </row>
    <row r="236" spans="3:15">
      <c r="C236" s="46" t="s">
        <v>413</v>
      </c>
      <c r="D236" s="26">
        <f>SUMIF('Pre- and Production'!$T$4:$T$376, CONCATENATE(LEFT('WBS Summary by Year'!D$6,1),'WBS Summary by Year'!$C236,'WBS Summary by Year'!$B$210),'Pre- and Production'!AC$4:AC$376)</f>
        <v>0</v>
      </c>
      <c r="E236" s="303">
        <f>SUMIF('Pre- and Production'!$T$4:$T$376, CONCATENATE(LEFT('WBS Summary by Year'!E$6,1),'WBS Summary by Year'!$C236,'WBS Summary by Year'!$B$210),'Pre- and Production'!AM$4:AM$376)</f>
        <v>0</v>
      </c>
      <c r="F236" s="26">
        <f>SUMIF('Pre- and Production'!$T$4:$T$376, CONCATENATE(LEFT('WBS Summary by Year'!F$6,1),'WBS Summary by Year'!$C236,'WBS Summary by Year'!$B$210),'Pre- and Production'!AD$4:AD$376)</f>
        <v>0</v>
      </c>
      <c r="G236" s="296">
        <f>SUMIF('Pre- and Production'!$T$4:$T$376, CONCATENATE(LEFT('WBS Summary by Year'!G$6,1),'WBS Summary by Year'!$C236,'WBS Summary by Year'!$B$210),'Pre- and Production'!AN$4:AN$376)</f>
        <v>0</v>
      </c>
      <c r="H236" s="307">
        <f>SUMIF('Pre- and Production'!$T$4:$T$376, CONCATENATE(LEFT('WBS Summary by Year'!H$6,1),'WBS Summary by Year'!$C236,'WBS Summary by Year'!$B$210),'Pre- and Production'!AE$4:AE$376)</f>
        <v>0</v>
      </c>
      <c r="I236" s="303">
        <f>SUMIF('Pre- and Production'!$T$4:$T$376, CONCATENATE(LEFT('WBS Summary by Year'!I$6,1),'WBS Summary by Year'!$C236,'WBS Summary by Year'!$B$210),'Pre- and Production'!AO$4:AO$376)</f>
        <v>0</v>
      </c>
      <c r="J236" s="26">
        <f>SUMIF('Pre- and Production'!$T$4:$T$376, CONCATENATE(LEFT('WBS Summary by Year'!J$6,1),'WBS Summary by Year'!$C236,'WBS Summary by Year'!$B$210),'Pre- and Production'!AF$4:AFI$376)</f>
        <v>0</v>
      </c>
      <c r="K236" s="296">
        <f>SUMIF('Pre- and Production'!$T$4:$T$376, CONCATENATE(LEFT('WBS Summary by Year'!K$6,1),'WBS Summary by Year'!$C236,'WBS Summary by Year'!$B$210),'Pre- and Production'!AP$4:AP$376)</f>
        <v>0</v>
      </c>
      <c r="L236" s="307">
        <f>SUMIF('Pre- and Production'!$T$4:$T$376, CONCATENATE(LEFT('WBS Summary by Year'!L$6,1),'WBS Summary by Year'!$C236,'WBS Summary by Year'!$B$210),'Pre- and Production'!AG$4:AG$376)</f>
        <v>0</v>
      </c>
      <c r="M236" s="303">
        <f>SUMIF('Pre- and Production'!$T$4:$T$376, CONCATENATE(LEFT('WBS Summary by Year'!M$6,1),'WBS Summary by Year'!$C236,'WBS Summary by Year'!$B$210),'Pre- and Production'!AQ$4:AQ$376)</f>
        <v>0</v>
      </c>
      <c r="N236" s="315">
        <f>SUMIF('Pre- and Production'!$T$4:$T$376, CONCATENATE(LEFT('WBS Summary by Year'!N$6,1),'WBS Summary by Year'!$C236,'WBS Summary by Year'!$B$210),'Pre- and Production'!AH$4:AH$376)</f>
        <v>0</v>
      </c>
      <c r="O236" s="316">
        <f>SUMIF('Pre- and Production'!$T$4:$T$376, CONCATENATE(LEFT('WBS Summary by Year'!O$6,1),'WBS Summary by Year'!$C236,'WBS Summary by Year'!$B$210),'Pre- and Production'!AR$4:AR$376)</f>
        <v>0</v>
      </c>
    </row>
    <row r="237" spans="3:15">
      <c r="C237" s="134" t="s">
        <v>414</v>
      </c>
      <c r="D237" s="26">
        <f>SUMIF('Pre- and Production'!$T$4:$T$376, CONCATENATE(LEFT('WBS Summary by Year'!D$6,1),'WBS Summary by Year'!$C237,'WBS Summary by Year'!$B$210),'Pre- and Production'!AC$4:AC$376)</f>
        <v>0</v>
      </c>
      <c r="E237" s="303">
        <f>SUMIF('Pre- and Production'!$T$4:$T$376, CONCATENATE(LEFT('WBS Summary by Year'!E$6,1),'WBS Summary by Year'!$C237,'WBS Summary by Year'!$B$210),'Pre- and Production'!AM$4:AM$376)</f>
        <v>0</v>
      </c>
      <c r="F237" s="26">
        <f>SUMIF('Pre- and Production'!$T$4:$T$376, CONCATENATE(LEFT('WBS Summary by Year'!F$6,1),'WBS Summary by Year'!$C237,'WBS Summary by Year'!$B$210),'Pre- and Production'!AD$4:AD$376)</f>
        <v>0</v>
      </c>
      <c r="G237" s="296">
        <f>SUMIF('Pre- and Production'!$T$4:$T$376, CONCATENATE(LEFT('WBS Summary by Year'!G$6,1),'WBS Summary by Year'!$C237,'WBS Summary by Year'!$B$210),'Pre- and Production'!AN$4:AN$376)</f>
        <v>0</v>
      </c>
      <c r="H237" s="307">
        <f>SUMIF('Pre- and Production'!$T$4:$T$376, CONCATENATE(LEFT('WBS Summary by Year'!H$6,1),'WBS Summary by Year'!$C237,'WBS Summary by Year'!$B$210),'Pre- and Production'!AE$4:AE$376)</f>
        <v>0</v>
      </c>
      <c r="I237" s="303">
        <f>SUMIF('Pre- and Production'!$T$4:$T$376, CONCATENATE(LEFT('WBS Summary by Year'!I$6,1),'WBS Summary by Year'!$C237,'WBS Summary by Year'!$B$210),'Pre- and Production'!AO$4:AO$376)</f>
        <v>0</v>
      </c>
      <c r="J237" s="26">
        <f>SUMIF('Pre- and Production'!$T$4:$T$376, CONCATENATE(LEFT('WBS Summary by Year'!J$6,1),'WBS Summary by Year'!$C237,'WBS Summary by Year'!$B$210),'Pre- and Production'!AF$4:AFI$376)</f>
        <v>0</v>
      </c>
      <c r="K237" s="296">
        <f>SUMIF('Pre- and Production'!$T$4:$T$376, CONCATENATE(LEFT('WBS Summary by Year'!K$6,1),'WBS Summary by Year'!$C237,'WBS Summary by Year'!$B$210),'Pre- and Production'!AP$4:AP$376)</f>
        <v>0</v>
      </c>
      <c r="L237" s="307">
        <f>SUMIF('Pre- and Production'!$T$4:$T$376, CONCATENATE(LEFT('WBS Summary by Year'!L$6,1),'WBS Summary by Year'!$C237,'WBS Summary by Year'!$B$210),'Pre- and Production'!AG$4:AG$376)</f>
        <v>0</v>
      </c>
      <c r="M237" s="303">
        <f>SUMIF('Pre- and Production'!$T$4:$T$376, CONCATENATE(LEFT('WBS Summary by Year'!M$6,1),'WBS Summary by Year'!$C237,'WBS Summary by Year'!$B$210),'Pre- and Production'!AQ$4:AQ$376)</f>
        <v>0</v>
      </c>
      <c r="N237" s="315">
        <f>SUMIF('Pre- and Production'!$T$4:$T$376, CONCATENATE(LEFT('WBS Summary by Year'!N$6,1),'WBS Summary by Year'!$C237,'WBS Summary by Year'!$B$210),'Pre- and Production'!AH$4:AH$376)</f>
        <v>0</v>
      </c>
      <c r="O237" s="316">
        <f>SUMIF('Pre- and Production'!$T$4:$T$376, CONCATENATE(LEFT('WBS Summary by Year'!O$6,1),'WBS Summary by Year'!$C237,'WBS Summary by Year'!$B$210),'Pre- and Production'!AR$4:AR$376)</f>
        <v>0</v>
      </c>
    </row>
    <row r="238" spans="3:15">
      <c r="C238" s="100" t="s">
        <v>449</v>
      </c>
      <c r="D238" s="26">
        <f>SUMIF('Pre- and Production'!$T$4:$T$376, CONCATENATE(LEFT('WBS Summary by Year'!D$6,1),'WBS Summary by Year'!$C238,'WBS Summary by Year'!$B$210),'Pre- and Production'!AC$4:AC$376)</f>
        <v>0</v>
      </c>
      <c r="E238" s="303">
        <f>SUMIF('Pre- and Production'!$T$4:$T$376, CONCATENATE(LEFT('WBS Summary by Year'!E$6,1),'WBS Summary by Year'!$C238,'WBS Summary by Year'!$B$210),'Pre- and Production'!AM$4:AM$376)</f>
        <v>0</v>
      </c>
      <c r="F238" s="26">
        <f>SUMIF('Pre- and Production'!$T$4:$T$376, CONCATENATE(LEFT('WBS Summary by Year'!F$6,1),'WBS Summary by Year'!$C238,'WBS Summary by Year'!$B$210),'Pre- and Production'!AD$4:AD$376)</f>
        <v>0</v>
      </c>
      <c r="G238" s="296">
        <f>SUMIF('Pre- and Production'!$T$4:$T$376, CONCATENATE(LEFT('WBS Summary by Year'!G$6,1),'WBS Summary by Year'!$C238,'WBS Summary by Year'!$B$210),'Pre- and Production'!AN$4:AN$376)</f>
        <v>0</v>
      </c>
      <c r="H238" s="307">
        <f>SUMIF('Pre- and Production'!$T$4:$T$376, CONCATENATE(LEFT('WBS Summary by Year'!H$6,1),'WBS Summary by Year'!$C238,'WBS Summary by Year'!$B$210),'Pre- and Production'!AE$4:AE$376)</f>
        <v>0</v>
      </c>
      <c r="I238" s="303">
        <f>SUMIF('Pre- and Production'!$T$4:$T$376, CONCATENATE(LEFT('WBS Summary by Year'!I$6,1),'WBS Summary by Year'!$C238,'WBS Summary by Year'!$B$210),'Pre- and Production'!AO$4:AO$376)</f>
        <v>0</v>
      </c>
      <c r="J238" s="26">
        <f>SUMIF('Pre- and Production'!$T$4:$T$376, CONCATENATE(LEFT('WBS Summary by Year'!J$6,1),'WBS Summary by Year'!$C238,'WBS Summary by Year'!$B$210),'Pre- and Production'!AF$4:AFI$376)</f>
        <v>0</v>
      </c>
      <c r="K238" s="296">
        <f>SUMIF('Pre- and Production'!$T$4:$T$376, CONCATENATE(LEFT('WBS Summary by Year'!K$6,1),'WBS Summary by Year'!$C238,'WBS Summary by Year'!$B$210),'Pre- and Production'!AP$4:AP$376)</f>
        <v>0</v>
      </c>
      <c r="L238" s="307">
        <f>SUMIF('Pre- and Production'!$T$4:$T$376, CONCATENATE(LEFT('WBS Summary by Year'!L$6,1),'WBS Summary by Year'!$C238,'WBS Summary by Year'!$B$210),'Pre- and Production'!AG$4:AG$376)</f>
        <v>0</v>
      </c>
      <c r="M238" s="303">
        <f>SUMIF('Pre- and Production'!$T$4:$T$376, CONCATENATE(LEFT('WBS Summary by Year'!M$6,1),'WBS Summary by Year'!$C238,'WBS Summary by Year'!$B$210),'Pre- and Production'!AQ$4:AQ$376)</f>
        <v>0</v>
      </c>
      <c r="N238" s="315">
        <f>SUMIF('Pre- and Production'!$T$4:$T$376, CONCATENATE(LEFT('WBS Summary by Year'!N$6,1),'WBS Summary by Year'!$C238,'WBS Summary by Year'!$B$210),'Pre- and Production'!AH$4:AH$376)</f>
        <v>0</v>
      </c>
      <c r="O238" s="316">
        <f>SUMIF('Pre- and Production'!$T$4:$T$376, CONCATENATE(LEFT('WBS Summary by Year'!O$6,1),'WBS Summary by Year'!$C238,'WBS Summary by Year'!$B$210),'Pre- and Production'!AR$4:AR$376)</f>
        <v>0</v>
      </c>
    </row>
    <row r="239" spans="3:15">
      <c r="C239" s="134" t="s">
        <v>450</v>
      </c>
      <c r="D239" s="26">
        <f>SUMIF('Pre- and Production'!$T$4:$T$376, CONCATENATE(LEFT('WBS Summary by Year'!D$6,1),'WBS Summary by Year'!$C239,'WBS Summary by Year'!$B$210),'Pre- and Production'!AC$4:AC$376)</f>
        <v>0</v>
      </c>
      <c r="E239" s="303">
        <f>SUMIF('Pre- and Production'!$T$4:$T$376, CONCATENATE(LEFT('WBS Summary by Year'!E$6,1),'WBS Summary by Year'!$C239,'WBS Summary by Year'!$B$210),'Pre- and Production'!AM$4:AM$376)</f>
        <v>0</v>
      </c>
      <c r="F239" s="26">
        <f>SUMIF('Pre- and Production'!$T$4:$T$376, CONCATENATE(LEFT('WBS Summary by Year'!F$6,1),'WBS Summary by Year'!$C239,'WBS Summary by Year'!$B$210),'Pre- and Production'!AD$4:AD$376)</f>
        <v>0</v>
      </c>
      <c r="G239" s="296">
        <f>SUMIF('Pre- and Production'!$T$4:$T$376, CONCATENATE(LEFT('WBS Summary by Year'!G$6,1),'WBS Summary by Year'!$C239,'WBS Summary by Year'!$B$210),'Pre- and Production'!AN$4:AN$376)</f>
        <v>0</v>
      </c>
      <c r="H239" s="307">
        <f>SUMIF('Pre- and Production'!$T$4:$T$376, CONCATENATE(LEFT('WBS Summary by Year'!H$6,1),'WBS Summary by Year'!$C239,'WBS Summary by Year'!$B$210),'Pre- and Production'!AE$4:AE$376)</f>
        <v>0</v>
      </c>
      <c r="I239" s="303">
        <f>SUMIF('Pre- and Production'!$T$4:$T$376, CONCATENATE(LEFT('WBS Summary by Year'!I$6,1),'WBS Summary by Year'!$C239,'WBS Summary by Year'!$B$210),'Pre- and Production'!AO$4:AO$376)</f>
        <v>0</v>
      </c>
      <c r="J239" s="26">
        <f>SUMIF('Pre- and Production'!$T$4:$T$376, CONCATENATE(LEFT('WBS Summary by Year'!J$6,1),'WBS Summary by Year'!$C239,'WBS Summary by Year'!$B$210),'Pre- and Production'!AF$4:AFI$376)</f>
        <v>0</v>
      </c>
      <c r="K239" s="296">
        <f>SUMIF('Pre- and Production'!$T$4:$T$376, CONCATENATE(LEFT('WBS Summary by Year'!K$6,1),'WBS Summary by Year'!$C239,'WBS Summary by Year'!$B$210),'Pre- and Production'!AP$4:AP$376)</f>
        <v>0</v>
      </c>
      <c r="L239" s="307">
        <f>SUMIF('Pre- and Production'!$T$4:$T$376, CONCATENATE(LEFT('WBS Summary by Year'!L$6,1),'WBS Summary by Year'!$C239,'WBS Summary by Year'!$B$210),'Pre- and Production'!AG$4:AG$376)</f>
        <v>0</v>
      </c>
      <c r="M239" s="303">
        <f>SUMIF('Pre- and Production'!$T$4:$T$376, CONCATENATE(LEFT('WBS Summary by Year'!M$6,1),'WBS Summary by Year'!$C239,'WBS Summary by Year'!$B$210),'Pre- and Production'!AQ$4:AQ$376)</f>
        <v>0</v>
      </c>
      <c r="N239" s="315">
        <f>SUMIF('Pre- and Production'!$T$4:$T$376, CONCATENATE(LEFT('WBS Summary by Year'!N$6,1),'WBS Summary by Year'!$C239,'WBS Summary by Year'!$B$210),'Pre- and Production'!AH$4:AH$376)</f>
        <v>0</v>
      </c>
      <c r="O239" s="316">
        <f>SUMIF('Pre- and Production'!$T$4:$T$376, CONCATENATE(LEFT('WBS Summary by Year'!O$6,1),'WBS Summary by Year'!$C239,'WBS Summary by Year'!$B$210),'Pre- and Production'!AR$4:AR$376)</f>
        <v>0</v>
      </c>
    </row>
    <row r="240" spans="3:15">
      <c r="C240" s="46" t="s">
        <v>451</v>
      </c>
      <c r="D240" s="26">
        <f>SUMIF('Pre- and Production'!$T$4:$T$376, CONCATENATE(LEFT('WBS Summary by Year'!D$6,1),'WBS Summary by Year'!$C240,'WBS Summary by Year'!$B$210),'Pre- and Production'!AC$4:AC$376)</f>
        <v>0</v>
      </c>
      <c r="E240" s="303">
        <f>SUMIF('Pre- and Production'!$T$4:$T$376, CONCATENATE(LEFT('WBS Summary by Year'!E$6,1),'WBS Summary by Year'!$C240,'WBS Summary by Year'!$B$210),'Pre- and Production'!AM$4:AM$376)</f>
        <v>0</v>
      </c>
      <c r="F240" s="26">
        <f>SUMIF('Pre- and Production'!$T$4:$T$376, CONCATENATE(LEFT('WBS Summary by Year'!F$6,1),'WBS Summary by Year'!$C240,'WBS Summary by Year'!$B$210),'Pre- and Production'!AD$4:AD$376)</f>
        <v>0</v>
      </c>
      <c r="G240" s="296">
        <f>SUMIF('Pre- and Production'!$T$4:$T$376, CONCATENATE(LEFT('WBS Summary by Year'!G$6,1),'WBS Summary by Year'!$C240,'WBS Summary by Year'!$B$210),'Pre- and Production'!AN$4:AN$376)</f>
        <v>0</v>
      </c>
      <c r="H240" s="307">
        <f>SUMIF('Pre- and Production'!$T$4:$T$376, CONCATENATE(LEFT('WBS Summary by Year'!H$6,1),'WBS Summary by Year'!$C240,'WBS Summary by Year'!$B$210),'Pre- and Production'!AE$4:AE$376)</f>
        <v>0</v>
      </c>
      <c r="I240" s="303">
        <f>SUMIF('Pre- and Production'!$T$4:$T$376, CONCATENATE(LEFT('WBS Summary by Year'!I$6,1),'WBS Summary by Year'!$C240,'WBS Summary by Year'!$B$210),'Pre- and Production'!AO$4:AO$376)</f>
        <v>0</v>
      </c>
      <c r="J240" s="26">
        <f>SUMIF('Pre- and Production'!$T$4:$T$376, CONCATENATE(LEFT('WBS Summary by Year'!J$6,1),'WBS Summary by Year'!$C240,'WBS Summary by Year'!$B$210),'Pre- and Production'!AF$4:AFI$376)</f>
        <v>0</v>
      </c>
      <c r="K240" s="296">
        <f>SUMIF('Pre- and Production'!$T$4:$T$376, CONCATENATE(LEFT('WBS Summary by Year'!K$6,1),'WBS Summary by Year'!$C240,'WBS Summary by Year'!$B$210),'Pre- and Production'!AP$4:AP$376)</f>
        <v>0</v>
      </c>
      <c r="L240" s="307">
        <f>SUMIF('Pre- and Production'!$T$4:$T$376, CONCATENATE(LEFT('WBS Summary by Year'!L$6,1),'WBS Summary by Year'!$C240,'WBS Summary by Year'!$B$210),'Pre- and Production'!AG$4:AG$376)</f>
        <v>0</v>
      </c>
      <c r="M240" s="303">
        <f>SUMIF('Pre- and Production'!$T$4:$T$376, CONCATENATE(LEFT('WBS Summary by Year'!M$6,1),'WBS Summary by Year'!$C240,'WBS Summary by Year'!$B$210),'Pre- and Production'!AQ$4:AQ$376)</f>
        <v>0</v>
      </c>
      <c r="N240" s="315">
        <f>SUMIF('Pre- and Production'!$T$4:$T$376, CONCATENATE(LEFT('WBS Summary by Year'!N$6,1),'WBS Summary by Year'!$C240,'WBS Summary by Year'!$B$210),'Pre- and Production'!AH$4:AH$376)</f>
        <v>0</v>
      </c>
      <c r="O240" s="316">
        <f>SUMIF('Pre- and Production'!$T$4:$T$376, CONCATENATE(LEFT('WBS Summary by Year'!O$6,1),'WBS Summary by Year'!$C240,'WBS Summary by Year'!$B$210),'Pre- and Production'!AR$4:AR$376)</f>
        <v>0</v>
      </c>
    </row>
    <row r="241" spans="2:15">
      <c r="C241" s="46" t="s">
        <v>452</v>
      </c>
      <c r="D241" s="26">
        <f>SUMIF('Pre- and Production'!$T$4:$T$376, CONCATENATE(LEFT('WBS Summary by Year'!D$6,1),'WBS Summary by Year'!$C241,'WBS Summary by Year'!$B$210),'Pre- and Production'!AC$4:AC$376)</f>
        <v>0</v>
      </c>
      <c r="E241" s="303">
        <f>SUMIF('Pre- and Production'!$T$4:$T$376, CONCATENATE(LEFT('WBS Summary by Year'!E$6,1),'WBS Summary by Year'!$C241,'WBS Summary by Year'!$B$210),'Pre- and Production'!AM$4:AM$376)</f>
        <v>0</v>
      </c>
      <c r="F241" s="26">
        <f>SUMIF('Pre- and Production'!$T$4:$T$376, CONCATENATE(LEFT('WBS Summary by Year'!F$6,1),'WBS Summary by Year'!$C241,'WBS Summary by Year'!$B$210),'Pre- and Production'!AD$4:AD$376)</f>
        <v>0</v>
      </c>
      <c r="G241" s="296">
        <f>SUMIF('Pre- and Production'!$T$4:$T$376, CONCATENATE(LEFT('WBS Summary by Year'!G$6,1),'WBS Summary by Year'!$C241,'WBS Summary by Year'!$B$210),'Pre- and Production'!AN$4:AN$376)</f>
        <v>0</v>
      </c>
      <c r="H241" s="307">
        <f>SUMIF('Pre- and Production'!$T$4:$T$376, CONCATENATE(LEFT('WBS Summary by Year'!H$6,1),'WBS Summary by Year'!$C241,'WBS Summary by Year'!$B$210),'Pre- and Production'!AE$4:AE$376)</f>
        <v>0</v>
      </c>
      <c r="I241" s="303">
        <f>SUMIF('Pre- and Production'!$T$4:$T$376, CONCATENATE(LEFT('WBS Summary by Year'!I$6,1),'WBS Summary by Year'!$C241,'WBS Summary by Year'!$B$210),'Pre- and Production'!AO$4:AO$376)</f>
        <v>0</v>
      </c>
      <c r="J241" s="26">
        <f>SUMIF('Pre- and Production'!$T$4:$T$376, CONCATENATE(LEFT('WBS Summary by Year'!J$6,1),'WBS Summary by Year'!$C241,'WBS Summary by Year'!$B$210),'Pre- and Production'!AF$4:AFI$376)</f>
        <v>0</v>
      </c>
      <c r="K241" s="296">
        <f>SUMIF('Pre- and Production'!$T$4:$T$376, CONCATENATE(LEFT('WBS Summary by Year'!K$6,1),'WBS Summary by Year'!$C241,'WBS Summary by Year'!$B$210),'Pre- and Production'!AP$4:AP$376)</f>
        <v>0</v>
      </c>
      <c r="L241" s="307">
        <f>SUMIF('Pre- and Production'!$T$4:$T$376, CONCATENATE(LEFT('WBS Summary by Year'!L$6,1),'WBS Summary by Year'!$C241,'WBS Summary by Year'!$B$210),'Pre- and Production'!AG$4:AG$376)</f>
        <v>0</v>
      </c>
      <c r="M241" s="303">
        <f>SUMIF('Pre- and Production'!$T$4:$T$376, CONCATENATE(LEFT('WBS Summary by Year'!M$6,1),'WBS Summary by Year'!$C241,'WBS Summary by Year'!$B$210),'Pre- and Production'!AQ$4:AQ$376)</f>
        <v>0</v>
      </c>
      <c r="N241" s="315">
        <f>SUMIF('Pre- and Production'!$T$4:$T$376, CONCATENATE(LEFT('WBS Summary by Year'!N$6,1),'WBS Summary by Year'!$C241,'WBS Summary by Year'!$B$210),'Pre- and Production'!AH$4:AH$376)</f>
        <v>0</v>
      </c>
      <c r="O241" s="316">
        <f>SUMIF('Pre- and Production'!$T$4:$T$376, CONCATENATE(LEFT('WBS Summary by Year'!O$6,1),'WBS Summary by Year'!$C241,'WBS Summary by Year'!$B$210),'Pre- and Production'!AR$4:AR$376)</f>
        <v>0</v>
      </c>
    </row>
    <row r="242" spans="2:15">
      <c r="C242" s="46" t="s">
        <v>453</v>
      </c>
      <c r="D242" s="26">
        <f>SUMIF('Pre- and Production'!$T$4:$T$376, CONCATENATE(LEFT('WBS Summary by Year'!D$6,1),'WBS Summary by Year'!$C242,'WBS Summary by Year'!$B$210),'Pre- and Production'!AC$4:AC$376)</f>
        <v>0</v>
      </c>
      <c r="E242" s="303">
        <f>SUMIF('Pre- and Production'!$T$4:$T$376, CONCATENATE(LEFT('WBS Summary by Year'!E$6,1),'WBS Summary by Year'!$C242,'WBS Summary by Year'!$B$210),'Pre- and Production'!AM$4:AM$376)</f>
        <v>0</v>
      </c>
      <c r="F242" s="26">
        <f>SUMIF('Pre- and Production'!$T$4:$T$376, CONCATENATE(LEFT('WBS Summary by Year'!F$6,1),'WBS Summary by Year'!$C242,'WBS Summary by Year'!$B$210),'Pre- and Production'!AD$4:AD$376)</f>
        <v>0</v>
      </c>
      <c r="G242" s="296">
        <f>SUMIF('Pre- and Production'!$T$4:$T$376, CONCATENATE(LEFT('WBS Summary by Year'!G$6,1),'WBS Summary by Year'!$C242,'WBS Summary by Year'!$B$210),'Pre- and Production'!AN$4:AN$376)</f>
        <v>0</v>
      </c>
      <c r="H242" s="307">
        <f>SUMIF('Pre- and Production'!$T$4:$T$376, CONCATENATE(LEFT('WBS Summary by Year'!H$6,1),'WBS Summary by Year'!$C242,'WBS Summary by Year'!$B$210),'Pre- and Production'!AE$4:AE$376)</f>
        <v>0</v>
      </c>
      <c r="I242" s="303">
        <f>SUMIF('Pre- and Production'!$T$4:$T$376, CONCATENATE(LEFT('WBS Summary by Year'!I$6,1),'WBS Summary by Year'!$C242,'WBS Summary by Year'!$B$210),'Pre- and Production'!AO$4:AO$376)</f>
        <v>0</v>
      </c>
      <c r="J242" s="26">
        <f>SUMIF('Pre- and Production'!$T$4:$T$376, CONCATENATE(LEFT('WBS Summary by Year'!J$6,1),'WBS Summary by Year'!$C242,'WBS Summary by Year'!$B$210),'Pre- and Production'!AF$4:AFI$376)</f>
        <v>0</v>
      </c>
      <c r="K242" s="296">
        <f>SUMIF('Pre- and Production'!$T$4:$T$376, CONCATENATE(LEFT('WBS Summary by Year'!K$6,1),'WBS Summary by Year'!$C242,'WBS Summary by Year'!$B$210),'Pre- and Production'!AP$4:AP$376)</f>
        <v>0</v>
      </c>
      <c r="L242" s="307">
        <f>SUMIF('Pre- and Production'!$T$4:$T$376, CONCATENATE(LEFT('WBS Summary by Year'!L$6,1),'WBS Summary by Year'!$C242,'WBS Summary by Year'!$B$210),'Pre- and Production'!AG$4:AG$376)</f>
        <v>0</v>
      </c>
      <c r="M242" s="303">
        <f>SUMIF('Pre- and Production'!$T$4:$T$376, CONCATENATE(LEFT('WBS Summary by Year'!M$6,1),'WBS Summary by Year'!$C242,'WBS Summary by Year'!$B$210),'Pre- and Production'!AQ$4:AQ$376)</f>
        <v>0</v>
      </c>
      <c r="N242" s="315">
        <f>SUMIF('Pre- and Production'!$T$4:$T$376, CONCATENATE(LEFT('WBS Summary by Year'!N$6,1),'WBS Summary by Year'!$C242,'WBS Summary by Year'!$B$210),'Pre- and Production'!AH$4:AH$376)</f>
        <v>0</v>
      </c>
      <c r="O242" s="316">
        <f>SUMIF('Pre- and Production'!$T$4:$T$376, CONCATENATE(LEFT('WBS Summary by Year'!O$6,1),'WBS Summary by Year'!$C242,'WBS Summary by Year'!$B$210),'Pre- and Production'!AR$4:AR$376)</f>
        <v>0</v>
      </c>
    </row>
    <row r="243" spans="2:15">
      <c r="C243" s="134" t="s">
        <v>459</v>
      </c>
      <c r="D243" s="26">
        <f>SUMIF('Pre- and Production'!$T$4:$T$376, CONCATENATE(LEFT('WBS Summary by Year'!D$6,1),'WBS Summary by Year'!$C243,'WBS Summary by Year'!$B$210),'Pre- and Production'!AC$4:AC$376)</f>
        <v>0</v>
      </c>
      <c r="E243" s="303">
        <f>SUMIF('Pre- and Production'!$T$4:$T$376, CONCATENATE(LEFT('WBS Summary by Year'!E$6,1),'WBS Summary by Year'!$C243,'WBS Summary by Year'!$B$210),'Pre- and Production'!AM$4:AM$376)</f>
        <v>0</v>
      </c>
      <c r="F243" s="26">
        <f>SUMIF('Pre- and Production'!$T$4:$T$376, CONCATENATE(LEFT('WBS Summary by Year'!F$6,1),'WBS Summary by Year'!$C243,'WBS Summary by Year'!$B$210),'Pre- and Production'!AD$4:AD$376)</f>
        <v>0</v>
      </c>
      <c r="G243" s="296">
        <f>SUMIF('Pre- and Production'!$T$4:$T$376, CONCATENATE(LEFT('WBS Summary by Year'!G$6,1),'WBS Summary by Year'!$C243,'WBS Summary by Year'!$B$210),'Pre- and Production'!AN$4:AN$376)</f>
        <v>0</v>
      </c>
      <c r="H243" s="307">
        <f>SUMIF('Pre- and Production'!$T$4:$T$376, CONCATENATE(LEFT('WBS Summary by Year'!H$6,1),'WBS Summary by Year'!$C243,'WBS Summary by Year'!$B$210),'Pre- and Production'!AE$4:AE$376)</f>
        <v>0</v>
      </c>
      <c r="I243" s="303">
        <f>SUMIF('Pre- and Production'!$T$4:$T$376, CONCATENATE(LEFT('WBS Summary by Year'!I$6,1),'WBS Summary by Year'!$C243,'WBS Summary by Year'!$B$210),'Pre- and Production'!AO$4:AO$376)</f>
        <v>0</v>
      </c>
      <c r="J243" s="26">
        <f>SUMIF('Pre- and Production'!$T$4:$T$376, CONCATENATE(LEFT('WBS Summary by Year'!J$6,1),'WBS Summary by Year'!$C243,'WBS Summary by Year'!$B$210),'Pre- and Production'!AF$4:AFI$376)</f>
        <v>0</v>
      </c>
      <c r="K243" s="296">
        <f>SUMIF('Pre- and Production'!$T$4:$T$376, CONCATENATE(LEFT('WBS Summary by Year'!K$6,1),'WBS Summary by Year'!$C243,'WBS Summary by Year'!$B$210),'Pre- and Production'!AP$4:AP$376)</f>
        <v>0</v>
      </c>
      <c r="L243" s="307">
        <f>SUMIF('Pre- and Production'!$T$4:$T$376, CONCATENATE(LEFT('WBS Summary by Year'!L$6,1),'WBS Summary by Year'!$C243,'WBS Summary by Year'!$B$210),'Pre- and Production'!AG$4:AG$376)</f>
        <v>0</v>
      </c>
      <c r="M243" s="303">
        <f>SUMIF('Pre- and Production'!$T$4:$T$376, CONCATENATE(LEFT('WBS Summary by Year'!M$6,1),'WBS Summary by Year'!$C243,'WBS Summary by Year'!$B$210),'Pre- and Production'!AQ$4:AQ$376)</f>
        <v>0</v>
      </c>
      <c r="N243" s="315">
        <f>SUMIF('Pre- and Production'!$T$4:$T$376, CONCATENATE(LEFT('WBS Summary by Year'!N$6,1),'WBS Summary by Year'!$C243,'WBS Summary by Year'!$B$210),'Pre- and Production'!AH$4:AH$376)</f>
        <v>0</v>
      </c>
      <c r="O243" s="316">
        <f>SUMIF('Pre- and Production'!$T$4:$T$376, CONCATENATE(LEFT('WBS Summary by Year'!O$6,1),'WBS Summary by Year'!$C243,'WBS Summary by Year'!$B$210),'Pre- and Production'!AR$4:AR$376)</f>
        <v>0</v>
      </c>
    </row>
    <row r="244" spans="2:15">
      <c r="C244" s="46" t="s">
        <v>460</v>
      </c>
      <c r="D244" s="26">
        <f>SUMIF('Pre- and Production'!$T$4:$T$376, CONCATENATE(LEFT('WBS Summary by Year'!D$6,1),'WBS Summary by Year'!$C244,'WBS Summary by Year'!$B$210),'Pre- and Production'!AC$4:AC$376)</f>
        <v>0</v>
      </c>
      <c r="E244" s="303">
        <f>SUMIF('Pre- and Production'!$T$4:$T$376, CONCATENATE(LEFT('WBS Summary by Year'!E$6,1),'WBS Summary by Year'!$C244,'WBS Summary by Year'!$B$210),'Pre- and Production'!AM$4:AM$376)</f>
        <v>0</v>
      </c>
      <c r="F244" s="26">
        <f>SUMIF('Pre- and Production'!$T$4:$T$376, CONCATENATE(LEFT('WBS Summary by Year'!F$6,1),'WBS Summary by Year'!$C244,'WBS Summary by Year'!$B$210),'Pre- and Production'!AD$4:AD$376)</f>
        <v>0</v>
      </c>
      <c r="G244" s="296">
        <f>SUMIF('Pre- and Production'!$T$4:$T$376, CONCATENATE(LEFT('WBS Summary by Year'!G$6,1),'WBS Summary by Year'!$C244,'WBS Summary by Year'!$B$210),'Pre- and Production'!AN$4:AN$376)</f>
        <v>0</v>
      </c>
      <c r="H244" s="307">
        <f>SUMIF('Pre- and Production'!$T$4:$T$376, CONCATENATE(LEFT('WBS Summary by Year'!H$6,1),'WBS Summary by Year'!$C244,'WBS Summary by Year'!$B$210),'Pre- and Production'!AE$4:AE$376)</f>
        <v>0</v>
      </c>
      <c r="I244" s="303">
        <f>SUMIF('Pre- and Production'!$T$4:$T$376, CONCATENATE(LEFT('WBS Summary by Year'!I$6,1),'WBS Summary by Year'!$C244,'WBS Summary by Year'!$B$210),'Pre- and Production'!AO$4:AO$376)</f>
        <v>0</v>
      </c>
      <c r="J244" s="26">
        <f>SUMIF('Pre- and Production'!$T$4:$T$376, CONCATENATE(LEFT('WBS Summary by Year'!J$6,1),'WBS Summary by Year'!$C244,'WBS Summary by Year'!$B$210),'Pre- and Production'!AF$4:AFI$376)</f>
        <v>0</v>
      </c>
      <c r="K244" s="296">
        <f>SUMIF('Pre- and Production'!$T$4:$T$376, CONCATENATE(LEFT('WBS Summary by Year'!K$6,1),'WBS Summary by Year'!$C244,'WBS Summary by Year'!$B$210),'Pre- and Production'!AP$4:AP$376)</f>
        <v>0</v>
      </c>
      <c r="L244" s="307">
        <f>SUMIF('Pre- and Production'!$T$4:$T$376, CONCATENATE(LEFT('WBS Summary by Year'!L$6,1),'WBS Summary by Year'!$C244,'WBS Summary by Year'!$B$210),'Pre- and Production'!AG$4:AG$376)</f>
        <v>0</v>
      </c>
      <c r="M244" s="303">
        <f>SUMIF('Pre- and Production'!$T$4:$T$376, CONCATENATE(LEFT('WBS Summary by Year'!M$6,1),'WBS Summary by Year'!$C244,'WBS Summary by Year'!$B$210),'Pre- and Production'!AQ$4:AQ$376)</f>
        <v>0</v>
      </c>
      <c r="N244" s="315">
        <f>SUMIF('Pre- and Production'!$T$4:$T$376, CONCATENATE(LEFT('WBS Summary by Year'!N$6,1),'WBS Summary by Year'!$C244,'WBS Summary by Year'!$B$210),'Pre- and Production'!AH$4:AH$376)</f>
        <v>0</v>
      </c>
      <c r="O244" s="316">
        <f>SUMIF('Pre- and Production'!$T$4:$T$376, CONCATENATE(LEFT('WBS Summary by Year'!O$6,1),'WBS Summary by Year'!$C244,'WBS Summary by Year'!$B$210),'Pre- and Production'!AR$4:AR$376)</f>
        <v>0</v>
      </c>
    </row>
    <row r="245" spans="2:15">
      <c r="C245" s="46" t="s">
        <v>461</v>
      </c>
      <c r="D245" s="26">
        <f>SUMIF('Pre- and Production'!$T$4:$T$376, CONCATENATE(LEFT('WBS Summary by Year'!D$6,1),'WBS Summary by Year'!$C245,'WBS Summary by Year'!$B$210),'Pre- and Production'!AC$4:AC$376)</f>
        <v>0</v>
      </c>
      <c r="E245" s="303">
        <f>SUMIF('Pre- and Production'!$T$4:$T$376, CONCATENATE(LEFT('WBS Summary by Year'!E$6,1),'WBS Summary by Year'!$C245,'WBS Summary by Year'!$B$210),'Pre- and Production'!AM$4:AM$376)</f>
        <v>0</v>
      </c>
      <c r="F245" s="26">
        <f>SUMIF('Pre- and Production'!$T$4:$T$376, CONCATENATE(LEFT('WBS Summary by Year'!F$6,1),'WBS Summary by Year'!$C245,'WBS Summary by Year'!$B$210),'Pre- and Production'!AD$4:AD$376)</f>
        <v>0</v>
      </c>
      <c r="G245" s="296">
        <f>SUMIF('Pre- and Production'!$T$4:$T$376, CONCATENATE(LEFT('WBS Summary by Year'!G$6,1),'WBS Summary by Year'!$C245,'WBS Summary by Year'!$B$210),'Pre- and Production'!AN$4:AN$376)</f>
        <v>0</v>
      </c>
      <c r="H245" s="307">
        <f>SUMIF('Pre- and Production'!$T$4:$T$376, CONCATENATE(LEFT('WBS Summary by Year'!H$6,1),'WBS Summary by Year'!$C245,'WBS Summary by Year'!$B$210),'Pre- and Production'!AE$4:AE$376)</f>
        <v>0</v>
      </c>
      <c r="I245" s="303">
        <f>SUMIF('Pre- and Production'!$T$4:$T$376, CONCATENATE(LEFT('WBS Summary by Year'!I$6,1),'WBS Summary by Year'!$C245,'WBS Summary by Year'!$B$210),'Pre- and Production'!AO$4:AO$376)</f>
        <v>0</v>
      </c>
      <c r="J245" s="26">
        <f>SUMIF('Pre- and Production'!$T$4:$T$376, CONCATENATE(LEFT('WBS Summary by Year'!J$6,1),'WBS Summary by Year'!$C245,'WBS Summary by Year'!$B$210),'Pre- and Production'!AF$4:AFI$376)</f>
        <v>0</v>
      </c>
      <c r="K245" s="296">
        <f>SUMIF('Pre- and Production'!$T$4:$T$376, CONCATENATE(LEFT('WBS Summary by Year'!K$6,1),'WBS Summary by Year'!$C245,'WBS Summary by Year'!$B$210),'Pre- and Production'!AP$4:AP$376)</f>
        <v>0</v>
      </c>
      <c r="L245" s="307">
        <f>SUMIF('Pre- and Production'!$T$4:$T$376, CONCATENATE(LEFT('WBS Summary by Year'!L$6,1),'WBS Summary by Year'!$C245,'WBS Summary by Year'!$B$210),'Pre- and Production'!AG$4:AG$376)</f>
        <v>0</v>
      </c>
      <c r="M245" s="303">
        <f>SUMIF('Pre- and Production'!$T$4:$T$376, CONCATENATE(LEFT('WBS Summary by Year'!M$6,1),'WBS Summary by Year'!$C245,'WBS Summary by Year'!$B$210),'Pre- and Production'!AQ$4:AQ$376)</f>
        <v>0</v>
      </c>
      <c r="N245" s="315">
        <f>SUMIF('Pre- and Production'!$T$4:$T$376, CONCATENATE(LEFT('WBS Summary by Year'!N$6,1),'WBS Summary by Year'!$C245,'WBS Summary by Year'!$B$210),'Pre- and Production'!AH$4:AH$376)</f>
        <v>0</v>
      </c>
      <c r="O245" s="316">
        <f>SUMIF('Pre- and Production'!$T$4:$T$376, CONCATENATE(LEFT('WBS Summary by Year'!O$6,1),'WBS Summary by Year'!$C245,'WBS Summary by Year'!$B$210),'Pre- and Production'!AR$4:AR$376)</f>
        <v>0</v>
      </c>
    </row>
    <row r="246" spans="2:15" ht="13.5" thickBot="1">
      <c r="C246" s="46" t="s">
        <v>462</v>
      </c>
      <c r="D246" s="297">
        <f>SUMIF('Pre- and Production'!$T$4:$T$376, CONCATENATE(LEFT('WBS Summary by Year'!D$6,1),'WBS Summary by Year'!$C246,'WBS Summary by Year'!$B$210),'Pre- and Production'!AC$4:AC$376)</f>
        <v>0</v>
      </c>
      <c r="E246" s="304">
        <f>SUMIF('Pre- and Production'!$T$4:$T$376, CONCATENATE(LEFT('WBS Summary by Year'!E$6,1),'WBS Summary by Year'!$C246,'WBS Summary by Year'!$B$210),'Pre- and Production'!AM$4:AM$376)</f>
        <v>0</v>
      </c>
      <c r="F246" s="297">
        <f>SUMIF('Pre- and Production'!$T$4:$T$376, CONCATENATE(LEFT('WBS Summary by Year'!F$6,1),'WBS Summary by Year'!$C246,'WBS Summary by Year'!$B$210),'Pre- and Production'!AD$4:AD$376)</f>
        <v>0</v>
      </c>
      <c r="G246" s="298">
        <f>SUMIF('Pre- and Production'!$T$4:$T$376, CONCATENATE(LEFT('WBS Summary by Year'!G$6,1),'WBS Summary by Year'!$C246,'WBS Summary by Year'!$B$210),'Pre- and Production'!AN$4:AN$376)</f>
        <v>0</v>
      </c>
      <c r="H246" s="308">
        <f>SUMIF('Pre- and Production'!$T$4:$T$376, CONCATENATE(LEFT('WBS Summary by Year'!H$6,1),'WBS Summary by Year'!$C246,'WBS Summary by Year'!$B$210),'Pre- and Production'!AE$4:AE$376)</f>
        <v>0</v>
      </c>
      <c r="I246" s="304">
        <f>SUMIF('Pre- and Production'!$T$4:$T$376, CONCATENATE(LEFT('WBS Summary by Year'!I$6,1),'WBS Summary by Year'!$C246,'WBS Summary by Year'!$B$210),'Pre- and Production'!AO$4:AO$376)</f>
        <v>0</v>
      </c>
      <c r="J246" s="297">
        <f>SUMIF('Pre- and Production'!$T$4:$T$376, CONCATENATE(LEFT('WBS Summary by Year'!J$6,1),'WBS Summary by Year'!$C246,'WBS Summary by Year'!$B$210),'Pre- and Production'!AF$4:AFI$376)</f>
        <v>0</v>
      </c>
      <c r="K246" s="298">
        <f>SUMIF('Pre- and Production'!$T$4:$T$376, CONCATENATE(LEFT('WBS Summary by Year'!K$6,1),'WBS Summary by Year'!$C246,'WBS Summary by Year'!$B$210),'Pre- and Production'!AP$4:AP$376)</f>
        <v>0</v>
      </c>
      <c r="L246" s="308">
        <f>SUMIF('Pre- and Production'!$T$4:$T$376, CONCATENATE(LEFT('WBS Summary by Year'!L$6,1),'WBS Summary by Year'!$C246,'WBS Summary by Year'!$B$210),'Pre- and Production'!AG$4:AG$376)</f>
        <v>0</v>
      </c>
      <c r="M246" s="304">
        <f>SUMIF('Pre- and Production'!$T$4:$T$376, CONCATENATE(LEFT('WBS Summary by Year'!M$6,1),'WBS Summary by Year'!$C246,'WBS Summary by Year'!$B$210),'Pre- and Production'!AQ$4:AQ$376)</f>
        <v>0</v>
      </c>
      <c r="N246" s="317">
        <f>SUMIF('Pre- and Production'!$T$4:$T$376, CONCATENATE(LEFT('WBS Summary by Year'!N$6,1),'WBS Summary by Year'!$C246,'WBS Summary by Year'!$B$210),'Pre- and Production'!AH$4:AH$376)</f>
        <v>0</v>
      </c>
      <c r="O246" s="318">
        <f>SUMIF('Pre- and Production'!$T$4:$T$376, CONCATENATE(LEFT('WBS Summary by Year'!O$6,1),'WBS Summary by Year'!$C246,'WBS Summary by Year'!$B$210),'Pre- and Production'!AR$4:AR$376)</f>
        <v>0</v>
      </c>
    </row>
    <row r="247" spans="2:15" ht="13.5" thickTop="1"/>
    <row r="248" spans="2:15">
      <c r="D248">
        <f>SUM(D213:D246)</f>
        <v>0</v>
      </c>
      <c r="E248">
        <f t="shared" ref="E248:O248" si="14">SUM(E213:E246)</f>
        <v>0</v>
      </c>
      <c r="F248">
        <f t="shared" si="14"/>
        <v>0</v>
      </c>
      <c r="G248">
        <f t="shared" si="14"/>
        <v>0</v>
      </c>
      <c r="H248">
        <f t="shared" si="14"/>
        <v>0</v>
      </c>
      <c r="I248">
        <f t="shared" si="14"/>
        <v>0</v>
      </c>
      <c r="J248">
        <f t="shared" si="14"/>
        <v>0</v>
      </c>
      <c r="K248">
        <f t="shared" si="14"/>
        <v>0</v>
      </c>
      <c r="L248">
        <f t="shared" si="14"/>
        <v>0</v>
      </c>
      <c r="M248">
        <f t="shared" si="14"/>
        <v>0</v>
      </c>
      <c r="N248" s="310">
        <f t="shared" si="14"/>
        <v>0</v>
      </c>
      <c r="O248" s="310">
        <f t="shared" si="14"/>
        <v>0</v>
      </c>
    </row>
    <row r="249" spans="2:15">
      <c r="C249" s="352" t="s">
        <v>401</v>
      </c>
      <c r="D249" s="346">
        <f>D248/1720</f>
        <v>0</v>
      </c>
      <c r="E249" s="346">
        <f t="shared" ref="E249:I249" si="15">E248/1720</f>
        <v>0</v>
      </c>
      <c r="F249" s="346">
        <f t="shared" si="15"/>
        <v>0</v>
      </c>
      <c r="G249" s="346">
        <f t="shared" si="15"/>
        <v>0</v>
      </c>
      <c r="H249" s="346">
        <f t="shared" si="15"/>
        <v>0</v>
      </c>
      <c r="I249" s="346">
        <f t="shared" si="15"/>
        <v>0</v>
      </c>
      <c r="J249" s="346">
        <f>J248/1720</f>
        <v>0</v>
      </c>
      <c r="K249" s="346">
        <f t="shared" ref="K249:M249" si="16">K248/1720</f>
        <v>0</v>
      </c>
      <c r="L249" s="346">
        <f t="shared" si="16"/>
        <v>0</v>
      </c>
      <c r="M249" s="346">
        <f t="shared" si="16"/>
        <v>0</v>
      </c>
    </row>
    <row r="250" spans="2:15">
      <c r="C250" s="352" t="s">
        <v>402</v>
      </c>
      <c r="D250" s="348">
        <f>D248*Shop</f>
        <v>0</v>
      </c>
      <c r="E250" s="348">
        <f>E248*Shop</f>
        <v>0</v>
      </c>
      <c r="F250" s="348">
        <f>F248*M_Tech</f>
        <v>0</v>
      </c>
      <c r="G250" s="348">
        <f>G248*M_Tech</f>
        <v>0</v>
      </c>
      <c r="H250" s="348">
        <f>H249*CMM</f>
        <v>0</v>
      </c>
      <c r="I250" s="348">
        <f>I248*CMM</f>
        <v>0</v>
      </c>
      <c r="J250" s="348">
        <f>J248*ENG</f>
        <v>0</v>
      </c>
      <c r="K250" s="348">
        <f>K248*ENG</f>
        <v>0</v>
      </c>
      <c r="L250" s="348">
        <f>L248*DES</f>
        <v>0</v>
      </c>
      <c r="M250" s="348">
        <f>M248*DES</f>
        <v>0</v>
      </c>
    </row>
    <row r="251" spans="2:15" ht="18.75" thickBot="1">
      <c r="B251" s="309" t="s">
        <v>173</v>
      </c>
    </row>
    <row r="252" spans="2:15" ht="13.5" thickTop="1">
      <c r="D252" s="396" t="s">
        <v>41</v>
      </c>
      <c r="E252" s="397"/>
      <c r="F252" s="396" t="s">
        <v>380</v>
      </c>
      <c r="G252" s="398"/>
      <c r="H252" s="399" t="s">
        <v>37</v>
      </c>
      <c r="I252" s="397"/>
      <c r="J252" s="396" t="s">
        <v>381</v>
      </c>
      <c r="K252" s="398"/>
      <c r="L252" s="399" t="s">
        <v>31</v>
      </c>
      <c r="M252" s="397"/>
      <c r="N252" s="394" t="s">
        <v>382</v>
      </c>
      <c r="O252" s="395"/>
    </row>
    <row r="253" spans="2:15" ht="13.5" thickBot="1">
      <c r="D253" s="299" t="s">
        <v>70</v>
      </c>
      <c r="E253" s="301" t="s">
        <v>383</v>
      </c>
      <c r="F253" s="299" t="s">
        <v>70</v>
      </c>
      <c r="G253" s="300" t="s">
        <v>383</v>
      </c>
      <c r="H253" s="305" t="s">
        <v>70</v>
      </c>
      <c r="I253" s="301" t="s">
        <v>383</v>
      </c>
      <c r="J253" s="299" t="s">
        <v>70</v>
      </c>
      <c r="K253" s="300" t="s">
        <v>383</v>
      </c>
      <c r="L253" s="305" t="s">
        <v>70</v>
      </c>
      <c r="M253" s="301" t="s">
        <v>383</v>
      </c>
      <c r="N253" s="311" t="s">
        <v>70</v>
      </c>
      <c r="O253" s="312" t="s">
        <v>383</v>
      </c>
    </row>
    <row r="254" spans="2:15" ht="13.5" thickTop="1">
      <c r="C254" s="20" t="s">
        <v>180</v>
      </c>
      <c r="D254" s="294">
        <f>SUMIF('Pre- and Production'!$T$4:$T$376, CONCATENATE(LEFT('WBS Summary by Year'!D$6,1),'WBS Summary by Year'!$C254,'WBS Summary by Year'!$B$251),'Pre- and Production'!AC$4:AC$376)</f>
        <v>0</v>
      </c>
      <c r="E254" s="302">
        <f>SUMIF('Pre- and Production'!$T$4:$T$376, CONCATENATE(LEFT('WBS Summary by Year'!E$6,1),'WBS Summary by Year'!$C254,'WBS Summary by Year'!$B$251),'Pre- and Production'!AM$4:AM$376)</f>
        <v>0</v>
      </c>
      <c r="F254" s="294">
        <f>SUMIF('Pre- and Production'!$T$4:$T$376, CONCATENATE(LEFT('WBS Summary by Year'!F$6,1),'WBS Summary by Year'!$C254,'WBS Summary by Year'!$B$251),'Pre- and Production'!AD$4:AD$376)</f>
        <v>0</v>
      </c>
      <c r="G254" s="295">
        <f>SUMIF('Pre- and Production'!$T$4:$T$376, CONCATENATE(LEFT('WBS Summary by Year'!G$6,1),'WBS Summary by Year'!$C254,'WBS Summary by Year'!$B$251),'Pre- and Production'!AN$4:AN$376)</f>
        <v>0</v>
      </c>
      <c r="H254" s="306">
        <f>SUMIF('Pre- and Production'!$T$4:$T$376, CONCATENATE(LEFT('WBS Summary by Year'!H$6,1),'WBS Summary by Year'!$C254,'WBS Summary by Year'!$B$251),'Pre- and Production'!AE$4:AE$376)</f>
        <v>0</v>
      </c>
      <c r="I254" s="302">
        <f>SUMIF('Pre- and Production'!$T$4:$T$376, CONCATENATE(LEFT('WBS Summary by Year'!I$6,1),'WBS Summary by Year'!$C254,'WBS Summary by Year'!$B$251),'Pre- and Production'!AO$4:AO$376)</f>
        <v>0</v>
      </c>
      <c r="J254" s="294">
        <f>SUMIF('Pre- and Production'!$T$4:$T$376, CONCATENATE(LEFT('WBS Summary by Year'!J$6,1),'WBS Summary by Year'!$C254,'WBS Summary by Year'!$B$251),'Pre- and Production'!AF$4:AFI$376)</f>
        <v>0</v>
      </c>
      <c r="K254" s="295">
        <f>SUMIF('Pre- and Production'!$T$4:$T$376, CONCATENATE(LEFT('WBS Summary by Year'!K$6,1),'WBS Summary by Year'!$C254,'WBS Summary by Year'!$B$251),'Pre- and Production'!AP$4:AP$376)</f>
        <v>0</v>
      </c>
      <c r="L254" s="306">
        <f>SUMIF('Pre- and Production'!$T$4:$T$376, CONCATENATE(LEFT('WBS Summary by Year'!L$6,1),'WBS Summary by Year'!$C254,'WBS Summary by Year'!$B$251),'Pre- and Production'!AG$4:AG$376)</f>
        <v>0</v>
      </c>
      <c r="M254" s="302">
        <f>SUMIF('Pre- and Production'!$T$4:$T$376, CONCATENATE(LEFT('WBS Summary by Year'!M$6,1),'WBS Summary by Year'!$C254,'WBS Summary by Year'!$B$251),'Pre- and Production'!AQ$4:AQ$376)</f>
        <v>0</v>
      </c>
      <c r="N254" s="313">
        <f>SUMIF('Pre- and Production'!$T$4:$T$376, CONCATENATE(LEFT('WBS Summary by Year'!N$6,1),'WBS Summary by Year'!$C254,'WBS Summary by Year'!$B$251),'Pre- and Production'!AH$4:AH$376)</f>
        <v>0</v>
      </c>
      <c r="O254" s="314">
        <f>SUMIF('Pre- and Production'!$T$4:$T$376, CONCATENATE(LEFT('WBS Summary by Year'!O$6,1),'WBS Summary by Year'!$C254,'WBS Summary by Year'!$B$251),'Pre- and Production'!AR$4:AR$376)</f>
        <v>0</v>
      </c>
    </row>
    <row r="255" spans="2:15">
      <c r="C255" s="134" t="s">
        <v>182</v>
      </c>
      <c r="D255" s="26">
        <f>SUMIF('Pre- and Production'!$T$4:$T$376, CONCATENATE(LEFT('WBS Summary by Year'!D$6,1),'WBS Summary by Year'!$C255,'WBS Summary by Year'!$B$251),'Pre- and Production'!AC$4:AC$376)</f>
        <v>0</v>
      </c>
      <c r="E255" s="303">
        <f>SUMIF('Pre- and Production'!$T$4:$T$376, CONCATENATE(LEFT('WBS Summary by Year'!E$6,1),'WBS Summary by Year'!$C255,'WBS Summary by Year'!$B$251),'Pre- and Production'!AM$4:AM$376)</f>
        <v>0</v>
      </c>
      <c r="F255" s="26">
        <f>SUMIF('Pre- and Production'!$T$4:$T$376, CONCATENATE(LEFT('WBS Summary by Year'!F$6,1),'WBS Summary by Year'!$C255,'WBS Summary by Year'!$B$251),'Pre- and Production'!AD$4:AD$376)</f>
        <v>0</v>
      </c>
      <c r="G255" s="296">
        <f>SUMIF('Pre- and Production'!$T$4:$T$376, CONCATENATE(LEFT('WBS Summary by Year'!G$6,1),'WBS Summary by Year'!$C255,'WBS Summary by Year'!$B$251),'Pre- and Production'!AN$4:AN$376)</f>
        <v>0</v>
      </c>
      <c r="H255" s="307">
        <f>SUMIF('Pre- and Production'!$T$4:$T$376, CONCATENATE(LEFT('WBS Summary by Year'!H$6,1),'WBS Summary by Year'!$C255,'WBS Summary by Year'!$B$251),'Pre- and Production'!AE$4:AE$376)</f>
        <v>0</v>
      </c>
      <c r="I255" s="303">
        <f>SUMIF('Pre- and Production'!$T$4:$T$376, CONCATENATE(LEFT('WBS Summary by Year'!I$6,1),'WBS Summary by Year'!$C255,'WBS Summary by Year'!$B$251),'Pre- and Production'!AO$4:AO$376)</f>
        <v>0</v>
      </c>
      <c r="J255" s="26">
        <f>SUMIF('Pre- and Production'!$T$4:$T$376, CONCATENATE(LEFT('WBS Summary by Year'!J$6,1),'WBS Summary by Year'!$C255,'WBS Summary by Year'!$B$251),'Pre- and Production'!AF$4:AFI$376)</f>
        <v>0</v>
      </c>
      <c r="K255" s="296">
        <f>SUMIF('Pre- and Production'!$T$4:$T$376, CONCATENATE(LEFT('WBS Summary by Year'!K$6,1),'WBS Summary by Year'!$C255,'WBS Summary by Year'!$B$251),'Pre- and Production'!AP$4:AP$376)</f>
        <v>0</v>
      </c>
      <c r="L255" s="307">
        <f>SUMIF('Pre- and Production'!$T$4:$T$376, CONCATENATE(LEFT('WBS Summary by Year'!L$6,1),'WBS Summary by Year'!$C255,'WBS Summary by Year'!$B$251),'Pre- and Production'!AG$4:AG$376)</f>
        <v>0</v>
      </c>
      <c r="M255" s="303">
        <f>SUMIF('Pre- and Production'!$T$4:$T$376, CONCATENATE(LEFT('WBS Summary by Year'!M$6,1),'WBS Summary by Year'!$C255,'WBS Summary by Year'!$B$251),'Pre- and Production'!AQ$4:AQ$376)</f>
        <v>0</v>
      </c>
      <c r="N255" s="315">
        <f>SUMIF('Pre- and Production'!$T$4:$T$376, CONCATENATE(LEFT('WBS Summary by Year'!N$6,1),'WBS Summary by Year'!$C255,'WBS Summary by Year'!$B$251),'Pre- and Production'!AH$4:AH$376)</f>
        <v>0</v>
      </c>
      <c r="O255" s="316">
        <f>SUMIF('Pre- and Production'!$T$4:$T$376, CONCATENATE(LEFT('WBS Summary by Year'!O$6,1),'WBS Summary by Year'!$C255,'WBS Summary by Year'!$B$251),'Pre- and Production'!AR$4:AR$376)</f>
        <v>0</v>
      </c>
    </row>
    <row r="256" spans="2:15">
      <c r="C256" s="46" t="s">
        <v>184</v>
      </c>
      <c r="D256" s="26">
        <f>SUMIF('Pre- and Production'!$T$4:$T$376, CONCATENATE(LEFT('WBS Summary by Year'!D$6,1),'WBS Summary by Year'!$C256,'WBS Summary by Year'!$B$251),'Pre- and Production'!AC$4:AC$376)</f>
        <v>0</v>
      </c>
      <c r="E256" s="303">
        <f>SUMIF('Pre- and Production'!$T$4:$T$376, CONCATENATE(LEFT('WBS Summary by Year'!E$6,1),'WBS Summary by Year'!$C256,'WBS Summary by Year'!$B$251),'Pre- and Production'!AM$4:AM$376)</f>
        <v>0</v>
      </c>
      <c r="F256" s="26">
        <f>SUMIF('Pre- and Production'!$T$4:$T$376, CONCATENATE(LEFT('WBS Summary by Year'!F$6,1),'WBS Summary by Year'!$C256,'WBS Summary by Year'!$B$251),'Pre- and Production'!AD$4:AD$376)</f>
        <v>0</v>
      </c>
      <c r="G256" s="296">
        <f>SUMIF('Pre- and Production'!$T$4:$T$376, CONCATENATE(LEFT('WBS Summary by Year'!G$6,1),'WBS Summary by Year'!$C256,'WBS Summary by Year'!$B$251),'Pre- and Production'!AN$4:AN$376)</f>
        <v>0</v>
      </c>
      <c r="H256" s="307">
        <f>SUMIF('Pre- and Production'!$T$4:$T$376, CONCATENATE(LEFT('WBS Summary by Year'!H$6,1),'WBS Summary by Year'!$C256,'WBS Summary by Year'!$B$251),'Pre- and Production'!AE$4:AE$376)</f>
        <v>0</v>
      </c>
      <c r="I256" s="303">
        <f>SUMIF('Pre- and Production'!$T$4:$T$376, CONCATENATE(LEFT('WBS Summary by Year'!I$6,1),'WBS Summary by Year'!$C256,'WBS Summary by Year'!$B$251),'Pre- and Production'!AO$4:AO$376)</f>
        <v>0</v>
      </c>
      <c r="J256" s="26">
        <f>SUMIF('Pre- and Production'!$T$4:$T$376, CONCATENATE(LEFT('WBS Summary by Year'!J$6,1),'WBS Summary by Year'!$C256,'WBS Summary by Year'!$B$251),'Pre- and Production'!AF$4:AFI$376)</f>
        <v>0</v>
      </c>
      <c r="K256" s="296">
        <f>SUMIF('Pre- and Production'!$T$4:$T$376, CONCATENATE(LEFT('WBS Summary by Year'!K$6,1),'WBS Summary by Year'!$C256,'WBS Summary by Year'!$B$251),'Pre- and Production'!AP$4:AP$376)</f>
        <v>0</v>
      </c>
      <c r="L256" s="307">
        <f>SUMIF('Pre- and Production'!$T$4:$T$376, CONCATENATE(LEFT('WBS Summary by Year'!L$6,1),'WBS Summary by Year'!$C256,'WBS Summary by Year'!$B$251),'Pre- and Production'!AG$4:AG$376)</f>
        <v>0</v>
      </c>
      <c r="M256" s="303">
        <f>SUMIF('Pre- and Production'!$T$4:$T$376, CONCATENATE(LEFT('WBS Summary by Year'!M$6,1),'WBS Summary by Year'!$C256,'WBS Summary by Year'!$B$251),'Pre- and Production'!AQ$4:AQ$376)</f>
        <v>0</v>
      </c>
      <c r="N256" s="315">
        <f>SUMIF('Pre- and Production'!$T$4:$T$376, CONCATENATE(LEFT('WBS Summary by Year'!N$6,1),'WBS Summary by Year'!$C256,'WBS Summary by Year'!$B$251),'Pre- and Production'!AH$4:AH$376)</f>
        <v>0</v>
      </c>
      <c r="O256" s="316">
        <f>SUMIF('Pre- and Production'!$T$4:$T$376, CONCATENATE(LEFT('WBS Summary by Year'!O$6,1),'WBS Summary by Year'!$C256,'WBS Summary by Year'!$B$251),'Pre- and Production'!AR$4:AR$376)</f>
        <v>0</v>
      </c>
    </row>
    <row r="257" spans="3:15">
      <c r="C257" s="46" t="s">
        <v>186</v>
      </c>
      <c r="D257" s="26">
        <f>SUMIF('Pre- and Production'!$T$4:$T$376, CONCATENATE(LEFT('WBS Summary by Year'!D$6,1),'WBS Summary by Year'!$C257,'WBS Summary by Year'!$B$251),'Pre- and Production'!AC$4:AC$376)</f>
        <v>0</v>
      </c>
      <c r="E257" s="303">
        <f>SUMIF('Pre- and Production'!$T$4:$T$376, CONCATENATE(LEFT('WBS Summary by Year'!E$6,1),'WBS Summary by Year'!$C257,'WBS Summary by Year'!$B$251),'Pre- and Production'!AM$4:AM$376)</f>
        <v>0</v>
      </c>
      <c r="F257" s="26">
        <f>SUMIF('Pre- and Production'!$T$4:$T$376, CONCATENATE(LEFT('WBS Summary by Year'!F$6,1),'WBS Summary by Year'!$C257,'WBS Summary by Year'!$B$251),'Pre- and Production'!AD$4:AD$376)</f>
        <v>0</v>
      </c>
      <c r="G257" s="296">
        <f>SUMIF('Pre- and Production'!$T$4:$T$376, CONCATENATE(LEFT('WBS Summary by Year'!G$6,1),'WBS Summary by Year'!$C257,'WBS Summary by Year'!$B$251),'Pre- and Production'!AN$4:AN$376)</f>
        <v>0</v>
      </c>
      <c r="H257" s="307">
        <f>SUMIF('Pre- and Production'!$T$4:$T$376, CONCATENATE(LEFT('WBS Summary by Year'!H$6,1),'WBS Summary by Year'!$C257,'WBS Summary by Year'!$B$251),'Pre- and Production'!AE$4:AE$376)</f>
        <v>0</v>
      </c>
      <c r="I257" s="303">
        <f>SUMIF('Pre- and Production'!$T$4:$T$376, CONCATENATE(LEFT('WBS Summary by Year'!I$6,1),'WBS Summary by Year'!$C257,'WBS Summary by Year'!$B$251),'Pre- and Production'!AO$4:AO$376)</f>
        <v>0</v>
      </c>
      <c r="J257" s="26">
        <f>SUMIF('Pre- and Production'!$T$4:$T$376, CONCATENATE(LEFT('WBS Summary by Year'!J$6,1),'WBS Summary by Year'!$C257,'WBS Summary by Year'!$B$251),'Pre- and Production'!AF$4:AFI$376)</f>
        <v>0</v>
      </c>
      <c r="K257" s="296">
        <f>SUMIF('Pre- and Production'!$T$4:$T$376, CONCATENATE(LEFT('WBS Summary by Year'!K$6,1),'WBS Summary by Year'!$C257,'WBS Summary by Year'!$B$251),'Pre- and Production'!AP$4:AP$376)</f>
        <v>0</v>
      </c>
      <c r="L257" s="307">
        <f>SUMIF('Pre- and Production'!$T$4:$T$376, CONCATENATE(LEFT('WBS Summary by Year'!L$6,1),'WBS Summary by Year'!$C257,'WBS Summary by Year'!$B$251),'Pre- and Production'!AG$4:AG$376)</f>
        <v>0</v>
      </c>
      <c r="M257" s="303">
        <f>SUMIF('Pre- and Production'!$T$4:$T$376, CONCATENATE(LEFT('WBS Summary by Year'!M$6,1),'WBS Summary by Year'!$C257,'WBS Summary by Year'!$B$251),'Pre- and Production'!AQ$4:AQ$376)</f>
        <v>0</v>
      </c>
      <c r="N257" s="315">
        <f>SUMIF('Pre- and Production'!$T$4:$T$376, CONCATENATE(LEFT('WBS Summary by Year'!N$6,1),'WBS Summary by Year'!$C257,'WBS Summary by Year'!$B$251),'Pre- and Production'!AH$4:AH$376)</f>
        <v>0</v>
      </c>
      <c r="O257" s="316">
        <f>SUMIF('Pre- and Production'!$T$4:$T$376, CONCATENATE(LEFT('WBS Summary by Year'!O$6,1),'WBS Summary by Year'!$C257,'WBS Summary by Year'!$B$251),'Pre- and Production'!AR$4:AR$376)</f>
        <v>0</v>
      </c>
    </row>
    <row r="258" spans="3:15">
      <c r="C258" s="134" t="s">
        <v>189</v>
      </c>
      <c r="D258" s="26">
        <f>SUMIF('Pre- and Production'!$T$4:$T$376, CONCATENATE(LEFT('WBS Summary by Year'!D$6,1),'WBS Summary by Year'!$C258,'WBS Summary by Year'!$B$251),'Pre- and Production'!AC$4:AC$376)</f>
        <v>0</v>
      </c>
      <c r="E258" s="303">
        <f>SUMIF('Pre- and Production'!$T$4:$T$376, CONCATENATE(LEFT('WBS Summary by Year'!E$6,1),'WBS Summary by Year'!$C258,'WBS Summary by Year'!$B$251),'Pre- and Production'!AM$4:AM$376)</f>
        <v>0</v>
      </c>
      <c r="F258" s="26">
        <f>SUMIF('Pre- and Production'!$T$4:$T$376, CONCATENATE(LEFT('WBS Summary by Year'!F$6,1),'WBS Summary by Year'!$C258,'WBS Summary by Year'!$B$251),'Pre- and Production'!AD$4:AD$376)</f>
        <v>0</v>
      </c>
      <c r="G258" s="296">
        <f>SUMIF('Pre- and Production'!$T$4:$T$376, CONCATENATE(LEFT('WBS Summary by Year'!G$6,1),'WBS Summary by Year'!$C258,'WBS Summary by Year'!$B$251),'Pre- and Production'!AN$4:AN$376)</f>
        <v>0</v>
      </c>
      <c r="H258" s="307">
        <f>SUMIF('Pre- and Production'!$T$4:$T$376, CONCATENATE(LEFT('WBS Summary by Year'!H$6,1),'WBS Summary by Year'!$C258,'WBS Summary by Year'!$B$251),'Pre- and Production'!AE$4:AE$376)</f>
        <v>0</v>
      </c>
      <c r="I258" s="303">
        <f>SUMIF('Pre- and Production'!$T$4:$T$376, CONCATENATE(LEFT('WBS Summary by Year'!I$6,1),'WBS Summary by Year'!$C258,'WBS Summary by Year'!$B$251),'Pre- and Production'!AO$4:AO$376)</f>
        <v>0</v>
      </c>
      <c r="J258" s="26">
        <f>SUMIF('Pre- and Production'!$T$4:$T$376, CONCATENATE(LEFT('WBS Summary by Year'!J$6,1),'WBS Summary by Year'!$C258,'WBS Summary by Year'!$B$251),'Pre- and Production'!AF$4:AFI$376)</f>
        <v>0</v>
      </c>
      <c r="K258" s="296">
        <f>SUMIF('Pre- and Production'!$T$4:$T$376, CONCATENATE(LEFT('WBS Summary by Year'!K$6,1),'WBS Summary by Year'!$C258,'WBS Summary by Year'!$B$251),'Pre- and Production'!AP$4:AP$376)</f>
        <v>0</v>
      </c>
      <c r="L258" s="307">
        <f>SUMIF('Pre- and Production'!$T$4:$T$376, CONCATENATE(LEFT('WBS Summary by Year'!L$6,1),'WBS Summary by Year'!$C258,'WBS Summary by Year'!$B$251),'Pre- and Production'!AG$4:AG$376)</f>
        <v>0</v>
      </c>
      <c r="M258" s="303">
        <f>SUMIF('Pre- and Production'!$T$4:$T$376, CONCATENATE(LEFT('WBS Summary by Year'!M$6,1),'WBS Summary by Year'!$C258,'WBS Summary by Year'!$B$251),'Pre- and Production'!AQ$4:AQ$376)</f>
        <v>0</v>
      </c>
      <c r="N258" s="315">
        <f>SUMIF('Pre- and Production'!$T$4:$T$376, CONCATENATE(LEFT('WBS Summary by Year'!N$6,1),'WBS Summary by Year'!$C258,'WBS Summary by Year'!$B$251),'Pre- and Production'!AH$4:AH$376)</f>
        <v>0</v>
      </c>
      <c r="O258" s="316">
        <f>SUMIF('Pre- and Production'!$T$4:$T$376, CONCATENATE(LEFT('WBS Summary by Year'!O$6,1),'WBS Summary by Year'!$C258,'WBS Summary by Year'!$B$251),'Pre- and Production'!AR$4:AR$376)</f>
        <v>0</v>
      </c>
    </row>
    <row r="259" spans="3:15">
      <c r="C259" s="46" t="s">
        <v>191</v>
      </c>
      <c r="D259" s="26">
        <f>SUMIF('Pre- and Production'!$T$4:$T$376, CONCATENATE(LEFT('WBS Summary by Year'!D$6,1),'WBS Summary by Year'!$C259,'WBS Summary by Year'!$B$251),'Pre- and Production'!AC$4:AC$376)</f>
        <v>0</v>
      </c>
      <c r="E259" s="303">
        <f>SUMIF('Pre- and Production'!$T$4:$T$376, CONCATENATE(LEFT('WBS Summary by Year'!E$6,1),'WBS Summary by Year'!$C259,'WBS Summary by Year'!$B$251),'Pre- and Production'!AM$4:AM$376)</f>
        <v>0</v>
      </c>
      <c r="F259" s="26">
        <f>SUMIF('Pre- and Production'!$T$4:$T$376, CONCATENATE(LEFT('WBS Summary by Year'!F$6,1),'WBS Summary by Year'!$C259,'WBS Summary by Year'!$B$251),'Pre- and Production'!AD$4:AD$376)</f>
        <v>0</v>
      </c>
      <c r="G259" s="296">
        <f>SUMIF('Pre- and Production'!$T$4:$T$376, CONCATENATE(LEFT('WBS Summary by Year'!G$6,1),'WBS Summary by Year'!$C259,'WBS Summary by Year'!$B$251),'Pre- and Production'!AN$4:AN$376)</f>
        <v>0</v>
      </c>
      <c r="H259" s="307">
        <f>SUMIF('Pre- and Production'!$T$4:$T$376, CONCATENATE(LEFT('WBS Summary by Year'!H$6,1),'WBS Summary by Year'!$C259,'WBS Summary by Year'!$B$251),'Pre- and Production'!AE$4:AE$376)</f>
        <v>0</v>
      </c>
      <c r="I259" s="303">
        <f>SUMIF('Pre- and Production'!$T$4:$T$376, CONCATENATE(LEFT('WBS Summary by Year'!I$6,1),'WBS Summary by Year'!$C259,'WBS Summary by Year'!$B$251),'Pre- and Production'!AO$4:AO$376)</f>
        <v>0</v>
      </c>
      <c r="J259" s="26">
        <f>SUMIF('Pre- and Production'!$T$4:$T$376, CONCATENATE(LEFT('WBS Summary by Year'!J$6,1),'WBS Summary by Year'!$C259,'WBS Summary by Year'!$B$251),'Pre- and Production'!AF$4:AFI$376)</f>
        <v>0</v>
      </c>
      <c r="K259" s="296">
        <f>SUMIF('Pre- and Production'!$T$4:$T$376, CONCATENATE(LEFT('WBS Summary by Year'!K$6,1),'WBS Summary by Year'!$C259,'WBS Summary by Year'!$B$251),'Pre- and Production'!AP$4:AP$376)</f>
        <v>0</v>
      </c>
      <c r="L259" s="307">
        <f>SUMIF('Pre- and Production'!$T$4:$T$376, CONCATENATE(LEFT('WBS Summary by Year'!L$6,1),'WBS Summary by Year'!$C259,'WBS Summary by Year'!$B$251),'Pre- and Production'!AG$4:AG$376)</f>
        <v>0</v>
      </c>
      <c r="M259" s="303">
        <f>SUMIF('Pre- and Production'!$T$4:$T$376, CONCATENATE(LEFT('WBS Summary by Year'!M$6,1),'WBS Summary by Year'!$C259,'WBS Summary by Year'!$B$251),'Pre- and Production'!AQ$4:AQ$376)</f>
        <v>0</v>
      </c>
      <c r="N259" s="315">
        <f>SUMIF('Pre- and Production'!$T$4:$T$376, CONCATENATE(LEFT('WBS Summary by Year'!N$6,1),'WBS Summary by Year'!$C259,'WBS Summary by Year'!$B$251),'Pre- and Production'!AH$4:AH$376)</f>
        <v>0</v>
      </c>
      <c r="O259" s="316">
        <f>SUMIF('Pre- and Production'!$T$4:$T$376, CONCATENATE(LEFT('WBS Summary by Year'!O$6,1),'WBS Summary by Year'!$C259,'WBS Summary by Year'!$B$251),'Pre- and Production'!AR$4:AR$376)</f>
        <v>0</v>
      </c>
    </row>
    <row r="260" spans="3:15">
      <c r="C260" s="46" t="s">
        <v>193</v>
      </c>
      <c r="D260" s="26">
        <f>SUMIF('Pre- and Production'!$T$4:$T$376, CONCATENATE(LEFT('WBS Summary by Year'!D$6,1),'WBS Summary by Year'!$C260,'WBS Summary by Year'!$B$251),'Pre- and Production'!AC$4:AC$376)</f>
        <v>0</v>
      </c>
      <c r="E260" s="303">
        <f>SUMIF('Pre- and Production'!$T$4:$T$376, CONCATENATE(LEFT('WBS Summary by Year'!E$6,1),'WBS Summary by Year'!$C260,'WBS Summary by Year'!$B$251),'Pre- and Production'!AM$4:AM$376)</f>
        <v>0</v>
      </c>
      <c r="F260" s="26">
        <f>SUMIF('Pre- and Production'!$T$4:$T$376, CONCATENATE(LEFT('WBS Summary by Year'!F$6,1),'WBS Summary by Year'!$C260,'WBS Summary by Year'!$B$251),'Pre- and Production'!AD$4:AD$376)</f>
        <v>0</v>
      </c>
      <c r="G260" s="296">
        <f>SUMIF('Pre- and Production'!$T$4:$T$376, CONCATENATE(LEFT('WBS Summary by Year'!G$6,1),'WBS Summary by Year'!$C260,'WBS Summary by Year'!$B$251),'Pre- and Production'!AN$4:AN$376)</f>
        <v>0</v>
      </c>
      <c r="H260" s="307">
        <f>SUMIF('Pre- and Production'!$T$4:$T$376, CONCATENATE(LEFT('WBS Summary by Year'!H$6,1),'WBS Summary by Year'!$C260,'WBS Summary by Year'!$B$251),'Pre- and Production'!AE$4:AE$376)</f>
        <v>0</v>
      </c>
      <c r="I260" s="303">
        <f>SUMIF('Pre- and Production'!$T$4:$T$376, CONCATENATE(LEFT('WBS Summary by Year'!I$6,1),'WBS Summary by Year'!$C260,'WBS Summary by Year'!$B$251),'Pre- and Production'!AO$4:AO$376)</f>
        <v>0</v>
      </c>
      <c r="J260" s="26">
        <f>SUMIF('Pre- and Production'!$T$4:$T$376, CONCATENATE(LEFT('WBS Summary by Year'!J$6,1),'WBS Summary by Year'!$C260,'WBS Summary by Year'!$B$251),'Pre- and Production'!AF$4:AFI$376)</f>
        <v>0</v>
      </c>
      <c r="K260" s="296">
        <f>SUMIF('Pre- and Production'!$T$4:$T$376, CONCATENATE(LEFT('WBS Summary by Year'!K$6,1),'WBS Summary by Year'!$C260,'WBS Summary by Year'!$B$251),'Pre- and Production'!AP$4:AP$376)</f>
        <v>0</v>
      </c>
      <c r="L260" s="307">
        <f>SUMIF('Pre- and Production'!$T$4:$T$376, CONCATENATE(LEFT('WBS Summary by Year'!L$6,1),'WBS Summary by Year'!$C260,'WBS Summary by Year'!$B$251),'Pre- and Production'!AG$4:AG$376)</f>
        <v>0</v>
      </c>
      <c r="M260" s="303">
        <f>SUMIF('Pre- and Production'!$T$4:$T$376, CONCATENATE(LEFT('WBS Summary by Year'!M$6,1),'WBS Summary by Year'!$C260,'WBS Summary by Year'!$B$251),'Pre- and Production'!AQ$4:AQ$376)</f>
        <v>0</v>
      </c>
      <c r="N260" s="315">
        <f>SUMIF('Pre- and Production'!$T$4:$T$376, CONCATENATE(LEFT('WBS Summary by Year'!N$6,1),'WBS Summary by Year'!$C260,'WBS Summary by Year'!$B$251),'Pre- and Production'!AH$4:AH$376)</f>
        <v>0</v>
      </c>
      <c r="O260" s="316">
        <f>SUMIF('Pre- and Production'!$T$4:$T$376, CONCATENATE(LEFT('WBS Summary by Year'!O$6,1),'WBS Summary by Year'!$C260,'WBS Summary by Year'!$B$251),'Pre- and Production'!AR$4:AR$376)</f>
        <v>0</v>
      </c>
    </row>
    <row r="261" spans="3:15">
      <c r="C261" s="46" t="s">
        <v>195</v>
      </c>
      <c r="D261" s="26">
        <f>SUMIF('Pre- and Production'!$T$4:$T$376, CONCATENATE(LEFT('WBS Summary by Year'!D$6,1),'WBS Summary by Year'!$C261,'WBS Summary by Year'!$B$251),'Pre- and Production'!AC$4:AC$376)</f>
        <v>0</v>
      </c>
      <c r="E261" s="303">
        <f>SUMIF('Pre- and Production'!$T$4:$T$376, CONCATENATE(LEFT('WBS Summary by Year'!E$6,1),'WBS Summary by Year'!$C261,'WBS Summary by Year'!$B$251),'Pre- and Production'!AM$4:AM$376)</f>
        <v>0</v>
      </c>
      <c r="F261" s="26">
        <f>SUMIF('Pre- and Production'!$T$4:$T$376, CONCATENATE(LEFT('WBS Summary by Year'!F$6,1),'WBS Summary by Year'!$C261,'WBS Summary by Year'!$B$251),'Pre- and Production'!AD$4:AD$376)</f>
        <v>0</v>
      </c>
      <c r="G261" s="296">
        <f>SUMIF('Pre- and Production'!$T$4:$T$376, CONCATENATE(LEFT('WBS Summary by Year'!G$6,1),'WBS Summary by Year'!$C261,'WBS Summary by Year'!$B$251),'Pre- and Production'!AN$4:AN$376)</f>
        <v>0</v>
      </c>
      <c r="H261" s="307">
        <f>SUMIF('Pre- and Production'!$T$4:$T$376, CONCATENATE(LEFT('WBS Summary by Year'!H$6,1),'WBS Summary by Year'!$C261,'WBS Summary by Year'!$B$251),'Pre- and Production'!AE$4:AE$376)</f>
        <v>0</v>
      </c>
      <c r="I261" s="303">
        <f>SUMIF('Pre- and Production'!$T$4:$T$376, CONCATENATE(LEFT('WBS Summary by Year'!I$6,1),'WBS Summary by Year'!$C261,'WBS Summary by Year'!$B$251),'Pre- and Production'!AO$4:AO$376)</f>
        <v>0</v>
      </c>
      <c r="J261" s="26">
        <f>SUMIF('Pre- and Production'!$T$4:$T$376, CONCATENATE(LEFT('WBS Summary by Year'!J$6,1),'WBS Summary by Year'!$C261,'WBS Summary by Year'!$B$251),'Pre- and Production'!AF$4:AFI$376)</f>
        <v>0</v>
      </c>
      <c r="K261" s="296">
        <f>SUMIF('Pre- and Production'!$T$4:$T$376, CONCATENATE(LEFT('WBS Summary by Year'!K$6,1),'WBS Summary by Year'!$C261,'WBS Summary by Year'!$B$251),'Pre- and Production'!AP$4:AP$376)</f>
        <v>0</v>
      </c>
      <c r="L261" s="307">
        <f>SUMIF('Pre- and Production'!$T$4:$T$376, CONCATENATE(LEFT('WBS Summary by Year'!L$6,1),'WBS Summary by Year'!$C261,'WBS Summary by Year'!$B$251),'Pre- and Production'!AG$4:AG$376)</f>
        <v>0</v>
      </c>
      <c r="M261" s="303">
        <f>SUMIF('Pre- and Production'!$T$4:$T$376, CONCATENATE(LEFT('WBS Summary by Year'!M$6,1),'WBS Summary by Year'!$C261,'WBS Summary by Year'!$B$251),'Pre- and Production'!AQ$4:AQ$376)</f>
        <v>0</v>
      </c>
      <c r="N261" s="315">
        <f>SUMIF('Pre- and Production'!$T$4:$T$376, CONCATENATE(LEFT('WBS Summary by Year'!N$6,1),'WBS Summary by Year'!$C261,'WBS Summary by Year'!$B$251),'Pre- and Production'!AH$4:AH$376)</f>
        <v>0</v>
      </c>
      <c r="O261" s="316">
        <f>SUMIF('Pre- and Production'!$T$4:$T$376, CONCATENATE(LEFT('WBS Summary by Year'!O$6,1),'WBS Summary by Year'!$C261,'WBS Summary by Year'!$B$251),'Pre- and Production'!AR$4:AR$376)</f>
        <v>0</v>
      </c>
    </row>
    <row r="262" spans="3:15">
      <c r="C262" s="134" t="s">
        <v>190</v>
      </c>
      <c r="D262" s="26">
        <f>SUMIF('Pre- and Production'!$T$4:$T$376, CONCATENATE(LEFT('WBS Summary by Year'!D$6,1),'WBS Summary by Year'!$C262,'WBS Summary by Year'!$B$251),'Pre- and Production'!AC$4:AC$376)</f>
        <v>0</v>
      </c>
      <c r="E262" s="303">
        <f>SUMIF('Pre- and Production'!$T$4:$T$376, CONCATENATE(LEFT('WBS Summary by Year'!E$6,1),'WBS Summary by Year'!$C262,'WBS Summary by Year'!$B$251),'Pre- and Production'!AM$4:AM$376)</f>
        <v>0</v>
      </c>
      <c r="F262" s="26">
        <f>SUMIF('Pre- and Production'!$T$4:$T$376, CONCATENATE(LEFT('WBS Summary by Year'!F$6,1),'WBS Summary by Year'!$C262,'WBS Summary by Year'!$B$251),'Pre- and Production'!AD$4:AD$376)</f>
        <v>0</v>
      </c>
      <c r="G262" s="296">
        <f>SUMIF('Pre- and Production'!$T$4:$T$376, CONCATENATE(LEFT('WBS Summary by Year'!G$6,1),'WBS Summary by Year'!$C262,'WBS Summary by Year'!$B$251),'Pre- and Production'!AN$4:AN$376)</f>
        <v>0</v>
      </c>
      <c r="H262" s="307">
        <f>SUMIF('Pre- and Production'!$T$4:$T$376, CONCATENATE(LEFT('WBS Summary by Year'!H$6,1),'WBS Summary by Year'!$C262,'WBS Summary by Year'!$B$251),'Pre- and Production'!AE$4:AE$376)</f>
        <v>0</v>
      </c>
      <c r="I262" s="303">
        <f>SUMIF('Pre- and Production'!$T$4:$T$376, CONCATENATE(LEFT('WBS Summary by Year'!I$6,1),'WBS Summary by Year'!$C262,'WBS Summary by Year'!$B$251),'Pre- and Production'!AO$4:AO$376)</f>
        <v>0</v>
      </c>
      <c r="J262" s="26">
        <f>SUMIF('Pre- and Production'!$T$4:$T$376, CONCATENATE(LEFT('WBS Summary by Year'!J$6,1),'WBS Summary by Year'!$C262,'WBS Summary by Year'!$B$251),'Pre- and Production'!AF$4:AFI$376)</f>
        <v>0</v>
      </c>
      <c r="K262" s="296">
        <f>SUMIF('Pre- and Production'!$T$4:$T$376, CONCATENATE(LEFT('WBS Summary by Year'!K$6,1),'WBS Summary by Year'!$C262,'WBS Summary by Year'!$B$251),'Pre- and Production'!AP$4:AP$376)</f>
        <v>0</v>
      </c>
      <c r="L262" s="307">
        <f>SUMIF('Pre- and Production'!$T$4:$T$376, CONCATENATE(LEFT('WBS Summary by Year'!L$6,1),'WBS Summary by Year'!$C262,'WBS Summary by Year'!$B$251),'Pre- and Production'!AG$4:AG$376)</f>
        <v>0</v>
      </c>
      <c r="M262" s="303">
        <f>SUMIF('Pre- and Production'!$T$4:$T$376, CONCATENATE(LEFT('WBS Summary by Year'!M$6,1),'WBS Summary by Year'!$C262,'WBS Summary by Year'!$B$251),'Pre- and Production'!AQ$4:AQ$376)</f>
        <v>0</v>
      </c>
      <c r="N262" s="315">
        <f>SUMIF('Pre- and Production'!$T$4:$T$376, CONCATENATE(LEFT('WBS Summary by Year'!N$6,1),'WBS Summary by Year'!$C262,'WBS Summary by Year'!$B$251),'Pre- and Production'!AH$4:AH$376)</f>
        <v>0</v>
      </c>
      <c r="O262" s="316">
        <f>SUMIF('Pre- and Production'!$T$4:$T$376, CONCATENATE(LEFT('WBS Summary by Year'!O$6,1),'WBS Summary by Year'!$C262,'WBS Summary by Year'!$B$251),'Pre- and Production'!AR$4:AR$376)</f>
        <v>0</v>
      </c>
    </row>
    <row r="263" spans="3:15">
      <c r="C263" s="46" t="s">
        <v>198</v>
      </c>
      <c r="D263" s="26">
        <f>SUMIF('Pre- and Production'!$T$4:$T$376, CONCATENATE(LEFT('WBS Summary by Year'!D$6,1),'WBS Summary by Year'!$C263,'WBS Summary by Year'!$B$251),'Pre- and Production'!AC$4:AC$376)</f>
        <v>0</v>
      </c>
      <c r="E263" s="303">
        <f>SUMIF('Pre- and Production'!$T$4:$T$376, CONCATENATE(LEFT('WBS Summary by Year'!E$6,1),'WBS Summary by Year'!$C263,'WBS Summary by Year'!$B$251),'Pre- and Production'!AM$4:AM$376)</f>
        <v>0</v>
      </c>
      <c r="F263" s="26">
        <f>SUMIF('Pre- and Production'!$T$4:$T$376, CONCATENATE(LEFT('WBS Summary by Year'!F$6,1),'WBS Summary by Year'!$C263,'WBS Summary by Year'!$B$251),'Pre- and Production'!AD$4:AD$376)</f>
        <v>0</v>
      </c>
      <c r="G263" s="296">
        <f>SUMIF('Pre- and Production'!$T$4:$T$376, CONCATENATE(LEFT('WBS Summary by Year'!G$6,1),'WBS Summary by Year'!$C263,'WBS Summary by Year'!$B$251),'Pre- and Production'!AN$4:AN$376)</f>
        <v>0</v>
      </c>
      <c r="H263" s="307">
        <f>SUMIF('Pre- and Production'!$T$4:$T$376, CONCATENATE(LEFT('WBS Summary by Year'!H$6,1),'WBS Summary by Year'!$C263,'WBS Summary by Year'!$B$251),'Pre- and Production'!AE$4:AE$376)</f>
        <v>0</v>
      </c>
      <c r="I263" s="303">
        <f>SUMIF('Pre- and Production'!$T$4:$T$376, CONCATENATE(LEFT('WBS Summary by Year'!I$6,1),'WBS Summary by Year'!$C263,'WBS Summary by Year'!$B$251),'Pre- and Production'!AO$4:AO$376)</f>
        <v>0</v>
      </c>
      <c r="J263" s="26">
        <f>SUMIF('Pre- and Production'!$T$4:$T$376, CONCATENATE(LEFT('WBS Summary by Year'!J$6,1),'WBS Summary by Year'!$C263,'WBS Summary by Year'!$B$251),'Pre- and Production'!AF$4:AFI$376)</f>
        <v>0</v>
      </c>
      <c r="K263" s="296">
        <f>SUMIF('Pre- and Production'!$T$4:$T$376, CONCATENATE(LEFT('WBS Summary by Year'!K$6,1),'WBS Summary by Year'!$C263,'WBS Summary by Year'!$B$251),'Pre- and Production'!AP$4:AP$376)</f>
        <v>0</v>
      </c>
      <c r="L263" s="307">
        <f>SUMIF('Pre- and Production'!$T$4:$T$376, CONCATENATE(LEFT('WBS Summary by Year'!L$6,1),'WBS Summary by Year'!$C263,'WBS Summary by Year'!$B$251),'Pre- and Production'!AG$4:AG$376)</f>
        <v>0</v>
      </c>
      <c r="M263" s="303">
        <f>SUMIF('Pre- and Production'!$T$4:$T$376, CONCATENATE(LEFT('WBS Summary by Year'!M$6,1),'WBS Summary by Year'!$C263,'WBS Summary by Year'!$B$251),'Pre- and Production'!AQ$4:AQ$376)</f>
        <v>0</v>
      </c>
      <c r="N263" s="315">
        <f>SUMIF('Pre- and Production'!$T$4:$T$376, CONCATENATE(LEFT('WBS Summary by Year'!N$6,1),'WBS Summary by Year'!$C263,'WBS Summary by Year'!$B$251),'Pre- and Production'!AH$4:AH$376)</f>
        <v>0</v>
      </c>
      <c r="O263" s="316">
        <f>SUMIF('Pre- and Production'!$T$4:$T$376, CONCATENATE(LEFT('WBS Summary by Year'!O$6,1),'WBS Summary by Year'!$C263,'WBS Summary by Year'!$B$251),'Pre- and Production'!AR$4:AR$376)</f>
        <v>0</v>
      </c>
    </row>
    <row r="264" spans="3:15">
      <c r="C264" s="46" t="s">
        <v>199</v>
      </c>
      <c r="D264" s="26">
        <f>SUMIF('Pre- and Production'!$T$4:$T$376, CONCATENATE(LEFT('WBS Summary by Year'!D$6,1),'WBS Summary by Year'!$C264,'WBS Summary by Year'!$B$251),'Pre- and Production'!AC$4:AC$376)</f>
        <v>0</v>
      </c>
      <c r="E264" s="303">
        <f>SUMIF('Pre- and Production'!$T$4:$T$376, CONCATENATE(LEFT('WBS Summary by Year'!E$6,1),'WBS Summary by Year'!$C264,'WBS Summary by Year'!$B$251),'Pre- and Production'!AM$4:AM$376)</f>
        <v>0</v>
      </c>
      <c r="F264" s="26">
        <f>SUMIF('Pre- and Production'!$T$4:$T$376, CONCATENATE(LEFT('WBS Summary by Year'!F$6,1),'WBS Summary by Year'!$C264,'WBS Summary by Year'!$B$251),'Pre- and Production'!AD$4:AD$376)</f>
        <v>0</v>
      </c>
      <c r="G264" s="296">
        <f>SUMIF('Pre- and Production'!$T$4:$T$376, CONCATENATE(LEFT('WBS Summary by Year'!G$6,1),'WBS Summary by Year'!$C264,'WBS Summary by Year'!$B$251),'Pre- and Production'!AN$4:AN$376)</f>
        <v>0</v>
      </c>
      <c r="H264" s="307">
        <f>SUMIF('Pre- and Production'!$T$4:$T$376, CONCATENATE(LEFT('WBS Summary by Year'!H$6,1),'WBS Summary by Year'!$C264,'WBS Summary by Year'!$B$251),'Pre- and Production'!AE$4:AE$376)</f>
        <v>0</v>
      </c>
      <c r="I264" s="303">
        <f>SUMIF('Pre- and Production'!$T$4:$T$376, CONCATENATE(LEFT('WBS Summary by Year'!I$6,1),'WBS Summary by Year'!$C264,'WBS Summary by Year'!$B$251),'Pre- and Production'!AO$4:AO$376)</f>
        <v>0</v>
      </c>
      <c r="J264" s="26">
        <f>SUMIF('Pre- and Production'!$T$4:$T$376, CONCATENATE(LEFT('WBS Summary by Year'!J$6,1),'WBS Summary by Year'!$C264,'WBS Summary by Year'!$B$251),'Pre- and Production'!AF$4:AFI$376)</f>
        <v>0</v>
      </c>
      <c r="K264" s="296">
        <f>SUMIF('Pre- and Production'!$T$4:$T$376, CONCATENATE(LEFT('WBS Summary by Year'!K$6,1),'WBS Summary by Year'!$C264,'WBS Summary by Year'!$B$251),'Pre- and Production'!AP$4:AP$376)</f>
        <v>0</v>
      </c>
      <c r="L264" s="307">
        <f>SUMIF('Pre- and Production'!$T$4:$T$376, CONCATENATE(LEFT('WBS Summary by Year'!L$6,1),'WBS Summary by Year'!$C264,'WBS Summary by Year'!$B$251),'Pre- and Production'!AG$4:AG$376)</f>
        <v>0</v>
      </c>
      <c r="M264" s="303">
        <f>SUMIF('Pre- and Production'!$T$4:$T$376, CONCATENATE(LEFT('WBS Summary by Year'!M$6,1),'WBS Summary by Year'!$C264,'WBS Summary by Year'!$B$251),'Pre- and Production'!AQ$4:AQ$376)</f>
        <v>0</v>
      </c>
      <c r="N264" s="315">
        <f>SUMIF('Pre- and Production'!$T$4:$T$376, CONCATENATE(LEFT('WBS Summary by Year'!N$6,1),'WBS Summary by Year'!$C264,'WBS Summary by Year'!$B$251),'Pre- and Production'!AH$4:AH$376)</f>
        <v>0</v>
      </c>
      <c r="O264" s="316">
        <f>SUMIF('Pre- and Production'!$T$4:$T$376, CONCATENATE(LEFT('WBS Summary by Year'!O$6,1),'WBS Summary by Year'!$C264,'WBS Summary by Year'!$B$251),'Pre- and Production'!AR$4:AR$376)</f>
        <v>0</v>
      </c>
    </row>
    <row r="265" spans="3:15" s="352" customFormat="1">
      <c r="C265" s="46" t="s">
        <v>200</v>
      </c>
      <c r="D265" s="26">
        <f>SUMIF('Pre- and Production'!$T$4:$T$376, CONCATENATE(LEFT('WBS Summary by Year'!D$6,1),'WBS Summary by Year'!$C265,'WBS Summary by Year'!$B$251),'Pre- and Production'!AC$4:AC$376)</f>
        <v>0</v>
      </c>
      <c r="E265" s="303">
        <f>SUMIF('Pre- and Production'!$T$4:$T$376, CONCATENATE(LEFT('WBS Summary by Year'!E$6,1),'WBS Summary by Year'!$C265,'WBS Summary by Year'!$B$251),'Pre- and Production'!AM$4:AM$376)</f>
        <v>0</v>
      </c>
      <c r="F265" s="26">
        <f>SUMIF('Pre- and Production'!$T$4:$T$376, CONCATENATE(LEFT('WBS Summary by Year'!F$6,1),'WBS Summary by Year'!$C265,'WBS Summary by Year'!$B$251),'Pre- and Production'!AD$4:AD$376)</f>
        <v>0</v>
      </c>
      <c r="G265" s="296">
        <f>SUMIF('Pre- and Production'!$T$4:$T$376, CONCATENATE(LEFT('WBS Summary by Year'!G$6,1),'WBS Summary by Year'!$C265,'WBS Summary by Year'!$B$251),'Pre- and Production'!AN$4:AN$376)</f>
        <v>0</v>
      </c>
      <c r="H265" s="307">
        <f>SUMIF('Pre- and Production'!$T$4:$T$376, CONCATENATE(LEFT('WBS Summary by Year'!H$6,1),'WBS Summary by Year'!$C265,'WBS Summary by Year'!$B$251),'Pre- and Production'!AE$4:AE$376)</f>
        <v>0</v>
      </c>
      <c r="I265" s="303">
        <f>SUMIF('Pre- and Production'!$T$4:$T$376, CONCATENATE(LEFT('WBS Summary by Year'!I$6,1),'WBS Summary by Year'!$C265,'WBS Summary by Year'!$B$251),'Pre- and Production'!AO$4:AO$376)</f>
        <v>0</v>
      </c>
      <c r="J265" s="26">
        <f>SUMIF('Pre- and Production'!$T$4:$T$376, CONCATENATE(LEFT('WBS Summary by Year'!J$6,1),'WBS Summary by Year'!$C265,'WBS Summary by Year'!$B$251),'Pre- and Production'!AF$4:AFI$376)</f>
        <v>0</v>
      </c>
      <c r="K265" s="296">
        <f>SUMIF('Pre- and Production'!$T$4:$T$376, CONCATENATE(LEFT('WBS Summary by Year'!K$6,1),'WBS Summary by Year'!$C265,'WBS Summary by Year'!$B$251),'Pre- and Production'!AP$4:AP$376)</f>
        <v>0</v>
      </c>
      <c r="L265" s="307">
        <f>SUMIF('Pre- and Production'!$T$4:$T$376, CONCATENATE(LEFT('WBS Summary by Year'!L$6,1),'WBS Summary by Year'!$C265,'WBS Summary by Year'!$B$251),'Pre- and Production'!AG$4:AG$376)</f>
        <v>0</v>
      </c>
      <c r="M265" s="303">
        <f>SUMIF('Pre- and Production'!$T$4:$T$376, CONCATENATE(LEFT('WBS Summary by Year'!M$6,1),'WBS Summary by Year'!$C265,'WBS Summary by Year'!$B$251),'Pre- and Production'!AQ$4:AQ$376)</f>
        <v>0</v>
      </c>
      <c r="N265" s="315">
        <f>SUMIF('Pre- and Production'!$T$4:$T$376, CONCATENATE(LEFT('WBS Summary by Year'!N$6,1),'WBS Summary by Year'!$C265,'WBS Summary by Year'!$B$251),'Pre- and Production'!AH$4:AH$376)</f>
        <v>0</v>
      </c>
      <c r="O265" s="316">
        <f>SUMIF('Pre- and Production'!$T$4:$T$376, CONCATENATE(LEFT('WBS Summary by Year'!O$6,1),'WBS Summary by Year'!$C265,'WBS Summary by Year'!$B$251),'Pre- and Production'!AR$4:AR$376)</f>
        <v>0</v>
      </c>
    </row>
    <row r="266" spans="3:15" s="352" customFormat="1">
      <c r="C266" s="46" t="s">
        <v>201</v>
      </c>
      <c r="D266" s="26">
        <f>SUMIF('Pre- and Production'!$T$4:$T$376, CONCATENATE(LEFT('WBS Summary by Year'!D$6,1),'WBS Summary by Year'!$C266,'WBS Summary by Year'!$B$251),'Pre- and Production'!AC$4:AC$376)</f>
        <v>0</v>
      </c>
      <c r="E266" s="303">
        <f>SUMIF('Pre- and Production'!$T$4:$T$376, CONCATENATE(LEFT('WBS Summary by Year'!E$6,1),'WBS Summary by Year'!$C266,'WBS Summary by Year'!$B$251),'Pre- and Production'!AM$4:AM$376)</f>
        <v>0</v>
      </c>
      <c r="F266" s="26">
        <f>SUMIF('Pre- and Production'!$T$4:$T$376, CONCATENATE(LEFT('WBS Summary by Year'!F$6,1),'WBS Summary by Year'!$C266,'WBS Summary by Year'!$B$251),'Pre- and Production'!AD$4:AD$376)</f>
        <v>0</v>
      </c>
      <c r="G266" s="296">
        <f>SUMIF('Pre- and Production'!$T$4:$T$376, CONCATENATE(LEFT('WBS Summary by Year'!G$6,1),'WBS Summary by Year'!$C266,'WBS Summary by Year'!$B$251),'Pre- and Production'!AN$4:AN$376)</f>
        <v>0</v>
      </c>
      <c r="H266" s="307">
        <f>SUMIF('Pre- and Production'!$T$4:$T$376, CONCATENATE(LEFT('WBS Summary by Year'!H$6,1),'WBS Summary by Year'!$C266,'WBS Summary by Year'!$B$251),'Pre- and Production'!AE$4:AE$376)</f>
        <v>0</v>
      </c>
      <c r="I266" s="303">
        <f>SUMIF('Pre- and Production'!$T$4:$T$376, CONCATENATE(LEFT('WBS Summary by Year'!I$6,1),'WBS Summary by Year'!$C266,'WBS Summary by Year'!$B$251),'Pre- and Production'!AO$4:AO$376)</f>
        <v>0</v>
      </c>
      <c r="J266" s="26">
        <f>SUMIF('Pre- and Production'!$T$4:$T$376, CONCATENATE(LEFT('WBS Summary by Year'!J$6,1),'WBS Summary by Year'!$C266,'WBS Summary by Year'!$B$251),'Pre- and Production'!AF$4:AFI$376)</f>
        <v>0</v>
      </c>
      <c r="K266" s="296">
        <f>SUMIF('Pre- and Production'!$T$4:$T$376, CONCATENATE(LEFT('WBS Summary by Year'!K$6,1),'WBS Summary by Year'!$C266,'WBS Summary by Year'!$B$251),'Pre- and Production'!AP$4:AP$376)</f>
        <v>0</v>
      </c>
      <c r="L266" s="307">
        <f>SUMIF('Pre- and Production'!$T$4:$T$376, CONCATENATE(LEFT('WBS Summary by Year'!L$6,1),'WBS Summary by Year'!$C266,'WBS Summary by Year'!$B$251),'Pre- and Production'!AG$4:AG$376)</f>
        <v>0</v>
      </c>
      <c r="M266" s="303">
        <f>SUMIF('Pre- and Production'!$T$4:$T$376, CONCATENATE(LEFT('WBS Summary by Year'!M$6,1),'WBS Summary by Year'!$C266,'WBS Summary by Year'!$B$251),'Pre- and Production'!AQ$4:AQ$376)</f>
        <v>0</v>
      </c>
      <c r="N266" s="315">
        <f>SUMIF('Pre- and Production'!$T$4:$T$376, CONCATENATE(LEFT('WBS Summary by Year'!N$6,1),'WBS Summary by Year'!$C266,'WBS Summary by Year'!$B$251),'Pre- and Production'!AH$4:AH$376)</f>
        <v>0</v>
      </c>
      <c r="O266" s="316">
        <f>SUMIF('Pre- and Production'!$T$4:$T$376, CONCATENATE(LEFT('WBS Summary by Year'!O$6,1),'WBS Summary by Year'!$C266,'WBS Summary by Year'!$B$251),'Pre- and Production'!AR$4:AR$376)</f>
        <v>0</v>
      </c>
    </row>
    <row r="267" spans="3:15" s="352" customFormat="1">
      <c r="C267" s="46" t="s">
        <v>206</v>
      </c>
      <c r="D267" s="26">
        <f>SUMIF('Pre- and Production'!$T$4:$T$376, CONCATENATE(LEFT('WBS Summary by Year'!D$6,1),'WBS Summary by Year'!$C267,'WBS Summary by Year'!$B$251),'Pre- and Production'!AC$4:AC$376)</f>
        <v>0</v>
      </c>
      <c r="E267" s="303">
        <f>SUMIF('Pre- and Production'!$T$4:$T$376, CONCATENATE(LEFT('WBS Summary by Year'!E$6,1),'WBS Summary by Year'!$C267,'WBS Summary by Year'!$B$251),'Pre- and Production'!AM$4:AM$376)</f>
        <v>0</v>
      </c>
      <c r="F267" s="26">
        <f>SUMIF('Pre- and Production'!$T$4:$T$376, CONCATENATE(LEFT('WBS Summary by Year'!F$6,1),'WBS Summary by Year'!$C267,'WBS Summary by Year'!$B$251),'Pre- and Production'!AD$4:AD$376)</f>
        <v>0</v>
      </c>
      <c r="G267" s="296">
        <f>SUMIF('Pre- and Production'!$T$4:$T$376, CONCATENATE(LEFT('WBS Summary by Year'!G$6,1),'WBS Summary by Year'!$C267,'WBS Summary by Year'!$B$251),'Pre- and Production'!AN$4:AN$376)</f>
        <v>0</v>
      </c>
      <c r="H267" s="307">
        <f>SUMIF('Pre- and Production'!$T$4:$T$376, CONCATENATE(LEFT('WBS Summary by Year'!H$6,1),'WBS Summary by Year'!$C267,'WBS Summary by Year'!$B$251),'Pre- and Production'!AE$4:AE$376)</f>
        <v>0</v>
      </c>
      <c r="I267" s="303">
        <f>SUMIF('Pre- and Production'!$T$4:$T$376, CONCATENATE(LEFT('WBS Summary by Year'!I$6,1),'WBS Summary by Year'!$C267,'WBS Summary by Year'!$B$251),'Pre- and Production'!AO$4:AO$376)</f>
        <v>0</v>
      </c>
      <c r="J267" s="26">
        <f>SUMIF('Pre- and Production'!$T$4:$T$376, CONCATENATE(LEFT('WBS Summary by Year'!J$6,1),'WBS Summary by Year'!$C267,'WBS Summary by Year'!$B$251),'Pre- and Production'!AF$4:AFI$376)</f>
        <v>0</v>
      </c>
      <c r="K267" s="296">
        <f>SUMIF('Pre- and Production'!$T$4:$T$376, CONCATENATE(LEFT('WBS Summary by Year'!K$6,1),'WBS Summary by Year'!$C267,'WBS Summary by Year'!$B$251),'Pre- and Production'!AP$4:AP$376)</f>
        <v>0</v>
      </c>
      <c r="L267" s="307">
        <f>SUMIF('Pre- and Production'!$T$4:$T$376, CONCATENATE(LEFT('WBS Summary by Year'!L$6,1),'WBS Summary by Year'!$C267,'WBS Summary by Year'!$B$251),'Pre- and Production'!AG$4:AG$376)</f>
        <v>0</v>
      </c>
      <c r="M267" s="303">
        <f>SUMIF('Pre- and Production'!$T$4:$T$376, CONCATENATE(LEFT('WBS Summary by Year'!M$6,1),'WBS Summary by Year'!$C267,'WBS Summary by Year'!$B$251),'Pre- and Production'!AQ$4:AQ$376)</f>
        <v>0</v>
      </c>
      <c r="N267" s="315">
        <f>SUMIF('Pre- and Production'!$T$4:$T$376, CONCATENATE(LEFT('WBS Summary by Year'!N$6,1),'WBS Summary by Year'!$C267,'WBS Summary by Year'!$B$251),'Pre- and Production'!AH$4:AH$376)</f>
        <v>0</v>
      </c>
      <c r="O267" s="316">
        <f>SUMIF('Pre- and Production'!$T$4:$T$376, CONCATENATE(LEFT('WBS Summary by Year'!O$6,1),'WBS Summary by Year'!$C267,'WBS Summary by Year'!$B$251),'Pre- and Production'!AR$4:AR$376)</f>
        <v>0</v>
      </c>
    </row>
    <row r="268" spans="3:15" s="352" customFormat="1">
      <c r="C268" s="46" t="s">
        <v>207</v>
      </c>
      <c r="D268" s="26">
        <f>SUMIF('Pre- and Production'!$T$4:$T$376, CONCATENATE(LEFT('WBS Summary by Year'!D$6,1),'WBS Summary by Year'!$C268,'WBS Summary by Year'!$B$251),'Pre- and Production'!AC$4:AC$376)</f>
        <v>0</v>
      </c>
      <c r="E268" s="303">
        <f>SUMIF('Pre- and Production'!$T$4:$T$376, CONCATENATE(LEFT('WBS Summary by Year'!E$6,1),'WBS Summary by Year'!$C268,'WBS Summary by Year'!$B$251),'Pre- and Production'!AM$4:AM$376)</f>
        <v>0</v>
      </c>
      <c r="F268" s="26">
        <f>SUMIF('Pre- and Production'!$T$4:$T$376, CONCATENATE(LEFT('WBS Summary by Year'!F$6,1),'WBS Summary by Year'!$C268,'WBS Summary by Year'!$B$251),'Pre- and Production'!AD$4:AD$376)</f>
        <v>0</v>
      </c>
      <c r="G268" s="296">
        <f>SUMIF('Pre- and Production'!$T$4:$T$376, CONCATENATE(LEFT('WBS Summary by Year'!G$6,1),'WBS Summary by Year'!$C268,'WBS Summary by Year'!$B$251),'Pre- and Production'!AN$4:AN$376)</f>
        <v>0</v>
      </c>
      <c r="H268" s="307">
        <f>SUMIF('Pre- and Production'!$T$4:$T$376, CONCATENATE(LEFT('WBS Summary by Year'!H$6,1),'WBS Summary by Year'!$C268,'WBS Summary by Year'!$B$251),'Pre- and Production'!AE$4:AE$376)</f>
        <v>0</v>
      </c>
      <c r="I268" s="303">
        <f>SUMIF('Pre- and Production'!$T$4:$T$376, CONCATENATE(LEFT('WBS Summary by Year'!I$6,1),'WBS Summary by Year'!$C268,'WBS Summary by Year'!$B$251),'Pre- and Production'!AO$4:AO$376)</f>
        <v>0</v>
      </c>
      <c r="J268" s="26">
        <f>SUMIF('Pre- and Production'!$T$4:$T$376, CONCATENATE(LEFT('WBS Summary by Year'!J$6,1),'WBS Summary by Year'!$C268,'WBS Summary by Year'!$B$251),'Pre- and Production'!AF$4:AFI$376)</f>
        <v>0</v>
      </c>
      <c r="K268" s="296">
        <f>SUMIF('Pre- and Production'!$T$4:$T$376, CONCATENATE(LEFT('WBS Summary by Year'!K$6,1),'WBS Summary by Year'!$C268,'WBS Summary by Year'!$B$251),'Pre- and Production'!AP$4:AP$376)</f>
        <v>0</v>
      </c>
      <c r="L268" s="307">
        <f>SUMIF('Pre- and Production'!$T$4:$T$376, CONCATENATE(LEFT('WBS Summary by Year'!L$6,1),'WBS Summary by Year'!$C268,'WBS Summary by Year'!$B$251),'Pre- and Production'!AG$4:AG$376)</f>
        <v>0</v>
      </c>
      <c r="M268" s="303">
        <f>SUMIF('Pre- and Production'!$T$4:$T$376, CONCATENATE(LEFT('WBS Summary by Year'!M$6,1),'WBS Summary by Year'!$C268,'WBS Summary by Year'!$B$251),'Pre- and Production'!AQ$4:AQ$376)</f>
        <v>0</v>
      </c>
      <c r="N268" s="315">
        <f>SUMIF('Pre- and Production'!$T$4:$T$376, CONCATENATE(LEFT('WBS Summary by Year'!N$6,1),'WBS Summary by Year'!$C268,'WBS Summary by Year'!$B$251),'Pre- and Production'!AH$4:AH$376)</f>
        <v>0</v>
      </c>
      <c r="O268" s="316">
        <f>SUMIF('Pre- and Production'!$T$4:$T$376, CONCATENATE(LEFT('WBS Summary by Year'!O$6,1),'WBS Summary by Year'!$C268,'WBS Summary by Year'!$B$251),'Pre- and Production'!AR$4:AR$376)</f>
        <v>0</v>
      </c>
    </row>
    <row r="269" spans="3:15" s="352" customFormat="1">
      <c r="C269" s="100" t="s">
        <v>405</v>
      </c>
      <c r="D269" s="26">
        <f>SUMIF('Pre- and Production'!$T$4:$T$376, CONCATENATE(LEFT('WBS Summary by Year'!D$6,1),'WBS Summary by Year'!$C269,'WBS Summary by Year'!$B$251),'Pre- and Production'!AC$4:AC$376)</f>
        <v>0</v>
      </c>
      <c r="E269" s="303">
        <f>SUMIF('Pre- and Production'!$T$4:$T$376, CONCATENATE(LEFT('WBS Summary by Year'!E$6,1),'WBS Summary by Year'!$C269,'WBS Summary by Year'!$B$251),'Pre- and Production'!AM$4:AM$376)</f>
        <v>0</v>
      </c>
      <c r="F269" s="26">
        <f>SUMIF('Pre- and Production'!$T$4:$T$376, CONCATENATE(LEFT('WBS Summary by Year'!F$6,1),'WBS Summary by Year'!$C269,'WBS Summary by Year'!$B$251),'Pre- and Production'!AD$4:AD$376)</f>
        <v>0</v>
      </c>
      <c r="G269" s="296">
        <f>SUMIF('Pre- and Production'!$T$4:$T$376, CONCATENATE(LEFT('WBS Summary by Year'!G$6,1),'WBS Summary by Year'!$C269,'WBS Summary by Year'!$B$251),'Pre- and Production'!AN$4:AN$376)</f>
        <v>0</v>
      </c>
      <c r="H269" s="307">
        <f>SUMIF('Pre- and Production'!$T$4:$T$376, CONCATENATE(LEFT('WBS Summary by Year'!H$6,1),'WBS Summary by Year'!$C269,'WBS Summary by Year'!$B$251),'Pre- and Production'!AE$4:AE$376)</f>
        <v>0</v>
      </c>
      <c r="I269" s="303">
        <f>SUMIF('Pre- and Production'!$T$4:$T$376, CONCATENATE(LEFT('WBS Summary by Year'!I$6,1),'WBS Summary by Year'!$C269,'WBS Summary by Year'!$B$251),'Pre- and Production'!AO$4:AO$376)</f>
        <v>0</v>
      </c>
      <c r="J269" s="26">
        <f>SUMIF('Pre- and Production'!$T$4:$T$376, CONCATENATE(LEFT('WBS Summary by Year'!J$6,1),'WBS Summary by Year'!$C269,'WBS Summary by Year'!$B$251),'Pre- and Production'!AF$4:AFI$376)</f>
        <v>0</v>
      </c>
      <c r="K269" s="296">
        <f>SUMIF('Pre- and Production'!$T$4:$T$376, CONCATENATE(LEFT('WBS Summary by Year'!K$6,1),'WBS Summary by Year'!$C269,'WBS Summary by Year'!$B$251),'Pre- and Production'!AP$4:AP$376)</f>
        <v>0</v>
      </c>
      <c r="L269" s="307">
        <f>SUMIF('Pre- and Production'!$T$4:$T$376, CONCATENATE(LEFT('WBS Summary by Year'!L$6,1),'WBS Summary by Year'!$C269,'WBS Summary by Year'!$B$251),'Pre- and Production'!AG$4:AG$376)</f>
        <v>0</v>
      </c>
      <c r="M269" s="303">
        <f>SUMIF('Pre- and Production'!$T$4:$T$376, CONCATENATE(LEFT('WBS Summary by Year'!M$6,1),'WBS Summary by Year'!$C269,'WBS Summary by Year'!$B$251),'Pre- and Production'!AQ$4:AQ$376)</f>
        <v>0</v>
      </c>
      <c r="N269" s="315">
        <f>SUMIF('Pre- and Production'!$T$4:$T$376, CONCATENATE(LEFT('WBS Summary by Year'!N$6,1),'WBS Summary by Year'!$C269,'WBS Summary by Year'!$B$251),'Pre- and Production'!AH$4:AH$376)</f>
        <v>0</v>
      </c>
      <c r="O269" s="316">
        <f>SUMIF('Pre- and Production'!$T$4:$T$376, CONCATENATE(LEFT('WBS Summary by Year'!O$6,1),'WBS Summary by Year'!$C269,'WBS Summary by Year'!$B$251),'Pre- and Production'!AR$4:AR$376)</f>
        <v>0</v>
      </c>
    </row>
    <row r="270" spans="3:15" s="352" customFormat="1">
      <c r="C270" s="134" t="s">
        <v>406</v>
      </c>
      <c r="D270" s="26">
        <f>SUMIF('Pre- and Production'!$T$4:$T$376, CONCATENATE(LEFT('WBS Summary by Year'!D$6,1),'WBS Summary by Year'!$C270,'WBS Summary by Year'!$B$251),'Pre- and Production'!AC$4:AC$376)</f>
        <v>0</v>
      </c>
      <c r="E270" s="303">
        <f>SUMIF('Pre- and Production'!$T$4:$T$376, CONCATENATE(LEFT('WBS Summary by Year'!E$6,1),'WBS Summary by Year'!$C270,'WBS Summary by Year'!$B$251),'Pre- and Production'!AM$4:AM$376)</f>
        <v>0</v>
      </c>
      <c r="F270" s="26">
        <f>SUMIF('Pre- and Production'!$T$4:$T$376, CONCATENATE(LEFT('WBS Summary by Year'!F$6,1),'WBS Summary by Year'!$C270,'WBS Summary by Year'!$B$251),'Pre- and Production'!AD$4:AD$376)</f>
        <v>0</v>
      </c>
      <c r="G270" s="296">
        <f>SUMIF('Pre- and Production'!$T$4:$T$376, CONCATENATE(LEFT('WBS Summary by Year'!G$6,1),'WBS Summary by Year'!$C270,'WBS Summary by Year'!$B$251),'Pre- and Production'!AN$4:AN$376)</f>
        <v>0</v>
      </c>
      <c r="H270" s="307">
        <f>SUMIF('Pre- and Production'!$T$4:$T$376, CONCATENATE(LEFT('WBS Summary by Year'!H$6,1),'WBS Summary by Year'!$C270,'WBS Summary by Year'!$B$251),'Pre- and Production'!AE$4:AE$376)</f>
        <v>0</v>
      </c>
      <c r="I270" s="303">
        <f>SUMIF('Pre- and Production'!$T$4:$T$376, CONCATENATE(LEFT('WBS Summary by Year'!I$6,1),'WBS Summary by Year'!$C270,'WBS Summary by Year'!$B$251),'Pre- and Production'!AO$4:AO$376)</f>
        <v>0</v>
      </c>
      <c r="J270" s="26">
        <f>SUMIF('Pre- and Production'!$T$4:$T$376, CONCATENATE(LEFT('WBS Summary by Year'!J$6,1),'WBS Summary by Year'!$C270,'WBS Summary by Year'!$B$251),'Pre- and Production'!AF$4:AFI$376)</f>
        <v>0</v>
      </c>
      <c r="K270" s="296">
        <f>SUMIF('Pre- and Production'!$T$4:$T$376, CONCATENATE(LEFT('WBS Summary by Year'!K$6,1),'WBS Summary by Year'!$C270,'WBS Summary by Year'!$B$251),'Pre- and Production'!AP$4:AP$376)</f>
        <v>0</v>
      </c>
      <c r="L270" s="307">
        <f>SUMIF('Pre- and Production'!$T$4:$T$376, CONCATENATE(LEFT('WBS Summary by Year'!L$6,1),'WBS Summary by Year'!$C270,'WBS Summary by Year'!$B$251),'Pre- and Production'!AG$4:AG$376)</f>
        <v>0</v>
      </c>
      <c r="M270" s="303">
        <f>SUMIF('Pre- and Production'!$T$4:$T$376, CONCATENATE(LEFT('WBS Summary by Year'!M$6,1),'WBS Summary by Year'!$C270,'WBS Summary by Year'!$B$251),'Pre- and Production'!AQ$4:AQ$376)</f>
        <v>0</v>
      </c>
      <c r="N270" s="315">
        <f>SUMIF('Pre- and Production'!$T$4:$T$376, CONCATENATE(LEFT('WBS Summary by Year'!N$6,1),'WBS Summary by Year'!$C270,'WBS Summary by Year'!$B$251),'Pre- and Production'!AH$4:AH$376)</f>
        <v>0</v>
      </c>
      <c r="O270" s="316">
        <f>SUMIF('Pre- and Production'!$T$4:$T$376, CONCATENATE(LEFT('WBS Summary by Year'!O$6,1),'WBS Summary by Year'!$C270,'WBS Summary by Year'!$B$251),'Pre- and Production'!AR$4:AR$376)</f>
        <v>0</v>
      </c>
    </row>
    <row r="271" spans="3:15" s="352" customFormat="1">
      <c r="C271" s="46" t="s">
        <v>407</v>
      </c>
      <c r="D271" s="26">
        <f>SUMIF('Pre- and Production'!$T$4:$T$376, CONCATENATE(LEFT('WBS Summary by Year'!D$6,1),'WBS Summary by Year'!$C271,'WBS Summary by Year'!$B$251),'Pre- and Production'!AC$4:AC$376)</f>
        <v>0</v>
      </c>
      <c r="E271" s="303">
        <f>SUMIF('Pre- and Production'!$T$4:$T$376, CONCATENATE(LEFT('WBS Summary by Year'!E$6,1),'WBS Summary by Year'!$C271,'WBS Summary by Year'!$B$251),'Pre- and Production'!AM$4:AM$376)</f>
        <v>0</v>
      </c>
      <c r="F271" s="26">
        <f>SUMIF('Pre- and Production'!$T$4:$T$376, CONCATENATE(LEFT('WBS Summary by Year'!F$6,1),'WBS Summary by Year'!$C271,'WBS Summary by Year'!$B$251),'Pre- and Production'!AD$4:AD$376)</f>
        <v>0</v>
      </c>
      <c r="G271" s="296">
        <f>SUMIF('Pre- and Production'!$T$4:$T$376, CONCATENATE(LEFT('WBS Summary by Year'!G$6,1),'WBS Summary by Year'!$C271,'WBS Summary by Year'!$B$251),'Pre- and Production'!AN$4:AN$376)</f>
        <v>0</v>
      </c>
      <c r="H271" s="307">
        <f>SUMIF('Pre- and Production'!$T$4:$T$376, CONCATENATE(LEFT('WBS Summary by Year'!H$6,1),'WBS Summary by Year'!$C271,'WBS Summary by Year'!$B$251),'Pre- and Production'!AE$4:AE$376)</f>
        <v>0</v>
      </c>
      <c r="I271" s="303">
        <f>SUMIF('Pre- and Production'!$T$4:$T$376, CONCATENATE(LEFT('WBS Summary by Year'!I$6,1),'WBS Summary by Year'!$C271,'WBS Summary by Year'!$B$251),'Pre- and Production'!AO$4:AO$376)</f>
        <v>0</v>
      </c>
      <c r="J271" s="26">
        <f>SUMIF('Pre- and Production'!$T$4:$T$376, CONCATENATE(LEFT('WBS Summary by Year'!J$6,1),'WBS Summary by Year'!$C271,'WBS Summary by Year'!$B$251),'Pre- and Production'!AF$4:AFI$376)</f>
        <v>0</v>
      </c>
      <c r="K271" s="296">
        <f>SUMIF('Pre- and Production'!$T$4:$T$376, CONCATENATE(LEFT('WBS Summary by Year'!K$6,1),'WBS Summary by Year'!$C271,'WBS Summary by Year'!$B$251),'Pre- and Production'!AP$4:AP$376)</f>
        <v>0</v>
      </c>
      <c r="L271" s="307">
        <f>SUMIF('Pre- and Production'!$T$4:$T$376, CONCATENATE(LEFT('WBS Summary by Year'!L$6,1),'WBS Summary by Year'!$C271,'WBS Summary by Year'!$B$251),'Pre- and Production'!AG$4:AG$376)</f>
        <v>0</v>
      </c>
      <c r="M271" s="303">
        <f>SUMIF('Pre- and Production'!$T$4:$T$376, CONCATENATE(LEFT('WBS Summary by Year'!M$6,1),'WBS Summary by Year'!$C271,'WBS Summary by Year'!$B$251),'Pre- and Production'!AQ$4:AQ$376)</f>
        <v>0</v>
      </c>
      <c r="N271" s="315">
        <f>SUMIF('Pre- and Production'!$T$4:$T$376, CONCATENATE(LEFT('WBS Summary by Year'!N$6,1),'WBS Summary by Year'!$C271,'WBS Summary by Year'!$B$251),'Pre- and Production'!AH$4:AH$376)</f>
        <v>0</v>
      </c>
      <c r="O271" s="316">
        <f>SUMIF('Pre- and Production'!$T$4:$T$376, CONCATENATE(LEFT('WBS Summary by Year'!O$6,1),'WBS Summary by Year'!$C271,'WBS Summary by Year'!$B$251),'Pre- and Production'!AR$4:AR$376)</f>
        <v>0</v>
      </c>
    </row>
    <row r="272" spans="3:15" s="352" customFormat="1">
      <c r="C272" s="46" t="s">
        <v>408</v>
      </c>
      <c r="D272" s="26">
        <f>SUMIF('Pre- and Production'!$T$4:$T$376, CONCATENATE(LEFT('WBS Summary by Year'!D$6,1),'WBS Summary by Year'!$C272,'WBS Summary by Year'!$B$251),'Pre- and Production'!AC$4:AC$376)</f>
        <v>0</v>
      </c>
      <c r="E272" s="303">
        <f>SUMIF('Pre- and Production'!$T$4:$T$376, CONCATENATE(LEFT('WBS Summary by Year'!E$6,1),'WBS Summary by Year'!$C272,'WBS Summary by Year'!$B$251),'Pre- and Production'!AM$4:AM$376)</f>
        <v>0</v>
      </c>
      <c r="F272" s="26">
        <f>SUMIF('Pre- and Production'!$T$4:$T$376, CONCATENATE(LEFT('WBS Summary by Year'!F$6,1),'WBS Summary by Year'!$C272,'WBS Summary by Year'!$B$251),'Pre- and Production'!AD$4:AD$376)</f>
        <v>0</v>
      </c>
      <c r="G272" s="296">
        <f>SUMIF('Pre- and Production'!$T$4:$T$376, CONCATENATE(LEFT('WBS Summary by Year'!G$6,1),'WBS Summary by Year'!$C272,'WBS Summary by Year'!$B$251),'Pre- and Production'!AN$4:AN$376)</f>
        <v>0</v>
      </c>
      <c r="H272" s="307">
        <f>SUMIF('Pre- and Production'!$T$4:$T$376, CONCATENATE(LEFT('WBS Summary by Year'!H$6,1),'WBS Summary by Year'!$C272,'WBS Summary by Year'!$B$251),'Pre- and Production'!AE$4:AE$376)</f>
        <v>0</v>
      </c>
      <c r="I272" s="303">
        <f>SUMIF('Pre- and Production'!$T$4:$T$376, CONCATENATE(LEFT('WBS Summary by Year'!I$6,1),'WBS Summary by Year'!$C272,'WBS Summary by Year'!$B$251),'Pre- and Production'!AO$4:AO$376)</f>
        <v>0</v>
      </c>
      <c r="J272" s="26">
        <f>SUMIF('Pre- and Production'!$T$4:$T$376, CONCATENATE(LEFT('WBS Summary by Year'!J$6,1),'WBS Summary by Year'!$C272,'WBS Summary by Year'!$B$251),'Pre- and Production'!AF$4:AFI$376)</f>
        <v>0</v>
      </c>
      <c r="K272" s="296">
        <f>SUMIF('Pre- and Production'!$T$4:$T$376, CONCATENATE(LEFT('WBS Summary by Year'!K$6,1),'WBS Summary by Year'!$C272,'WBS Summary by Year'!$B$251),'Pre- and Production'!AP$4:AP$376)</f>
        <v>0</v>
      </c>
      <c r="L272" s="307">
        <f>SUMIF('Pre- and Production'!$T$4:$T$376, CONCATENATE(LEFT('WBS Summary by Year'!L$6,1),'WBS Summary by Year'!$C272,'WBS Summary by Year'!$B$251),'Pre- and Production'!AG$4:AG$376)</f>
        <v>0</v>
      </c>
      <c r="M272" s="303">
        <f>SUMIF('Pre- and Production'!$T$4:$T$376, CONCATENATE(LEFT('WBS Summary by Year'!M$6,1),'WBS Summary by Year'!$C272,'WBS Summary by Year'!$B$251),'Pre- and Production'!AQ$4:AQ$376)</f>
        <v>0</v>
      </c>
      <c r="N272" s="315">
        <f>SUMIF('Pre- and Production'!$T$4:$T$376, CONCATENATE(LEFT('WBS Summary by Year'!N$6,1),'WBS Summary by Year'!$C272,'WBS Summary by Year'!$B$251),'Pre- and Production'!AH$4:AH$376)</f>
        <v>0</v>
      </c>
      <c r="O272" s="316">
        <f>SUMIF('Pre- and Production'!$T$4:$T$376, CONCATENATE(LEFT('WBS Summary by Year'!O$6,1),'WBS Summary by Year'!$C272,'WBS Summary by Year'!$B$251),'Pre- and Production'!AR$4:AR$376)</f>
        <v>0</v>
      </c>
    </row>
    <row r="273" spans="3:15" s="352" customFormat="1">
      <c r="C273" s="134" t="s">
        <v>409</v>
      </c>
      <c r="D273" s="26">
        <f>SUMIF('Pre- and Production'!$T$4:$T$376, CONCATENATE(LEFT('WBS Summary by Year'!D$6,1),'WBS Summary by Year'!$C273,'WBS Summary by Year'!$B$251),'Pre- and Production'!AC$4:AC$376)</f>
        <v>0</v>
      </c>
      <c r="E273" s="303">
        <f>SUMIF('Pre- and Production'!$T$4:$T$376, CONCATENATE(LEFT('WBS Summary by Year'!E$6,1),'WBS Summary by Year'!$C273,'WBS Summary by Year'!$B$251),'Pre- and Production'!AM$4:AM$376)</f>
        <v>0</v>
      </c>
      <c r="F273" s="26">
        <f>SUMIF('Pre- and Production'!$T$4:$T$376, CONCATENATE(LEFT('WBS Summary by Year'!F$6,1),'WBS Summary by Year'!$C273,'WBS Summary by Year'!$B$251),'Pre- and Production'!AD$4:AD$376)</f>
        <v>0</v>
      </c>
      <c r="G273" s="296">
        <f>SUMIF('Pre- and Production'!$T$4:$T$376, CONCATENATE(LEFT('WBS Summary by Year'!G$6,1),'WBS Summary by Year'!$C273,'WBS Summary by Year'!$B$251),'Pre- and Production'!AN$4:AN$376)</f>
        <v>0</v>
      </c>
      <c r="H273" s="307">
        <f>SUMIF('Pre- and Production'!$T$4:$T$376, CONCATENATE(LEFT('WBS Summary by Year'!H$6,1),'WBS Summary by Year'!$C273,'WBS Summary by Year'!$B$251),'Pre- and Production'!AE$4:AE$376)</f>
        <v>0</v>
      </c>
      <c r="I273" s="303">
        <f>SUMIF('Pre- and Production'!$T$4:$T$376, CONCATENATE(LEFT('WBS Summary by Year'!I$6,1),'WBS Summary by Year'!$C273,'WBS Summary by Year'!$B$251),'Pre- and Production'!AO$4:AO$376)</f>
        <v>0</v>
      </c>
      <c r="J273" s="26">
        <f>SUMIF('Pre- and Production'!$T$4:$T$376, CONCATENATE(LEFT('WBS Summary by Year'!J$6,1),'WBS Summary by Year'!$C273,'WBS Summary by Year'!$B$251),'Pre- and Production'!AF$4:AFI$376)</f>
        <v>0</v>
      </c>
      <c r="K273" s="296">
        <f>SUMIF('Pre- and Production'!$T$4:$T$376, CONCATENATE(LEFT('WBS Summary by Year'!K$6,1),'WBS Summary by Year'!$C273,'WBS Summary by Year'!$B$251),'Pre- and Production'!AP$4:AP$376)</f>
        <v>0</v>
      </c>
      <c r="L273" s="307">
        <f>SUMIF('Pre- and Production'!$T$4:$T$376, CONCATENATE(LEFT('WBS Summary by Year'!L$6,1),'WBS Summary by Year'!$C273,'WBS Summary by Year'!$B$251),'Pre- and Production'!AG$4:AG$376)</f>
        <v>0</v>
      </c>
      <c r="M273" s="303">
        <f>SUMIF('Pre- and Production'!$T$4:$T$376, CONCATENATE(LEFT('WBS Summary by Year'!M$6,1),'WBS Summary by Year'!$C273,'WBS Summary by Year'!$B$251),'Pre- and Production'!AQ$4:AQ$376)</f>
        <v>0</v>
      </c>
      <c r="N273" s="315">
        <f>SUMIF('Pre- and Production'!$T$4:$T$376, CONCATENATE(LEFT('WBS Summary by Year'!N$6,1),'WBS Summary by Year'!$C273,'WBS Summary by Year'!$B$251),'Pre- and Production'!AH$4:AH$376)</f>
        <v>0</v>
      </c>
      <c r="O273" s="316">
        <f>SUMIF('Pre- and Production'!$T$4:$T$376, CONCATENATE(LEFT('WBS Summary by Year'!O$6,1),'WBS Summary by Year'!$C273,'WBS Summary by Year'!$B$251),'Pre- and Production'!AR$4:AR$376)</f>
        <v>0</v>
      </c>
    </row>
    <row r="274" spans="3:15" s="352" customFormat="1">
      <c r="C274" s="134" t="s">
        <v>410</v>
      </c>
      <c r="D274" s="26">
        <f>SUMIF('Pre- and Production'!$T$4:$T$376, CONCATENATE(LEFT('WBS Summary by Year'!D$6,1),'WBS Summary by Year'!$C274,'WBS Summary by Year'!$B$251),'Pre- and Production'!AC$4:AC$376)</f>
        <v>0</v>
      </c>
      <c r="E274" s="303">
        <f>SUMIF('Pre- and Production'!$T$4:$T$376, CONCATENATE(LEFT('WBS Summary by Year'!E$6,1),'WBS Summary by Year'!$C274,'WBS Summary by Year'!$B$251),'Pre- and Production'!AM$4:AM$376)</f>
        <v>0</v>
      </c>
      <c r="F274" s="26">
        <f>SUMIF('Pre- and Production'!$T$4:$T$376, CONCATENATE(LEFT('WBS Summary by Year'!F$6,1),'WBS Summary by Year'!$C274,'WBS Summary by Year'!$B$251),'Pre- and Production'!AD$4:AD$376)</f>
        <v>0</v>
      </c>
      <c r="G274" s="296">
        <f>SUMIF('Pre- and Production'!$T$4:$T$376, CONCATENATE(LEFT('WBS Summary by Year'!G$6,1),'WBS Summary by Year'!$C274,'WBS Summary by Year'!$B$251),'Pre- and Production'!AN$4:AN$376)</f>
        <v>0</v>
      </c>
      <c r="H274" s="307">
        <f>SUMIF('Pre- and Production'!$T$4:$T$376, CONCATENATE(LEFT('WBS Summary by Year'!H$6,1),'WBS Summary by Year'!$C274,'WBS Summary by Year'!$B$251),'Pre- and Production'!AE$4:AE$376)</f>
        <v>0</v>
      </c>
      <c r="I274" s="303">
        <f>SUMIF('Pre- and Production'!$T$4:$T$376, CONCATENATE(LEFT('WBS Summary by Year'!I$6,1),'WBS Summary by Year'!$C274,'WBS Summary by Year'!$B$251),'Pre- and Production'!AO$4:AO$376)</f>
        <v>0</v>
      </c>
      <c r="J274" s="26">
        <f>SUMIF('Pre- and Production'!$T$4:$T$376, CONCATENATE(LEFT('WBS Summary by Year'!J$6,1),'WBS Summary by Year'!$C274,'WBS Summary by Year'!$B$251),'Pre- and Production'!AF$4:AFI$376)</f>
        <v>0</v>
      </c>
      <c r="K274" s="296">
        <f>SUMIF('Pre- and Production'!$T$4:$T$376, CONCATENATE(LEFT('WBS Summary by Year'!K$6,1),'WBS Summary by Year'!$C274,'WBS Summary by Year'!$B$251),'Pre- and Production'!AP$4:AP$376)</f>
        <v>0</v>
      </c>
      <c r="L274" s="307">
        <f>SUMIF('Pre- and Production'!$T$4:$T$376, CONCATENATE(LEFT('WBS Summary by Year'!L$6,1),'WBS Summary by Year'!$C274,'WBS Summary by Year'!$B$251),'Pre- and Production'!AG$4:AG$376)</f>
        <v>0</v>
      </c>
      <c r="M274" s="303">
        <f>SUMIF('Pre- and Production'!$T$4:$T$376, CONCATENATE(LEFT('WBS Summary by Year'!M$6,1),'WBS Summary by Year'!$C274,'WBS Summary by Year'!$B$251),'Pre- and Production'!AQ$4:AQ$376)</f>
        <v>0</v>
      </c>
      <c r="N274" s="315">
        <f>SUMIF('Pre- and Production'!$T$4:$T$376, CONCATENATE(LEFT('WBS Summary by Year'!N$6,1),'WBS Summary by Year'!$C274,'WBS Summary by Year'!$B$251),'Pre- and Production'!AH$4:AH$376)</f>
        <v>0</v>
      </c>
      <c r="O274" s="316">
        <f>SUMIF('Pre- and Production'!$T$4:$T$376, CONCATENATE(LEFT('WBS Summary by Year'!O$6,1),'WBS Summary by Year'!$C274,'WBS Summary by Year'!$B$251),'Pre- and Production'!AR$4:AR$376)</f>
        <v>0</v>
      </c>
    </row>
    <row r="275" spans="3:15" s="352" customFormat="1">
      <c r="C275" s="134" t="s">
        <v>411</v>
      </c>
      <c r="D275" s="26">
        <f>SUMIF('Pre- and Production'!$T$4:$T$376, CONCATENATE(LEFT('WBS Summary by Year'!D$6,1),'WBS Summary by Year'!$C275,'WBS Summary by Year'!$B$251),'Pre- and Production'!AC$4:AC$376)</f>
        <v>0</v>
      </c>
      <c r="E275" s="303">
        <f>SUMIF('Pre- and Production'!$T$4:$T$376, CONCATENATE(LEFT('WBS Summary by Year'!E$6,1),'WBS Summary by Year'!$C275,'WBS Summary by Year'!$B$251),'Pre- and Production'!AM$4:AM$376)</f>
        <v>0</v>
      </c>
      <c r="F275" s="26">
        <f>SUMIF('Pre- and Production'!$T$4:$T$376, CONCATENATE(LEFT('WBS Summary by Year'!F$6,1),'WBS Summary by Year'!$C275,'WBS Summary by Year'!$B$251),'Pre- and Production'!AD$4:AD$376)</f>
        <v>0</v>
      </c>
      <c r="G275" s="296">
        <f>SUMIF('Pre- and Production'!$T$4:$T$376, CONCATENATE(LEFT('WBS Summary by Year'!G$6,1),'WBS Summary by Year'!$C275,'WBS Summary by Year'!$B$251),'Pre- and Production'!AN$4:AN$376)</f>
        <v>0</v>
      </c>
      <c r="H275" s="307">
        <f>SUMIF('Pre- and Production'!$T$4:$T$376, CONCATENATE(LEFT('WBS Summary by Year'!H$6,1),'WBS Summary by Year'!$C275,'WBS Summary by Year'!$B$251),'Pre- and Production'!AE$4:AE$376)</f>
        <v>0</v>
      </c>
      <c r="I275" s="303">
        <f>SUMIF('Pre- and Production'!$T$4:$T$376, CONCATENATE(LEFT('WBS Summary by Year'!I$6,1),'WBS Summary by Year'!$C275,'WBS Summary by Year'!$B$251),'Pre- and Production'!AO$4:AO$376)</f>
        <v>0</v>
      </c>
      <c r="J275" s="26">
        <f>SUMIF('Pre- and Production'!$T$4:$T$376, CONCATENATE(LEFT('WBS Summary by Year'!J$6,1),'WBS Summary by Year'!$C275,'WBS Summary by Year'!$B$251),'Pre- and Production'!AF$4:AFI$376)</f>
        <v>0</v>
      </c>
      <c r="K275" s="296">
        <f>SUMIF('Pre- and Production'!$T$4:$T$376, CONCATENATE(LEFT('WBS Summary by Year'!K$6,1),'WBS Summary by Year'!$C275,'WBS Summary by Year'!$B$251),'Pre- and Production'!AP$4:AP$376)</f>
        <v>0</v>
      </c>
      <c r="L275" s="307">
        <f>SUMIF('Pre- and Production'!$T$4:$T$376, CONCATENATE(LEFT('WBS Summary by Year'!L$6,1),'WBS Summary by Year'!$C275,'WBS Summary by Year'!$B$251),'Pre- and Production'!AG$4:AG$376)</f>
        <v>0</v>
      </c>
      <c r="M275" s="303">
        <f>SUMIF('Pre- and Production'!$T$4:$T$376, CONCATENATE(LEFT('WBS Summary by Year'!M$6,1),'WBS Summary by Year'!$C275,'WBS Summary by Year'!$B$251),'Pre- and Production'!AQ$4:AQ$376)</f>
        <v>0</v>
      </c>
      <c r="N275" s="315">
        <f>SUMIF('Pre- and Production'!$T$4:$T$376, CONCATENATE(LEFT('WBS Summary by Year'!N$6,1),'WBS Summary by Year'!$C275,'WBS Summary by Year'!$B$251),'Pre- and Production'!AH$4:AH$376)</f>
        <v>0</v>
      </c>
      <c r="O275" s="316">
        <f>SUMIF('Pre- and Production'!$T$4:$T$376, CONCATENATE(LEFT('WBS Summary by Year'!O$6,1),'WBS Summary by Year'!$C275,'WBS Summary by Year'!$B$251),'Pre- and Production'!AR$4:AR$376)</f>
        <v>0</v>
      </c>
    </row>
    <row r="276" spans="3:15" s="352" customFormat="1">
      <c r="C276" s="46" t="s">
        <v>412</v>
      </c>
      <c r="D276" s="26">
        <f>SUMIF('Pre- and Production'!$T$4:$T$376, CONCATENATE(LEFT('WBS Summary by Year'!D$6,1),'WBS Summary by Year'!$C276,'WBS Summary by Year'!$B$251),'Pre- and Production'!AC$4:AC$376)</f>
        <v>0</v>
      </c>
      <c r="E276" s="303">
        <f>SUMIF('Pre- and Production'!$T$4:$T$376, CONCATENATE(LEFT('WBS Summary by Year'!E$6,1),'WBS Summary by Year'!$C276,'WBS Summary by Year'!$B$251),'Pre- and Production'!AM$4:AM$376)</f>
        <v>0</v>
      </c>
      <c r="F276" s="26">
        <f>SUMIF('Pre- and Production'!$T$4:$T$376, CONCATENATE(LEFT('WBS Summary by Year'!F$6,1),'WBS Summary by Year'!$C276,'WBS Summary by Year'!$B$251),'Pre- and Production'!AD$4:AD$376)</f>
        <v>0</v>
      </c>
      <c r="G276" s="296">
        <f>SUMIF('Pre- and Production'!$T$4:$T$376, CONCATENATE(LEFT('WBS Summary by Year'!G$6,1),'WBS Summary by Year'!$C276,'WBS Summary by Year'!$B$251),'Pre- and Production'!AN$4:AN$376)</f>
        <v>0</v>
      </c>
      <c r="H276" s="307">
        <f>SUMIF('Pre- and Production'!$T$4:$T$376, CONCATENATE(LEFT('WBS Summary by Year'!H$6,1),'WBS Summary by Year'!$C276,'WBS Summary by Year'!$B$251),'Pre- and Production'!AE$4:AE$376)</f>
        <v>0</v>
      </c>
      <c r="I276" s="303">
        <f>SUMIF('Pre- and Production'!$T$4:$T$376, CONCATENATE(LEFT('WBS Summary by Year'!I$6,1),'WBS Summary by Year'!$C276,'WBS Summary by Year'!$B$251),'Pre- and Production'!AO$4:AO$376)</f>
        <v>0</v>
      </c>
      <c r="J276" s="26">
        <f>SUMIF('Pre- and Production'!$T$4:$T$376, CONCATENATE(LEFT('WBS Summary by Year'!J$6,1),'WBS Summary by Year'!$C276,'WBS Summary by Year'!$B$251),'Pre- and Production'!AF$4:AFI$376)</f>
        <v>0</v>
      </c>
      <c r="K276" s="296">
        <f>SUMIF('Pre- and Production'!$T$4:$T$376, CONCATENATE(LEFT('WBS Summary by Year'!K$6,1),'WBS Summary by Year'!$C276,'WBS Summary by Year'!$B$251),'Pre- and Production'!AP$4:AP$376)</f>
        <v>0</v>
      </c>
      <c r="L276" s="307">
        <f>SUMIF('Pre- and Production'!$T$4:$T$376, CONCATENATE(LEFT('WBS Summary by Year'!L$6,1),'WBS Summary by Year'!$C276,'WBS Summary by Year'!$B$251),'Pre- and Production'!AG$4:AG$376)</f>
        <v>0</v>
      </c>
      <c r="M276" s="303">
        <f>SUMIF('Pre- and Production'!$T$4:$T$376, CONCATENATE(LEFT('WBS Summary by Year'!M$6,1),'WBS Summary by Year'!$C276,'WBS Summary by Year'!$B$251),'Pre- and Production'!AQ$4:AQ$376)</f>
        <v>0</v>
      </c>
      <c r="N276" s="315">
        <f>SUMIF('Pre- and Production'!$T$4:$T$376, CONCATENATE(LEFT('WBS Summary by Year'!N$6,1),'WBS Summary by Year'!$C276,'WBS Summary by Year'!$B$251),'Pre- and Production'!AH$4:AH$376)</f>
        <v>0</v>
      </c>
      <c r="O276" s="316">
        <f>SUMIF('Pre- and Production'!$T$4:$T$376, CONCATENATE(LEFT('WBS Summary by Year'!O$6,1),'WBS Summary by Year'!$C276,'WBS Summary by Year'!$B$251),'Pre- and Production'!AR$4:AR$376)</f>
        <v>0</v>
      </c>
    </row>
    <row r="277" spans="3:15" s="352" customFormat="1">
      <c r="C277" s="46" t="s">
        <v>413</v>
      </c>
      <c r="D277" s="26">
        <f>SUMIF('Pre- and Production'!$T$4:$T$376, CONCATENATE(LEFT('WBS Summary by Year'!D$6,1),'WBS Summary by Year'!$C277,'WBS Summary by Year'!$B$251),'Pre- and Production'!AC$4:AC$376)</f>
        <v>0</v>
      </c>
      <c r="E277" s="303">
        <f>SUMIF('Pre- and Production'!$T$4:$T$376, CONCATENATE(LEFT('WBS Summary by Year'!E$6,1),'WBS Summary by Year'!$C277,'WBS Summary by Year'!$B$251),'Pre- and Production'!AM$4:AM$376)</f>
        <v>0</v>
      </c>
      <c r="F277" s="26">
        <f>SUMIF('Pre- and Production'!$T$4:$T$376, CONCATENATE(LEFT('WBS Summary by Year'!F$6,1),'WBS Summary by Year'!$C277,'WBS Summary by Year'!$B$251),'Pre- and Production'!AD$4:AD$376)</f>
        <v>0</v>
      </c>
      <c r="G277" s="296">
        <f>SUMIF('Pre- and Production'!$T$4:$T$376, CONCATENATE(LEFT('WBS Summary by Year'!G$6,1),'WBS Summary by Year'!$C277,'WBS Summary by Year'!$B$251),'Pre- and Production'!AN$4:AN$376)</f>
        <v>0</v>
      </c>
      <c r="H277" s="307">
        <f>SUMIF('Pre- and Production'!$T$4:$T$376, CONCATENATE(LEFT('WBS Summary by Year'!H$6,1),'WBS Summary by Year'!$C277,'WBS Summary by Year'!$B$251),'Pre- and Production'!AE$4:AE$376)</f>
        <v>0</v>
      </c>
      <c r="I277" s="303">
        <f>SUMIF('Pre- and Production'!$T$4:$T$376, CONCATENATE(LEFT('WBS Summary by Year'!I$6,1),'WBS Summary by Year'!$C277,'WBS Summary by Year'!$B$251),'Pre- and Production'!AO$4:AO$376)</f>
        <v>0</v>
      </c>
      <c r="J277" s="26">
        <f>SUMIF('Pre- and Production'!$T$4:$T$376, CONCATENATE(LEFT('WBS Summary by Year'!J$6,1),'WBS Summary by Year'!$C277,'WBS Summary by Year'!$B$251),'Pre- and Production'!AF$4:AFI$376)</f>
        <v>0</v>
      </c>
      <c r="K277" s="296">
        <f>SUMIF('Pre- and Production'!$T$4:$T$376, CONCATENATE(LEFT('WBS Summary by Year'!K$6,1),'WBS Summary by Year'!$C277,'WBS Summary by Year'!$B$251),'Pre- and Production'!AP$4:AP$376)</f>
        <v>0</v>
      </c>
      <c r="L277" s="307">
        <f>SUMIF('Pre- and Production'!$T$4:$T$376, CONCATENATE(LEFT('WBS Summary by Year'!L$6,1),'WBS Summary by Year'!$C277,'WBS Summary by Year'!$B$251),'Pre- and Production'!AG$4:AG$376)</f>
        <v>0</v>
      </c>
      <c r="M277" s="303">
        <f>SUMIF('Pre- and Production'!$T$4:$T$376, CONCATENATE(LEFT('WBS Summary by Year'!M$6,1),'WBS Summary by Year'!$C277,'WBS Summary by Year'!$B$251),'Pre- and Production'!AQ$4:AQ$376)</f>
        <v>0</v>
      </c>
      <c r="N277" s="315">
        <f>SUMIF('Pre- and Production'!$T$4:$T$376, CONCATENATE(LEFT('WBS Summary by Year'!N$6,1),'WBS Summary by Year'!$C277,'WBS Summary by Year'!$B$251),'Pre- and Production'!AH$4:AH$376)</f>
        <v>0</v>
      </c>
      <c r="O277" s="316">
        <f>SUMIF('Pre- and Production'!$T$4:$T$376, CONCATENATE(LEFT('WBS Summary by Year'!O$6,1),'WBS Summary by Year'!$C277,'WBS Summary by Year'!$B$251),'Pre- and Production'!AR$4:AR$376)</f>
        <v>0</v>
      </c>
    </row>
    <row r="278" spans="3:15" s="352" customFormat="1">
      <c r="C278" s="134" t="s">
        <v>414</v>
      </c>
      <c r="D278" s="26">
        <f>SUMIF('Pre- and Production'!$T$4:$T$376, CONCATENATE(LEFT('WBS Summary by Year'!D$6,1),'WBS Summary by Year'!$C278,'WBS Summary by Year'!$B$251),'Pre- and Production'!AC$4:AC$376)</f>
        <v>0</v>
      </c>
      <c r="E278" s="303">
        <f>SUMIF('Pre- and Production'!$T$4:$T$376, CONCATENATE(LEFT('WBS Summary by Year'!E$6,1),'WBS Summary by Year'!$C278,'WBS Summary by Year'!$B$251),'Pre- and Production'!AM$4:AM$376)</f>
        <v>0</v>
      </c>
      <c r="F278" s="26">
        <f>SUMIF('Pre- and Production'!$T$4:$T$376, CONCATENATE(LEFT('WBS Summary by Year'!F$6,1),'WBS Summary by Year'!$C278,'WBS Summary by Year'!$B$251),'Pre- and Production'!AD$4:AD$376)</f>
        <v>0</v>
      </c>
      <c r="G278" s="296">
        <f>SUMIF('Pre- and Production'!$T$4:$T$376, CONCATENATE(LEFT('WBS Summary by Year'!G$6,1),'WBS Summary by Year'!$C278,'WBS Summary by Year'!$B$251),'Pre- and Production'!AN$4:AN$376)</f>
        <v>0</v>
      </c>
      <c r="H278" s="307">
        <f>SUMIF('Pre- and Production'!$T$4:$T$376, CONCATENATE(LEFT('WBS Summary by Year'!H$6,1),'WBS Summary by Year'!$C278,'WBS Summary by Year'!$B$251),'Pre- and Production'!AE$4:AE$376)</f>
        <v>0</v>
      </c>
      <c r="I278" s="303">
        <f>SUMIF('Pre- and Production'!$T$4:$T$376, CONCATENATE(LEFT('WBS Summary by Year'!I$6,1),'WBS Summary by Year'!$C278,'WBS Summary by Year'!$B$251),'Pre- and Production'!AO$4:AO$376)</f>
        <v>0</v>
      </c>
      <c r="J278" s="26">
        <f>SUMIF('Pre- and Production'!$T$4:$T$376, CONCATENATE(LEFT('WBS Summary by Year'!J$6,1),'WBS Summary by Year'!$C278,'WBS Summary by Year'!$B$251),'Pre- and Production'!AF$4:AFI$376)</f>
        <v>0</v>
      </c>
      <c r="K278" s="296">
        <f>SUMIF('Pre- and Production'!$T$4:$T$376, CONCATENATE(LEFT('WBS Summary by Year'!K$6,1),'WBS Summary by Year'!$C278,'WBS Summary by Year'!$B$251),'Pre- and Production'!AP$4:AP$376)</f>
        <v>0</v>
      </c>
      <c r="L278" s="307">
        <f>SUMIF('Pre- and Production'!$T$4:$T$376, CONCATENATE(LEFT('WBS Summary by Year'!L$6,1),'WBS Summary by Year'!$C278,'WBS Summary by Year'!$B$251),'Pre- and Production'!AG$4:AG$376)</f>
        <v>0</v>
      </c>
      <c r="M278" s="303">
        <f>SUMIF('Pre- and Production'!$T$4:$T$376, CONCATENATE(LEFT('WBS Summary by Year'!M$6,1),'WBS Summary by Year'!$C278,'WBS Summary by Year'!$B$251),'Pre- and Production'!AQ$4:AQ$376)</f>
        <v>0</v>
      </c>
      <c r="N278" s="315">
        <f>SUMIF('Pre- and Production'!$T$4:$T$376, CONCATENATE(LEFT('WBS Summary by Year'!N$6,1),'WBS Summary by Year'!$C278,'WBS Summary by Year'!$B$251),'Pre- and Production'!AH$4:AH$376)</f>
        <v>0</v>
      </c>
      <c r="O278" s="316">
        <f>SUMIF('Pre- and Production'!$T$4:$T$376, CONCATENATE(LEFT('WBS Summary by Year'!O$6,1),'WBS Summary by Year'!$C278,'WBS Summary by Year'!$B$251),'Pre- and Production'!AR$4:AR$376)</f>
        <v>0</v>
      </c>
    </row>
    <row r="279" spans="3:15" s="352" customFormat="1">
      <c r="C279" s="100" t="s">
        <v>449</v>
      </c>
      <c r="D279" s="26">
        <f>SUMIF('Pre- and Production'!$T$4:$T$376, CONCATENATE(LEFT('WBS Summary by Year'!D$6,1),'WBS Summary by Year'!$C279,'WBS Summary by Year'!$B$251),'Pre- and Production'!AC$4:AC$376)</f>
        <v>0</v>
      </c>
      <c r="E279" s="303">
        <f>SUMIF('Pre- and Production'!$T$4:$T$376, CONCATENATE(LEFT('WBS Summary by Year'!E$6,1),'WBS Summary by Year'!$C279,'WBS Summary by Year'!$B$251),'Pre- and Production'!AM$4:AM$376)</f>
        <v>0</v>
      </c>
      <c r="F279" s="26">
        <f>SUMIF('Pre- and Production'!$T$4:$T$376, CONCATENATE(LEFT('WBS Summary by Year'!F$6,1),'WBS Summary by Year'!$C279,'WBS Summary by Year'!$B$251),'Pre- and Production'!AD$4:AD$376)</f>
        <v>0</v>
      </c>
      <c r="G279" s="296">
        <f>SUMIF('Pre- and Production'!$T$4:$T$376, CONCATENATE(LEFT('WBS Summary by Year'!G$6,1),'WBS Summary by Year'!$C279,'WBS Summary by Year'!$B$251),'Pre- and Production'!AN$4:AN$376)</f>
        <v>0</v>
      </c>
      <c r="H279" s="307">
        <f>SUMIF('Pre- and Production'!$T$4:$T$376, CONCATENATE(LEFT('WBS Summary by Year'!H$6,1),'WBS Summary by Year'!$C279,'WBS Summary by Year'!$B$251),'Pre- and Production'!AE$4:AE$376)</f>
        <v>0</v>
      </c>
      <c r="I279" s="303">
        <f>SUMIF('Pre- and Production'!$T$4:$T$376, CONCATENATE(LEFT('WBS Summary by Year'!I$6,1),'WBS Summary by Year'!$C279,'WBS Summary by Year'!$B$251),'Pre- and Production'!AO$4:AO$376)</f>
        <v>0</v>
      </c>
      <c r="J279" s="26">
        <f>SUMIF('Pre- and Production'!$T$4:$T$376, CONCATENATE(LEFT('WBS Summary by Year'!J$6,1),'WBS Summary by Year'!$C279,'WBS Summary by Year'!$B$251),'Pre- and Production'!AF$4:AFI$376)</f>
        <v>0</v>
      </c>
      <c r="K279" s="296">
        <f>SUMIF('Pre- and Production'!$T$4:$T$376, CONCATENATE(LEFT('WBS Summary by Year'!K$6,1),'WBS Summary by Year'!$C279,'WBS Summary by Year'!$B$251),'Pre- and Production'!AP$4:AP$376)</f>
        <v>0</v>
      </c>
      <c r="L279" s="307">
        <f>SUMIF('Pre- and Production'!$T$4:$T$376, CONCATENATE(LEFT('WBS Summary by Year'!L$6,1),'WBS Summary by Year'!$C279,'WBS Summary by Year'!$B$251),'Pre- and Production'!AG$4:AG$376)</f>
        <v>0</v>
      </c>
      <c r="M279" s="303">
        <f>SUMIF('Pre- and Production'!$T$4:$T$376, CONCATENATE(LEFT('WBS Summary by Year'!M$6,1),'WBS Summary by Year'!$C279,'WBS Summary by Year'!$B$251),'Pre- and Production'!AQ$4:AQ$376)</f>
        <v>0</v>
      </c>
      <c r="N279" s="315">
        <f>SUMIF('Pre- and Production'!$T$4:$T$376, CONCATENATE(LEFT('WBS Summary by Year'!N$6,1),'WBS Summary by Year'!$C279,'WBS Summary by Year'!$B$251),'Pre- and Production'!AH$4:AH$376)</f>
        <v>0</v>
      </c>
      <c r="O279" s="316">
        <f>SUMIF('Pre- and Production'!$T$4:$T$376, CONCATENATE(LEFT('WBS Summary by Year'!O$6,1),'WBS Summary by Year'!$C279,'WBS Summary by Year'!$B$251),'Pre- and Production'!AR$4:AR$376)</f>
        <v>0</v>
      </c>
    </row>
    <row r="280" spans="3:15" s="352" customFormat="1">
      <c r="C280" s="134" t="s">
        <v>450</v>
      </c>
      <c r="D280" s="26">
        <f>SUMIF('Pre- and Production'!$T$4:$T$376, CONCATENATE(LEFT('WBS Summary by Year'!D$6,1),'WBS Summary by Year'!$C280,'WBS Summary by Year'!$B$251),'Pre- and Production'!AC$4:AC$376)</f>
        <v>0</v>
      </c>
      <c r="E280" s="303">
        <f>SUMIF('Pre- and Production'!$T$4:$T$376, CONCATENATE(LEFT('WBS Summary by Year'!E$6,1),'WBS Summary by Year'!$C280,'WBS Summary by Year'!$B$251),'Pre- and Production'!AM$4:AM$376)</f>
        <v>0</v>
      </c>
      <c r="F280" s="26">
        <f>SUMIF('Pre- and Production'!$T$4:$T$376, CONCATENATE(LEFT('WBS Summary by Year'!F$6,1),'WBS Summary by Year'!$C280,'WBS Summary by Year'!$B$251),'Pre- and Production'!AD$4:AD$376)</f>
        <v>0</v>
      </c>
      <c r="G280" s="296">
        <f>SUMIF('Pre- and Production'!$T$4:$T$376, CONCATENATE(LEFT('WBS Summary by Year'!G$6,1),'WBS Summary by Year'!$C280,'WBS Summary by Year'!$B$251),'Pre- and Production'!AN$4:AN$376)</f>
        <v>0</v>
      </c>
      <c r="H280" s="307">
        <f>SUMIF('Pre- and Production'!$T$4:$T$376, CONCATENATE(LEFT('WBS Summary by Year'!H$6,1),'WBS Summary by Year'!$C280,'WBS Summary by Year'!$B$251),'Pre- and Production'!AE$4:AE$376)</f>
        <v>0</v>
      </c>
      <c r="I280" s="303">
        <f>SUMIF('Pre- and Production'!$T$4:$T$376, CONCATENATE(LEFT('WBS Summary by Year'!I$6,1),'WBS Summary by Year'!$C280,'WBS Summary by Year'!$B$251),'Pre- and Production'!AO$4:AO$376)</f>
        <v>0</v>
      </c>
      <c r="J280" s="26">
        <f>SUMIF('Pre- and Production'!$T$4:$T$376, CONCATENATE(LEFT('WBS Summary by Year'!J$6,1),'WBS Summary by Year'!$C280,'WBS Summary by Year'!$B$251),'Pre- and Production'!AF$4:AFI$376)</f>
        <v>0</v>
      </c>
      <c r="K280" s="296">
        <f>SUMIF('Pre- and Production'!$T$4:$T$376, CONCATENATE(LEFT('WBS Summary by Year'!K$6,1),'WBS Summary by Year'!$C280,'WBS Summary by Year'!$B$251),'Pre- and Production'!AP$4:AP$376)</f>
        <v>0</v>
      </c>
      <c r="L280" s="307">
        <f>SUMIF('Pre- and Production'!$T$4:$T$376, CONCATENATE(LEFT('WBS Summary by Year'!L$6,1),'WBS Summary by Year'!$C280,'WBS Summary by Year'!$B$251),'Pre- and Production'!AG$4:AG$376)</f>
        <v>0</v>
      </c>
      <c r="M280" s="303">
        <f>SUMIF('Pre- and Production'!$T$4:$T$376, CONCATENATE(LEFT('WBS Summary by Year'!M$6,1),'WBS Summary by Year'!$C280,'WBS Summary by Year'!$B$251),'Pre- and Production'!AQ$4:AQ$376)</f>
        <v>0</v>
      </c>
      <c r="N280" s="315">
        <f>SUMIF('Pre- and Production'!$T$4:$T$376, CONCATENATE(LEFT('WBS Summary by Year'!N$6,1),'WBS Summary by Year'!$C280,'WBS Summary by Year'!$B$251),'Pre- and Production'!AH$4:AH$376)</f>
        <v>0</v>
      </c>
      <c r="O280" s="316">
        <f>SUMIF('Pre- and Production'!$T$4:$T$376, CONCATENATE(LEFT('WBS Summary by Year'!O$6,1),'WBS Summary by Year'!$C280,'WBS Summary by Year'!$B$251),'Pre- and Production'!AR$4:AR$376)</f>
        <v>0</v>
      </c>
    </row>
    <row r="281" spans="3:15" s="352" customFormat="1">
      <c r="C281" s="46" t="s">
        <v>451</v>
      </c>
      <c r="D281" s="26">
        <f>SUMIF('Pre- and Production'!$T$4:$T$376, CONCATENATE(LEFT('WBS Summary by Year'!D$6,1),'WBS Summary by Year'!$C281,'WBS Summary by Year'!$B$251),'Pre- and Production'!AC$4:AC$376)</f>
        <v>0</v>
      </c>
      <c r="E281" s="303">
        <f>SUMIF('Pre- and Production'!$T$4:$T$376, CONCATENATE(LEFT('WBS Summary by Year'!E$6,1),'WBS Summary by Year'!$C281,'WBS Summary by Year'!$B$251),'Pre- and Production'!AM$4:AM$376)</f>
        <v>0</v>
      </c>
      <c r="F281" s="26">
        <f>SUMIF('Pre- and Production'!$T$4:$T$376, CONCATENATE(LEFT('WBS Summary by Year'!F$6,1),'WBS Summary by Year'!$C281,'WBS Summary by Year'!$B$251),'Pre- and Production'!AD$4:AD$376)</f>
        <v>40</v>
      </c>
      <c r="G281" s="296">
        <f>SUMIF('Pre- and Production'!$T$4:$T$376, CONCATENATE(LEFT('WBS Summary by Year'!G$6,1),'WBS Summary by Year'!$C281,'WBS Summary by Year'!$B$251),'Pre- and Production'!AN$4:AN$376)</f>
        <v>0</v>
      </c>
      <c r="H281" s="307">
        <f>SUMIF('Pre- and Production'!$T$4:$T$376, CONCATENATE(LEFT('WBS Summary by Year'!H$6,1),'WBS Summary by Year'!$C281,'WBS Summary by Year'!$B$251),'Pre- and Production'!AE$4:AE$376)</f>
        <v>0</v>
      </c>
      <c r="I281" s="303">
        <f>SUMIF('Pre- and Production'!$T$4:$T$376, CONCATENATE(LEFT('WBS Summary by Year'!I$6,1),'WBS Summary by Year'!$C281,'WBS Summary by Year'!$B$251),'Pre- and Production'!AO$4:AO$376)</f>
        <v>0</v>
      </c>
      <c r="J281" s="26">
        <f>SUMIF('Pre- and Production'!$T$4:$T$376, CONCATENATE(LEFT('WBS Summary by Year'!J$6,1),'WBS Summary by Year'!$C281,'WBS Summary by Year'!$B$251),'Pre- and Production'!AF$4:AFI$376)</f>
        <v>160</v>
      </c>
      <c r="K281" s="296">
        <f>SUMIF('Pre- and Production'!$T$4:$T$376, CONCATENATE(LEFT('WBS Summary by Year'!K$6,1),'WBS Summary by Year'!$C281,'WBS Summary by Year'!$B$251),'Pre- and Production'!AP$4:AP$376)</f>
        <v>120</v>
      </c>
      <c r="L281" s="307">
        <f>SUMIF('Pre- and Production'!$T$4:$T$376, CONCATENATE(LEFT('WBS Summary by Year'!L$6,1),'WBS Summary by Year'!$C281,'WBS Summary by Year'!$B$251),'Pre- and Production'!AG$4:AG$376)</f>
        <v>0</v>
      </c>
      <c r="M281" s="303">
        <f>SUMIF('Pre- and Production'!$T$4:$T$376, CONCATENATE(LEFT('WBS Summary by Year'!M$6,1),'WBS Summary by Year'!$C281,'WBS Summary by Year'!$B$251),'Pre- and Production'!AQ$4:AQ$376)</f>
        <v>0</v>
      </c>
      <c r="N281" s="315">
        <f>SUMIF('Pre- and Production'!$T$4:$T$376, CONCATENATE(LEFT('WBS Summary by Year'!N$6,1),'WBS Summary by Year'!$C281,'WBS Summary by Year'!$B$251),'Pre- and Production'!AH$4:AH$376)</f>
        <v>0</v>
      </c>
      <c r="O281" s="316">
        <f>SUMIF('Pre- and Production'!$T$4:$T$376, CONCATENATE(LEFT('WBS Summary by Year'!O$6,1),'WBS Summary by Year'!$C281,'WBS Summary by Year'!$B$251),'Pre- and Production'!AR$4:AR$376)</f>
        <v>0</v>
      </c>
    </row>
    <row r="282" spans="3:15" s="352" customFormat="1">
      <c r="C282" s="46" t="s">
        <v>452</v>
      </c>
      <c r="D282" s="26">
        <f>SUMIF('Pre- and Production'!$T$4:$T$376, CONCATENATE(LEFT('WBS Summary by Year'!D$6,1),'WBS Summary by Year'!$C282,'WBS Summary by Year'!$B$251),'Pre- and Production'!AC$4:AC$376)</f>
        <v>0</v>
      </c>
      <c r="E282" s="303">
        <f>SUMIF('Pre- and Production'!$T$4:$T$376, CONCATENATE(LEFT('WBS Summary by Year'!E$6,1),'WBS Summary by Year'!$C282,'WBS Summary by Year'!$B$251),'Pre- and Production'!AM$4:AM$376)</f>
        <v>0</v>
      </c>
      <c r="F282" s="26">
        <f>SUMIF('Pre- and Production'!$T$4:$T$376, CONCATENATE(LEFT('WBS Summary by Year'!F$6,1),'WBS Summary by Year'!$C282,'WBS Summary by Year'!$B$251),'Pre- and Production'!AD$4:AD$376)</f>
        <v>80</v>
      </c>
      <c r="G282" s="296">
        <f>SUMIF('Pre- and Production'!$T$4:$T$376, CONCATENATE(LEFT('WBS Summary by Year'!G$6,1),'WBS Summary by Year'!$C282,'WBS Summary by Year'!$B$251),'Pre- and Production'!AN$4:AN$376)</f>
        <v>0</v>
      </c>
      <c r="H282" s="307">
        <f>SUMIF('Pre- and Production'!$T$4:$T$376, CONCATENATE(LEFT('WBS Summary by Year'!H$6,1),'WBS Summary by Year'!$C282,'WBS Summary by Year'!$B$251),'Pre- and Production'!AE$4:AE$376)</f>
        <v>0</v>
      </c>
      <c r="I282" s="303">
        <f>SUMIF('Pre- and Production'!$T$4:$T$376, CONCATENATE(LEFT('WBS Summary by Year'!I$6,1),'WBS Summary by Year'!$C282,'WBS Summary by Year'!$B$251),'Pre- and Production'!AO$4:AO$376)</f>
        <v>0</v>
      </c>
      <c r="J282" s="26">
        <f>SUMIF('Pre- and Production'!$T$4:$T$376, CONCATENATE(LEFT('WBS Summary by Year'!J$6,1),'WBS Summary by Year'!$C282,'WBS Summary by Year'!$B$251),'Pre- and Production'!AF$4:AFI$376)</f>
        <v>80</v>
      </c>
      <c r="K282" s="296">
        <f>SUMIF('Pre- and Production'!$T$4:$T$376, CONCATENATE(LEFT('WBS Summary by Year'!K$6,1),'WBS Summary by Year'!$C282,'WBS Summary by Year'!$B$251),'Pre- and Production'!AP$4:AP$376)</f>
        <v>0</v>
      </c>
      <c r="L282" s="307">
        <f>SUMIF('Pre- and Production'!$T$4:$T$376, CONCATENATE(LEFT('WBS Summary by Year'!L$6,1),'WBS Summary by Year'!$C282,'WBS Summary by Year'!$B$251),'Pre- and Production'!AG$4:AG$376)</f>
        <v>0</v>
      </c>
      <c r="M282" s="303">
        <f>SUMIF('Pre- and Production'!$T$4:$T$376, CONCATENATE(LEFT('WBS Summary by Year'!M$6,1),'WBS Summary by Year'!$C282,'WBS Summary by Year'!$B$251),'Pre- and Production'!AQ$4:AQ$376)</f>
        <v>0</v>
      </c>
      <c r="N282" s="315">
        <f>SUMIF('Pre- and Production'!$T$4:$T$376, CONCATENATE(LEFT('WBS Summary by Year'!N$6,1),'WBS Summary by Year'!$C282,'WBS Summary by Year'!$B$251),'Pre- and Production'!AH$4:AH$376)</f>
        <v>0</v>
      </c>
      <c r="O282" s="316">
        <f>SUMIF('Pre- and Production'!$T$4:$T$376, CONCATENATE(LEFT('WBS Summary by Year'!O$6,1),'WBS Summary by Year'!$C282,'WBS Summary by Year'!$B$251),'Pre- and Production'!AR$4:AR$376)</f>
        <v>0</v>
      </c>
    </row>
    <row r="283" spans="3:15" s="352" customFormat="1">
      <c r="C283" s="46" t="s">
        <v>453</v>
      </c>
      <c r="D283" s="26">
        <f>SUMIF('Pre- and Production'!$T$4:$T$376, CONCATENATE(LEFT('WBS Summary by Year'!D$6,1),'WBS Summary by Year'!$C283,'WBS Summary by Year'!$B$251),'Pre- and Production'!AC$4:AC$376)</f>
        <v>0</v>
      </c>
      <c r="E283" s="303">
        <f>SUMIF('Pre- and Production'!$T$4:$T$376, CONCATENATE(LEFT('WBS Summary by Year'!E$6,1),'WBS Summary by Year'!$C283,'WBS Summary by Year'!$B$251),'Pre- and Production'!AM$4:AM$376)</f>
        <v>0</v>
      </c>
      <c r="F283" s="26">
        <f>SUMIF('Pre- and Production'!$T$4:$T$376, CONCATENATE(LEFT('WBS Summary by Year'!F$6,1),'WBS Summary by Year'!$C283,'WBS Summary by Year'!$B$251),'Pre- and Production'!AD$4:AD$376)</f>
        <v>16</v>
      </c>
      <c r="G283" s="296">
        <f>SUMIF('Pre- and Production'!$T$4:$T$376, CONCATENATE(LEFT('WBS Summary by Year'!G$6,1),'WBS Summary by Year'!$C283,'WBS Summary by Year'!$B$251),'Pre- and Production'!AN$4:AN$376)</f>
        <v>0</v>
      </c>
      <c r="H283" s="307">
        <f>SUMIF('Pre- and Production'!$T$4:$T$376, CONCATENATE(LEFT('WBS Summary by Year'!H$6,1),'WBS Summary by Year'!$C283,'WBS Summary by Year'!$B$251),'Pre- and Production'!AE$4:AE$376)</f>
        <v>0</v>
      </c>
      <c r="I283" s="303">
        <f>SUMIF('Pre- and Production'!$T$4:$T$376, CONCATENATE(LEFT('WBS Summary by Year'!I$6,1),'WBS Summary by Year'!$C283,'WBS Summary by Year'!$B$251),'Pre- and Production'!AO$4:AO$376)</f>
        <v>0</v>
      </c>
      <c r="J283" s="26">
        <f>SUMIF('Pre- and Production'!$T$4:$T$376, CONCATENATE(LEFT('WBS Summary by Year'!J$6,1),'WBS Summary by Year'!$C283,'WBS Summary by Year'!$B$251),'Pre- and Production'!AF$4:AFI$376)</f>
        <v>64</v>
      </c>
      <c r="K283" s="296">
        <f>SUMIF('Pre- and Production'!$T$4:$T$376, CONCATENATE(LEFT('WBS Summary by Year'!K$6,1),'WBS Summary by Year'!$C283,'WBS Summary by Year'!$B$251),'Pre- and Production'!AP$4:AP$376)</f>
        <v>0</v>
      </c>
      <c r="L283" s="307">
        <f>SUMIF('Pre- and Production'!$T$4:$T$376, CONCATENATE(LEFT('WBS Summary by Year'!L$6,1),'WBS Summary by Year'!$C283,'WBS Summary by Year'!$B$251),'Pre- and Production'!AG$4:AG$376)</f>
        <v>0</v>
      </c>
      <c r="M283" s="303">
        <f>SUMIF('Pre- and Production'!$T$4:$T$376, CONCATENATE(LEFT('WBS Summary by Year'!M$6,1),'WBS Summary by Year'!$C283,'WBS Summary by Year'!$B$251),'Pre- and Production'!AQ$4:AQ$376)</f>
        <v>0</v>
      </c>
      <c r="N283" s="315">
        <f>SUMIF('Pre- and Production'!$T$4:$T$376, CONCATENATE(LEFT('WBS Summary by Year'!N$6,1),'WBS Summary by Year'!$C283,'WBS Summary by Year'!$B$251),'Pre- and Production'!AH$4:AH$376)</f>
        <v>0</v>
      </c>
      <c r="O283" s="316">
        <f>SUMIF('Pre- and Production'!$T$4:$T$376, CONCATENATE(LEFT('WBS Summary by Year'!O$6,1),'WBS Summary by Year'!$C283,'WBS Summary by Year'!$B$251),'Pre- and Production'!AR$4:AR$376)</f>
        <v>0</v>
      </c>
    </row>
    <row r="284" spans="3:15">
      <c r="C284" s="134" t="s">
        <v>459</v>
      </c>
      <c r="D284" s="26">
        <f>SUMIF('Pre- and Production'!$T$4:$T$376, CONCATENATE(LEFT('WBS Summary by Year'!D$6,1),'WBS Summary by Year'!$C284,'WBS Summary by Year'!$B$251),'Pre- and Production'!AC$4:AC$376)</f>
        <v>0</v>
      </c>
      <c r="E284" s="303">
        <f>SUMIF('Pre- and Production'!$T$4:$T$376, CONCATENATE(LEFT('WBS Summary by Year'!E$6,1),'WBS Summary by Year'!$C284,'WBS Summary by Year'!$B$251),'Pre- and Production'!AM$4:AM$376)</f>
        <v>0</v>
      </c>
      <c r="F284" s="26">
        <f>SUMIF('Pre- and Production'!$T$4:$T$376, CONCATENATE(LEFT('WBS Summary by Year'!F$6,1),'WBS Summary by Year'!$C284,'WBS Summary by Year'!$B$251),'Pre- and Production'!AD$4:AD$376)</f>
        <v>0</v>
      </c>
      <c r="G284" s="296">
        <f>SUMIF('Pre- and Production'!$T$4:$T$376, CONCATENATE(LEFT('WBS Summary by Year'!G$6,1),'WBS Summary by Year'!$C284,'WBS Summary by Year'!$B$251),'Pre- and Production'!AN$4:AN$376)</f>
        <v>0</v>
      </c>
      <c r="H284" s="307">
        <f>SUMIF('Pre- and Production'!$T$4:$T$376, CONCATENATE(LEFT('WBS Summary by Year'!H$6,1),'WBS Summary by Year'!$C284,'WBS Summary by Year'!$B$251),'Pre- and Production'!AE$4:AE$376)</f>
        <v>0</v>
      </c>
      <c r="I284" s="303">
        <f>SUMIF('Pre- and Production'!$T$4:$T$376, CONCATENATE(LEFT('WBS Summary by Year'!I$6,1),'WBS Summary by Year'!$C284,'WBS Summary by Year'!$B$251),'Pre- and Production'!AO$4:AO$376)</f>
        <v>0</v>
      </c>
      <c r="J284" s="26">
        <f>SUMIF('Pre- and Production'!$T$4:$T$376, CONCATENATE(LEFT('WBS Summary by Year'!J$6,1),'WBS Summary by Year'!$C284,'WBS Summary by Year'!$B$251),'Pre- and Production'!AF$4:AFI$376)</f>
        <v>0</v>
      </c>
      <c r="K284" s="296">
        <f>SUMIF('Pre- and Production'!$T$4:$T$376, CONCATENATE(LEFT('WBS Summary by Year'!K$6,1),'WBS Summary by Year'!$C284,'WBS Summary by Year'!$B$251),'Pre- and Production'!AP$4:AP$376)</f>
        <v>0</v>
      </c>
      <c r="L284" s="307">
        <f>SUMIF('Pre- and Production'!$T$4:$T$376, CONCATENATE(LEFT('WBS Summary by Year'!L$6,1),'WBS Summary by Year'!$C284,'WBS Summary by Year'!$B$251),'Pre- and Production'!AG$4:AG$376)</f>
        <v>0</v>
      </c>
      <c r="M284" s="303">
        <f>SUMIF('Pre- and Production'!$T$4:$T$376, CONCATENATE(LEFT('WBS Summary by Year'!M$6,1),'WBS Summary by Year'!$C284,'WBS Summary by Year'!$B$251),'Pre- and Production'!AQ$4:AQ$376)</f>
        <v>0</v>
      </c>
      <c r="N284" s="315">
        <f>SUMIF('Pre- and Production'!$T$4:$T$376, CONCATENATE(LEFT('WBS Summary by Year'!N$6,1),'WBS Summary by Year'!$C284,'WBS Summary by Year'!$B$251),'Pre- and Production'!AH$4:AH$376)</f>
        <v>0</v>
      </c>
      <c r="O284" s="316">
        <f>SUMIF('Pre- and Production'!$T$4:$T$376, CONCATENATE(LEFT('WBS Summary by Year'!O$6,1),'WBS Summary by Year'!$C284,'WBS Summary by Year'!$B$251),'Pre- and Production'!AR$4:AR$376)</f>
        <v>0</v>
      </c>
    </row>
    <row r="285" spans="3:15">
      <c r="C285" s="46" t="s">
        <v>460</v>
      </c>
      <c r="D285" s="26">
        <f>SUMIF('Pre- and Production'!$T$4:$T$376, CONCATENATE(LEFT('WBS Summary by Year'!D$6,1),'WBS Summary by Year'!$C285,'WBS Summary by Year'!$B$251),'Pre- and Production'!AC$4:AC$376)</f>
        <v>0</v>
      </c>
      <c r="E285" s="303">
        <f>SUMIF('Pre- and Production'!$T$4:$T$376, CONCATENATE(LEFT('WBS Summary by Year'!E$6,1),'WBS Summary by Year'!$C285,'WBS Summary by Year'!$B$251),'Pre- and Production'!AM$4:AM$376)</f>
        <v>0</v>
      </c>
      <c r="F285" s="26">
        <f>SUMIF('Pre- and Production'!$T$4:$T$376, CONCATENATE(LEFT('WBS Summary by Year'!F$6,1),'WBS Summary by Year'!$C285,'WBS Summary by Year'!$B$251),'Pre- and Production'!AD$4:AD$376)</f>
        <v>0</v>
      </c>
      <c r="G285" s="296">
        <f>SUMIF('Pre- and Production'!$T$4:$T$376, CONCATENATE(LEFT('WBS Summary by Year'!G$6,1),'WBS Summary by Year'!$C285,'WBS Summary by Year'!$B$251),'Pre- and Production'!AN$4:AN$376)</f>
        <v>0</v>
      </c>
      <c r="H285" s="307">
        <f>SUMIF('Pre- and Production'!$T$4:$T$376, CONCATENATE(LEFT('WBS Summary by Year'!H$6,1),'WBS Summary by Year'!$C285,'WBS Summary by Year'!$B$251),'Pre- and Production'!AE$4:AE$376)</f>
        <v>0</v>
      </c>
      <c r="I285" s="303">
        <f>SUMIF('Pre- and Production'!$T$4:$T$376, CONCATENATE(LEFT('WBS Summary by Year'!I$6,1),'WBS Summary by Year'!$C285,'WBS Summary by Year'!$B$251),'Pre- and Production'!AO$4:AO$376)</f>
        <v>0</v>
      </c>
      <c r="J285" s="26">
        <f>SUMIF('Pre- and Production'!$T$4:$T$376, CONCATENATE(LEFT('WBS Summary by Year'!J$6,1),'WBS Summary by Year'!$C285,'WBS Summary by Year'!$B$251),'Pre- and Production'!AF$4:AFI$376)</f>
        <v>0</v>
      </c>
      <c r="K285" s="296">
        <f>SUMIF('Pre- and Production'!$T$4:$T$376, CONCATENATE(LEFT('WBS Summary by Year'!K$6,1),'WBS Summary by Year'!$C285,'WBS Summary by Year'!$B$251),'Pre- and Production'!AP$4:AP$376)</f>
        <v>0</v>
      </c>
      <c r="L285" s="307">
        <f>SUMIF('Pre- and Production'!$T$4:$T$376, CONCATENATE(LEFT('WBS Summary by Year'!L$6,1),'WBS Summary by Year'!$C285,'WBS Summary by Year'!$B$251),'Pre- and Production'!AG$4:AG$376)</f>
        <v>0</v>
      </c>
      <c r="M285" s="303">
        <f>SUMIF('Pre- and Production'!$T$4:$T$376, CONCATENATE(LEFT('WBS Summary by Year'!M$6,1),'WBS Summary by Year'!$C285,'WBS Summary by Year'!$B$251),'Pre- and Production'!AQ$4:AQ$376)</f>
        <v>0</v>
      </c>
      <c r="N285" s="315">
        <f>SUMIF('Pre- and Production'!$T$4:$T$376, CONCATENATE(LEFT('WBS Summary by Year'!N$6,1),'WBS Summary by Year'!$C285,'WBS Summary by Year'!$B$251),'Pre- and Production'!AH$4:AH$376)</f>
        <v>0</v>
      </c>
      <c r="O285" s="316">
        <f>SUMIF('Pre- and Production'!$T$4:$T$376, CONCATENATE(LEFT('WBS Summary by Year'!O$6,1),'WBS Summary by Year'!$C285,'WBS Summary by Year'!$B$251),'Pre- and Production'!AR$4:AR$376)</f>
        <v>0</v>
      </c>
    </row>
    <row r="286" spans="3:15">
      <c r="C286" s="46" t="s">
        <v>461</v>
      </c>
      <c r="D286" s="26">
        <f>SUMIF('Pre- and Production'!$T$4:$T$376, CONCATENATE(LEFT('WBS Summary by Year'!D$6,1),'WBS Summary by Year'!$C286,'WBS Summary by Year'!$B$251),'Pre- and Production'!AC$4:AC$376)</f>
        <v>0</v>
      </c>
      <c r="E286" s="303">
        <f>SUMIF('Pre- and Production'!$T$4:$T$376, CONCATENATE(LEFT('WBS Summary by Year'!E$6,1),'WBS Summary by Year'!$C286,'WBS Summary by Year'!$B$251),'Pre- and Production'!AM$4:AM$376)</f>
        <v>0</v>
      </c>
      <c r="F286" s="26">
        <f>SUMIF('Pre- and Production'!$T$4:$T$376, CONCATENATE(LEFT('WBS Summary by Year'!F$6,1),'WBS Summary by Year'!$C286,'WBS Summary by Year'!$B$251),'Pre- and Production'!AD$4:AD$376)</f>
        <v>0</v>
      </c>
      <c r="G286" s="296">
        <f>SUMIF('Pre- and Production'!$T$4:$T$376, CONCATENATE(LEFT('WBS Summary by Year'!G$6,1),'WBS Summary by Year'!$C286,'WBS Summary by Year'!$B$251),'Pre- and Production'!AN$4:AN$376)</f>
        <v>0</v>
      </c>
      <c r="H286" s="307">
        <f>SUMIF('Pre- and Production'!$T$4:$T$376, CONCATENATE(LEFT('WBS Summary by Year'!H$6,1),'WBS Summary by Year'!$C286,'WBS Summary by Year'!$B$251),'Pre- and Production'!AE$4:AE$376)</f>
        <v>0</v>
      </c>
      <c r="I286" s="303">
        <f>SUMIF('Pre- and Production'!$T$4:$T$376, CONCATENATE(LEFT('WBS Summary by Year'!I$6,1),'WBS Summary by Year'!$C286,'WBS Summary by Year'!$B$251),'Pre- and Production'!AO$4:AO$376)</f>
        <v>0</v>
      </c>
      <c r="J286" s="26">
        <f>SUMIF('Pre- and Production'!$T$4:$T$376, CONCATENATE(LEFT('WBS Summary by Year'!J$6,1),'WBS Summary by Year'!$C286,'WBS Summary by Year'!$B$251),'Pre- and Production'!AF$4:AFI$376)</f>
        <v>0</v>
      </c>
      <c r="K286" s="296">
        <f>SUMIF('Pre- and Production'!$T$4:$T$376, CONCATENATE(LEFT('WBS Summary by Year'!K$6,1),'WBS Summary by Year'!$C286,'WBS Summary by Year'!$B$251),'Pre- and Production'!AP$4:AP$376)</f>
        <v>0</v>
      </c>
      <c r="L286" s="307">
        <f>SUMIF('Pre- and Production'!$T$4:$T$376, CONCATENATE(LEFT('WBS Summary by Year'!L$6,1),'WBS Summary by Year'!$C286,'WBS Summary by Year'!$B$251),'Pre- and Production'!AG$4:AG$376)</f>
        <v>0</v>
      </c>
      <c r="M286" s="303">
        <f>SUMIF('Pre- and Production'!$T$4:$T$376, CONCATENATE(LEFT('WBS Summary by Year'!M$6,1),'WBS Summary by Year'!$C286,'WBS Summary by Year'!$B$251),'Pre- and Production'!AQ$4:AQ$376)</f>
        <v>0</v>
      </c>
      <c r="N286" s="315">
        <f>SUMIF('Pre- and Production'!$T$4:$T$376, CONCATENATE(LEFT('WBS Summary by Year'!N$6,1),'WBS Summary by Year'!$C286,'WBS Summary by Year'!$B$251),'Pre- and Production'!AH$4:AH$376)</f>
        <v>0</v>
      </c>
      <c r="O286" s="316">
        <f>SUMIF('Pre- and Production'!$T$4:$T$376, CONCATENATE(LEFT('WBS Summary by Year'!O$6,1),'WBS Summary by Year'!$C286,'WBS Summary by Year'!$B$251),'Pre- and Production'!AR$4:AR$376)</f>
        <v>0</v>
      </c>
    </row>
    <row r="287" spans="3:15" ht="13.5" thickBot="1">
      <c r="C287" s="46" t="s">
        <v>462</v>
      </c>
      <c r="D287" s="297">
        <f>SUMIF('Pre- and Production'!$T$4:$T$376, CONCATENATE(LEFT('WBS Summary by Year'!D$6,1),'WBS Summary by Year'!$C287,'WBS Summary by Year'!$B$251),'Pre- and Production'!AC$4:AC$376)</f>
        <v>0</v>
      </c>
      <c r="E287" s="304">
        <f>SUMIF('Pre- and Production'!$T$4:$T$376, CONCATENATE(LEFT('WBS Summary by Year'!E$6,1),'WBS Summary by Year'!$C287,'WBS Summary by Year'!$B$251),'Pre- and Production'!AM$4:AM$376)</f>
        <v>0</v>
      </c>
      <c r="F287" s="297">
        <f>SUMIF('Pre- and Production'!$T$4:$T$376, CONCATENATE(LEFT('WBS Summary by Year'!F$6,1),'WBS Summary by Year'!$C287,'WBS Summary by Year'!$B$251),'Pre- and Production'!AD$4:AD$376)</f>
        <v>0</v>
      </c>
      <c r="G287" s="298">
        <f>SUMIF('Pre- and Production'!$T$4:$T$376, CONCATENATE(LEFT('WBS Summary by Year'!G$6,1),'WBS Summary by Year'!$C287,'WBS Summary by Year'!$B$251),'Pre- and Production'!AN$4:AN$376)</f>
        <v>0</v>
      </c>
      <c r="H287" s="308">
        <f>SUMIF('Pre- and Production'!$T$4:$T$376, CONCATENATE(LEFT('WBS Summary by Year'!H$6,1),'WBS Summary by Year'!$C287,'WBS Summary by Year'!$B$251),'Pre- and Production'!AE$4:AE$376)</f>
        <v>0</v>
      </c>
      <c r="I287" s="304">
        <f>SUMIF('Pre- and Production'!$T$4:$T$376, CONCATENATE(LEFT('WBS Summary by Year'!I$6,1),'WBS Summary by Year'!$C287,'WBS Summary by Year'!$B$251),'Pre- and Production'!AO$4:AO$376)</f>
        <v>0</v>
      </c>
      <c r="J287" s="297">
        <f>SUMIF('Pre- and Production'!$T$4:$T$376, CONCATENATE(LEFT('WBS Summary by Year'!J$6,1),'WBS Summary by Year'!$C287,'WBS Summary by Year'!$B$251),'Pre- and Production'!AF$4:AFI$376)</f>
        <v>0</v>
      </c>
      <c r="K287" s="298">
        <f>SUMIF('Pre- and Production'!$T$4:$T$376, CONCATENATE(LEFT('WBS Summary by Year'!K$6,1),'WBS Summary by Year'!$C287,'WBS Summary by Year'!$B$251),'Pre- and Production'!AP$4:AP$376)</f>
        <v>0</v>
      </c>
      <c r="L287" s="308">
        <f>SUMIF('Pre- and Production'!$T$4:$T$376, CONCATENATE(LEFT('WBS Summary by Year'!L$6,1),'WBS Summary by Year'!$C287,'WBS Summary by Year'!$B$251),'Pre- and Production'!AG$4:AG$376)</f>
        <v>0</v>
      </c>
      <c r="M287" s="304">
        <f>SUMIF('Pre- and Production'!$T$4:$T$376, CONCATENATE(LEFT('WBS Summary by Year'!M$6,1),'WBS Summary by Year'!$C287,'WBS Summary by Year'!$B$251),'Pre- and Production'!AQ$4:AQ$376)</f>
        <v>0</v>
      </c>
      <c r="N287" s="317">
        <f>SUMIF('Pre- and Production'!$T$4:$T$376, CONCATENATE(LEFT('WBS Summary by Year'!N$6,1),'WBS Summary by Year'!$C287,'WBS Summary by Year'!$B$251),'Pre- and Production'!AH$4:AH$376)</f>
        <v>0</v>
      </c>
      <c r="O287" s="318">
        <f>SUMIF('Pre- and Production'!$T$4:$T$376, CONCATENATE(LEFT('WBS Summary by Year'!O$6,1),'WBS Summary by Year'!$C287,'WBS Summary by Year'!$B$251),'Pre- and Production'!AR$4:AR$376)</f>
        <v>0</v>
      </c>
    </row>
    <row r="288" spans="3:15" ht="13.5" thickTop="1"/>
    <row r="289" spans="3:15">
      <c r="D289">
        <f>SUM(D254:D287)</f>
        <v>0</v>
      </c>
      <c r="E289">
        <f t="shared" ref="E289:O289" si="17">SUM(E254:E287)</f>
        <v>0</v>
      </c>
      <c r="F289">
        <f t="shared" si="17"/>
        <v>136</v>
      </c>
      <c r="G289">
        <f t="shared" si="17"/>
        <v>0</v>
      </c>
      <c r="H289">
        <f t="shared" si="17"/>
        <v>0</v>
      </c>
      <c r="I289">
        <f t="shared" si="17"/>
        <v>0</v>
      </c>
      <c r="J289">
        <f t="shared" si="17"/>
        <v>304</v>
      </c>
      <c r="K289">
        <f t="shared" si="17"/>
        <v>120</v>
      </c>
      <c r="L289">
        <f t="shared" si="17"/>
        <v>0</v>
      </c>
      <c r="M289">
        <f t="shared" si="17"/>
        <v>0</v>
      </c>
      <c r="N289" s="310">
        <f t="shared" si="17"/>
        <v>0</v>
      </c>
      <c r="O289" s="310">
        <f t="shared" si="17"/>
        <v>0</v>
      </c>
    </row>
    <row r="290" spans="3:15">
      <c r="C290" s="352" t="s">
        <v>401</v>
      </c>
      <c r="D290" s="346">
        <f>D289/1720</f>
        <v>0</v>
      </c>
      <c r="E290" s="346">
        <f t="shared" ref="E290:I290" si="18">E289/1720</f>
        <v>0</v>
      </c>
      <c r="F290" s="346">
        <f t="shared" si="18"/>
        <v>7.9069767441860464E-2</v>
      </c>
      <c r="G290" s="346">
        <f t="shared" si="18"/>
        <v>0</v>
      </c>
      <c r="H290" s="346">
        <f t="shared" si="18"/>
        <v>0</v>
      </c>
      <c r="I290" s="346">
        <f t="shared" si="18"/>
        <v>0</v>
      </c>
      <c r="J290" s="346">
        <f>J289/1720</f>
        <v>0.17674418604651163</v>
      </c>
      <c r="K290" s="346">
        <f t="shared" ref="K290:M290" si="19">K289/1720</f>
        <v>6.9767441860465115E-2</v>
      </c>
      <c r="L290" s="346">
        <f t="shared" si="19"/>
        <v>0</v>
      </c>
      <c r="M290" s="346">
        <f t="shared" si="19"/>
        <v>0</v>
      </c>
    </row>
    <row r="291" spans="3:15">
      <c r="C291" s="352" t="s">
        <v>402</v>
      </c>
      <c r="D291" s="348">
        <f>D289*Shop</f>
        <v>0</v>
      </c>
      <c r="E291" s="348">
        <f>E289*Shop</f>
        <v>0</v>
      </c>
      <c r="F291" s="348">
        <f>F289*M_Tech</f>
        <v>12888.720000000001</v>
      </c>
      <c r="G291" s="348">
        <f>G289*M_Tech</f>
        <v>0</v>
      </c>
      <c r="H291" s="348">
        <f>H290*CMM</f>
        <v>0</v>
      </c>
      <c r="I291" s="348">
        <f>I289*CMM</f>
        <v>0</v>
      </c>
      <c r="J291" s="348">
        <f>J289*ENG</f>
        <v>36936.000000000007</v>
      </c>
      <c r="K291" s="348">
        <f>K289*ENG</f>
        <v>14580.000000000002</v>
      </c>
      <c r="L291" s="348">
        <f>L289*DES</f>
        <v>0</v>
      </c>
      <c r="M291" s="348">
        <f>M289*DES</f>
        <v>0</v>
      </c>
    </row>
  </sheetData>
  <mergeCells count="54">
    <mergeCell ref="N252:O252"/>
    <mergeCell ref="D211:E211"/>
    <mergeCell ref="F211:G211"/>
    <mergeCell ref="H211:I211"/>
    <mergeCell ref="J211:K211"/>
    <mergeCell ref="L211:M211"/>
    <mergeCell ref="N211:O211"/>
    <mergeCell ref="D252:E252"/>
    <mergeCell ref="F252:G252"/>
    <mergeCell ref="H252:I252"/>
    <mergeCell ref="J252:K252"/>
    <mergeCell ref="L252:M252"/>
    <mergeCell ref="AD46:AE46"/>
    <mergeCell ref="T5:U5"/>
    <mergeCell ref="V5:W5"/>
    <mergeCell ref="X5:Y5"/>
    <mergeCell ref="Z5:AA5"/>
    <mergeCell ref="AB5:AC5"/>
    <mergeCell ref="AD5:AE5"/>
    <mergeCell ref="T46:U46"/>
    <mergeCell ref="V46:W46"/>
    <mergeCell ref="X46:Y46"/>
    <mergeCell ref="Z46:AA46"/>
    <mergeCell ref="AB46:AC46"/>
    <mergeCell ref="N170:O170"/>
    <mergeCell ref="D129:E129"/>
    <mergeCell ref="F129:G129"/>
    <mergeCell ref="H129:I129"/>
    <mergeCell ref="J129:K129"/>
    <mergeCell ref="L129:M129"/>
    <mergeCell ref="N129:O129"/>
    <mergeCell ref="D170:E170"/>
    <mergeCell ref="F170:G170"/>
    <mergeCell ref="H170:I170"/>
    <mergeCell ref="J170:K170"/>
    <mergeCell ref="L170:M170"/>
    <mergeCell ref="N87:O87"/>
    <mergeCell ref="D46:E46"/>
    <mergeCell ref="F46:G46"/>
    <mergeCell ref="H46:I46"/>
    <mergeCell ref="J46:K46"/>
    <mergeCell ref="L46:M46"/>
    <mergeCell ref="N46:O46"/>
    <mergeCell ref="D87:E87"/>
    <mergeCell ref="F87:G87"/>
    <mergeCell ref="H87:I87"/>
    <mergeCell ref="J87:K87"/>
    <mergeCell ref="L87:M87"/>
    <mergeCell ref="N5:O5"/>
    <mergeCell ref="D5:E5"/>
    <mergeCell ref="F5:G5"/>
    <mergeCell ref="H5:I5"/>
    <mergeCell ref="J5:K5"/>
    <mergeCell ref="L5:M5"/>
  </mergeCells>
  <pageMargins left="0.7" right="0.7" top="0.75" bottom="0.75" header="0.3" footer="0.3"/>
  <pageSetup scale="71" fitToHeight="5"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1:Z61"/>
  <sheetViews>
    <sheetView tabSelected="1" workbookViewId="0">
      <selection activeCell="E7" sqref="E7"/>
    </sheetView>
  </sheetViews>
  <sheetFormatPr defaultRowHeight="12.75"/>
  <cols>
    <col min="1" max="1" width="11.5703125" style="7" bestFit="1" customWidth="1"/>
    <col min="2" max="2" width="10.85546875" style="117" bestFit="1" customWidth="1"/>
    <col min="3" max="3" width="8.85546875" style="117" bestFit="1" customWidth="1"/>
    <col min="4" max="4" width="6.5703125" style="117" bestFit="1" customWidth="1"/>
    <col min="5" max="5" width="12" style="117" bestFit="1" customWidth="1"/>
    <col min="6" max="6" width="9.140625" style="117" customWidth="1"/>
    <col min="7" max="7" width="9.7109375" style="119" bestFit="1" customWidth="1"/>
    <col min="8" max="9" width="10.140625" style="117" bestFit="1" customWidth="1"/>
    <col min="10" max="10" width="9.7109375" style="117" customWidth="1"/>
    <col min="11" max="11" width="11.42578125" style="7" bestFit="1" customWidth="1"/>
    <col min="12" max="12" width="11" style="117" bestFit="1" customWidth="1"/>
    <col min="13" max="13" width="9" style="117" bestFit="1" customWidth="1"/>
    <col min="14" max="14" width="6.5703125" style="117" bestFit="1" customWidth="1"/>
    <col min="15" max="15" width="12.140625" style="117" bestFit="1" customWidth="1"/>
    <col min="16" max="16" width="7.28515625" style="117" bestFit="1" customWidth="1"/>
    <col min="17" max="17" width="11.42578125" style="119" bestFit="1" customWidth="1"/>
    <col min="18" max="18" width="8.5703125" style="117" bestFit="1" customWidth="1"/>
    <col min="19" max="22" width="9.140625" style="117"/>
    <col min="23" max="23" width="10.140625" style="370" bestFit="1" customWidth="1"/>
    <col min="24" max="24" width="11.140625" style="370" bestFit="1" customWidth="1"/>
    <col min="25" max="16384" width="9.140625" style="117"/>
  </cols>
  <sheetData>
    <row r="1" spans="1:26" ht="13.5" thickBot="1"/>
    <row r="2" spans="1:26">
      <c r="A2" s="84"/>
      <c r="B2" s="401" t="str">
        <f>'Pre- and Production'!AC383</f>
        <v>BASE</v>
      </c>
      <c r="C2" s="402"/>
      <c r="D2" s="402"/>
      <c r="E2" s="402"/>
      <c r="F2" s="402"/>
      <c r="G2" s="402"/>
      <c r="H2" s="403"/>
      <c r="I2" s="106"/>
      <c r="J2" s="106"/>
      <c r="K2" s="84"/>
      <c r="L2" s="401" t="str">
        <f>'Pre- and Production'!AM383</f>
        <v>CONTINGENCY</v>
      </c>
      <c r="M2" s="402"/>
      <c r="N2" s="402"/>
      <c r="O2" s="402"/>
      <c r="P2" s="402"/>
      <c r="Q2" s="402"/>
      <c r="R2" s="403"/>
    </row>
    <row r="3" spans="1:26">
      <c r="A3" s="84"/>
      <c r="B3" s="120" t="str">
        <f>'Pre- and Production'!AC384</f>
        <v>Shop Time</v>
      </c>
      <c r="C3" s="121" t="str">
        <f>'Pre- and Production'!AD384</f>
        <v>MT Time</v>
      </c>
      <c r="D3" s="121" t="str">
        <f>'Pre- and Production'!AE384</f>
        <v>CMM</v>
      </c>
      <c r="E3" s="121" t="str">
        <f>'Pre- and Production'!AF384</f>
        <v>Engineering</v>
      </c>
      <c r="F3" s="121" t="str">
        <f>'Pre- and Production'!AG384</f>
        <v>Design</v>
      </c>
      <c r="G3" s="126" t="str">
        <f>'Pre- and Production'!AH384</f>
        <v>M&amp;S Cost</v>
      </c>
      <c r="H3" s="122"/>
      <c r="I3" s="106"/>
      <c r="J3" s="106"/>
      <c r="K3" s="84"/>
      <c r="L3" s="120" t="str">
        <f>'Pre- and Production'!AM384</f>
        <v>Shop Time</v>
      </c>
      <c r="M3" s="121" t="str">
        <f>'Pre- and Production'!AN384</f>
        <v>MT Time</v>
      </c>
      <c r="N3" s="121" t="str">
        <f>'Pre- and Production'!AO384</f>
        <v>CMM</v>
      </c>
      <c r="O3" s="121" t="str">
        <f>'Pre- and Production'!AP384</f>
        <v>Engineering</v>
      </c>
      <c r="P3" s="121" t="str">
        <f>'Pre- and Production'!AQ384</f>
        <v>Design</v>
      </c>
      <c r="Q3" s="126" t="str">
        <f>'Pre- and Production'!AR384</f>
        <v>M&amp;S Cost</v>
      </c>
      <c r="R3" s="122"/>
      <c r="U3" s="373"/>
      <c r="V3" s="373"/>
      <c r="W3" s="373"/>
      <c r="X3" s="373"/>
      <c r="Y3" s="373"/>
      <c r="Z3" s="373"/>
    </row>
    <row r="4" spans="1:26">
      <c r="A4" s="84">
        <f>'Pre- and Production'!AB385</f>
        <v>2009</v>
      </c>
      <c r="B4" s="123">
        <f>'Pre- and Production'!AC385</f>
        <v>0</v>
      </c>
      <c r="C4" s="124">
        <f>'Pre- and Production'!AD385</f>
        <v>0</v>
      </c>
      <c r="D4" s="124">
        <f>'Pre- and Production'!AE385</f>
        <v>0</v>
      </c>
      <c r="E4" s="124">
        <f>'Pre- and Production'!AF385</f>
        <v>0</v>
      </c>
      <c r="F4" s="124">
        <f>'Pre- and Production'!AG385</f>
        <v>0</v>
      </c>
      <c r="G4" s="129">
        <f>'Pre- and Production'!AH385</f>
        <v>0</v>
      </c>
      <c r="H4" s="125"/>
      <c r="I4" s="106"/>
      <c r="J4" s="106"/>
      <c r="K4" s="84">
        <f>'Pre- and Production'!AL385</f>
        <v>2009</v>
      </c>
      <c r="L4" s="123">
        <f>'Pre- and Production'!AM385</f>
        <v>0</v>
      </c>
      <c r="M4" s="124">
        <f>'Pre- and Production'!AN385</f>
        <v>0</v>
      </c>
      <c r="N4" s="124">
        <f>'Pre- and Production'!AO385</f>
        <v>0</v>
      </c>
      <c r="O4" s="124">
        <f>'Pre- and Production'!AP385</f>
        <v>0</v>
      </c>
      <c r="P4" s="124">
        <f>'Pre- and Production'!AQ385</f>
        <v>0</v>
      </c>
      <c r="Q4" s="129">
        <f>'Pre- and Production'!AR385</f>
        <v>0</v>
      </c>
      <c r="R4" s="125"/>
      <c r="X4" s="85"/>
      <c r="Y4" s="85"/>
      <c r="Z4" s="85"/>
    </row>
    <row r="5" spans="1:26">
      <c r="A5" s="84">
        <f>'Pre- and Production'!AB386</f>
        <v>2010</v>
      </c>
      <c r="B5" s="123">
        <f>'Pre- and Production'!AC386</f>
        <v>234</v>
      </c>
      <c r="C5" s="124">
        <f>'Pre- and Production'!AD386</f>
        <v>721</v>
      </c>
      <c r="D5" s="124">
        <f>'Pre- and Production'!AE386</f>
        <v>108</v>
      </c>
      <c r="E5" s="124">
        <f>'Pre- and Production'!AF386</f>
        <v>1115</v>
      </c>
      <c r="F5" s="124">
        <f>'Pre- and Production'!AG386</f>
        <v>0</v>
      </c>
      <c r="G5" s="129">
        <f>'Pre- and Production'!AH386</f>
        <v>31556.5</v>
      </c>
      <c r="H5" s="125"/>
      <c r="I5" s="106"/>
      <c r="J5" s="106"/>
      <c r="K5" s="84">
        <f>'Pre- and Production'!AL386</f>
        <v>2010</v>
      </c>
      <c r="L5" s="123">
        <f>'Pre- and Production'!AM386</f>
        <v>48</v>
      </c>
      <c r="M5" s="124">
        <f>'Pre- and Production'!AN386</f>
        <v>32</v>
      </c>
      <c r="N5" s="124">
        <f>'Pre- and Production'!AO386</f>
        <v>0</v>
      </c>
      <c r="O5" s="124">
        <f>'Pre- and Production'!AP386</f>
        <v>12</v>
      </c>
      <c r="P5" s="124">
        <f>'Pre- and Production'!AQ386</f>
        <v>0</v>
      </c>
      <c r="Q5" s="129">
        <f>'Pre- and Production'!AR386</f>
        <v>153</v>
      </c>
      <c r="R5" s="125"/>
      <c r="W5" s="372"/>
      <c r="X5" s="85"/>
      <c r="Y5" s="85"/>
      <c r="Z5" s="85"/>
    </row>
    <row r="6" spans="1:26">
      <c r="A6" s="84">
        <f>'Pre- and Production'!AB387</f>
        <v>2011</v>
      </c>
      <c r="B6" s="123">
        <f>'Pre- and Production'!AC387</f>
        <v>224</v>
      </c>
      <c r="C6" s="124">
        <f>'Pre- and Production'!AD387</f>
        <v>787</v>
      </c>
      <c r="D6" s="124">
        <f>'Pre- and Production'!AE387</f>
        <v>96</v>
      </c>
      <c r="E6" s="124">
        <f>'Pre- and Production'!AF387</f>
        <v>1140</v>
      </c>
      <c r="F6" s="124">
        <f>'Pre- and Production'!AG387</f>
        <v>0</v>
      </c>
      <c r="G6" s="129">
        <f ca="1">'Pre- and Production'!AH387</f>
        <v>22027.5</v>
      </c>
      <c r="H6" s="125"/>
      <c r="I6" s="106"/>
      <c r="J6" s="106"/>
      <c r="K6" s="84">
        <f>'Pre- and Production'!AL387</f>
        <v>2011</v>
      </c>
      <c r="L6" s="123">
        <f>'Pre- and Production'!AM387</f>
        <v>215.75</v>
      </c>
      <c r="M6" s="124">
        <f>'Pre- and Production'!AN387</f>
        <v>124</v>
      </c>
      <c r="N6" s="124">
        <f>'Pre- and Production'!AO387</f>
        <v>64</v>
      </c>
      <c r="O6" s="124">
        <f>'Pre- and Production'!AP387</f>
        <v>318</v>
      </c>
      <c r="P6" s="124">
        <f>'Pre- and Production'!AQ387</f>
        <v>0</v>
      </c>
      <c r="Q6" s="129">
        <f>'Pre- and Production'!AR387</f>
        <v>28945</v>
      </c>
      <c r="R6" s="125"/>
      <c r="W6" s="372"/>
      <c r="X6" s="85"/>
      <c r="Y6" s="85"/>
      <c r="Z6" s="85"/>
    </row>
    <row r="7" spans="1:26">
      <c r="A7" s="84">
        <f>'Pre- and Production'!AB388</f>
        <v>2012</v>
      </c>
      <c r="B7" s="123">
        <f>'Pre- and Production'!AC388</f>
        <v>694.75</v>
      </c>
      <c r="C7" s="124">
        <f>'Pre- and Production'!AD388</f>
        <v>1021</v>
      </c>
      <c r="D7" s="124">
        <f>'Pre- and Production'!AE388</f>
        <v>124</v>
      </c>
      <c r="E7" s="124">
        <f>'Pre- and Production'!AF388</f>
        <v>1135</v>
      </c>
      <c r="F7" s="124">
        <f>'Pre- and Production'!AG388</f>
        <v>16</v>
      </c>
      <c r="G7" s="129">
        <f ca="1">'Pre- and Production'!AH388</f>
        <v>48703.5</v>
      </c>
      <c r="H7" s="125"/>
      <c r="I7" s="106"/>
      <c r="J7" s="106"/>
      <c r="K7" s="84">
        <f>'Pre- and Production'!AL388</f>
        <v>2012</v>
      </c>
      <c r="L7" s="123">
        <f>'Pre- and Production'!AM388</f>
        <v>226</v>
      </c>
      <c r="M7" s="124">
        <f>'Pre- and Production'!AN388</f>
        <v>356</v>
      </c>
      <c r="N7" s="124">
        <f>'Pre- and Production'!AO388</f>
        <v>60</v>
      </c>
      <c r="O7" s="124">
        <f>'Pre- and Production'!AP388</f>
        <v>454</v>
      </c>
      <c r="P7" s="124">
        <f>'Pre- and Production'!AQ388</f>
        <v>0</v>
      </c>
      <c r="Q7" s="129">
        <f>'Pre- and Production'!AR388</f>
        <v>1820</v>
      </c>
      <c r="R7" s="125"/>
      <c r="W7" s="372"/>
      <c r="X7" s="85"/>
      <c r="Y7" s="85"/>
      <c r="Z7" s="85"/>
    </row>
    <row r="8" spans="1:26">
      <c r="A8" s="84">
        <f>'Pre- and Production'!AB389</f>
        <v>2013</v>
      </c>
      <c r="B8" s="123">
        <f>'Pre- and Production'!AC389</f>
        <v>763.5</v>
      </c>
      <c r="C8" s="124">
        <f>'Pre- and Production'!AD389</f>
        <v>1804</v>
      </c>
      <c r="D8" s="124">
        <f>'Pre- and Production'!AE389</f>
        <v>252</v>
      </c>
      <c r="E8" s="124">
        <f>'Pre- and Production'!AF389</f>
        <v>843</v>
      </c>
      <c r="F8" s="124">
        <f>'Pre- and Production'!AG389</f>
        <v>0</v>
      </c>
      <c r="G8" s="129">
        <f>'Pre- and Production'!AH389</f>
        <v>49654.5</v>
      </c>
      <c r="H8" s="125"/>
      <c r="I8" s="106"/>
      <c r="J8" s="106"/>
      <c r="K8" s="84">
        <f>'Pre- and Production'!AL389</f>
        <v>2013</v>
      </c>
      <c r="L8" s="123">
        <f>'Pre- and Production'!AM389</f>
        <v>733.5</v>
      </c>
      <c r="M8" s="124">
        <f>'Pre- and Production'!AN389</f>
        <v>802</v>
      </c>
      <c r="N8" s="124">
        <f>'Pre- and Production'!AO389</f>
        <v>32</v>
      </c>
      <c r="O8" s="124">
        <f>'Pre- and Production'!AP389</f>
        <v>552</v>
      </c>
      <c r="P8" s="124">
        <f>'Pre- and Production'!AQ389</f>
        <v>0</v>
      </c>
      <c r="Q8" s="129">
        <f>'Pre- and Production'!AR389</f>
        <v>23639</v>
      </c>
      <c r="R8" s="125"/>
      <c r="W8" s="372"/>
      <c r="X8" s="85"/>
      <c r="Y8" s="85"/>
      <c r="Z8" s="85"/>
    </row>
    <row r="9" spans="1:26" s="366" customFormat="1">
      <c r="A9" s="84">
        <v>2014</v>
      </c>
      <c r="B9" s="123">
        <f>'Pre- and Production'!AC390</f>
        <v>16</v>
      </c>
      <c r="C9" s="124">
        <f>'Pre- and Production'!AD390</f>
        <v>280</v>
      </c>
      <c r="D9" s="124">
        <f>'Pre- and Production'!AE390</f>
        <v>40</v>
      </c>
      <c r="E9" s="124">
        <f>'Pre- and Production'!AF390</f>
        <v>148</v>
      </c>
      <c r="F9" s="124">
        <f>'Pre- and Production'!AG390</f>
        <v>0</v>
      </c>
      <c r="G9" s="129">
        <f>'Pre- and Production'!AH390</f>
        <v>7420</v>
      </c>
      <c r="H9" s="125"/>
      <c r="I9" s="106"/>
      <c r="J9" s="106"/>
      <c r="K9" s="84">
        <v>2014</v>
      </c>
      <c r="L9" s="123">
        <f>'Pre- and Production'!AM390</f>
        <v>88</v>
      </c>
      <c r="M9" s="124">
        <f>'Pre- and Production'!AN390</f>
        <v>108</v>
      </c>
      <c r="N9" s="124">
        <f>'Pre- and Production'!AO390</f>
        <v>0</v>
      </c>
      <c r="O9" s="124">
        <f>'Pre- and Production'!AP390</f>
        <v>72</v>
      </c>
      <c r="P9" s="124">
        <f>'Pre- and Production'!AQ390</f>
        <v>0</v>
      </c>
      <c r="Q9" s="129">
        <f>'Pre- and Production'!AR390</f>
        <v>3440</v>
      </c>
      <c r="R9" s="125"/>
      <c r="W9" s="372"/>
      <c r="X9" s="85"/>
      <c r="Y9" s="85"/>
      <c r="Z9" s="85"/>
    </row>
    <row r="10" spans="1:26">
      <c r="A10" s="84" t="str">
        <f>'Pre- and Production'!AB391</f>
        <v>CONT</v>
      </c>
      <c r="B10" s="123">
        <f>'Pre- and Production'!AC391</f>
        <v>0</v>
      </c>
      <c r="C10" s="124">
        <f>'Pre- and Production'!AD391</f>
        <v>0</v>
      </c>
      <c r="D10" s="124">
        <f>'Pre- and Production'!AE391</f>
        <v>0</v>
      </c>
      <c r="E10" s="124">
        <f>'Pre- and Production'!AF391</f>
        <v>0</v>
      </c>
      <c r="F10" s="124">
        <f>'Pre- and Production'!AG391</f>
        <v>0</v>
      </c>
      <c r="G10" s="129">
        <f>'Pre- and Production'!AH391</f>
        <v>0</v>
      </c>
      <c r="H10" s="125"/>
      <c r="I10" s="106"/>
      <c r="J10" s="106"/>
      <c r="K10" s="84" t="str">
        <f>'Pre- and Production'!AL391</f>
        <v>CONT</v>
      </c>
      <c r="L10" s="123">
        <f>'Pre- and Production'!AM391</f>
        <v>0</v>
      </c>
      <c r="M10" s="124">
        <f>'Pre- and Production'!AN391</f>
        <v>0</v>
      </c>
      <c r="N10" s="124">
        <f>'Pre- and Production'!AO391</f>
        <v>0</v>
      </c>
      <c r="O10" s="124">
        <f>'Pre- and Production'!AP391</f>
        <v>0</v>
      </c>
      <c r="P10" s="124">
        <f>'Pre- and Production'!AQ391</f>
        <v>0</v>
      </c>
      <c r="Q10" s="129">
        <f>'Pre- and Production'!AR391</f>
        <v>0</v>
      </c>
      <c r="R10" s="125"/>
      <c r="W10" s="372"/>
    </row>
    <row r="11" spans="1:26">
      <c r="A11" s="84" t="str">
        <f>'Pre- and Production'!AB392</f>
        <v>STAR</v>
      </c>
      <c r="B11" s="123">
        <f>'Pre- and Production'!AC392</f>
        <v>0</v>
      </c>
      <c r="C11" s="124">
        <f>'Pre- and Production'!AD392</f>
        <v>136</v>
      </c>
      <c r="D11" s="124">
        <f>'Pre- and Production'!AE392</f>
        <v>0</v>
      </c>
      <c r="E11" s="124">
        <f>'Pre- and Production'!AF392</f>
        <v>304</v>
      </c>
      <c r="F11" s="124">
        <f>'Pre- and Production'!AG392</f>
        <v>0</v>
      </c>
      <c r="G11" s="129">
        <f>'Pre- and Production'!AH392</f>
        <v>0</v>
      </c>
      <c r="H11" s="125"/>
      <c r="I11" s="106"/>
      <c r="J11" s="106"/>
      <c r="K11" s="84" t="str">
        <f>'Pre- and Production'!AL392</f>
        <v>STAR</v>
      </c>
      <c r="L11" s="123">
        <f>'Pre- and Production'!AM392</f>
        <v>0</v>
      </c>
      <c r="M11" s="124">
        <f>'Pre- and Production'!AN392</f>
        <v>0</v>
      </c>
      <c r="N11" s="124">
        <f>'Pre- and Production'!AO392</f>
        <v>0</v>
      </c>
      <c r="O11" s="124">
        <f>'Pre- and Production'!AP392</f>
        <v>120</v>
      </c>
      <c r="P11" s="124">
        <f>'Pre- and Production'!AQ392</f>
        <v>0</v>
      </c>
      <c r="Q11" s="129">
        <f>'Pre- and Production'!AR392</f>
        <v>0</v>
      </c>
      <c r="R11" s="125"/>
      <c r="W11" s="372"/>
    </row>
    <row r="12" spans="1:26">
      <c r="A12" s="84"/>
      <c r="B12" s="404" t="str">
        <f>'Pre- and Production'!AC393</f>
        <v>Project Estimated Cost</v>
      </c>
      <c r="C12" s="405"/>
      <c r="D12" s="405"/>
      <c r="E12" s="405"/>
      <c r="F12" s="405"/>
      <c r="G12" s="405"/>
      <c r="H12" s="406"/>
      <c r="I12" s="106"/>
      <c r="J12" s="106"/>
      <c r="K12" s="84"/>
      <c r="L12" s="404" t="str">
        <f>'Pre- and Production'!AM393</f>
        <v>Project Estimated Contingency</v>
      </c>
      <c r="M12" s="405"/>
      <c r="N12" s="405"/>
      <c r="O12" s="405"/>
      <c r="P12" s="405"/>
      <c r="Q12" s="405"/>
      <c r="R12" s="406"/>
      <c r="T12" s="373"/>
      <c r="U12" s="372"/>
      <c r="V12" s="372"/>
      <c r="W12" s="372"/>
      <c r="X12" s="85"/>
      <c r="Y12" s="85"/>
      <c r="Z12" s="85"/>
    </row>
    <row r="13" spans="1:26">
      <c r="A13" s="84"/>
      <c r="B13" s="120" t="str">
        <f>'Pre- and Production'!AC394</f>
        <v>Shop Cost</v>
      </c>
      <c r="C13" s="121" t="str">
        <f>'Pre- and Production'!AD394</f>
        <v>MT Cost</v>
      </c>
      <c r="D13" s="121" t="str">
        <f>'Pre- and Production'!AE394</f>
        <v>CMM</v>
      </c>
      <c r="E13" s="121" t="str">
        <f>'Pre- and Production'!AF394</f>
        <v>Engineering</v>
      </c>
      <c r="F13" s="121" t="str">
        <f>'Pre- and Production'!AG394</f>
        <v>Design</v>
      </c>
      <c r="G13" s="126" t="str">
        <f>'Pre- and Production'!AH394</f>
        <v>M&amp;S Cost</v>
      </c>
      <c r="H13" s="122" t="str">
        <f>'Pre- and Production'!AI394</f>
        <v>Totals</v>
      </c>
      <c r="I13" s="371" t="s">
        <v>521</v>
      </c>
      <c r="J13" s="371" t="s">
        <v>515</v>
      </c>
      <c r="K13" s="84"/>
      <c r="L13" s="120" t="str">
        <f>'Pre- and Production'!AM394</f>
        <v>Shop Cost</v>
      </c>
      <c r="M13" s="121" t="str">
        <f>'Pre- and Production'!AN394</f>
        <v>MT Cost</v>
      </c>
      <c r="N13" s="121" t="str">
        <f>'Pre- and Production'!AO394</f>
        <v>CMM</v>
      </c>
      <c r="O13" s="121" t="str">
        <f>'Pre- and Production'!AP394</f>
        <v>Engineering</v>
      </c>
      <c r="P13" s="121" t="str">
        <f>'Pre- and Production'!AQ394</f>
        <v>Design</v>
      </c>
      <c r="Q13" s="126" t="str">
        <f>'Pre- and Production'!AR394</f>
        <v>M&amp;S Cost</v>
      </c>
      <c r="R13" s="122" t="str">
        <f>'Pre- and Production'!AS394</f>
        <v>Totals</v>
      </c>
      <c r="S13" s="371" t="s">
        <v>521</v>
      </c>
      <c r="T13" s="369" t="s">
        <v>515</v>
      </c>
      <c r="V13" s="373" t="s">
        <v>518</v>
      </c>
      <c r="W13" s="376" t="s">
        <v>522</v>
      </c>
      <c r="X13" s="376" t="s">
        <v>520</v>
      </c>
      <c r="Y13" s="376" t="s">
        <v>515</v>
      </c>
    </row>
    <row r="14" spans="1:26">
      <c r="A14" s="84">
        <f>'Pre- and Production'!AB395</f>
        <v>2009</v>
      </c>
      <c r="B14" s="130">
        <f>'Pre- and Production'!AC395</f>
        <v>0</v>
      </c>
      <c r="C14" s="127">
        <f>'Pre- and Production'!AD395</f>
        <v>0</v>
      </c>
      <c r="D14" s="127">
        <f>'Pre- and Production'!AE395</f>
        <v>0</v>
      </c>
      <c r="E14" s="127">
        <f>'Pre- and Production'!AF395</f>
        <v>0</v>
      </c>
      <c r="F14" s="127">
        <f>'Pre- and Production'!AG395</f>
        <v>0</v>
      </c>
      <c r="G14" s="127">
        <f>'Pre- and Production'!AH395</f>
        <v>0</v>
      </c>
      <c r="H14" s="131">
        <v>0</v>
      </c>
      <c r="I14" s="85">
        <v>0</v>
      </c>
      <c r="J14" s="85">
        <v>0</v>
      </c>
      <c r="K14" s="84">
        <f>'Pre- and Production'!AL395</f>
        <v>2009</v>
      </c>
      <c r="L14" s="130">
        <f>'Pre- and Production'!AM395</f>
        <v>0</v>
      </c>
      <c r="M14" s="127">
        <f>'Pre- and Production'!AN395</f>
        <v>0</v>
      </c>
      <c r="N14" s="127">
        <f>'Pre- and Production'!AO395</f>
        <v>0</v>
      </c>
      <c r="O14" s="127">
        <f>'Pre- and Production'!AP395</f>
        <v>0</v>
      </c>
      <c r="P14" s="127">
        <f>'Pre- and Production'!AQ395</f>
        <v>0</v>
      </c>
      <c r="Q14" s="127">
        <f>'Pre- and Production'!AR395</f>
        <v>0</v>
      </c>
      <c r="R14" s="131">
        <f>'Pre- and Production'!AS395</f>
        <v>0</v>
      </c>
      <c r="S14" s="85">
        <v>0</v>
      </c>
      <c r="T14" s="85">
        <f>R14-S14</f>
        <v>0</v>
      </c>
      <c r="V14" s="117">
        <v>2009</v>
      </c>
      <c r="W14" s="85">
        <f t="shared" ref="W14:W19" si="0">I14+S14</f>
        <v>0</v>
      </c>
      <c r="X14" s="85">
        <f t="shared" ref="X14:X19" si="1">H14+R14</f>
        <v>0</v>
      </c>
      <c r="Y14" s="85">
        <f>J14+T14</f>
        <v>0</v>
      </c>
    </row>
    <row r="15" spans="1:26">
      <c r="A15" s="84">
        <f>'Pre- and Production'!AB396</f>
        <v>2010</v>
      </c>
      <c r="B15" s="130">
        <f>'Pre- and Production'!AC396</f>
        <v>28526.400000000001</v>
      </c>
      <c r="C15" s="127">
        <f>'Pre- and Production'!AD396</f>
        <v>82445.22</v>
      </c>
      <c r="D15" s="127">
        <f>'Pre- and Production'!AE396</f>
        <v>12267.36</v>
      </c>
      <c r="E15" s="127">
        <f>'Pre- and Production'!AF396</f>
        <v>164029.5</v>
      </c>
      <c r="F15" s="127">
        <f>'Pre- and Production'!AG396</f>
        <v>0</v>
      </c>
      <c r="G15" s="127">
        <f>'Pre- and Production'!AH396</f>
        <v>31556.5</v>
      </c>
      <c r="H15" s="131">
        <f>'Pre- and Production'!AI396</f>
        <v>318824.98</v>
      </c>
      <c r="I15" s="85">
        <v>191132.98</v>
      </c>
      <c r="J15" s="85">
        <f t="shared" ref="J15:J20" si="2">H15-I15</f>
        <v>127691.99999999997</v>
      </c>
      <c r="K15" s="84">
        <f>'Pre- and Production'!AL396</f>
        <v>2010</v>
      </c>
      <c r="L15" s="130">
        <f>'Pre- and Production'!AM396</f>
        <v>6048</v>
      </c>
      <c r="M15" s="127">
        <f>'Pre- and Production'!AN396</f>
        <v>3744</v>
      </c>
      <c r="N15" s="127">
        <f>'Pre- and Production'!AO396</f>
        <v>0</v>
      </c>
      <c r="O15" s="127">
        <f>'Pre- and Production'!AP396</f>
        <v>1800</v>
      </c>
      <c r="P15" s="127">
        <f>'Pre- and Production'!AQ396</f>
        <v>0</v>
      </c>
      <c r="Q15" s="127">
        <f>'Pre- and Production'!AR396</f>
        <v>153</v>
      </c>
      <c r="R15" s="131">
        <f>'Pre- and Production'!AS396</f>
        <v>11745</v>
      </c>
      <c r="S15" s="85">
        <v>11745</v>
      </c>
      <c r="T15" s="85">
        <f t="shared" ref="T15:T20" si="3">R15-S15</f>
        <v>0</v>
      </c>
      <c r="V15" s="117">
        <v>2010</v>
      </c>
      <c r="W15" s="85">
        <f t="shared" si="0"/>
        <v>202877.98</v>
      </c>
      <c r="X15" s="85">
        <f t="shared" si="1"/>
        <v>330569.98</v>
      </c>
      <c r="Y15" s="85">
        <f>J15+T15</f>
        <v>127691.99999999997</v>
      </c>
    </row>
    <row r="16" spans="1:26">
      <c r="A16" s="84">
        <f>'Pre- and Production'!AB397</f>
        <v>2011</v>
      </c>
      <c r="B16" s="130">
        <f>'Pre- and Production'!AC397</f>
        <v>25925.760000000002</v>
      </c>
      <c r="C16" s="127">
        <f>'Pre- and Production'!AD397</f>
        <v>83164.77</v>
      </c>
      <c r="D16" s="127">
        <f>'Pre- and Production'!AE397</f>
        <v>10563.84</v>
      </c>
      <c r="E16" s="127">
        <f>'Pre- and Production'!AF397</f>
        <v>165300</v>
      </c>
      <c r="F16" s="127">
        <f>'Pre- and Production'!AG397</f>
        <v>0</v>
      </c>
      <c r="G16" s="127">
        <f ca="1">'Pre- and Production'!AH397</f>
        <v>22027.5</v>
      </c>
      <c r="H16" s="131">
        <f ca="1">'Pre- and Production'!AI397</f>
        <v>306981.87</v>
      </c>
      <c r="I16" s="85">
        <v>549053.59000000008</v>
      </c>
      <c r="J16" s="85">
        <f t="shared" ca="1" si="2"/>
        <v>-242071.72000000009</v>
      </c>
      <c r="K16" s="84">
        <f>'Pre- and Production'!AL397</f>
        <v>2011</v>
      </c>
      <c r="L16" s="130">
        <f>'Pre- and Production'!AM397</f>
        <v>23838.885000000002</v>
      </c>
      <c r="M16" s="127">
        <f>'Pre- and Production'!AN397</f>
        <v>13707.720000000001</v>
      </c>
      <c r="N16" s="127">
        <f>'Pre- and Production'!AO397</f>
        <v>6914.88</v>
      </c>
      <c r="O16" s="127">
        <f>'Pre- and Production'!AP397</f>
        <v>42057</v>
      </c>
      <c r="P16" s="127">
        <f>'Pre- and Production'!AQ397</f>
        <v>0</v>
      </c>
      <c r="Q16" s="127">
        <f>'Pre- and Production'!AR397</f>
        <v>28945</v>
      </c>
      <c r="R16" s="131">
        <f>'Pre- and Production'!AS397</f>
        <v>115463.485</v>
      </c>
      <c r="S16" s="85">
        <v>167034.94500000001</v>
      </c>
      <c r="T16" s="85">
        <f t="shared" si="3"/>
        <v>-51571.460000000006</v>
      </c>
      <c r="V16" s="117">
        <v>2011</v>
      </c>
      <c r="W16" s="85">
        <f t="shared" si="0"/>
        <v>716088.53500000015</v>
      </c>
      <c r="X16" s="85">
        <f t="shared" ca="1" si="1"/>
        <v>422445.35499999998</v>
      </c>
      <c r="Y16" s="85">
        <f t="shared" ref="Y16:Y19" ca="1" si="4">J16+T16</f>
        <v>-293643.18000000011</v>
      </c>
    </row>
    <row r="17" spans="1:25">
      <c r="A17" s="84">
        <f>'Pre- and Production'!AB398</f>
        <v>2012</v>
      </c>
      <c r="B17" s="130">
        <f>'Pre- and Production'!AC398</f>
        <v>71833.86</v>
      </c>
      <c r="C17" s="127">
        <f>'Pre- and Production'!AD398</f>
        <v>96804.63</v>
      </c>
      <c r="D17" s="127">
        <f>'Pre- and Production'!AE398</f>
        <v>12655.44</v>
      </c>
      <c r="E17" s="127">
        <f>'Pre- and Production'!AF398</f>
        <v>139612.5</v>
      </c>
      <c r="F17" s="127">
        <f>'Pre- and Production'!AG398</f>
        <v>1620</v>
      </c>
      <c r="G17" s="127">
        <f ca="1">'Pre- and Production'!AH398</f>
        <v>48703.5</v>
      </c>
      <c r="H17" s="131">
        <f ca="1">'Pre- and Production'!AI398</f>
        <v>371229.93</v>
      </c>
      <c r="I17" s="85">
        <v>336395.935</v>
      </c>
      <c r="J17" s="85">
        <f t="shared" ca="1" si="2"/>
        <v>34833.994999999995</v>
      </c>
      <c r="K17" s="84">
        <f>'Pre- and Production'!AL398</f>
        <v>2012</v>
      </c>
      <c r="L17" s="130">
        <f>'Pre- and Production'!AM398</f>
        <v>23065.56</v>
      </c>
      <c r="M17" s="127">
        <f>'Pre- and Production'!AN398</f>
        <v>33738.120000000003</v>
      </c>
      <c r="N17" s="127">
        <f>'Pre- and Production'!AO398</f>
        <v>6123.6</v>
      </c>
      <c r="O17" s="127">
        <f>'Pre- and Production'!AP398</f>
        <v>56301.000000000007</v>
      </c>
      <c r="P17" s="127">
        <f>'Pre- and Production'!AQ398</f>
        <v>0</v>
      </c>
      <c r="Q17" s="127">
        <f>'Pre- and Production'!AR398</f>
        <v>1820</v>
      </c>
      <c r="R17" s="131">
        <f>'Pre- and Production'!AS398</f>
        <v>121048.28000000001</v>
      </c>
      <c r="S17" s="85">
        <v>129237.30000000002</v>
      </c>
      <c r="T17" s="85">
        <f t="shared" si="3"/>
        <v>-8189.0200000000041</v>
      </c>
      <c r="V17" s="117">
        <v>2012</v>
      </c>
      <c r="W17" s="85">
        <f t="shared" si="0"/>
        <v>465633.23499999999</v>
      </c>
      <c r="X17" s="85">
        <f t="shared" ca="1" si="1"/>
        <v>492278.21</v>
      </c>
      <c r="Y17" s="85">
        <f t="shared" ca="1" si="4"/>
        <v>26644.974999999991</v>
      </c>
    </row>
    <row r="18" spans="1:25" s="366" customFormat="1">
      <c r="A18" s="84">
        <f>'Pre- and Production'!AB399</f>
        <v>2013</v>
      </c>
      <c r="B18" s="130">
        <f>'Pre- and Production'!AC399</f>
        <v>78305.850000000006</v>
      </c>
      <c r="C18" s="127">
        <f>'Pre- and Production'!AD399</f>
        <v>171009.54</v>
      </c>
      <c r="D18" s="127">
        <f>'Pre- and Production'!AE399</f>
        <v>25719.119999999999</v>
      </c>
      <c r="E18" s="127">
        <f>'Pre- and Production'!AF399</f>
        <v>102424.50000000001</v>
      </c>
      <c r="F18" s="127">
        <f>'Pre- and Production'!AG399</f>
        <v>0</v>
      </c>
      <c r="G18" s="127">
        <f>'Pre- and Production'!AH399</f>
        <v>49654.5</v>
      </c>
      <c r="H18" s="131">
        <f>'Pre- and Production'!AI399</f>
        <v>427113.51</v>
      </c>
      <c r="I18" s="85">
        <v>220237.74500000002</v>
      </c>
      <c r="J18" s="85">
        <f t="shared" si="2"/>
        <v>206875.76499999998</v>
      </c>
      <c r="K18" s="84">
        <f>'Pre- and Production'!AL399</f>
        <v>2013</v>
      </c>
      <c r="L18" s="130">
        <f>'Pre- and Production'!AM399</f>
        <v>75244.05</v>
      </c>
      <c r="M18" s="127">
        <f>'Pre- and Production'!AN399</f>
        <v>76050.000000000015</v>
      </c>
      <c r="N18" s="127">
        <f>'Pre- and Production'!AO399</f>
        <v>3265.92</v>
      </c>
      <c r="O18" s="127">
        <f>'Pre- and Production'!AP399</f>
        <v>68208</v>
      </c>
      <c r="P18" s="127">
        <f>'Pre- and Production'!AQ399</f>
        <v>0</v>
      </c>
      <c r="Q18" s="127">
        <f>'Pre- and Production'!AR399</f>
        <v>23639</v>
      </c>
      <c r="R18" s="131">
        <f>'Pre- and Production'!AS399</f>
        <v>246406.97000000003</v>
      </c>
      <c r="S18" s="85">
        <v>218050.93</v>
      </c>
      <c r="T18" s="85">
        <f t="shared" si="3"/>
        <v>28356.040000000037</v>
      </c>
      <c r="V18" s="366">
        <v>2013</v>
      </c>
      <c r="W18" s="85">
        <f t="shared" si="0"/>
        <v>438288.67500000005</v>
      </c>
      <c r="X18" s="85">
        <f t="shared" si="1"/>
        <v>673520.48</v>
      </c>
      <c r="Y18" s="85">
        <f t="shared" si="4"/>
        <v>235231.80500000002</v>
      </c>
    </row>
    <row r="19" spans="1:25" ht="13.5" thickBot="1">
      <c r="A19" s="84">
        <f>'Pre- and Production'!AB400</f>
        <v>2014</v>
      </c>
      <c r="B19" s="132">
        <f>'Pre- and Production'!AC400</f>
        <v>1632.96</v>
      </c>
      <c r="C19" s="128">
        <f>'Pre- and Production'!AD400</f>
        <v>26535.600000000002</v>
      </c>
      <c r="D19" s="128">
        <f>'Pre- and Production'!AE400</f>
        <v>4082.4</v>
      </c>
      <c r="E19" s="128">
        <f>'Pre- and Production'!AF400</f>
        <v>17982.000000000004</v>
      </c>
      <c r="F19" s="128">
        <f>'Pre- and Production'!AG400</f>
        <v>0</v>
      </c>
      <c r="G19" s="128">
        <f>'Pre- and Production'!AH400</f>
        <v>7420</v>
      </c>
      <c r="H19" s="133">
        <f>'Pre- and Production'!AI400</f>
        <v>57652.960000000006</v>
      </c>
      <c r="I19" s="85">
        <v>33291.000000000007</v>
      </c>
      <c r="J19" s="85">
        <f t="shared" si="2"/>
        <v>24361.96</v>
      </c>
      <c r="K19" s="84">
        <f>'Pre- and Production'!AL400</f>
        <v>2014</v>
      </c>
      <c r="L19" s="132">
        <f>'Pre- and Production'!AM400</f>
        <v>0</v>
      </c>
      <c r="M19" s="128">
        <f>'Pre- and Production'!AN400</f>
        <v>0</v>
      </c>
      <c r="N19" s="128">
        <f>'Pre- and Production'!AO400</f>
        <v>0</v>
      </c>
      <c r="O19" s="128">
        <f>'Pre- and Production'!AP400</f>
        <v>0</v>
      </c>
      <c r="P19" s="128">
        <f>'Pre- and Production'!AQ400</f>
        <v>0</v>
      </c>
      <c r="Q19" s="128">
        <f>'Pre- and Production'!AR400</f>
        <v>0</v>
      </c>
      <c r="R19" s="133">
        <f>'Pre- and Production'!AS400</f>
        <v>0</v>
      </c>
      <c r="S19" s="85">
        <v>0</v>
      </c>
      <c r="T19" s="85">
        <f t="shared" si="3"/>
        <v>0</v>
      </c>
      <c r="V19" s="117">
        <v>2014</v>
      </c>
      <c r="W19" s="85">
        <f t="shared" si="0"/>
        <v>33291.000000000007</v>
      </c>
      <c r="X19" s="85">
        <f t="shared" si="1"/>
        <v>57652.960000000006</v>
      </c>
      <c r="Y19" s="85">
        <f t="shared" si="4"/>
        <v>24361.96</v>
      </c>
    </row>
    <row r="20" spans="1:25">
      <c r="A20" s="84"/>
      <c r="B20" s="106"/>
      <c r="C20" s="106"/>
      <c r="D20" s="106"/>
      <c r="E20" s="106"/>
      <c r="F20" s="106"/>
      <c r="G20" s="119" t="str">
        <f>'Pre- and Production'!AH402</f>
        <v>Base Cost</v>
      </c>
      <c r="H20" s="85">
        <f ca="1">'Pre- and Production'!AI402</f>
        <v>1481803.25</v>
      </c>
      <c r="I20" s="85">
        <f>SUM(I14:I19)</f>
        <v>1330111.2500000002</v>
      </c>
      <c r="J20" s="85">
        <f t="shared" ca="1" si="2"/>
        <v>151691.99999999977</v>
      </c>
      <c r="K20" s="84"/>
      <c r="L20" s="106"/>
      <c r="M20" s="106"/>
      <c r="N20" s="106"/>
      <c r="O20" s="106"/>
      <c r="P20" s="106"/>
      <c r="Q20" s="119" t="str">
        <f>'Pre- and Production'!AR402</f>
        <v>Contingency</v>
      </c>
      <c r="R20" s="85">
        <f>'Pre- and Production'!AS402</f>
        <v>494663.73500000004</v>
      </c>
      <c r="S20" s="85">
        <v>526068.17500000005</v>
      </c>
      <c r="T20" s="85">
        <f t="shared" si="3"/>
        <v>-31404.440000000002</v>
      </c>
      <c r="V20" s="373" t="s">
        <v>519</v>
      </c>
      <c r="W20" s="85">
        <f t="shared" ref="W20:X20" si="5">SUM(W14:W19)</f>
        <v>1856179.425</v>
      </c>
      <c r="X20" s="85">
        <f t="shared" ca="1" si="5"/>
        <v>1976466.9849999999</v>
      </c>
      <c r="Y20" s="85">
        <f ca="1">SUM(Y14:Y19)</f>
        <v>120287.55999999988</v>
      </c>
    </row>
    <row r="21" spans="1:25" ht="13.5" thickBot="1">
      <c r="A21" s="84"/>
      <c r="B21" s="106"/>
      <c r="C21" s="106"/>
      <c r="D21" s="106"/>
      <c r="E21" s="106"/>
      <c r="F21" s="106"/>
      <c r="H21" s="106"/>
      <c r="I21" s="106"/>
      <c r="J21" s="106">
        <f ca="1">SUM(J14:J19)</f>
        <v>151691.99999999985</v>
      </c>
      <c r="K21" s="84"/>
      <c r="L21" s="106"/>
      <c r="M21" s="106"/>
      <c r="N21" s="106"/>
      <c r="O21" s="106"/>
      <c r="P21" s="106"/>
      <c r="Q21" s="119" t="str">
        <f>'Pre- and Production'!AR403</f>
        <v>Percent</v>
      </c>
      <c r="R21" s="105">
        <f ca="1">'Pre- and Production'!AS403</f>
        <v>0.33382551630926716</v>
      </c>
      <c r="T21" s="106">
        <f>SUM(T14:T19)</f>
        <v>-31404.439999999973</v>
      </c>
      <c r="U21" s="369"/>
      <c r="V21" s="85"/>
      <c r="W21" s="85"/>
      <c r="X21" s="85"/>
    </row>
    <row r="22" spans="1:25">
      <c r="A22" s="84"/>
      <c r="B22" s="401" t="str">
        <f>'Pre- and Production'!AC405</f>
        <v>Pre-Production Base Cost</v>
      </c>
      <c r="C22" s="402"/>
      <c r="D22" s="402"/>
      <c r="E22" s="402"/>
      <c r="F22" s="402"/>
      <c r="G22" s="402"/>
      <c r="H22" s="403"/>
      <c r="I22" s="106"/>
      <c r="J22" s="106"/>
      <c r="K22" s="84"/>
      <c r="L22" s="401" t="str">
        <f>'Pre- and Production'!AM405</f>
        <v>Pre-Production Contingency Cost</v>
      </c>
      <c r="M22" s="402"/>
      <c r="N22" s="402"/>
      <c r="O22" s="402"/>
      <c r="P22" s="402"/>
      <c r="Q22" s="402"/>
      <c r="R22" s="403"/>
    </row>
    <row r="23" spans="1:25">
      <c r="A23" s="84"/>
      <c r="B23" s="120" t="str">
        <f>'Pre- and Production'!AC406</f>
        <v>Shop Time</v>
      </c>
      <c r="C23" s="121" t="str">
        <f>'Pre- and Production'!AD406</f>
        <v>MT Time</v>
      </c>
      <c r="D23" s="121" t="str">
        <f>'Pre- and Production'!AE406</f>
        <v>CMM</v>
      </c>
      <c r="E23" s="121" t="str">
        <f>'Pre- and Production'!AF406</f>
        <v>Engineering</v>
      </c>
      <c r="F23" s="121" t="str">
        <f>'Pre- and Production'!AG406</f>
        <v>Design</v>
      </c>
      <c r="G23" s="126" t="str">
        <f>'Pre- and Production'!AH406</f>
        <v>M&amp;S Cost</v>
      </c>
      <c r="H23" s="122"/>
      <c r="I23" s="106"/>
      <c r="J23" s="106"/>
      <c r="K23" s="84"/>
      <c r="L23" s="120" t="str">
        <f>'Pre- and Production'!AM406</f>
        <v>Shop Time</v>
      </c>
      <c r="M23" s="121" t="str">
        <f>'Pre- and Production'!AN406</f>
        <v>MT Time</v>
      </c>
      <c r="N23" s="121" t="str">
        <f>'Pre- and Production'!AO406</f>
        <v>CMM</v>
      </c>
      <c r="O23" s="121" t="str">
        <f>'Pre- and Production'!AP406</f>
        <v>Engineering</v>
      </c>
      <c r="P23" s="121" t="str">
        <f>'Pre- and Production'!AQ406</f>
        <v>Design</v>
      </c>
      <c r="Q23" s="126" t="str">
        <f>'Pre- and Production'!AR406</f>
        <v>M&amp;S Cost</v>
      </c>
      <c r="R23" s="122"/>
    </row>
    <row r="24" spans="1:25">
      <c r="A24" s="84">
        <f>'Pre- and Production'!AB407</f>
        <v>2009</v>
      </c>
      <c r="B24" s="123">
        <f>'Pre- and Production'!AC407</f>
        <v>0</v>
      </c>
      <c r="C24" s="124">
        <f>'Pre- and Production'!AD407</f>
        <v>0</v>
      </c>
      <c r="D24" s="124">
        <f>'Pre- and Production'!AE407</f>
        <v>0</v>
      </c>
      <c r="E24" s="124">
        <f>'Pre- and Production'!AF407</f>
        <v>0</v>
      </c>
      <c r="F24" s="124">
        <f>'Pre- and Production'!AG407</f>
        <v>0</v>
      </c>
      <c r="G24" s="129">
        <f>'Pre- and Production'!AH407</f>
        <v>0</v>
      </c>
      <c r="H24" s="125"/>
      <c r="I24" s="106"/>
      <c r="J24" s="106"/>
      <c r="K24" s="84">
        <f>'Pre- and Production'!AL407</f>
        <v>2009</v>
      </c>
      <c r="L24" s="123">
        <f>'Pre- and Production'!AM407</f>
        <v>0</v>
      </c>
      <c r="M24" s="124">
        <f>'Pre- and Production'!AN407</f>
        <v>0</v>
      </c>
      <c r="N24" s="124">
        <f>'Pre- and Production'!AO407</f>
        <v>0</v>
      </c>
      <c r="O24" s="124">
        <f>'Pre- and Production'!AP407</f>
        <v>0</v>
      </c>
      <c r="P24" s="124">
        <f>'Pre- and Production'!AQ407</f>
        <v>0</v>
      </c>
      <c r="Q24" s="129">
        <f>'Pre- and Production'!AR407</f>
        <v>0</v>
      </c>
      <c r="R24" s="125"/>
      <c r="V24" s="117">
        <v>61</v>
      </c>
    </row>
    <row r="25" spans="1:25">
      <c r="A25" s="84">
        <f>'Pre- and Production'!AB408</f>
        <v>2010</v>
      </c>
      <c r="B25" s="123">
        <f>'Pre- and Production'!AC408</f>
        <v>194</v>
      </c>
      <c r="C25" s="124">
        <f>'Pre- and Production'!AD408</f>
        <v>635</v>
      </c>
      <c r="D25" s="124">
        <f>'Pre- and Production'!AE408</f>
        <v>52</v>
      </c>
      <c r="E25" s="124">
        <f>'Pre- and Production'!AF408</f>
        <v>1002</v>
      </c>
      <c r="F25" s="124">
        <f>'Pre- and Production'!AG408</f>
        <v>0</v>
      </c>
      <c r="G25" s="129">
        <f>'Pre- and Production'!AH408</f>
        <v>21134</v>
      </c>
      <c r="H25" s="125"/>
      <c r="I25" s="106"/>
      <c r="J25" s="106"/>
      <c r="K25" s="84">
        <f>'Pre- and Production'!AL408</f>
        <v>2010</v>
      </c>
      <c r="L25" s="123">
        <f>'Pre- and Production'!AM408</f>
        <v>48</v>
      </c>
      <c r="M25" s="124">
        <f>'Pre- and Production'!AN408</f>
        <v>32</v>
      </c>
      <c r="N25" s="124">
        <f>'Pre- and Production'!AO408</f>
        <v>0</v>
      </c>
      <c r="O25" s="124">
        <f>'Pre- and Production'!AP408</f>
        <v>12</v>
      </c>
      <c r="P25" s="124">
        <f>'Pre- and Production'!AQ408</f>
        <v>0</v>
      </c>
      <c r="Q25" s="129">
        <f>'Pre- and Production'!AR408</f>
        <v>153</v>
      </c>
      <c r="R25" s="125"/>
      <c r="V25" s="117">
        <v>64</v>
      </c>
    </row>
    <row r="26" spans="1:25">
      <c r="A26" s="84">
        <f>'Pre- and Production'!AB409</f>
        <v>2011</v>
      </c>
      <c r="B26" s="123">
        <f>'Pre- and Production'!AC409</f>
        <v>128</v>
      </c>
      <c r="C26" s="124">
        <f>'Pre- and Production'!AD409</f>
        <v>386</v>
      </c>
      <c r="D26" s="124">
        <f>'Pre- and Production'!AE409</f>
        <v>32</v>
      </c>
      <c r="E26" s="124">
        <f>'Pre- and Production'!AF409</f>
        <v>940</v>
      </c>
      <c r="F26" s="124">
        <f>'Pre- and Production'!AG409</f>
        <v>0</v>
      </c>
      <c r="G26" s="129">
        <f ca="1">'Pre- and Production'!AH409</f>
        <v>7827.5</v>
      </c>
      <c r="H26" s="125"/>
      <c r="I26" s="106"/>
      <c r="J26" s="106"/>
      <c r="K26" s="84">
        <f>'Pre- and Production'!AL409</f>
        <v>2011</v>
      </c>
      <c r="L26" s="123">
        <f>'Pre- and Production'!AM409</f>
        <v>76</v>
      </c>
      <c r="M26" s="124">
        <f>'Pre- and Production'!AN409</f>
        <v>88</v>
      </c>
      <c r="N26" s="124">
        <f>'Pre- and Production'!AO409</f>
        <v>16</v>
      </c>
      <c r="O26" s="124">
        <f>'Pre- and Production'!AP409</f>
        <v>120</v>
      </c>
      <c r="P26" s="124">
        <f>'Pre- and Production'!AQ409</f>
        <v>0</v>
      </c>
      <c r="Q26" s="129">
        <f>'Pre- and Production'!AR409</f>
        <v>1080</v>
      </c>
      <c r="R26" s="125"/>
      <c r="V26" s="117">
        <v>18</v>
      </c>
    </row>
    <row r="27" spans="1:25">
      <c r="A27" s="84">
        <f>'Pre- and Production'!AB410</f>
        <v>2012</v>
      </c>
      <c r="B27" s="123">
        <f>'Pre- and Production'!AC410</f>
        <v>38.75</v>
      </c>
      <c r="C27" s="124">
        <f>'Pre- and Production'!AD410</f>
        <v>2</v>
      </c>
      <c r="D27" s="124">
        <f>'Pre- and Production'!AE410</f>
        <v>0</v>
      </c>
      <c r="E27" s="124">
        <f>'Pre- and Production'!AF410</f>
        <v>60</v>
      </c>
      <c r="F27" s="124">
        <f>'Pre- and Production'!AG410</f>
        <v>0</v>
      </c>
      <c r="G27" s="129">
        <f ca="1">'Pre- and Production'!AH410</f>
        <v>2285</v>
      </c>
      <c r="H27" s="125"/>
      <c r="I27" s="106"/>
      <c r="J27" s="106"/>
      <c r="K27" s="84">
        <f>'Pre- and Production'!AL410</f>
        <v>2012</v>
      </c>
      <c r="L27" s="123">
        <f>'Pre- and Production'!AM410</f>
        <v>0</v>
      </c>
      <c r="M27" s="124">
        <f>'Pre- and Production'!AN410</f>
        <v>0</v>
      </c>
      <c r="N27" s="124">
        <f>'Pre- and Production'!AO410</f>
        <v>0</v>
      </c>
      <c r="O27" s="124">
        <f>'Pre- and Production'!AP410</f>
        <v>40</v>
      </c>
      <c r="P27" s="124">
        <f>'Pre- and Production'!AQ410</f>
        <v>0</v>
      </c>
      <c r="Q27" s="129">
        <f>'Pre- and Production'!AR410</f>
        <v>8</v>
      </c>
      <c r="R27" s="125"/>
      <c r="V27" s="370">
        <v>46</v>
      </c>
    </row>
    <row r="28" spans="1:25">
      <c r="A28" s="84">
        <f>'Pre- and Production'!AB411</f>
        <v>2013</v>
      </c>
      <c r="B28" s="123">
        <f>'Pre- and Production'!AC411</f>
        <v>16</v>
      </c>
      <c r="C28" s="124">
        <f>'Pre- and Production'!AD411</f>
        <v>2</v>
      </c>
      <c r="D28" s="124">
        <f>'Pre- and Production'!AE411</f>
        <v>0</v>
      </c>
      <c r="E28" s="124">
        <f>'Pre- and Production'!AF411</f>
        <v>0</v>
      </c>
      <c r="F28" s="124">
        <f>'Pre- and Production'!AG411</f>
        <v>0</v>
      </c>
      <c r="G28" s="129">
        <f>'Pre- and Production'!AH411</f>
        <v>160</v>
      </c>
      <c r="H28" s="125"/>
      <c r="I28" s="106"/>
      <c r="J28" s="106"/>
      <c r="K28" s="84">
        <f>'Pre- and Production'!AL411</f>
        <v>2013</v>
      </c>
      <c r="L28" s="123">
        <f>'Pre- and Production'!AM411</f>
        <v>16</v>
      </c>
      <c r="M28" s="124">
        <f>'Pre- and Production'!AN411</f>
        <v>2</v>
      </c>
      <c r="N28" s="124">
        <f>'Pre- and Production'!AO411</f>
        <v>0</v>
      </c>
      <c r="O28" s="124">
        <f>'Pre- and Production'!AP411</f>
        <v>40</v>
      </c>
      <c r="P28" s="124">
        <f>'Pre- and Production'!AQ411</f>
        <v>0</v>
      </c>
      <c r="Q28" s="129">
        <f>'Pre- and Production'!AR411</f>
        <v>160</v>
      </c>
      <c r="R28" s="125"/>
    </row>
    <row r="29" spans="1:25" s="366" customFormat="1">
      <c r="A29" s="84">
        <f>'Pre- and Production'!AB412</f>
        <v>2014</v>
      </c>
      <c r="B29" s="123">
        <f>'Pre- and Production'!AC412</f>
        <v>0</v>
      </c>
      <c r="C29" s="124">
        <f>'Pre- and Production'!AD412</f>
        <v>0</v>
      </c>
      <c r="D29" s="124">
        <f>'Pre- and Production'!AE412</f>
        <v>0</v>
      </c>
      <c r="E29" s="124">
        <f>'Pre- and Production'!AF412</f>
        <v>0</v>
      </c>
      <c r="F29" s="124">
        <f>'Pre- and Production'!AG412</f>
        <v>0</v>
      </c>
      <c r="G29" s="129">
        <f>'Pre- and Production'!AH412</f>
        <v>0</v>
      </c>
      <c r="H29" s="125"/>
      <c r="I29" s="106"/>
      <c r="J29" s="106"/>
      <c r="K29" s="84">
        <f>'Pre- and Production'!AL412</f>
        <v>2014</v>
      </c>
      <c r="L29" s="123">
        <f>'Pre- and Production'!AM412</f>
        <v>0</v>
      </c>
      <c r="M29" s="124">
        <f>'Pre- and Production'!AN412</f>
        <v>0</v>
      </c>
      <c r="N29" s="124">
        <f>'Pre- and Production'!AO412</f>
        <v>0</v>
      </c>
      <c r="O29" s="124">
        <f>'Pre- and Production'!AP412</f>
        <v>0</v>
      </c>
      <c r="P29" s="124">
        <f>'Pre- and Production'!AQ412</f>
        <v>0</v>
      </c>
      <c r="Q29" s="129">
        <f>'Pre- and Production'!AR412</f>
        <v>0</v>
      </c>
      <c r="R29" s="125"/>
      <c r="W29" s="370"/>
      <c r="X29" s="370"/>
    </row>
    <row r="30" spans="1:25">
      <c r="A30" s="84" t="str">
        <f>'Pre- and Production'!AB413</f>
        <v>CONT</v>
      </c>
      <c r="B30" s="123">
        <f>'Pre- and Production'!AC413</f>
        <v>0</v>
      </c>
      <c r="C30" s="124">
        <f>'Pre- and Production'!AD413</f>
        <v>0</v>
      </c>
      <c r="D30" s="124">
        <f>'Pre- and Production'!AE413</f>
        <v>0</v>
      </c>
      <c r="E30" s="124">
        <f>'Pre- and Production'!AF413</f>
        <v>0</v>
      </c>
      <c r="F30" s="124">
        <f>'Pre- and Production'!AG413</f>
        <v>0</v>
      </c>
      <c r="G30" s="129">
        <f>'Pre- and Production'!AH413</f>
        <v>0</v>
      </c>
      <c r="H30" s="125"/>
      <c r="I30" s="106"/>
      <c r="J30" s="106"/>
      <c r="K30" s="84" t="str">
        <f>'Pre- and Production'!AL413</f>
        <v>CONT</v>
      </c>
      <c r="L30" s="123">
        <f>'Pre- and Production'!AM413</f>
        <v>0</v>
      </c>
      <c r="M30" s="124">
        <f>'Pre- and Production'!AN413</f>
        <v>0</v>
      </c>
      <c r="N30" s="124">
        <f>'Pre- and Production'!AO413</f>
        <v>0</v>
      </c>
      <c r="O30" s="124">
        <f>'Pre- and Production'!AP413</f>
        <v>0</v>
      </c>
      <c r="P30" s="124">
        <f>'Pre- and Production'!AQ413</f>
        <v>0</v>
      </c>
      <c r="Q30" s="129">
        <f>'Pre- and Production'!AR413</f>
        <v>0</v>
      </c>
      <c r="R30" s="125"/>
    </row>
    <row r="31" spans="1:25">
      <c r="A31" s="84" t="str">
        <f>'Pre- and Production'!AB414</f>
        <v>STAR</v>
      </c>
      <c r="B31" s="123">
        <f>'Pre- and Production'!AC414</f>
        <v>0</v>
      </c>
      <c r="C31" s="124">
        <f>'Pre- and Production'!AD414</f>
        <v>0</v>
      </c>
      <c r="D31" s="124">
        <f>'Pre- and Production'!AE414</f>
        <v>0</v>
      </c>
      <c r="E31" s="124">
        <f>'Pre- and Production'!AF414</f>
        <v>0</v>
      </c>
      <c r="F31" s="124">
        <f>'Pre- and Production'!AG414</f>
        <v>0</v>
      </c>
      <c r="G31" s="129">
        <f>'Pre- and Production'!AH414</f>
        <v>0</v>
      </c>
      <c r="H31" s="125"/>
      <c r="I31" s="106"/>
      <c r="J31" s="106"/>
      <c r="K31" s="84" t="str">
        <f>'Pre- and Production'!AL414</f>
        <v>STAR</v>
      </c>
      <c r="L31" s="123">
        <f>'Pre- and Production'!AM414</f>
        <v>0</v>
      </c>
      <c r="M31" s="124">
        <f>'Pre- and Production'!AN414</f>
        <v>0</v>
      </c>
      <c r="N31" s="124">
        <f>'Pre- and Production'!AO414</f>
        <v>0</v>
      </c>
      <c r="O31" s="124">
        <f>'Pre- and Production'!AP414</f>
        <v>0</v>
      </c>
      <c r="P31" s="124">
        <f>'Pre- and Production'!AQ414</f>
        <v>0</v>
      </c>
      <c r="Q31" s="129">
        <f>'Pre- and Production'!AR414</f>
        <v>0</v>
      </c>
      <c r="R31" s="125"/>
    </row>
    <row r="32" spans="1:25">
      <c r="A32" s="84"/>
      <c r="B32" s="404" t="str">
        <f>'Pre- and Production'!AC415</f>
        <v>Project Estimated Cost</v>
      </c>
      <c r="C32" s="405"/>
      <c r="D32" s="405"/>
      <c r="E32" s="405"/>
      <c r="F32" s="405"/>
      <c r="G32" s="405"/>
      <c r="H32" s="406"/>
      <c r="I32" s="106"/>
      <c r="J32" s="106"/>
      <c r="K32" s="84"/>
      <c r="L32" s="404" t="str">
        <f>'Pre- and Production'!AM415</f>
        <v>Project Estimated Cost</v>
      </c>
      <c r="M32" s="405"/>
      <c r="N32" s="405"/>
      <c r="O32" s="405"/>
      <c r="P32" s="405"/>
      <c r="Q32" s="405"/>
      <c r="R32" s="406"/>
    </row>
    <row r="33" spans="1:24">
      <c r="A33" s="84"/>
      <c r="B33" s="120" t="str">
        <f>'Pre- and Production'!AC416</f>
        <v>Shop Cost</v>
      </c>
      <c r="C33" s="121" t="str">
        <f>'Pre- and Production'!AD416</f>
        <v>MT Cost</v>
      </c>
      <c r="D33" s="121" t="str">
        <f>'Pre- and Production'!AE416</f>
        <v>CMM</v>
      </c>
      <c r="E33" s="121" t="str">
        <f>'Pre- and Production'!AF416</f>
        <v>Engineering</v>
      </c>
      <c r="F33" s="121" t="str">
        <f>'Pre- and Production'!AG416</f>
        <v>Design</v>
      </c>
      <c r="G33" s="126" t="str">
        <f>'Pre- and Production'!AH416</f>
        <v>M&amp;S Cost</v>
      </c>
      <c r="H33" s="122" t="str">
        <f>'Pre- and Production'!AI416</f>
        <v>Totals</v>
      </c>
      <c r="I33" s="106"/>
      <c r="J33" s="106"/>
      <c r="K33" s="84"/>
      <c r="L33" s="120" t="str">
        <f>'Pre- and Production'!AM416</f>
        <v>Shop Cost</v>
      </c>
      <c r="M33" s="121" t="str">
        <f>'Pre- and Production'!AN416</f>
        <v>MT Cost</v>
      </c>
      <c r="N33" s="121" t="str">
        <f>'Pre- and Production'!AO416</f>
        <v>CMM</v>
      </c>
      <c r="O33" s="121" t="str">
        <f>'Pre- and Production'!AP416</f>
        <v>Engineering</v>
      </c>
      <c r="P33" s="121" t="str">
        <f>'Pre- and Production'!AQ416</f>
        <v>Design</v>
      </c>
      <c r="Q33" s="126" t="str">
        <f>'Pre- and Production'!AR416</f>
        <v>M&amp;S Cost</v>
      </c>
      <c r="R33" s="122" t="str">
        <f>'Pre- and Production'!AS416</f>
        <v>Totals</v>
      </c>
    </row>
    <row r="34" spans="1:24">
      <c r="A34" s="84">
        <f>'Pre- and Production'!AB417</f>
        <v>2009</v>
      </c>
      <c r="B34" s="130">
        <f>'Pre- and Production'!AC417</f>
        <v>0</v>
      </c>
      <c r="C34" s="127">
        <f>'Pre- and Production'!AD417</f>
        <v>0</v>
      </c>
      <c r="D34" s="127">
        <f>'Pre- and Production'!AE417</f>
        <v>0</v>
      </c>
      <c r="E34" s="127">
        <f>'Pre- and Production'!AF417</f>
        <v>0</v>
      </c>
      <c r="F34" s="127">
        <f>'Pre- and Production'!AG417</f>
        <v>0</v>
      </c>
      <c r="G34" s="127">
        <f>'Pre- and Production'!AH417</f>
        <v>0</v>
      </c>
      <c r="H34" s="131">
        <f>'Pre- and Production'!AI417</f>
        <v>0</v>
      </c>
      <c r="I34" s="106"/>
      <c r="J34" s="106"/>
      <c r="K34" s="84">
        <f>'Pre- and Production'!AL417</f>
        <v>2009</v>
      </c>
      <c r="L34" s="130">
        <f>'Pre- and Production'!AM417</f>
        <v>0</v>
      </c>
      <c r="M34" s="127">
        <f>'Pre- and Production'!AN417</f>
        <v>0</v>
      </c>
      <c r="N34" s="127">
        <f>'Pre- and Production'!AO417</f>
        <v>0</v>
      </c>
      <c r="O34" s="127">
        <f>'Pre- and Production'!AP417</f>
        <v>0</v>
      </c>
      <c r="P34" s="127">
        <f>'Pre- and Production'!AQ417</f>
        <v>0</v>
      </c>
      <c r="Q34" s="127">
        <f>'Pre- and Production'!AR417</f>
        <v>0</v>
      </c>
      <c r="R34" s="131">
        <f>'Pre- and Production'!AS417</f>
        <v>0</v>
      </c>
    </row>
    <row r="35" spans="1:24">
      <c r="A35" s="84">
        <f>'Pre- and Production'!AB418</f>
        <v>2010</v>
      </c>
      <c r="B35" s="130">
        <f>'Pre- and Production'!AC418</f>
        <v>24444</v>
      </c>
      <c r="C35" s="127">
        <f>'Pre- and Production'!AD418</f>
        <v>74295</v>
      </c>
      <c r="D35" s="127">
        <f>'Pre- and Production'!AE418</f>
        <v>6552</v>
      </c>
      <c r="E35" s="127">
        <f>'Pre- and Production'!AF418</f>
        <v>150300</v>
      </c>
      <c r="F35" s="127">
        <f>'Pre- and Production'!AG418</f>
        <v>0</v>
      </c>
      <c r="G35" s="127">
        <f>'Pre- and Production'!AH418</f>
        <v>21134</v>
      </c>
      <c r="H35" s="131">
        <f>'Pre- and Production'!AI418</f>
        <v>276725</v>
      </c>
      <c r="I35" s="106"/>
      <c r="J35" s="106"/>
      <c r="K35" s="84">
        <f>'Pre- and Production'!AL418</f>
        <v>2010</v>
      </c>
      <c r="L35" s="130">
        <f>'Pre- and Production'!AM418</f>
        <v>6048</v>
      </c>
      <c r="M35" s="127">
        <f>'Pre- and Production'!AN418</f>
        <v>3744</v>
      </c>
      <c r="N35" s="127">
        <f>'Pre- and Production'!AO418</f>
        <v>0</v>
      </c>
      <c r="O35" s="127">
        <f>'Pre- and Production'!AP418</f>
        <v>1800</v>
      </c>
      <c r="P35" s="127">
        <f>'Pre- and Production'!AQ418</f>
        <v>0</v>
      </c>
      <c r="Q35" s="127">
        <f>'Pre- and Production'!AR418</f>
        <v>153</v>
      </c>
      <c r="R35" s="131">
        <f>'Pre- and Production'!AS418</f>
        <v>11745</v>
      </c>
    </row>
    <row r="36" spans="1:24">
      <c r="A36" s="84">
        <f>'Pre- and Production'!AB419</f>
        <v>2011</v>
      </c>
      <c r="B36" s="130">
        <f>'Pre- and Production'!AC419</f>
        <v>16128</v>
      </c>
      <c r="C36" s="127">
        <f>'Pre- and Production'!AD419</f>
        <v>45162</v>
      </c>
      <c r="D36" s="127">
        <f>'Pre- and Production'!AE419</f>
        <v>4032</v>
      </c>
      <c r="E36" s="127">
        <f>'Pre- and Production'!AF419</f>
        <v>141000</v>
      </c>
      <c r="F36" s="127">
        <f>'Pre- and Production'!AG419</f>
        <v>0</v>
      </c>
      <c r="G36" s="127">
        <f ca="1">'Pre- and Production'!AH419</f>
        <v>7827.5</v>
      </c>
      <c r="H36" s="131">
        <f ca="1">'Pre- and Production'!AI419</f>
        <v>214149.5</v>
      </c>
      <c r="I36" s="106"/>
      <c r="J36" s="106"/>
      <c r="K36" s="84">
        <f>'Pre- and Production'!AL419</f>
        <v>2011</v>
      </c>
      <c r="L36" s="130">
        <f>'Pre- and Production'!AM419</f>
        <v>9576</v>
      </c>
      <c r="M36" s="127">
        <f>'Pre- and Production'!AN419</f>
        <v>10296</v>
      </c>
      <c r="N36" s="127">
        <f>'Pre- and Production'!AO419</f>
        <v>2016</v>
      </c>
      <c r="O36" s="127">
        <f>'Pre- and Production'!AP419</f>
        <v>18000</v>
      </c>
      <c r="P36" s="127">
        <f>'Pre- and Production'!AQ419</f>
        <v>0</v>
      </c>
      <c r="Q36" s="127">
        <f>'Pre- and Production'!AR419</f>
        <v>1080</v>
      </c>
      <c r="R36" s="131">
        <f>'Pre- and Production'!AS419</f>
        <v>40968</v>
      </c>
    </row>
    <row r="37" spans="1:24">
      <c r="A37" s="84">
        <f>'Pre- and Production'!AB420</f>
        <v>2012</v>
      </c>
      <c r="B37" s="130">
        <f>'Pre- and Production'!AC420</f>
        <v>4882.5</v>
      </c>
      <c r="C37" s="127">
        <f>'Pre- and Production'!AD420</f>
        <v>234</v>
      </c>
      <c r="D37" s="127">
        <f>'Pre- and Production'!AE420</f>
        <v>0</v>
      </c>
      <c r="E37" s="127">
        <f>'Pre- and Production'!AF420</f>
        <v>9000</v>
      </c>
      <c r="F37" s="127">
        <f>'Pre- and Production'!AG420</f>
        <v>0</v>
      </c>
      <c r="G37" s="127">
        <f ca="1">'Pre- and Production'!AH420</f>
        <v>2285</v>
      </c>
      <c r="H37" s="131">
        <f ca="1">'Pre- and Production'!AI420</f>
        <v>16401.5</v>
      </c>
      <c r="I37" s="106"/>
      <c r="J37" s="106"/>
      <c r="K37" s="84">
        <f>'Pre- and Production'!AL420</f>
        <v>2012</v>
      </c>
      <c r="L37" s="130">
        <f>'Pre- and Production'!AM420</f>
        <v>0</v>
      </c>
      <c r="M37" s="127">
        <f>'Pre- and Production'!AN420</f>
        <v>0</v>
      </c>
      <c r="N37" s="127">
        <f>'Pre- and Production'!AO420</f>
        <v>0</v>
      </c>
      <c r="O37" s="127">
        <f>'Pre- and Production'!AP420</f>
        <v>6000</v>
      </c>
      <c r="P37" s="127">
        <f>'Pre- and Production'!AQ420</f>
        <v>0</v>
      </c>
      <c r="Q37" s="127">
        <f>'Pre- and Production'!AR420</f>
        <v>8</v>
      </c>
      <c r="R37" s="131">
        <f>'Pre- and Production'!AS420</f>
        <v>6008</v>
      </c>
    </row>
    <row r="38" spans="1:24" s="366" customFormat="1">
      <c r="A38" s="84">
        <f>'Pre- and Production'!AB421</f>
        <v>2013</v>
      </c>
      <c r="B38" s="130">
        <f>'Pre- and Production'!AC421</f>
        <v>2016</v>
      </c>
      <c r="C38" s="127">
        <f>'Pre- and Production'!AD421</f>
        <v>234</v>
      </c>
      <c r="D38" s="127">
        <f>'Pre- and Production'!AE421</f>
        <v>0</v>
      </c>
      <c r="E38" s="127">
        <f>'Pre- and Production'!AF421</f>
        <v>0</v>
      </c>
      <c r="F38" s="127">
        <f>'Pre- and Production'!AG421</f>
        <v>0</v>
      </c>
      <c r="G38" s="127">
        <f>'Pre- and Production'!AH421</f>
        <v>160</v>
      </c>
      <c r="H38" s="131">
        <f>'Pre- and Production'!AI421</f>
        <v>2410</v>
      </c>
      <c r="I38" s="106"/>
      <c r="J38" s="106"/>
      <c r="K38" s="84">
        <f>'Pre- and Production'!AL421</f>
        <v>2013</v>
      </c>
      <c r="L38" s="130">
        <f>'Pre- and Production'!AM421</f>
        <v>2016</v>
      </c>
      <c r="M38" s="127">
        <f>'Pre- and Production'!AN421</f>
        <v>234</v>
      </c>
      <c r="N38" s="127">
        <f>'Pre- and Production'!AO421</f>
        <v>0</v>
      </c>
      <c r="O38" s="127">
        <f>'Pre- and Production'!AP421</f>
        <v>6000</v>
      </c>
      <c r="P38" s="127">
        <f>'Pre- and Production'!AQ421</f>
        <v>0</v>
      </c>
      <c r="Q38" s="127">
        <f>'Pre- and Production'!AR421</f>
        <v>160</v>
      </c>
      <c r="R38" s="131">
        <f>'Pre- and Production'!AS421</f>
        <v>8410</v>
      </c>
      <c r="W38" s="370"/>
      <c r="X38" s="370"/>
    </row>
    <row r="39" spans="1:24" ht="13.5" thickBot="1">
      <c r="A39" s="84">
        <f>'Pre- and Production'!AB422</f>
        <v>2014</v>
      </c>
      <c r="B39" s="132">
        <f>'Pre- and Production'!AC422</f>
        <v>0</v>
      </c>
      <c r="C39" s="128">
        <f>'Pre- and Production'!AD422</f>
        <v>0</v>
      </c>
      <c r="D39" s="128">
        <f>'Pre- and Production'!AE422</f>
        <v>0</v>
      </c>
      <c r="E39" s="128">
        <f>'Pre- and Production'!AF422</f>
        <v>0</v>
      </c>
      <c r="F39" s="128">
        <f>'Pre- and Production'!AG422</f>
        <v>0</v>
      </c>
      <c r="G39" s="128">
        <f>'Pre- and Production'!AH422</f>
        <v>0</v>
      </c>
      <c r="H39" s="133">
        <f>'Pre- and Production'!AI422</f>
        <v>0</v>
      </c>
      <c r="I39" s="106"/>
      <c r="J39" s="106"/>
      <c r="K39" s="84">
        <f>'Pre- and Production'!AL422</f>
        <v>2014</v>
      </c>
      <c r="L39" s="132">
        <f>'Pre- and Production'!AM422</f>
        <v>0</v>
      </c>
      <c r="M39" s="128">
        <f>'Pre- and Production'!AN422</f>
        <v>0</v>
      </c>
      <c r="N39" s="128">
        <f>'Pre- and Production'!AO422</f>
        <v>0</v>
      </c>
      <c r="O39" s="128">
        <f>'Pre- and Production'!AP422</f>
        <v>0</v>
      </c>
      <c r="P39" s="128">
        <f>'Pre- and Production'!AQ422</f>
        <v>0</v>
      </c>
      <c r="Q39" s="128">
        <f>'Pre- and Production'!AR422</f>
        <v>0</v>
      </c>
      <c r="R39" s="133">
        <f>'Pre- and Production'!AS422</f>
        <v>0</v>
      </c>
    </row>
    <row r="40" spans="1:24">
      <c r="A40" s="84"/>
      <c r="B40" s="106"/>
      <c r="C40" s="106"/>
      <c r="D40" s="106"/>
      <c r="E40" s="106"/>
      <c r="F40" s="106"/>
      <c r="G40" s="119" t="str">
        <f>'Pre- and Production'!AH424</f>
        <v>Base Cost</v>
      </c>
      <c r="H40" s="85">
        <f ca="1">'Pre- and Production'!AI424</f>
        <v>509686</v>
      </c>
      <c r="I40" s="106"/>
      <c r="J40" s="106"/>
      <c r="K40" s="84"/>
      <c r="L40" s="106"/>
      <c r="M40" s="106"/>
      <c r="N40" s="106"/>
      <c r="O40" s="106"/>
      <c r="P40" s="106"/>
      <c r="Q40" s="119" t="str">
        <f>'Pre- and Production'!AR424</f>
        <v>Contingency</v>
      </c>
      <c r="R40" s="85">
        <f>'Pre- and Production'!AS424</f>
        <v>67131</v>
      </c>
    </row>
    <row r="41" spans="1:24" ht="13.5" thickBot="1">
      <c r="A41" s="84"/>
      <c r="B41" s="106"/>
      <c r="C41" s="106"/>
      <c r="D41" s="106"/>
      <c r="E41" s="106"/>
      <c r="F41" s="106"/>
      <c r="H41" s="106"/>
      <c r="I41" s="106"/>
      <c r="J41" s="106"/>
      <c r="K41" s="84"/>
      <c r="L41" s="106"/>
      <c r="M41" s="106"/>
      <c r="N41" s="106"/>
      <c r="O41" s="106"/>
      <c r="P41" s="106"/>
      <c r="Q41" s="119" t="str">
        <f>'Pre- and Production'!AR425</f>
        <v>Percent</v>
      </c>
      <c r="R41" s="105">
        <f ca="1">'Pre- and Production'!AS425</f>
        <v>0.13171050411429783</v>
      </c>
    </row>
    <row r="42" spans="1:24">
      <c r="A42" s="84"/>
      <c r="B42" s="401" t="str">
        <f>'Pre- and Production'!AC427</f>
        <v>Production Base Cost</v>
      </c>
      <c r="C42" s="402"/>
      <c r="D42" s="402"/>
      <c r="E42" s="402"/>
      <c r="F42" s="402"/>
      <c r="G42" s="402"/>
      <c r="H42" s="403"/>
      <c r="I42" s="106"/>
      <c r="J42" s="106"/>
      <c r="K42" s="84"/>
      <c r="L42" s="401" t="str">
        <f>'Pre- and Production'!AM427</f>
        <v>Production Contingency Cost</v>
      </c>
      <c r="M42" s="402"/>
      <c r="N42" s="402"/>
      <c r="O42" s="402"/>
      <c r="P42" s="402"/>
      <c r="Q42" s="402"/>
      <c r="R42" s="403"/>
    </row>
    <row r="43" spans="1:24">
      <c r="A43" s="84"/>
      <c r="B43" s="120" t="str">
        <f>'Pre- and Production'!AC428</f>
        <v>Shop Time</v>
      </c>
      <c r="C43" s="121" t="str">
        <f>'Pre- and Production'!AD428</f>
        <v>MT Time</v>
      </c>
      <c r="D43" s="121" t="str">
        <f>'Pre- and Production'!AE428</f>
        <v>CMM</v>
      </c>
      <c r="E43" s="121" t="str">
        <f>'Pre- and Production'!AF428</f>
        <v>Engineering</v>
      </c>
      <c r="F43" s="121" t="str">
        <f>'Pre- and Production'!AG428</f>
        <v>Design</v>
      </c>
      <c r="G43" s="126" t="str">
        <f>'Pre- and Production'!AH428</f>
        <v>M&amp;S Cost</v>
      </c>
      <c r="H43" s="122"/>
      <c r="I43" s="106"/>
      <c r="J43" s="106"/>
      <c r="K43" s="84"/>
      <c r="L43" s="120" t="str">
        <f>'Pre- and Production'!AM428</f>
        <v>Shop Time</v>
      </c>
      <c r="M43" s="121" t="str">
        <f>'Pre- and Production'!AN428</f>
        <v>MT Time</v>
      </c>
      <c r="N43" s="121" t="str">
        <f>'Pre- and Production'!AO428</f>
        <v>CMM</v>
      </c>
      <c r="O43" s="121" t="str">
        <f>'Pre- and Production'!AP428</f>
        <v>Engineering</v>
      </c>
      <c r="P43" s="121" t="str">
        <f>'Pre- and Production'!AQ428</f>
        <v>Design</v>
      </c>
      <c r="Q43" s="126" t="str">
        <f>'Pre- and Production'!AR428</f>
        <v>M&amp;S Cost</v>
      </c>
      <c r="R43" s="122"/>
    </row>
    <row r="44" spans="1:24">
      <c r="A44" s="84">
        <f>'Pre- and Production'!AB429</f>
        <v>2009</v>
      </c>
      <c r="B44" s="123">
        <f>'Pre- and Production'!AC429</f>
        <v>0</v>
      </c>
      <c r="C44" s="124">
        <f>'Pre- and Production'!AD429</f>
        <v>0</v>
      </c>
      <c r="D44" s="124">
        <f>'Pre- and Production'!AE429</f>
        <v>0</v>
      </c>
      <c r="E44" s="124">
        <f>'Pre- and Production'!AF429</f>
        <v>0</v>
      </c>
      <c r="F44" s="124">
        <f>'Pre- and Production'!AG429</f>
        <v>0</v>
      </c>
      <c r="G44" s="129">
        <f>'Pre- and Production'!AH429</f>
        <v>0</v>
      </c>
      <c r="H44" s="125"/>
      <c r="I44" s="106"/>
      <c r="J44" s="106"/>
      <c r="K44" s="84">
        <f>'Pre- and Production'!AL429</f>
        <v>2009</v>
      </c>
      <c r="L44" s="123">
        <f>'Pre- and Production'!AM429</f>
        <v>0</v>
      </c>
      <c r="M44" s="124">
        <f>'Pre- and Production'!AN429</f>
        <v>0</v>
      </c>
      <c r="N44" s="124">
        <f>'Pre- and Production'!AO429</f>
        <v>0</v>
      </c>
      <c r="O44" s="124">
        <f>'Pre- and Production'!AP429</f>
        <v>0</v>
      </c>
      <c r="P44" s="124">
        <f>'Pre- and Production'!AQ429</f>
        <v>0</v>
      </c>
      <c r="Q44" s="129">
        <f>'Pre- and Production'!AR429</f>
        <v>0</v>
      </c>
      <c r="R44" s="125"/>
    </row>
    <row r="45" spans="1:24">
      <c r="A45" s="84">
        <f>'Pre- and Production'!AB430</f>
        <v>2010</v>
      </c>
      <c r="B45" s="123">
        <f>'Pre- and Production'!AC430</f>
        <v>40</v>
      </c>
      <c r="C45" s="124">
        <f>'Pre- and Production'!AD430</f>
        <v>86</v>
      </c>
      <c r="D45" s="124">
        <f>'Pre- and Production'!AE430</f>
        <v>56</v>
      </c>
      <c r="E45" s="124">
        <f>'Pre- and Production'!AF430</f>
        <v>113</v>
      </c>
      <c r="F45" s="124">
        <f>'Pre- and Production'!AG430</f>
        <v>0</v>
      </c>
      <c r="G45" s="129">
        <f>'Pre- and Production'!AH430</f>
        <v>10422.5</v>
      </c>
      <c r="H45" s="125"/>
      <c r="I45" s="106"/>
      <c r="J45" s="106"/>
      <c r="K45" s="84">
        <f>'Pre- and Production'!AL430</f>
        <v>2010</v>
      </c>
      <c r="L45" s="123">
        <f>'Pre- and Production'!AM430</f>
        <v>0</v>
      </c>
      <c r="M45" s="124">
        <f>'Pre- and Production'!AN430</f>
        <v>0</v>
      </c>
      <c r="N45" s="124">
        <f>'Pre- and Production'!AO430</f>
        <v>0</v>
      </c>
      <c r="O45" s="124">
        <f>'Pre- and Production'!AP430</f>
        <v>0</v>
      </c>
      <c r="P45" s="124">
        <f>'Pre- and Production'!AQ430</f>
        <v>0</v>
      </c>
      <c r="Q45" s="129">
        <f>'Pre- and Production'!AR430</f>
        <v>0</v>
      </c>
      <c r="R45" s="125"/>
    </row>
    <row r="46" spans="1:24">
      <c r="A46" s="84">
        <f>'Pre- and Production'!AB431</f>
        <v>2011</v>
      </c>
      <c r="B46" s="123">
        <f>'Pre- and Production'!AC431</f>
        <v>96</v>
      </c>
      <c r="C46" s="124">
        <f>'Pre- and Production'!AD431</f>
        <v>401</v>
      </c>
      <c r="D46" s="124">
        <f>'Pre- and Production'!AE431</f>
        <v>64</v>
      </c>
      <c r="E46" s="124">
        <f>'Pre- and Production'!AF431</f>
        <v>200</v>
      </c>
      <c r="F46" s="124">
        <f>'Pre- and Production'!AG431</f>
        <v>0</v>
      </c>
      <c r="G46" s="129">
        <f>'Pre- and Production'!AH431</f>
        <v>14200</v>
      </c>
      <c r="H46" s="125"/>
      <c r="I46" s="106"/>
      <c r="J46" s="106"/>
      <c r="K46" s="84">
        <f>'Pre- and Production'!AL431</f>
        <v>2011</v>
      </c>
      <c r="L46" s="123">
        <f>'Pre- and Production'!AM431</f>
        <v>139.75</v>
      </c>
      <c r="M46" s="124">
        <f>'Pre- and Production'!AN431</f>
        <v>36</v>
      </c>
      <c r="N46" s="124">
        <f>'Pre- and Production'!AO431</f>
        <v>48</v>
      </c>
      <c r="O46" s="124">
        <f>'Pre- and Production'!AP431</f>
        <v>198</v>
      </c>
      <c r="P46" s="124">
        <f>'Pre- and Production'!AQ431</f>
        <v>0</v>
      </c>
      <c r="Q46" s="129">
        <f>'Pre- and Production'!AR431</f>
        <v>27865</v>
      </c>
      <c r="R46" s="125"/>
    </row>
    <row r="47" spans="1:24">
      <c r="A47" s="84">
        <f>'Pre- and Production'!AB432</f>
        <v>2012</v>
      </c>
      <c r="B47" s="123">
        <f>'Pre- and Production'!AC432</f>
        <v>656</v>
      </c>
      <c r="C47" s="124">
        <f>'Pre- and Production'!AD432</f>
        <v>1019</v>
      </c>
      <c r="D47" s="124">
        <f>'Pre- and Production'!AE432</f>
        <v>124</v>
      </c>
      <c r="E47" s="124">
        <f>'Pre- and Production'!AF432</f>
        <v>1075</v>
      </c>
      <c r="F47" s="124">
        <f>'Pre- and Production'!AG432</f>
        <v>16</v>
      </c>
      <c r="G47" s="129">
        <f>'Pre- and Production'!AH432</f>
        <v>46418.5</v>
      </c>
      <c r="H47" s="125"/>
      <c r="I47" s="106"/>
      <c r="J47" s="106"/>
      <c r="K47" s="84">
        <f>'Pre- and Production'!AL432</f>
        <v>2012</v>
      </c>
      <c r="L47" s="123">
        <f>'Pre- and Production'!AM432</f>
        <v>226</v>
      </c>
      <c r="M47" s="124">
        <f>'Pre- and Production'!AN432</f>
        <v>356</v>
      </c>
      <c r="N47" s="124">
        <f>'Pre- and Production'!AO432</f>
        <v>60</v>
      </c>
      <c r="O47" s="124">
        <f>'Pre- and Production'!AP432</f>
        <v>414</v>
      </c>
      <c r="P47" s="124">
        <f>'Pre- and Production'!AQ432</f>
        <v>0</v>
      </c>
      <c r="Q47" s="129">
        <f>'Pre- and Production'!AR432</f>
        <v>1812</v>
      </c>
      <c r="R47" s="125"/>
    </row>
    <row r="48" spans="1:24">
      <c r="A48" s="84">
        <f>'Pre- and Production'!AB433</f>
        <v>2013</v>
      </c>
      <c r="B48" s="123">
        <f>'Pre- and Production'!AC433</f>
        <v>747.5</v>
      </c>
      <c r="C48" s="124">
        <f>'Pre- and Production'!AD433</f>
        <v>1802</v>
      </c>
      <c r="D48" s="124">
        <f>'Pre- and Production'!AE433</f>
        <v>252</v>
      </c>
      <c r="E48" s="124">
        <f>'Pre- and Production'!AF433</f>
        <v>843</v>
      </c>
      <c r="F48" s="124">
        <f>'Pre- and Production'!AG433</f>
        <v>0</v>
      </c>
      <c r="G48" s="129">
        <f>'Pre- and Production'!AH433</f>
        <v>49494.5</v>
      </c>
      <c r="H48" s="125"/>
      <c r="I48" s="106"/>
      <c r="J48" s="106"/>
      <c r="K48" s="84">
        <f>'Pre- and Production'!AL433</f>
        <v>2013</v>
      </c>
      <c r="L48" s="123">
        <f>'Pre- and Production'!AM433</f>
        <v>717.5</v>
      </c>
      <c r="M48" s="124">
        <f>'Pre- and Production'!AN433</f>
        <v>800</v>
      </c>
      <c r="N48" s="124">
        <f>'Pre- and Production'!AO433</f>
        <v>32</v>
      </c>
      <c r="O48" s="124">
        <f>'Pre- and Production'!AP433</f>
        <v>512</v>
      </c>
      <c r="P48" s="124">
        <f>'Pre- and Production'!AQ433</f>
        <v>0</v>
      </c>
      <c r="Q48" s="129">
        <f>'Pre- and Production'!AR433</f>
        <v>23479</v>
      </c>
      <c r="R48" s="125"/>
    </row>
    <row r="49" spans="1:24" s="366" customFormat="1">
      <c r="A49" s="84">
        <f>'Pre- and Production'!AB434</f>
        <v>2014</v>
      </c>
      <c r="B49" s="123">
        <f>'Pre- and Production'!AC434</f>
        <v>16</v>
      </c>
      <c r="C49" s="124">
        <f>'Pre- and Production'!AD434</f>
        <v>280</v>
      </c>
      <c r="D49" s="124">
        <f>'Pre- and Production'!AE434</f>
        <v>40</v>
      </c>
      <c r="E49" s="124">
        <f>'Pre- and Production'!AF434</f>
        <v>148</v>
      </c>
      <c r="F49" s="124">
        <f>'Pre- and Production'!AG434</f>
        <v>0</v>
      </c>
      <c r="G49" s="129">
        <f>'Pre- and Production'!AH434</f>
        <v>7420</v>
      </c>
      <c r="H49" s="125"/>
      <c r="I49" s="106"/>
      <c r="J49" s="106"/>
      <c r="K49" s="84">
        <f>'Pre- and Production'!AL434</f>
        <v>2014</v>
      </c>
      <c r="L49" s="123">
        <f>'Pre- and Production'!AM434</f>
        <v>0</v>
      </c>
      <c r="M49" s="124">
        <f>'Pre- and Production'!AN434</f>
        <v>0</v>
      </c>
      <c r="N49" s="124">
        <f>'Pre- and Production'!AO434</f>
        <v>0</v>
      </c>
      <c r="O49" s="124">
        <f>'Pre- and Production'!AP434</f>
        <v>0</v>
      </c>
      <c r="P49" s="124">
        <f>'Pre- and Production'!AQ434</f>
        <v>0</v>
      </c>
      <c r="Q49" s="129">
        <f>'Pre- and Production'!AR434</f>
        <v>0</v>
      </c>
      <c r="R49" s="125"/>
      <c r="W49" s="370"/>
      <c r="X49" s="370"/>
    </row>
    <row r="50" spans="1:24">
      <c r="A50" s="84" t="str">
        <f>'Pre- and Production'!AB435</f>
        <v>CONT</v>
      </c>
      <c r="B50" s="123">
        <f>'Pre- and Production'!AC435</f>
        <v>0</v>
      </c>
      <c r="C50" s="124">
        <f>'Pre- and Production'!AD435</f>
        <v>0</v>
      </c>
      <c r="D50" s="124">
        <f>'Pre- and Production'!AE435</f>
        <v>0</v>
      </c>
      <c r="E50" s="124">
        <f>'Pre- and Production'!AF435</f>
        <v>0</v>
      </c>
      <c r="F50" s="124">
        <f>'Pre- and Production'!AG435</f>
        <v>0</v>
      </c>
      <c r="G50" s="129">
        <f>'Pre- and Production'!AH435</f>
        <v>0</v>
      </c>
      <c r="H50" s="125"/>
      <c r="I50" s="106"/>
      <c r="J50" s="106"/>
      <c r="K50" s="84" t="str">
        <f>'Pre- and Production'!AL435</f>
        <v>CONT</v>
      </c>
      <c r="L50" s="123">
        <f>'Pre- and Production'!AM435</f>
        <v>0</v>
      </c>
      <c r="M50" s="124">
        <f>'Pre- and Production'!AN435</f>
        <v>0</v>
      </c>
      <c r="N50" s="124">
        <f>'Pre- and Production'!AO435</f>
        <v>0</v>
      </c>
      <c r="O50" s="124">
        <f>'Pre- and Production'!AP435</f>
        <v>0</v>
      </c>
      <c r="P50" s="124">
        <f>'Pre- and Production'!AQ435</f>
        <v>0</v>
      </c>
      <c r="Q50" s="129">
        <f>'Pre- and Production'!AR435</f>
        <v>0</v>
      </c>
      <c r="R50" s="125"/>
    </row>
    <row r="51" spans="1:24">
      <c r="A51" s="84" t="str">
        <f>'Pre- and Production'!AB436</f>
        <v>STAR</v>
      </c>
      <c r="B51" s="123">
        <f>'Pre- and Production'!AC436</f>
        <v>0</v>
      </c>
      <c r="C51" s="124">
        <f>'Pre- and Production'!AD436</f>
        <v>136</v>
      </c>
      <c r="D51" s="124">
        <f>'Pre- and Production'!AE436</f>
        <v>0</v>
      </c>
      <c r="E51" s="124">
        <f>'Pre- and Production'!AF436</f>
        <v>304</v>
      </c>
      <c r="F51" s="124">
        <f>'Pre- and Production'!AG436</f>
        <v>0</v>
      </c>
      <c r="G51" s="129">
        <f>'Pre- and Production'!AH436</f>
        <v>0</v>
      </c>
      <c r="H51" s="125"/>
      <c r="I51" s="106"/>
      <c r="J51" s="106"/>
      <c r="K51" s="84" t="str">
        <f>'Pre- and Production'!AL436</f>
        <v>STAR</v>
      </c>
      <c r="L51" s="123">
        <f>'Pre- and Production'!AM436</f>
        <v>0</v>
      </c>
      <c r="M51" s="124">
        <f>'Pre- and Production'!AN436</f>
        <v>0</v>
      </c>
      <c r="N51" s="124">
        <f>'Pre- and Production'!AO436</f>
        <v>0</v>
      </c>
      <c r="O51" s="124">
        <f>'Pre- and Production'!AP436</f>
        <v>120</v>
      </c>
      <c r="P51" s="124">
        <f>'Pre- and Production'!AQ436</f>
        <v>0</v>
      </c>
      <c r="Q51" s="129">
        <f>'Pre- and Production'!AR436</f>
        <v>0</v>
      </c>
      <c r="R51" s="125"/>
    </row>
    <row r="52" spans="1:24">
      <c r="A52" s="84"/>
      <c r="B52" s="404" t="str">
        <f>'Pre- and Production'!AC437</f>
        <v>Project Estimated Cost</v>
      </c>
      <c r="C52" s="405"/>
      <c r="D52" s="405"/>
      <c r="E52" s="405"/>
      <c r="F52" s="405"/>
      <c r="G52" s="405"/>
      <c r="H52" s="406"/>
      <c r="I52" s="106"/>
      <c r="J52" s="106"/>
      <c r="K52" s="84"/>
      <c r="L52" s="404" t="str">
        <f>'Pre- and Production'!AM437</f>
        <v>Project Estimated Cost</v>
      </c>
      <c r="M52" s="405"/>
      <c r="N52" s="405"/>
      <c r="O52" s="405"/>
      <c r="P52" s="405"/>
      <c r="Q52" s="405"/>
      <c r="R52" s="406"/>
    </row>
    <row r="53" spans="1:24">
      <c r="A53" s="84"/>
      <c r="B53" s="120" t="str">
        <f>'Pre- and Production'!AC438</f>
        <v>Shop Cost</v>
      </c>
      <c r="C53" s="121" t="str">
        <f>'Pre- and Production'!AD438</f>
        <v>MT Cost</v>
      </c>
      <c r="D53" s="121" t="str">
        <f>'Pre- and Production'!AE438</f>
        <v>CMM</v>
      </c>
      <c r="E53" s="121" t="str">
        <f>'Pre- and Production'!AF438</f>
        <v>Engineering</v>
      </c>
      <c r="F53" s="121" t="str">
        <f>'Pre- and Production'!AG438</f>
        <v>Design</v>
      </c>
      <c r="G53" s="126" t="str">
        <f>'Pre- and Production'!AH438</f>
        <v>M&amp;S Cost</v>
      </c>
      <c r="H53" s="122" t="str">
        <f>'Pre- and Production'!AI438</f>
        <v>Totals</v>
      </c>
      <c r="I53" s="106"/>
      <c r="J53" s="106"/>
      <c r="K53" s="84"/>
      <c r="L53" s="120" t="str">
        <f>'Pre- and Production'!AM438</f>
        <v>Shop Cost</v>
      </c>
      <c r="M53" s="121" t="str">
        <f>'Pre- and Production'!AN438</f>
        <v>MT Cost</v>
      </c>
      <c r="N53" s="121" t="str">
        <f>'Pre- and Production'!AO438</f>
        <v>CMM</v>
      </c>
      <c r="O53" s="121" t="str">
        <f>'Pre- and Production'!AP438</f>
        <v>Engineering</v>
      </c>
      <c r="P53" s="121" t="str">
        <f>'Pre- and Production'!AQ438</f>
        <v>Design</v>
      </c>
      <c r="Q53" s="126" t="str">
        <f>'Pre- and Production'!AR438</f>
        <v>M&amp;S Cost</v>
      </c>
      <c r="R53" s="122" t="str">
        <f>'Pre- and Production'!AS438</f>
        <v>Totals</v>
      </c>
    </row>
    <row r="54" spans="1:24">
      <c r="A54" s="84">
        <f>'Pre- and Production'!AB439</f>
        <v>2009</v>
      </c>
      <c r="B54" s="130">
        <f>'Pre- and Production'!AC439</f>
        <v>0</v>
      </c>
      <c r="C54" s="127">
        <f>'Pre- and Production'!AD439</f>
        <v>0</v>
      </c>
      <c r="D54" s="127">
        <f>'Pre- and Production'!AE439</f>
        <v>0</v>
      </c>
      <c r="E54" s="127">
        <f>'Pre- and Production'!AF439</f>
        <v>0</v>
      </c>
      <c r="F54" s="127">
        <f>'Pre- and Production'!AG439</f>
        <v>0</v>
      </c>
      <c r="G54" s="127">
        <f>'Pre- and Production'!AH439</f>
        <v>0</v>
      </c>
      <c r="H54" s="131">
        <f>'Pre- and Production'!AI439</f>
        <v>0</v>
      </c>
      <c r="I54" s="106"/>
      <c r="J54" s="106"/>
      <c r="K54" s="84">
        <f>'Pre- and Production'!AL439</f>
        <v>2009</v>
      </c>
      <c r="L54" s="130">
        <f>'Pre- and Production'!AM439</f>
        <v>0</v>
      </c>
      <c r="M54" s="127">
        <f>'Pre- and Production'!AN439</f>
        <v>0</v>
      </c>
      <c r="N54" s="127">
        <f>'Pre- and Production'!AO439</f>
        <v>0</v>
      </c>
      <c r="O54" s="127">
        <f>'Pre- and Production'!AP439</f>
        <v>0</v>
      </c>
      <c r="P54" s="127">
        <f>'Pre- and Production'!AQ439</f>
        <v>0</v>
      </c>
      <c r="Q54" s="127">
        <f>'Pre- and Production'!AR439</f>
        <v>0</v>
      </c>
      <c r="R54" s="131">
        <f>'Pre- and Production'!AS439</f>
        <v>0</v>
      </c>
    </row>
    <row r="55" spans="1:24">
      <c r="A55" s="84">
        <f>'Pre- and Production'!AB440</f>
        <v>2010</v>
      </c>
      <c r="B55" s="130">
        <f>'Pre- and Production'!AC440</f>
        <v>4082.4</v>
      </c>
      <c r="C55" s="127">
        <f>'Pre- and Production'!AD440</f>
        <v>8150.2200000000012</v>
      </c>
      <c r="D55" s="127">
        <f>'Pre- and Production'!AE440</f>
        <v>5715.3600000000006</v>
      </c>
      <c r="E55" s="127">
        <f>'Pre- and Production'!AF440</f>
        <v>13729.500000000002</v>
      </c>
      <c r="F55" s="127">
        <f>'Pre- and Production'!AG440</f>
        <v>0</v>
      </c>
      <c r="G55" s="127">
        <f>'Pre- and Production'!AH440</f>
        <v>10422.5</v>
      </c>
      <c r="H55" s="131">
        <f>'Pre- and Production'!AI440</f>
        <v>42099.98</v>
      </c>
      <c r="I55" s="106"/>
      <c r="J55" s="106"/>
      <c r="K55" s="84">
        <f>'Pre- and Production'!AL440</f>
        <v>2010</v>
      </c>
      <c r="L55" s="130">
        <f>'Pre- and Production'!AM440</f>
        <v>0</v>
      </c>
      <c r="M55" s="127">
        <f>'Pre- and Production'!AN440</f>
        <v>0</v>
      </c>
      <c r="N55" s="127">
        <f>'Pre- and Production'!AO440</f>
        <v>0</v>
      </c>
      <c r="O55" s="127">
        <f>'Pre- and Production'!AP440</f>
        <v>0</v>
      </c>
      <c r="P55" s="127">
        <f>'Pre- and Production'!AQ440</f>
        <v>0</v>
      </c>
      <c r="Q55" s="127">
        <f>'Pre- and Production'!AR440</f>
        <v>0</v>
      </c>
      <c r="R55" s="131">
        <f>'Pre- and Production'!AS440</f>
        <v>0</v>
      </c>
    </row>
    <row r="56" spans="1:24">
      <c r="A56" s="84">
        <f>'Pre- and Production'!AB441</f>
        <v>2011</v>
      </c>
      <c r="B56" s="130">
        <f>'Pre- and Production'!AC441</f>
        <v>9797.76</v>
      </c>
      <c r="C56" s="127">
        <f>'Pre- and Production'!AD441</f>
        <v>38002.770000000004</v>
      </c>
      <c r="D56" s="127">
        <f>'Pre- and Production'!AE441</f>
        <v>6531.84</v>
      </c>
      <c r="E56" s="127">
        <f>'Pre- and Production'!AF441</f>
        <v>24300.000000000004</v>
      </c>
      <c r="F56" s="127">
        <f>'Pre- and Production'!AG441</f>
        <v>0</v>
      </c>
      <c r="G56" s="127">
        <f>'Pre- and Production'!AH441</f>
        <v>14200</v>
      </c>
      <c r="H56" s="131">
        <f>'Pre- and Production'!AI441</f>
        <v>92832.37000000001</v>
      </c>
      <c r="I56" s="106"/>
      <c r="J56" s="106"/>
      <c r="K56" s="84">
        <f>'Pre- and Production'!AL441</f>
        <v>2011</v>
      </c>
      <c r="L56" s="130">
        <f>'Pre- and Production'!AM441</f>
        <v>14262.885</v>
      </c>
      <c r="M56" s="127">
        <f>'Pre- and Production'!AN441</f>
        <v>3411.7200000000003</v>
      </c>
      <c r="N56" s="127">
        <f>'Pre- and Production'!AO441</f>
        <v>4898.88</v>
      </c>
      <c r="O56" s="127">
        <f>'Pre- and Production'!AP441</f>
        <v>24057.000000000004</v>
      </c>
      <c r="P56" s="127">
        <f>'Pre- and Production'!AQ441</f>
        <v>0</v>
      </c>
      <c r="Q56" s="127">
        <f>'Pre- and Production'!AR441</f>
        <v>27865</v>
      </c>
      <c r="R56" s="131">
        <f>'Pre- and Production'!AS441</f>
        <v>74495.485000000001</v>
      </c>
    </row>
    <row r="57" spans="1:24">
      <c r="A57" s="84">
        <f>'Pre- and Production'!AB442</f>
        <v>2012</v>
      </c>
      <c r="B57" s="130">
        <f>'Pre- and Production'!AC442</f>
        <v>66951.360000000001</v>
      </c>
      <c r="C57" s="127">
        <f>'Pre- and Production'!AD442</f>
        <v>96570.63</v>
      </c>
      <c r="D57" s="127">
        <f>'Pre- and Production'!AE442</f>
        <v>12655.44</v>
      </c>
      <c r="E57" s="127">
        <f>'Pre- and Production'!AF442</f>
        <v>130612.50000000001</v>
      </c>
      <c r="F57" s="127">
        <f>'Pre- and Production'!AG442</f>
        <v>1620</v>
      </c>
      <c r="G57" s="127">
        <f>'Pre- and Production'!AH442</f>
        <v>46418.5</v>
      </c>
      <c r="H57" s="131">
        <f>'Pre- and Production'!AI442</f>
        <v>354828.43</v>
      </c>
      <c r="I57" s="106"/>
      <c r="J57" s="106"/>
      <c r="K57" s="84">
        <f>'Pre- and Production'!AL442</f>
        <v>2012</v>
      </c>
      <c r="L57" s="130">
        <f>'Pre- and Production'!AM442</f>
        <v>23065.56</v>
      </c>
      <c r="M57" s="127">
        <f>'Pre- and Production'!AN442</f>
        <v>33738.120000000003</v>
      </c>
      <c r="N57" s="127">
        <f>'Pre- and Production'!AO442</f>
        <v>6123.6</v>
      </c>
      <c r="O57" s="127">
        <f>'Pre- and Production'!AP442</f>
        <v>50301.000000000007</v>
      </c>
      <c r="P57" s="127">
        <f>'Pre- and Production'!AQ442</f>
        <v>0</v>
      </c>
      <c r="Q57" s="127">
        <f>'Pre- and Production'!AR442</f>
        <v>1812</v>
      </c>
      <c r="R57" s="131">
        <f>'Pre- and Production'!AS442</f>
        <v>115040.28000000001</v>
      </c>
    </row>
    <row r="58" spans="1:24" s="366" customFormat="1">
      <c r="A58" s="84">
        <f>'Pre- and Production'!AB443</f>
        <v>2013</v>
      </c>
      <c r="B58" s="130">
        <f>'Pre- and Production'!AC443</f>
        <v>76289.850000000006</v>
      </c>
      <c r="C58" s="127">
        <f>'Pre- and Production'!AD443</f>
        <v>170775.54</v>
      </c>
      <c r="D58" s="127">
        <f>'Pre- and Production'!AE443</f>
        <v>25719.119999999999</v>
      </c>
      <c r="E58" s="127">
        <f>'Pre- and Production'!AF443</f>
        <v>102424.50000000001</v>
      </c>
      <c r="F58" s="127">
        <f>'Pre- and Production'!AG443</f>
        <v>0</v>
      </c>
      <c r="G58" s="127">
        <f>'Pre- and Production'!AH443</f>
        <v>49494.5</v>
      </c>
      <c r="H58" s="131">
        <f>'Pre- and Production'!AI443</f>
        <v>424703.51</v>
      </c>
      <c r="I58" s="106"/>
      <c r="J58" s="106"/>
      <c r="K58" s="84">
        <f>'Pre- and Production'!AL443</f>
        <v>2013</v>
      </c>
      <c r="L58" s="130">
        <f>'Pre- and Production'!AM443</f>
        <v>73228.05</v>
      </c>
      <c r="M58" s="127">
        <f>'Pre- and Production'!AN443</f>
        <v>75816.000000000015</v>
      </c>
      <c r="N58" s="127">
        <f>'Pre- and Production'!AO443</f>
        <v>3265.92</v>
      </c>
      <c r="O58" s="127">
        <f>'Pre- and Production'!AP443</f>
        <v>62208.000000000007</v>
      </c>
      <c r="P58" s="127">
        <f>'Pre- and Production'!AQ443</f>
        <v>0</v>
      </c>
      <c r="Q58" s="127">
        <f>'Pre- and Production'!AR443</f>
        <v>23479</v>
      </c>
      <c r="R58" s="131">
        <f>'Pre- and Production'!AS443</f>
        <v>237996.97000000003</v>
      </c>
      <c r="W58" s="370"/>
      <c r="X58" s="370"/>
    </row>
    <row r="59" spans="1:24" ht="13.5" thickBot="1">
      <c r="A59" s="84">
        <f>'Pre- and Production'!AB444</f>
        <v>2014</v>
      </c>
      <c r="B59" s="132">
        <f>'Pre- and Production'!AC444</f>
        <v>1632.96</v>
      </c>
      <c r="C59" s="128">
        <f>'Pre- and Production'!AD444</f>
        <v>26535.600000000002</v>
      </c>
      <c r="D59" s="128">
        <f>'Pre- and Production'!AE444</f>
        <v>4082.4</v>
      </c>
      <c r="E59" s="128">
        <f>'Pre- and Production'!AF444</f>
        <v>17982.000000000004</v>
      </c>
      <c r="F59" s="128">
        <f>'Pre- and Production'!AG444</f>
        <v>0</v>
      </c>
      <c r="G59" s="128">
        <f>'Pre- and Production'!AH444</f>
        <v>7420</v>
      </c>
      <c r="H59" s="133">
        <f>'Pre- and Production'!AI444</f>
        <v>57652.960000000006</v>
      </c>
      <c r="I59" s="106"/>
      <c r="J59" s="106"/>
      <c r="K59" s="84">
        <f>'Pre- and Production'!AL444</f>
        <v>2014</v>
      </c>
      <c r="L59" s="132">
        <f>'Pre- and Production'!AM444</f>
        <v>0</v>
      </c>
      <c r="M59" s="128">
        <f>'Pre- and Production'!AN444</f>
        <v>0</v>
      </c>
      <c r="N59" s="128">
        <f>'Pre- and Production'!AO444</f>
        <v>0</v>
      </c>
      <c r="O59" s="128">
        <f>'Pre- and Production'!AP444</f>
        <v>0</v>
      </c>
      <c r="P59" s="128">
        <f>'Pre- and Production'!AQ444</f>
        <v>0</v>
      </c>
      <c r="Q59" s="128">
        <f>'Pre- and Production'!AR444</f>
        <v>0</v>
      </c>
      <c r="R59" s="133">
        <f>'Pre- and Production'!AS444</f>
        <v>0</v>
      </c>
    </row>
    <row r="60" spans="1:24">
      <c r="A60" s="84"/>
      <c r="B60" s="106"/>
      <c r="C60" s="106"/>
      <c r="D60" s="106"/>
      <c r="E60" s="106"/>
      <c r="F60" s="106"/>
      <c r="G60" s="119" t="str">
        <f>'Pre- and Production'!AH446</f>
        <v>Base Cost</v>
      </c>
      <c r="H60" s="85">
        <f>'Pre- and Production'!AI446</f>
        <v>972117.25</v>
      </c>
      <c r="I60" s="106"/>
      <c r="J60" s="106"/>
      <c r="K60" s="84"/>
      <c r="L60" s="106"/>
      <c r="M60" s="106"/>
      <c r="N60" s="106"/>
      <c r="O60" s="106"/>
      <c r="P60" s="106"/>
      <c r="Q60" s="119" t="str">
        <f>'Pre- and Production'!AR446</f>
        <v>Contingency</v>
      </c>
      <c r="R60" s="85">
        <f>'Pre- and Production'!AS446</f>
        <v>427532.73500000004</v>
      </c>
    </row>
    <row r="61" spans="1:24">
      <c r="A61" s="84"/>
      <c r="B61" s="106"/>
      <c r="C61" s="106"/>
      <c r="D61" s="106"/>
      <c r="E61" s="106"/>
      <c r="F61" s="106"/>
      <c r="H61" s="106"/>
      <c r="I61" s="106"/>
      <c r="J61" s="106"/>
      <c r="K61" s="84"/>
      <c r="L61" s="106"/>
      <c r="M61" s="106"/>
      <c r="N61" s="106"/>
      <c r="O61" s="106"/>
      <c r="P61" s="106"/>
      <c r="Q61" s="119" t="str">
        <f>'Pre- and Production'!AR447</f>
        <v>Percent</v>
      </c>
      <c r="R61" s="105">
        <f>'Pre- and Production'!AS447</f>
        <v>0.43979544134208093</v>
      </c>
    </row>
  </sheetData>
  <mergeCells count="12">
    <mergeCell ref="B42:H42"/>
    <mergeCell ref="L42:R42"/>
    <mergeCell ref="B52:H52"/>
    <mergeCell ref="L52:R52"/>
    <mergeCell ref="B2:H2"/>
    <mergeCell ref="L2:R2"/>
    <mergeCell ref="B12:H12"/>
    <mergeCell ref="L12:R12"/>
    <mergeCell ref="B22:H22"/>
    <mergeCell ref="L22:R22"/>
    <mergeCell ref="B32:H32"/>
    <mergeCell ref="L32:R32"/>
  </mergeCells>
  <pageMargins left="0.49" right="0.46" top="0.57999999999999996" bottom="0.55000000000000004" header="0.3" footer="0.3"/>
  <pageSetup paperSize="9" scale="67" orientation="landscape" horizontalDpi="4294967293" r:id="rId1"/>
  <headerFooter>
    <oddHeader>&amp;L&amp;16WBS 1.2.1&amp;C&amp;16STAR PIXEL MECHANICS COST SUMMARY</oddHeader>
    <oddFooter>&amp;LReleased: 12 August, 2009&amp;C&amp;F&amp;RE Anderssen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X447"/>
  <sheetViews>
    <sheetView zoomScaleNormal="100" workbookViewId="0">
      <pane ySplit="3285" topLeftCell="A229" activePane="bottomLeft"/>
      <selection activeCell="A2" sqref="A2:XFD3"/>
      <selection pane="bottomLeft" activeCell="AB253" sqref="AB253"/>
    </sheetView>
  </sheetViews>
  <sheetFormatPr defaultRowHeight="12.75"/>
  <cols>
    <col min="1" max="1" width="54.7109375" bestFit="1" customWidth="1"/>
    <col min="2" max="2" width="12.28515625" bestFit="1" customWidth="1"/>
    <col min="3" max="3" width="8" style="162" bestFit="1" customWidth="1"/>
    <col min="4" max="4" width="6.5703125" style="87" bestFit="1" customWidth="1"/>
    <col min="5" max="5" width="7.85546875" style="116" bestFit="1" customWidth="1"/>
    <col min="6" max="6" width="8.42578125" style="116" bestFit="1" customWidth="1"/>
    <col min="7" max="8" width="5.5703125" style="162" bestFit="1" customWidth="1"/>
    <col min="9" max="9" width="4.5703125" style="162" bestFit="1" customWidth="1"/>
    <col min="10" max="10" width="9" style="163" bestFit="1" customWidth="1"/>
    <col min="11" max="11" width="4.5703125" style="163" bestFit="1" customWidth="1"/>
    <col min="12" max="12" width="6" style="87" bestFit="1" customWidth="1"/>
    <col min="13" max="13" width="11" style="7" bestFit="1" customWidth="1"/>
    <col min="14" max="14" width="2.7109375" style="164" customWidth="1"/>
    <col min="15" max="15" width="10.7109375" style="186" customWidth="1"/>
    <col min="16" max="16" width="2.5703125" style="7" customWidth="1"/>
    <col min="17" max="17" width="3.7109375" style="54" bestFit="1" customWidth="1"/>
    <col min="18" max="18" width="3.7109375" style="54" customWidth="1"/>
    <col min="19" max="19" width="9.5703125" style="100" hidden="1" customWidth="1"/>
    <col min="20" max="20" width="14.7109375" style="100" hidden="1" customWidth="1"/>
    <col min="21" max="21" width="9.5703125" style="100" customWidth="1"/>
    <col min="22" max="22" width="36.28515625" style="100" bestFit="1" customWidth="1"/>
    <col min="23" max="23" width="14.5703125" style="7" hidden="1" customWidth="1"/>
    <col min="24" max="24" width="12.140625" style="10" hidden="1" customWidth="1"/>
    <col min="25" max="25" width="14.42578125" style="10" hidden="1" customWidth="1"/>
    <col min="26" max="26" width="17.7109375" style="10" hidden="1" customWidth="1"/>
    <col min="27" max="27" width="12.5703125" style="10" hidden="1" customWidth="1"/>
    <col min="28" max="28" width="8.42578125" style="22" bestFit="1" customWidth="1"/>
    <col min="29" max="29" width="11" style="7" bestFit="1" customWidth="1"/>
    <col min="30" max="30" width="9.42578125" style="7" bestFit="1" customWidth="1"/>
    <col min="31" max="31" width="7.85546875" style="7" bestFit="1" customWidth="1"/>
    <col min="32" max="32" width="12.140625" style="7" bestFit="1" customWidth="1"/>
    <col min="33" max="33" width="8.5703125" style="7" bestFit="1" customWidth="1"/>
    <col min="34" max="34" width="11.7109375" style="7" customWidth="1"/>
    <col min="35" max="35" width="12.7109375" style="7" bestFit="1" customWidth="1"/>
    <col min="36" max="36" width="10.42578125" style="7" customWidth="1"/>
    <col min="37" max="37" width="10.42578125" style="7" hidden="1" customWidth="1"/>
    <col min="38" max="38" width="11.28515625" style="116" bestFit="1" customWidth="1"/>
    <col min="39" max="39" width="11" style="7" bestFit="1" customWidth="1"/>
    <col min="40" max="40" width="9.42578125" style="7" bestFit="1" customWidth="1"/>
    <col min="41" max="41" width="7.85546875" style="7" bestFit="1" customWidth="1"/>
    <col min="42" max="42" width="12.140625" style="7" bestFit="1" customWidth="1"/>
    <col min="43" max="43" width="7.85546875" style="7" bestFit="1" customWidth="1"/>
    <col min="44" max="44" width="13.140625" style="7" bestFit="1" customWidth="1"/>
    <col min="45" max="45" width="10.85546875" style="7" bestFit="1" customWidth="1"/>
  </cols>
  <sheetData>
    <row r="1" spans="1:45" ht="15">
      <c r="S1" s="407" t="s">
        <v>178</v>
      </c>
      <c r="T1" s="407"/>
      <c r="V1"/>
      <c r="W1" s="407" t="s">
        <v>179</v>
      </c>
      <c r="X1" s="407"/>
      <c r="Y1" s="407"/>
      <c r="Z1" s="407"/>
      <c r="AA1" s="407"/>
    </row>
    <row r="2" spans="1:45" ht="18">
      <c r="A2" s="8" t="s">
        <v>425</v>
      </c>
      <c r="Q2" s="416" t="s">
        <v>79</v>
      </c>
      <c r="R2" s="417"/>
      <c r="S2" s="417"/>
      <c r="T2" s="417"/>
      <c r="U2" s="417"/>
      <c r="V2" s="417"/>
      <c r="W2" s="417"/>
      <c r="X2" s="417"/>
      <c r="Y2" s="417"/>
      <c r="Z2" s="417"/>
      <c r="AA2" s="417"/>
      <c r="AB2" s="418"/>
      <c r="AC2" s="419" t="s">
        <v>48</v>
      </c>
      <c r="AD2" s="420"/>
      <c r="AE2" s="420"/>
      <c r="AF2" s="420"/>
      <c r="AG2" s="420"/>
      <c r="AH2" s="420"/>
      <c r="AI2" s="421"/>
      <c r="AJ2" s="244"/>
      <c r="AK2" s="244"/>
      <c r="AM2" s="419" t="s">
        <v>49</v>
      </c>
      <c r="AN2" s="420"/>
      <c r="AO2" s="420"/>
      <c r="AP2" s="420"/>
      <c r="AQ2" s="420"/>
      <c r="AR2" s="420"/>
      <c r="AS2" s="421"/>
    </row>
    <row r="3" spans="1:45" ht="118.9" customHeight="1">
      <c r="A3" s="1" t="s">
        <v>0</v>
      </c>
      <c r="B3" s="1" t="s">
        <v>6</v>
      </c>
      <c r="C3" s="142" t="s">
        <v>1</v>
      </c>
      <c r="D3" s="237" t="s">
        <v>2</v>
      </c>
      <c r="E3" s="60" t="s">
        <v>4</v>
      </c>
      <c r="F3" s="60" t="s">
        <v>3</v>
      </c>
      <c r="G3" s="142" t="s">
        <v>11</v>
      </c>
      <c r="H3" s="142" t="s">
        <v>10</v>
      </c>
      <c r="I3" s="142" t="s">
        <v>37</v>
      </c>
      <c r="J3" s="165" t="s">
        <v>28</v>
      </c>
      <c r="K3" s="165" t="s">
        <v>29</v>
      </c>
      <c r="L3" s="237" t="s">
        <v>2</v>
      </c>
      <c r="M3" s="166" t="s">
        <v>62</v>
      </c>
      <c r="N3" s="167" t="s">
        <v>39</v>
      </c>
      <c r="O3" s="357" t="s">
        <v>91</v>
      </c>
      <c r="P3" s="6"/>
      <c r="Q3" s="42" t="s">
        <v>40</v>
      </c>
      <c r="R3" s="73" t="s">
        <v>76</v>
      </c>
      <c r="S3" s="81" t="s">
        <v>78</v>
      </c>
      <c r="T3" s="81" t="s">
        <v>78</v>
      </c>
      <c r="U3" s="149" t="s">
        <v>171</v>
      </c>
      <c r="V3" s="150" t="s">
        <v>211</v>
      </c>
      <c r="W3" s="43" t="s">
        <v>172</v>
      </c>
      <c r="X3" s="44" t="s">
        <v>34</v>
      </c>
      <c r="Y3" s="44" t="s">
        <v>75</v>
      </c>
      <c r="Z3" s="44" t="s">
        <v>35</v>
      </c>
      <c r="AA3" s="44" t="s">
        <v>36</v>
      </c>
      <c r="AB3" s="45" t="s">
        <v>45</v>
      </c>
      <c r="AC3" s="245" t="s">
        <v>14</v>
      </c>
      <c r="AD3" s="246" t="s">
        <v>15</v>
      </c>
      <c r="AE3" s="246" t="s">
        <v>37</v>
      </c>
      <c r="AF3" s="246" t="s">
        <v>30</v>
      </c>
      <c r="AG3" s="246" t="s">
        <v>31</v>
      </c>
      <c r="AH3" s="246" t="s">
        <v>63</v>
      </c>
      <c r="AI3" s="247" t="s">
        <v>12</v>
      </c>
      <c r="AJ3" s="13"/>
      <c r="AK3" s="13"/>
      <c r="AM3" s="245" t="s">
        <v>14</v>
      </c>
      <c r="AN3" s="246" t="s">
        <v>15</v>
      </c>
      <c r="AO3" s="246" t="s">
        <v>37</v>
      </c>
      <c r="AP3" s="246" t="s">
        <v>30</v>
      </c>
      <c r="AQ3" s="246" t="s">
        <v>31</v>
      </c>
      <c r="AR3" s="246" t="s">
        <v>63</v>
      </c>
      <c r="AS3" s="247" t="s">
        <v>12</v>
      </c>
    </row>
    <row r="4" spans="1:45" ht="15.75">
      <c r="A4" s="48" t="s">
        <v>53</v>
      </c>
      <c r="B4" s="2" t="s">
        <v>5</v>
      </c>
      <c r="C4" s="168"/>
      <c r="D4" s="233"/>
      <c r="E4" s="169"/>
      <c r="F4" s="170"/>
      <c r="G4" s="171"/>
      <c r="H4" s="171"/>
      <c r="I4" s="171"/>
      <c r="J4" s="172"/>
      <c r="K4" s="173"/>
      <c r="L4" s="233"/>
      <c r="M4" s="4"/>
      <c r="N4" s="174"/>
      <c r="O4" s="358"/>
      <c r="P4" s="4"/>
      <c r="Q4" s="51"/>
      <c r="R4" s="74"/>
      <c r="S4" s="144"/>
      <c r="T4" s="144"/>
      <c r="U4" s="144"/>
      <c r="V4" s="144"/>
      <c r="W4" s="30"/>
      <c r="X4" s="30"/>
      <c r="Y4" s="30"/>
      <c r="Z4" s="30"/>
      <c r="AA4" s="72" t="s">
        <v>74</v>
      </c>
      <c r="AB4" s="37"/>
      <c r="AC4" s="248"/>
      <c r="AD4" s="248"/>
      <c r="AE4" s="248"/>
      <c r="AF4" s="248"/>
      <c r="AG4" s="248"/>
      <c r="AH4" s="248"/>
      <c r="AI4" s="249"/>
      <c r="AM4" s="250"/>
      <c r="AN4" s="248"/>
      <c r="AO4" s="248"/>
      <c r="AP4" s="248"/>
      <c r="AQ4" s="248"/>
      <c r="AR4" s="248"/>
      <c r="AS4" s="249"/>
    </row>
    <row r="5" spans="1:45" s="20" customFormat="1" hidden="1">
      <c r="A5" s="47" t="s">
        <v>231</v>
      </c>
      <c r="B5" s="20" t="s">
        <v>223</v>
      </c>
      <c r="C5" s="175">
        <v>40</v>
      </c>
      <c r="D5" s="100" t="s">
        <v>59</v>
      </c>
      <c r="E5" s="176">
        <v>400</v>
      </c>
      <c r="F5" s="177">
        <f t="shared" ref="F5:F45" si="0">E5*C5</f>
        <v>16000</v>
      </c>
      <c r="G5" s="178">
        <v>0</v>
      </c>
      <c r="H5" s="178">
        <v>0</v>
      </c>
      <c r="I5" s="178">
        <v>0</v>
      </c>
      <c r="J5" s="178">
        <v>2</v>
      </c>
      <c r="K5" s="179">
        <v>0</v>
      </c>
      <c r="L5" s="100" t="s">
        <v>8</v>
      </c>
      <c r="M5" s="176">
        <f t="shared" ref="M5:M45" si="1">IF(R5="PD",((Shop*G5)+(M_Tech*H5)+(CMM*I5)+(ENG*J5)+(DES*K5))*N5,((Shop_RD*G5)+(MTECH_RD*H5)+(CMM_RD*I5)+(ENG_RD*J5)+(DES_RD*K5))*N5)</f>
        <v>0</v>
      </c>
      <c r="N5" s="96">
        <v>0</v>
      </c>
      <c r="O5" s="176">
        <f t="shared" ref="O5:O45" si="2">M5+(F5*N5)</f>
        <v>0</v>
      </c>
      <c r="P5" s="180"/>
      <c r="Q5" s="52" t="s">
        <v>46</v>
      </c>
      <c r="R5" s="75" t="s">
        <v>77</v>
      </c>
      <c r="S5" s="145" t="str">
        <f t="shared" ref="S5:S45" si="3">CONCATENATE(Q5,R5,AB5)</f>
        <v>BPD2010</v>
      </c>
      <c r="T5" s="145" t="str">
        <f t="shared" ref="T5:T45" si="4">CONCATENATE(Q5,U5,AB5)</f>
        <v>B1.2.1.1.12010</v>
      </c>
      <c r="U5" s="145" t="s">
        <v>184</v>
      </c>
      <c r="V5" s="145" t="str">
        <f t="shared" ref="V5:V45" si="5">LOOKUP(U5,$B$383:$B$420,$A$383:$A$420)</f>
        <v>Sector Mechanical Prototypes</v>
      </c>
      <c r="W5" s="138"/>
      <c r="X5" s="138"/>
      <c r="Y5" s="138"/>
      <c r="Z5" s="138"/>
      <c r="AA5" s="138"/>
      <c r="AB5" s="33">
        <v>2010</v>
      </c>
      <c r="AC5" s="140">
        <f t="shared" ref="AC5:AC45" si="6">IF($Q5="B", (G5*$N5),0)</f>
        <v>0</v>
      </c>
      <c r="AD5" s="140">
        <f t="shared" ref="AD5:AD45" si="7">IF($Q5="B", (H5*$N5),0)</f>
        <v>0</v>
      </c>
      <c r="AE5" s="140">
        <f t="shared" ref="AE5:AE45" si="8">IF($Q5="B", (I5*$N5),0)</f>
        <v>0</v>
      </c>
      <c r="AF5" s="140">
        <f t="shared" ref="AF5:AF45" si="9">IF($Q5="B", (J5*$N5),0)</f>
        <v>0</v>
      </c>
      <c r="AG5" s="140">
        <f t="shared" ref="AG5:AG45" si="10">IF($Q5="B", (K5*$N5),0)</f>
        <v>0</v>
      </c>
      <c r="AH5" s="251">
        <f t="shared" ref="AH5:AH45" si="11">IF($Q5="B", (F5*$N5),0)</f>
        <v>0</v>
      </c>
      <c r="AI5" s="252"/>
      <c r="AJ5" s="96"/>
      <c r="AK5" s="96"/>
      <c r="AL5" s="176"/>
      <c r="AM5" s="139">
        <f t="shared" ref="AM5:AM45" si="12">IF($Q5="C", (G5*$N5),0)</f>
        <v>0</v>
      </c>
      <c r="AN5" s="140">
        <f t="shared" ref="AN5:AN45" si="13">IF($Q5="C", (H5*$N5),0)</f>
        <v>0</v>
      </c>
      <c r="AO5" s="140">
        <f t="shared" ref="AO5:AO45" si="14">IF($Q5="C", (I5*$N5),0)</f>
        <v>0</v>
      </c>
      <c r="AP5" s="140">
        <f t="shared" ref="AP5:AP45" si="15">IF($Q5="C", (J5*$N5),0)</f>
        <v>0</v>
      </c>
      <c r="AQ5" s="140">
        <f t="shared" ref="AQ5:AQ45" si="16">IF($Q5="C", (K5*$N5),0)</f>
        <v>0</v>
      </c>
      <c r="AR5" s="140">
        <f t="shared" ref="AR5:AR45" si="17">IF($Q5="C", (F5*$N5),0)</f>
        <v>0</v>
      </c>
      <c r="AS5" s="252"/>
    </row>
    <row r="6" spans="1:45" s="20" customFormat="1" hidden="1">
      <c r="A6" s="46" t="s">
        <v>224</v>
      </c>
      <c r="B6" s="20" t="s">
        <v>9</v>
      </c>
      <c r="C6" s="175">
        <v>1</v>
      </c>
      <c r="D6" s="100" t="s">
        <v>9</v>
      </c>
      <c r="E6" s="176">
        <v>1500</v>
      </c>
      <c r="F6" s="177">
        <f t="shared" si="0"/>
        <v>1500</v>
      </c>
      <c r="G6" s="178">
        <v>0</v>
      </c>
      <c r="H6" s="178">
        <v>0</v>
      </c>
      <c r="I6" s="178">
        <v>0</v>
      </c>
      <c r="J6" s="178">
        <v>0</v>
      </c>
      <c r="K6" s="179">
        <v>0</v>
      </c>
      <c r="L6" s="100" t="s">
        <v>8</v>
      </c>
      <c r="M6" s="176">
        <f t="shared" si="1"/>
        <v>0</v>
      </c>
      <c r="N6" s="96">
        <v>0</v>
      </c>
      <c r="O6" s="176">
        <f t="shared" si="2"/>
        <v>0</v>
      </c>
      <c r="P6" s="180"/>
      <c r="Q6" s="52" t="s">
        <v>46</v>
      </c>
      <c r="R6" s="75" t="s">
        <v>77</v>
      </c>
      <c r="S6" s="145" t="str">
        <f t="shared" si="3"/>
        <v>BPD2010</v>
      </c>
      <c r="T6" s="145" t="str">
        <f t="shared" si="4"/>
        <v>B1.2.1.1.12010</v>
      </c>
      <c r="U6" s="145" t="s">
        <v>184</v>
      </c>
      <c r="V6" s="145" t="str">
        <f t="shared" si="5"/>
        <v>Sector Mechanical Prototypes</v>
      </c>
      <c r="AB6" s="33">
        <v>2010</v>
      </c>
      <c r="AC6" s="140">
        <f t="shared" si="6"/>
        <v>0</v>
      </c>
      <c r="AD6" s="140">
        <f t="shared" si="7"/>
        <v>0</v>
      </c>
      <c r="AE6" s="140">
        <f t="shared" si="8"/>
        <v>0</v>
      </c>
      <c r="AF6" s="140">
        <f t="shared" si="9"/>
        <v>0</v>
      </c>
      <c r="AG6" s="140">
        <f t="shared" si="10"/>
        <v>0</v>
      </c>
      <c r="AH6" s="251">
        <f t="shared" si="11"/>
        <v>0</v>
      </c>
      <c r="AI6" s="252"/>
      <c r="AJ6" s="96"/>
      <c r="AK6" s="96"/>
      <c r="AL6" s="176"/>
      <c r="AM6" s="139">
        <f t="shared" si="12"/>
        <v>0</v>
      </c>
      <c r="AN6" s="140">
        <f t="shared" si="13"/>
        <v>0</v>
      </c>
      <c r="AO6" s="140">
        <f t="shared" si="14"/>
        <v>0</v>
      </c>
      <c r="AP6" s="140">
        <f t="shared" si="15"/>
        <v>0</v>
      </c>
      <c r="AQ6" s="140">
        <f t="shared" si="16"/>
        <v>0</v>
      </c>
      <c r="AR6" s="140">
        <f t="shared" si="17"/>
        <v>0</v>
      </c>
      <c r="AS6" s="252"/>
    </row>
    <row r="7" spans="1:45" s="20" customFormat="1" hidden="1">
      <c r="A7" s="46" t="s">
        <v>225</v>
      </c>
      <c r="B7" s="20" t="s">
        <v>9</v>
      </c>
      <c r="C7" s="175">
        <f>C5*0.1</f>
        <v>4</v>
      </c>
      <c r="D7" s="100" t="s">
        <v>9</v>
      </c>
      <c r="E7" s="176">
        <f>E5</f>
        <v>400</v>
      </c>
      <c r="F7" s="177">
        <f t="shared" si="0"/>
        <v>1600</v>
      </c>
      <c r="G7" s="178">
        <v>0</v>
      </c>
      <c r="H7" s="178">
        <v>0</v>
      </c>
      <c r="I7" s="178">
        <v>0</v>
      </c>
      <c r="J7" s="178">
        <v>0</v>
      </c>
      <c r="K7" s="179">
        <v>0</v>
      </c>
      <c r="L7" s="100" t="s">
        <v>8</v>
      </c>
      <c r="M7" s="176">
        <f t="shared" si="1"/>
        <v>0</v>
      </c>
      <c r="N7" s="96">
        <v>0</v>
      </c>
      <c r="O7" s="176">
        <f t="shared" si="2"/>
        <v>0</v>
      </c>
      <c r="P7" s="180"/>
      <c r="Q7" s="52" t="s">
        <v>46</v>
      </c>
      <c r="R7" s="75" t="s">
        <v>77</v>
      </c>
      <c r="S7" s="145" t="str">
        <f t="shared" si="3"/>
        <v>BPD2010</v>
      </c>
      <c r="T7" s="145" t="str">
        <f t="shared" si="4"/>
        <v>B1.2.1.1.12010</v>
      </c>
      <c r="U7" s="145" t="s">
        <v>184</v>
      </c>
      <c r="V7" s="145" t="str">
        <f t="shared" si="5"/>
        <v>Sector Mechanical Prototypes</v>
      </c>
      <c r="AB7" s="33">
        <v>2010</v>
      </c>
      <c r="AC7" s="140">
        <f t="shared" si="6"/>
        <v>0</v>
      </c>
      <c r="AD7" s="140">
        <f t="shared" si="7"/>
        <v>0</v>
      </c>
      <c r="AE7" s="140">
        <f t="shared" si="8"/>
        <v>0</v>
      </c>
      <c r="AF7" s="140">
        <f t="shared" si="9"/>
        <v>0</v>
      </c>
      <c r="AG7" s="140">
        <f t="shared" si="10"/>
        <v>0</v>
      </c>
      <c r="AH7" s="251">
        <f t="shared" si="11"/>
        <v>0</v>
      </c>
      <c r="AI7" s="252"/>
      <c r="AJ7" s="96"/>
      <c r="AK7" s="96"/>
      <c r="AL7" s="176"/>
      <c r="AM7" s="139">
        <f t="shared" si="12"/>
        <v>0</v>
      </c>
      <c r="AN7" s="140">
        <f t="shared" si="13"/>
        <v>0</v>
      </c>
      <c r="AO7" s="140">
        <f t="shared" si="14"/>
        <v>0</v>
      </c>
      <c r="AP7" s="140">
        <f t="shared" si="15"/>
        <v>0</v>
      </c>
      <c r="AQ7" s="140">
        <f t="shared" si="16"/>
        <v>0</v>
      </c>
      <c r="AR7" s="140">
        <f t="shared" si="17"/>
        <v>0</v>
      </c>
      <c r="AS7" s="252"/>
    </row>
    <row r="8" spans="1:45" s="20" customFormat="1" hidden="1">
      <c r="A8" s="46" t="s">
        <v>54</v>
      </c>
      <c r="B8" s="20" t="s">
        <v>9</v>
      </c>
      <c r="C8" s="175">
        <v>0</v>
      </c>
      <c r="D8" s="100" t="s">
        <v>9</v>
      </c>
      <c r="E8" s="176">
        <v>0</v>
      </c>
      <c r="F8" s="177">
        <f t="shared" si="0"/>
        <v>0</v>
      </c>
      <c r="G8" s="178">
        <v>0</v>
      </c>
      <c r="H8" s="178">
        <v>2</v>
      </c>
      <c r="I8" s="178">
        <v>0</v>
      </c>
      <c r="J8" s="178">
        <v>2</v>
      </c>
      <c r="K8" s="179">
        <v>0</v>
      </c>
      <c r="L8" s="100" t="s">
        <v>8</v>
      </c>
      <c r="M8" s="176">
        <f t="shared" si="1"/>
        <v>0</v>
      </c>
      <c r="N8" s="96">
        <v>0</v>
      </c>
      <c r="O8" s="176">
        <f t="shared" si="2"/>
        <v>0</v>
      </c>
      <c r="P8" s="180"/>
      <c r="Q8" s="52" t="s">
        <v>46</v>
      </c>
      <c r="R8" s="75" t="s">
        <v>77</v>
      </c>
      <c r="S8" s="145" t="str">
        <f t="shared" si="3"/>
        <v>BPD2010</v>
      </c>
      <c r="T8" s="145" t="str">
        <f t="shared" si="4"/>
        <v>B1.2.1.1.12010</v>
      </c>
      <c r="U8" s="145" t="s">
        <v>184</v>
      </c>
      <c r="V8" s="145" t="str">
        <f t="shared" si="5"/>
        <v>Sector Mechanical Prototypes</v>
      </c>
      <c r="AB8" s="33">
        <v>2010</v>
      </c>
      <c r="AC8" s="140">
        <f t="shared" si="6"/>
        <v>0</v>
      </c>
      <c r="AD8" s="140">
        <f t="shared" si="7"/>
        <v>0</v>
      </c>
      <c r="AE8" s="140">
        <f t="shared" si="8"/>
        <v>0</v>
      </c>
      <c r="AF8" s="140">
        <f t="shared" si="9"/>
        <v>0</v>
      </c>
      <c r="AG8" s="140">
        <f t="shared" si="10"/>
        <v>0</v>
      </c>
      <c r="AH8" s="251">
        <f t="shared" si="11"/>
        <v>0</v>
      </c>
      <c r="AI8" s="252"/>
      <c r="AJ8" s="96"/>
      <c r="AK8" s="96"/>
      <c r="AL8" s="176"/>
      <c r="AM8" s="139">
        <f t="shared" si="12"/>
        <v>0</v>
      </c>
      <c r="AN8" s="140">
        <f t="shared" si="13"/>
        <v>0</v>
      </c>
      <c r="AO8" s="140">
        <f t="shared" si="14"/>
        <v>0</v>
      </c>
      <c r="AP8" s="140">
        <f t="shared" si="15"/>
        <v>0</v>
      </c>
      <c r="AQ8" s="140">
        <f t="shared" si="16"/>
        <v>0</v>
      </c>
      <c r="AR8" s="140">
        <f t="shared" si="17"/>
        <v>0</v>
      </c>
      <c r="AS8" s="252"/>
    </row>
    <row r="9" spans="1:45" s="141" customFormat="1" hidden="1">
      <c r="A9" s="46" t="s">
        <v>55</v>
      </c>
      <c r="B9" s="20" t="s">
        <v>58</v>
      </c>
      <c r="C9" s="175">
        <v>0.5</v>
      </c>
      <c r="D9" s="100" t="s">
        <v>59</v>
      </c>
      <c r="E9" s="176">
        <v>105</v>
      </c>
      <c r="F9" s="177">
        <f t="shared" si="0"/>
        <v>52.5</v>
      </c>
      <c r="G9" s="178">
        <v>0</v>
      </c>
      <c r="H9" s="178">
        <v>8</v>
      </c>
      <c r="I9" s="178">
        <v>0</v>
      </c>
      <c r="J9" s="178">
        <v>1</v>
      </c>
      <c r="K9" s="179">
        <v>0</v>
      </c>
      <c r="L9" s="100" t="s">
        <v>8</v>
      </c>
      <c r="M9" s="176">
        <f t="shared" si="1"/>
        <v>0</v>
      </c>
      <c r="N9" s="96">
        <v>0</v>
      </c>
      <c r="O9" s="176">
        <f t="shared" si="2"/>
        <v>0</v>
      </c>
      <c r="P9" s="180"/>
      <c r="Q9" s="52" t="s">
        <v>46</v>
      </c>
      <c r="R9" s="75" t="s">
        <v>77</v>
      </c>
      <c r="S9" s="145" t="str">
        <f t="shared" si="3"/>
        <v>BPD2010</v>
      </c>
      <c r="T9" s="145" t="str">
        <f t="shared" si="4"/>
        <v>B1.2.1.1.12010</v>
      </c>
      <c r="U9" s="145" t="s">
        <v>184</v>
      </c>
      <c r="V9" s="145" t="str">
        <f t="shared" si="5"/>
        <v>Sector Mechanical Prototypes</v>
      </c>
      <c r="W9" s="20"/>
      <c r="X9" s="20"/>
      <c r="Y9" s="20"/>
      <c r="Z9" s="20"/>
      <c r="AA9" s="20"/>
      <c r="AB9" s="33">
        <v>2010</v>
      </c>
      <c r="AC9" s="140">
        <f t="shared" si="6"/>
        <v>0</v>
      </c>
      <c r="AD9" s="140">
        <f t="shared" si="7"/>
        <v>0</v>
      </c>
      <c r="AE9" s="140">
        <f t="shared" si="8"/>
        <v>0</v>
      </c>
      <c r="AF9" s="140">
        <f t="shared" si="9"/>
        <v>0</v>
      </c>
      <c r="AG9" s="140">
        <f t="shared" si="10"/>
        <v>0</v>
      </c>
      <c r="AH9" s="251">
        <f t="shared" si="11"/>
        <v>0</v>
      </c>
      <c r="AI9" s="252"/>
      <c r="AJ9" s="96"/>
      <c r="AK9" s="96"/>
      <c r="AL9" s="176"/>
      <c r="AM9" s="139">
        <f t="shared" si="12"/>
        <v>0</v>
      </c>
      <c r="AN9" s="140">
        <f t="shared" si="13"/>
        <v>0</v>
      </c>
      <c r="AO9" s="140">
        <f t="shared" si="14"/>
        <v>0</v>
      </c>
      <c r="AP9" s="140">
        <f t="shared" si="15"/>
        <v>0</v>
      </c>
      <c r="AQ9" s="140">
        <f t="shared" si="16"/>
        <v>0</v>
      </c>
      <c r="AR9" s="140">
        <f t="shared" si="17"/>
        <v>0</v>
      </c>
      <c r="AS9" s="253"/>
    </row>
    <row r="10" spans="1:45" s="20" customFormat="1" hidden="1">
      <c r="A10" s="46" t="s">
        <v>61</v>
      </c>
      <c r="B10" s="20" t="s">
        <v>9</v>
      </c>
      <c r="C10" s="175">
        <v>1</v>
      </c>
      <c r="D10" s="100" t="s">
        <v>57</v>
      </c>
      <c r="E10" s="176">
        <v>1500</v>
      </c>
      <c r="F10" s="177">
        <f t="shared" si="0"/>
        <v>1500</v>
      </c>
      <c r="G10" s="178">
        <v>0</v>
      </c>
      <c r="H10" s="178">
        <v>4</v>
      </c>
      <c r="I10" s="178">
        <v>0</v>
      </c>
      <c r="J10" s="178">
        <v>4</v>
      </c>
      <c r="K10" s="179">
        <v>0</v>
      </c>
      <c r="L10" s="100" t="s">
        <v>8</v>
      </c>
      <c r="M10" s="176">
        <f t="shared" si="1"/>
        <v>0</v>
      </c>
      <c r="N10" s="96">
        <v>0</v>
      </c>
      <c r="O10" s="176">
        <f t="shared" si="2"/>
        <v>0</v>
      </c>
      <c r="P10" s="180"/>
      <c r="Q10" s="52" t="s">
        <v>46</v>
      </c>
      <c r="R10" s="75" t="s">
        <v>77</v>
      </c>
      <c r="S10" s="145" t="str">
        <f t="shared" si="3"/>
        <v>BPD2010</v>
      </c>
      <c r="T10" s="145" t="str">
        <f t="shared" si="4"/>
        <v>B1.2.1.1.12010</v>
      </c>
      <c r="U10" s="145" t="s">
        <v>184</v>
      </c>
      <c r="V10" s="145" t="str">
        <f t="shared" si="5"/>
        <v>Sector Mechanical Prototypes</v>
      </c>
      <c r="AB10" s="33">
        <v>2010</v>
      </c>
      <c r="AC10" s="140">
        <f t="shared" si="6"/>
        <v>0</v>
      </c>
      <c r="AD10" s="140">
        <f t="shared" si="7"/>
        <v>0</v>
      </c>
      <c r="AE10" s="140">
        <f t="shared" si="8"/>
        <v>0</v>
      </c>
      <c r="AF10" s="140">
        <f t="shared" si="9"/>
        <v>0</v>
      </c>
      <c r="AG10" s="140">
        <f t="shared" si="10"/>
        <v>0</v>
      </c>
      <c r="AH10" s="251">
        <f t="shared" si="11"/>
        <v>0</v>
      </c>
      <c r="AI10" s="252"/>
      <c r="AJ10" s="96"/>
      <c r="AK10" s="96"/>
      <c r="AL10" s="176"/>
      <c r="AM10" s="139">
        <f t="shared" si="12"/>
        <v>0</v>
      </c>
      <c r="AN10" s="140">
        <f t="shared" si="13"/>
        <v>0</v>
      </c>
      <c r="AO10" s="140">
        <f t="shared" si="14"/>
        <v>0</v>
      </c>
      <c r="AP10" s="140">
        <f t="shared" si="15"/>
        <v>0</v>
      </c>
      <c r="AQ10" s="140">
        <f t="shared" si="16"/>
        <v>0</v>
      </c>
      <c r="AR10" s="140">
        <f t="shared" si="17"/>
        <v>0</v>
      </c>
      <c r="AS10" s="252"/>
    </row>
    <row r="11" spans="1:45" s="20" customFormat="1">
      <c r="A11" s="47" t="s">
        <v>404</v>
      </c>
      <c r="B11" s="20" t="s">
        <v>223</v>
      </c>
      <c r="C11" s="175">
        <v>40</v>
      </c>
      <c r="D11" s="100" t="s">
        <v>59</v>
      </c>
      <c r="E11" s="176">
        <v>400</v>
      </c>
      <c r="F11" s="177">
        <f t="shared" si="0"/>
        <v>16000</v>
      </c>
      <c r="G11" s="178">
        <v>0</v>
      </c>
      <c r="H11" s="178">
        <v>0</v>
      </c>
      <c r="I11" s="178">
        <v>0</v>
      </c>
      <c r="J11" s="178">
        <v>2</v>
      </c>
      <c r="K11" s="179">
        <v>0</v>
      </c>
      <c r="L11" s="100" t="s">
        <v>8</v>
      </c>
      <c r="M11" s="176">
        <f t="shared" si="1"/>
        <v>243.00000000000003</v>
      </c>
      <c r="N11" s="96">
        <v>1</v>
      </c>
      <c r="O11" s="176">
        <f t="shared" si="2"/>
        <v>16243</v>
      </c>
      <c r="P11" s="180"/>
      <c r="Q11" s="52" t="s">
        <v>47</v>
      </c>
      <c r="R11" s="75" t="s">
        <v>77</v>
      </c>
      <c r="S11" s="145" t="str">
        <f t="shared" si="3"/>
        <v>CPD2011</v>
      </c>
      <c r="T11" s="145" t="str">
        <f t="shared" si="4"/>
        <v>C1.2.1.1.22011</v>
      </c>
      <c r="U11" s="145" t="s">
        <v>186</v>
      </c>
      <c r="V11" s="145" t="str">
        <f t="shared" si="5"/>
        <v>Production Sectors</v>
      </c>
      <c r="W11" s="138"/>
      <c r="X11" s="138"/>
      <c r="Y11" s="138"/>
      <c r="Z11" s="138"/>
      <c r="AA11" s="138"/>
      <c r="AB11" s="33">
        <v>2011</v>
      </c>
      <c r="AC11" s="140">
        <f t="shared" si="6"/>
        <v>0</v>
      </c>
      <c r="AD11" s="140">
        <f t="shared" si="7"/>
        <v>0</v>
      </c>
      <c r="AE11" s="140">
        <f t="shared" si="8"/>
        <v>0</v>
      </c>
      <c r="AF11" s="140">
        <f t="shared" si="9"/>
        <v>0</v>
      </c>
      <c r="AG11" s="140">
        <f t="shared" si="10"/>
        <v>0</v>
      </c>
      <c r="AH11" s="251">
        <f t="shared" si="11"/>
        <v>0</v>
      </c>
      <c r="AI11" s="252"/>
      <c r="AJ11" s="96"/>
      <c r="AK11" s="96"/>
      <c r="AL11" s="176"/>
      <c r="AM11" s="139">
        <f t="shared" si="12"/>
        <v>0</v>
      </c>
      <c r="AN11" s="140">
        <f t="shared" si="13"/>
        <v>0</v>
      </c>
      <c r="AO11" s="140">
        <f t="shared" si="14"/>
        <v>0</v>
      </c>
      <c r="AP11" s="140">
        <f t="shared" si="15"/>
        <v>2</v>
      </c>
      <c r="AQ11" s="140">
        <f t="shared" si="16"/>
        <v>0</v>
      </c>
      <c r="AR11" s="140">
        <f t="shared" si="17"/>
        <v>16000</v>
      </c>
      <c r="AS11" s="252"/>
    </row>
    <row r="12" spans="1:45" s="20" customFormat="1">
      <c r="A12" s="46" t="s">
        <v>224</v>
      </c>
      <c r="B12" s="20" t="s">
        <v>9</v>
      </c>
      <c r="C12" s="175">
        <v>1</v>
      </c>
      <c r="D12" s="100" t="s">
        <v>9</v>
      </c>
      <c r="E12" s="176">
        <v>1500</v>
      </c>
      <c r="F12" s="177">
        <f t="shared" si="0"/>
        <v>1500</v>
      </c>
      <c r="G12" s="178">
        <v>0</v>
      </c>
      <c r="H12" s="178">
        <v>0</v>
      </c>
      <c r="I12" s="178">
        <v>0</v>
      </c>
      <c r="J12" s="178">
        <v>0</v>
      </c>
      <c r="K12" s="179">
        <v>0</v>
      </c>
      <c r="L12" s="100" t="s">
        <v>8</v>
      </c>
      <c r="M12" s="176">
        <f t="shared" si="1"/>
        <v>0</v>
      </c>
      <c r="N12" s="96">
        <v>1</v>
      </c>
      <c r="O12" s="176">
        <f t="shared" si="2"/>
        <v>1500</v>
      </c>
      <c r="P12" s="180"/>
      <c r="Q12" s="52" t="s">
        <v>47</v>
      </c>
      <c r="R12" s="75" t="s">
        <v>77</v>
      </c>
      <c r="S12" s="145" t="str">
        <f t="shared" si="3"/>
        <v>CPD2011</v>
      </c>
      <c r="T12" s="145" t="str">
        <f t="shared" si="4"/>
        <v>C1.2.1.1.22011</v>
      </c>
      <c r="U12" s="145" t="s">
        <v>186</v>
      </c>
      <c r="V12" s="145" t="str">
        <f t="shared" si="5"/>
        <v>Production Sectors</v>
      </c>
      <c r="AB12" s="33">
        <v>2011</v>
      </c>
      <c r="AC12" s="140">
        <f t="shared" si="6"/>
        <v>0</v>
      </c>
      <c r="AD12" s="140">
        <f t="shared" si="7"/>
        <v>0</v>
      </c>
      <c r="AE12" s="140">
        <f t="shared" si="8"/>
        <v>0</v>
      </c>
      <c r="AF12" s="140">
        <f t="shared" si="9"/>
        <v>0</v>
      </c>
      <c r="AG12" s="140">
        <f t="shared" si="10"/>
        <v>0</v>
      </c>
      <c r="AH12" s="251">
        <f t="shared" si="11"/>
        <v>0</v>
      </c>
      <c r="AI12" s="252"/>
      <c r="AJ12" s="96"/>
      <c r="AK12" s="96"/>
      <c r="AL12" s="176"/>
      <c r="AM12" s="139">
        <f t="shared" si="12"/>
        <v>0</v>
      </c>
      <c r="AN12" s="140">
        <f t="shared" si="13"/>
        <v>0</v>
      </c>
      <c r="AO12" s="140">
        <f t="shared" si="14"/>
        <v>0</v>
      </c>
      <c r="AP12" s="140">
        <f t="shared" si="15"/>
        <v>0</v>
      </c>
      <c r="AQ12" s="140">
        <f t="shared" si="16"/>
        <v>0</v>
      </c>
      <c r="AR12" s="140">
        <f t="shared" si="17"/>
        <v>1500</v>
      </c>
      <c r="AS12" s="252"/>
    </row>
    <row r="13" spans="1:45" s="20" customFormat="1">
      <c r="A13" s="46" t="s">
        <v>225</v>
      </c>
      <c r="B13" s="20" t="s">
        <v>9</v>
      </c>
      <c r="C13" s="175">
        <f>C11*0.1</f>
        <v>4</v>
      </c>
      <c r="D13" s="100" t="s">
        <v>9</v>
      </c>
      <c r="E13" s="176">
        <f>E11</f>
        <v>400</v>
      </c>
      <c r="F13" s="177">
        <f t="shared" si="0"/>
        <v>1600</v>
      </c>
      <c r="G13" s="178">
        <v>0</v>
      </c>
      <c r="H13" s="178">
        <v>0</v>
      </c>
      <c r="I13" s="178">
        <v>0</v>
      </c>
      <c r="J13" s="178">
        <v>0</v>
      </c>
      <c r="K13" s="179">
        <v>0</v>
      </c>
      <c r="L13" s="100" t="s">
        <v>8</v>
      </c>
      <c r="M13" s="176">
        <f t="shared" si="1"/>
        <v>0</v>
      </c>
      <c r="N13" s="96">
        <v>1</v>
      </c>
      <c r="O13" s="176">
        <f t="shared" si="2"/>
        <v>1600</v>
      </c>
      <c r="P13" s="180"/>
      <c r="Q13" s="52" t="s">
        <v>47</v>
      </c>
      <c r="R13" s="75" t="s">
        <v>77</v>
      </c>
      <c r="S13" s="145" t="str">
        <f t="shared" si="3"/>
        <v>CPD2011</v>
      </c>
      <c r="T13" s="145" t="str">
        <f t="shared" si="4"/>
        <v>C1.2.1.1.22011</v>
      </c>
      <c r="U13" s="145" t="s">
        <v>186</v>
      </c>
      <c r="V13" s="145" t="str">
        <f t="shared" si="5"/>
        <v>Production Sectors</v>
      </c>
      <c r="AB13" s="33">
        <v>2011</v>
      </c>
      <c r="AC13" s="140">
        <f t="shared" si="6"/>
        <v>0</v>
      </c>
      <c r="AD13" s="140">
        <f t="shared" si="7"/>
        <v>0</v>
      </c>
      <c r="AE13" s="140">
        <f t="shared" si="8"/>
        <v>0</v>
      </c>
      <c r="AF13" s="140">
        <f t="shared" si="9"/>
        <v>0</v>
      </c>
      <c r="AG13" s="140">
        <f t="shared" si="10"/>
        <v>0</v>
      </c>
      <c r="AH13" s="251">
        <f t="shared" si="11"/>
        <v>0</v>
      </c>
      <c r="AI13" s="252"/>
      <c r="AJ13" s="96"/>
      <c r="AK13" s="96"/>
      <c r="AL13" s="176"/>
      <c r="AM13" s="139">
        <f t="shared" si="12"/>
        <v>0</v>
      </c>
      <c r="AN13" s="140">
        <f t="shared" si="13"/>
        <v>0</v>
      </c>
      <c r="AO13" s="140">
        <f t="shared" si="14"/>
        <v>0</v>
      </c>
      <c r="AP13" s="140">
        <f t="shared" si="15"/>
        <v>0</v>
      </c>
      <c r="AQ13" s="140">
        <f t="shared" si="16"/>
        <v>0</v>
      </c>
      <c r="AR13" s="140">
        <f t="shared" si="17"/>
        <v>1600</v>
      </c>
      <c r="AS13" s="252"/>
    </row>
    <row r="14" spans="1:45" s="20" customFormat="1">
      <c r="A14" s="46" t="s">
        <v>54</v>
      </c>
      <c r="B14" s="20" t="s">
        <v>9</v>
      </c>
      <c r="C14" s="175">
        <v>0</v>
      </c>
      <c r="D14" s="100" t="s">
        <v>9</v>
      </c>
      <c r="E14" s="176">
        <v>0</v>
      </c>
      <c r="F14" s="177">
        <f t="shared" si="0"/>
        <v>0</v>
      </c>
      <c r="G14" s="178">
        <v>0</v>
      </c>
      <c r="H14" s="178">
        <v>2</v>
      </c>
      <c r="I14" s="178">
        <v>0</v>
      </c>
      <c r="J14" s="178">
        <v>2</v>
      </c>
      <c r="K14" s="179">
        <v>0</v>
      </c>
      <c r="L14" s="100" t="s">
        <v>8</v>
      </c>
      <c r="M14" s="176">
        <f t="shared" si="1"/>
        <v>432.54000000000008</v>
      </c>
      <c r="N14" s="96">
        <v>1</v>
      </c>
      <c r="O14" s="176">
        <f t="shared" si="2"/>
        <v>432.54000000000008</v>
      </c>
      <c r="P14" s="180"/>
      <c r="Q14" s="52" t="s">
        <v>47</v>
      </c>
      <c r="R14" s="75" t="s">
        <v>77</v>
      </c>
      <c r="S14" s="145" t="str">
        <f t="shared" si="3"/>
        <v>CPD2011</v>
      </c>
      <c r="T14" s="145" t="str">
        <f t="shared" si="4"/>
        <v>C1.2.1.1.22011</v>
      </c>
      <c r="U14" s="145" t="s">
        <v>186</v>
      </c>
      <c r="V14" s="145" t="str">
        <f t="shared" si="5"/>
        <v>Production Sectors</v>
      </c>
      <c r="AB14" s="33">
        <v>2011</v>
      </c>
      <c r="AC14" s="140">
        <f t="shared" si="6"/>
        <v>0</v>
      </c>
      <c r="AD14" s="140">
        <f t="shared" si="7"/>
        <v>0</v>
      </c>
      <c r="AE14" s="140">
        <f t="shared" si="8"/>
        <v>0</v>
      </c>
      <c r="AF14" s="140">
        <f t="shared" si="9"/>
        <v>0</v>
      </c>
      <c r="AG14" s="140">
        <f t="shared" si="10"/>
        <v>0</v>
      </c>
      <c r="AH14" s="251">
        <f t="shared" si="11"/>
        <v>0</v>
      </c>
      <c r="AI14" s="252"/>
      <c r="AJ14" s="96"/>
      <c r="AK14" s="96"/>
      <c r="AL14" s="176"/>
      <c r="AM14" s="139">
        <f t="shared" si="12"/>
        <v>0</v>
      </c>
      <c r="AN14" s="140">
        <f t="shared" si="13"/>
        <v>2</v>
      </c>
      <c r="AO14" s="140">
        <f t="shared" si="14"/>
        <v>0</v>
      </c>
      <c r="AP14" s="140">
        <f t="shared" si="15"/>
        <v>2</v>
      </c>
      <c r="AQ14" s="140">
        <f t="shared" si="16"/>
        <v>0</v>
      </c>
      <c r="AR14" s="140">
        <f t="shared" si="17"/>
        <v>0</v>
      </c>
      <c r="AS14" s="252"/>
    </row>
    <row r="15" spans="1:45" s="141" customFormat="1">
      <c r="A15" s="46" t="s">
        <v>55</v>
      </c>
      <c r="B15" s="20" t="s">
        <v>58</v>
      </c>
      <c r="C15" s="175">
        <v>0.5</v>
      </c>
      <c r="D15" s="100" t="s">
        <v>59</v>
      </c>
      <c r="E15" s="176">
        <v>105</v>
      </c>
      <c r="F15" s="177">
        <f t="shared" si="0"/>
        <v>52.5</v>
      </c>
      <c r="G15" s="178">
        <v>0</v>
      </c>
      <c r="H15" s="178">
        <v>8</v>
      </c>
      <c r="I15" s="178">
        <v>0</v>
      </c>
      <c r="J15" s="178">
        <v>1</v>
      </c>
      <c r="K15" s="179">
        <v>0</v>
      </c>
      <c r="L15" s="100" t="s">
        <v>8</v>
      </c>
      <c r="M15" s="176">
        <f t="shared" si="1"/>
        <v>879.66000000000008</v>
      </c>
      <c r="N15" s="96">
        <v>1</v>
      </c>
      <c r="O15" s="176">
        <f t="shared" si="2"/>
        <v>932.16000000000008</v>
      </c>
      <c r="P15" s="180"/>
      <c r="Q15" s="52" t="s">
        <v>47</v>
      </c>
      <c r="R15" s="75" t="s">
        <v>77</v>
      </c>
      <c r="S15" s="145" t="str">
        <f t="shared" si="3"/>
        <v>CPD2011</v>
      </c>
      <c r="T15" s="145" t="str">
        <f t="shared" si="4"/>
        <v>C1.2.1.1.22011</v>
      </c>
      <c r="U15" s="145" t="s">
        <v>186</v>
      </c>
      <c r="V15" s="145" t="str">
        <f t="shared" si="5"/>
        <v>Production Sectors</v>
      </c>
      <c r="W15" s="20"/>
      <c r="X15" s="20"/>
      <c r="Y15" s="20"/>
      <c r="Z15" s="20"/>
      <c r="AA15" s="20"/>
      <c r="AB15" s="33">
        <v>2011</v>
      </c>
      <c r="AC15" s="140">
        <f t="shared" si="6"/>
        <v>0</v>
      </c>
      <c r="AD15" s="140">
        <f t="shared" si="7"/>
        <v>0</v>
      </c>
      <c r="AE15" s="140">
        <f t="shared" si="8"/>
        <v>0</v>
      </c>
      <c r="AF15" s="140">
        <f t="shared" si="9"/>
        <v>0</v>
      </c>
      <c r="AG15" s="140">
        <f t="shared" si="10"/>
        <v>0</v>
      </c>
      <c r="AH15" s="251">
        <f t="shared" si="11"/>
        <v>0</v>
      </c>
      <c r="AI15" s="252"/>
      <c r="AJ15" s="96"/>
      <c r="AK15" s="96"/>
      <c r="AL15" s="176"/>
      <c r="AM15" s="139">
        <f t="shared" si="12"/>
        <v>0</v>
      </c>
      <c r="AN15" s="140">
        <f t="shared" si="13"/>
        <v>8</v>
      </c>
      <c r="AO15" s="140">
        <f t="shared" si="14"/>
        <v>0</v>
      </c>
      <c r="AP15" s="140">
        <f t="shared" si="15"/>
        <v>1</v>
      </c>
      <c r="AQ15" s="140">
        <f t="shared" si="16"/>
        <v>0</v>
      </c>
      <c r="AR15" s="140">
        <f t="shared" si="17"/>
        <v>52.5</v>
      </c>
      <c r="AS15" s="253"/>
    </row>
    <row r="16" spans="1:45" s="20" customFormat="1">
      <c r="A16" s="46" t="s">
        <v>61</v>
      </c>
      <c r="B16" s="20" t="s">
        <v>9</v>
      </c>
      <c r="C16" s="175">
        <v>1</v>
      </c>
      <c r="D16" s="100" t="s">
        <v>57</v>
      </c>
      <c r="E16" s="176">
        <v>1500</v>
      </c>
      <c r="F16" s="177">
        <f t="shared" si="0"/>
        <v>1500</v>
      </c>
      <c r="G16" s="178">
        <v>0</v>
      </c>
      <c r="H16" s="178">
        <v>4</v>
      </c>
      <c r="I16" s="178">
        <v>0</v>
      </c>
      <c r="J16" s="178">
        <v>4</v>
      </c>
      <c r="K16" s="179">
        <v>0</v>
      </c>
      <c r="L16" s="100" t="s">
        <v>8</v>
      </c>
      <c r="M16" s="176">
        <f t="shared" si="1"/>
        <v>865.08000000000015</v>
      </c>
      <c r="N16" s="96">
        <v>1</v>
      </c>
      <c r="O16" s="176">
        <f t="shared" si="2"/>
        <v>2365.08</v>
      </c>
      <c r="P16" s="180"/>
      <c r="Q16" s="52" t="s">
        <v>47</v>
      </c>
      <c r="R16" s="75" t="s">
        <v>77</v>
      </c>
      <c r="S16" s="145" t="str">
        <f t="shared" si="3"/>
        <v>CPD2011</v>
      </c>
      <c r="T16" s="145" t="str">
        <f t="shared" si="4"/>
        <v>C1.2.1.1.22011</v>
      </c>
      <c r="U16" s="145" t="s">
        <v>186</v>
      </c>
      <c r="V16" s="145" t="str">
        <f t="shared" si="5"/>
        <v>Production Sectors</v>
      </c>
      <c r="AB16" s="33">
        <v>2011</v>
      </c>
      <c r="AC16" s="140">
        <f t="shared" si="6"/>
        <v>0</v>
      </c>
      <c r="AD16" s="140">
        <f t="shared" si="7"/>
        <v>0</v>
      </c>
      <c r="AE16" s="140">
        <f t="shared" si="8"/>
        <v>0</v>
      </c>
      <c r="AF16" s="140">
        <f t="shared" si="9"/>
        <v>0</v>
      </c>
      <c r="AG16" s="140">
        <f t="shared" si="10"/>
        <v>0</v>
      </c>
      <c r="AH16" s="251">
        <f t="shared" si="11"/>
        <v>0</v>
      </c>
      <c r="AI16" s="252"/>
      <c r="AJ16" s="96"/>
      <c r="AK16" s="96"/>
      <c r="AL16" s="176"/>
      <c r="AM16" s="139">
        <f t="shared" si="12"/>
        <v>0</v>
      </c>
      <c r="AN16" s="140">
        <f t="shared" si="13"/>
        <v>4</v>
      </c>
      <c r="AO16" s="140">
        <f t="shared" si="14"/>
        <v>0</v>
      </c>
      <c r="AP16" s="140">
        <f t="shared" si="15"/>
        <v>4</v>
      </c>
      <c r="AQ16" s="140">
        <f t="shared" si="16"/>
        <v>0</v>
      </c>
      <c r="AR16" s="140">
        <f t="shared" si="17"/>
        <v>1500</v>
      </c>
      <c r="AS16" s="252"/>
    </row>
    <row r="17" spans="1:45" s="20" customFormat="1">
      <c r="A17" s="47" t="s">
        <v>232</v>
      </c>
      <c r="B17" s="20" t="s">
        <v>223</v>
      </c>
      <c r="C17" s="175">
        <v>40</v>
      </c>
      <c r="D17" s="100" t="s">
        <v>59</v>
      </c>
      <c r="E17" s="176">
        <v>400</v>
      </c>
      <c r="F17" s="177">
        <f t="shared" si="0"/>
        <v>16000</v>
      </c>
      <c r="G17" s="178">
        <v>0</v>
      </c>
      <c r="H17" s="178">
        <v>0</v>
      </c>
      <c r="I17" s="178">
        <v>0</v>
      </c>
      <c r="J17" s="178">
        <v>2</v>
      </c>
      <c r="K17" s="179">
        <v>0</v>
      </c>
      <c r="L17" s="100" t="s">
        <v>8</v>
      </c>
      <c r="M17" s="176">
        <f t="shared" si="1"/>
        <v>243.00000000000003</v>
      </c>
      <c r="N17" s="96">
        <v>1</v>
      </c>
      <c r="O17" s="176">
        <f t="shared" si="2"/>
        <v>16243</v>
      </c>
      <c r="P17" s="180"/>
      <c r="Q17" s="52" t="s">
        <v>46</v>
      </c>
      <c r="R17" s="75" t="s">
        <v>77</v>
      </c>
      <c r="S17" s="145" t="str">
        <f t="shared" si="3"/>
        <v>BPD2013</v>
      </c>
      <c r="T17" s="145" t="str">
        <f t="shared" si="4"/>
        <v>B1.2.1.1.22013</v>
      </c>
      <c r="U17" s="145" t="s">
        <v>186</v>
      </c>
      <c r="V17" s="145" t="str">
        <f t="shared" si="5"/>
        <v>Production Sectors</v>
      </c>
      <c r="W17" s="138"/>
      <c r="X17" s="138"/>
      <c r="Y17" s="138"/>
      <c r="Z17" s="138"/>
      <c r="AA17" s="138"/>
      <c r="AB17" s="33">
        <v>2013</v>
      </c>
      <c r="AC17" s="140">
        <f t="shared" si="6"/>
        <v>0</v>
      </c>
      <c r="AD17" s="140">
        <f t="shared" si="7"/>
        <v>0</v>
      </c>
      <c r="AE17" s="140">
        <f t="shared" si="8"/>
        <v>0</v>
      </c>
      <c r="AF17" s="140">
        <f t="shared" si="9"/>
        <v>2</v>
      </c>
      <c r="AG17" s="140">
        <f t="shared" si="10"/>
        <v>0</v>
      </c>
      <c r="AH17" s="251">
        <f t="shared" si="11"/>
        <v>16000</v>
      </c>
      <c r="AI17" s="252"/>
      <c r="AJ17" s="96"/>
      <c r="AK17" s="96"/>
      <c r="AL17" s="176"/>
      <c r="AM17" s="139">
        <f t="shared" si="12"/>
        <v>0</v>
      </c>
      <c r="AN17" s="140">
        <f t="shared" si="13"/>
        <v>0</v>
      </c>
      <c r="AO17" s="140">
        <f t="shared" si="14"/>
        <v>0</v>
      </c>
      <c r="AP17" s="140">
        <f t="shared" si="15"/>
        <v>0</v>
      </c>
      <c r="AQ17" s="140">
        <f t="shared" si="16"/>
        <v>0</v>
      </c>
      <c r="AR17" s="140">
        <f t="shared" si="17"/>
        <v>0</v>
      </c>
      <c r="AS17" s="252"/>
    </row>
    <row r="18" spans="1:45" s="20" customFormat="1">
      <c r="A18" s="46" t="s">
        <v>224</v>
      </c>
      <c r="B18" s="20" t="s">
        <v>9</v>
      </c>
      <c r="C18" s="175">
        <v>1</v>
      </c>
      <c r="D18" s="100" t="s">
        <v>9</v>
      </c>
      <c r="E18" s="176">
        <v>1500</v>
      </c>
      <c r="F18" s="177">
        <f t="shared" si="0"/>
        <v>1500</v>
      </c>
      <c r="G18" s="178">
        <v>0</v>
      </c>
      <c r="H18" s="178">
        <v>0</v>
      </c>
      <c r="I18" s="178">
        <v>0</v>
      </c>
      <c r="J18" s="178">
        <v>0</v>
      </c>
      <c r="K18" s="179">
        <v>0</v>
      </c>
      <c r="L18" s="100" t="s">
        <v>8</v>
      </c>
      <c r="M18" s="176">
        <f t="shared" si="1"/>
        <v>0</v>
      </c>
      <c r="N18" s="96">
        <v>1</v>
      </c>
      <c r="O18" s="176">
        <f t="shared" si="2"/>
        <v>1500</v>
      </c>
      <c r="P18" s="180"/>
      <c r="Q18" s="52" t="s">
        <v>46</v>
      </c>
      <c r="R18" s="75" t="s">
        <v>77</v>
      </c>
      <c r="S18" s="145" t="str">
        <f t="shared" si="3"/>
        <v>BPD2013</v>
      </c>
      <c r="T18" s="145" t="str">
        <f t="shared" si="4"/>
        <v>B1.2.1.1.22013</v>
      </c>
      <c r="U18" s="145" t="s">
        <v>186</v>
      </c>
      <c r="V18" s="145" t="str">
        <f t="shared" si="5"/>
        <v>Production Sectors</v>
      </c>
      <c r="AB18" s="33">
        <v>2013</v>
      </c>
      <c r="AC18" s="140">
        <f t="shared" si="6"/>
        <v>0</v>
      </c>
      <c r="AD18" s="140">
        <f t="shared" si="7"/>
        <v>0</v>
      </c>
      <c r="AE18" s="140">
        <f t="shared" si="8"/>
        <v>0</v>
      </c>
      <c r="AF18" s="140">
        <f t="shared" si="9"/>
        <v>0</v>
      </c>
      <c r="AG18" s="140">
        <f t="shared" si="10"/>
        <v>0</v>
      </c>
      <c r="AH18" s="251">
        <f t="shared" si="11"/>
        <v>1500</v>
      </c>
      <c r="AI18" s="252"/>
      <c r="AJ18" s="96"/>
      <c r="AK18" s="96"/>
      <c r="AL18" s="176"/>
      <c r="AM18" s="139">
        <f t="shared" si="12"/>
        <v>0</v>
      </c>
      <c r="AN18" s="140">
        <f t="shared" si="13"/>
        <v>0</v>
      </c>
      <c r="AO18" s="140">
        <f t="shared" si="14"/>
        <v>0</v>
      </c>
      <c r="AP18" s="140">
        <f t="shared" si="15"/>
        <v>0</v>
      </c>
      <c r="AQ18" s="140">
        <f t="shared" si="16"/>
        <v>0</v>
      </c>
      <c r="AR18" s="140">
        <f t="shared" si="17"/>
        <v>0</v>
      </c>
      <c r="AS18" s="252"/>
    </row>
    <row r="19" spans="1:45" s="20" customFormat="1">
      <c r="A19" s="46" t="s">
        <v>225</v>
      </c>
      <c r="B19" s="20" t="s">
        <v>9</v>
      </c>
      <c r="C19" s="175">
        <f>C17*0.1</f>
        <v>4</v>
      </c>
      <c r="D19" s="100" t="s">
        <v>9</v>
      </c>
      <c r="E19" s="176">
        <f>E17</f>
        <v>400</v>
      </c>
      <c r="F19" s="177">
        <f t="shared" si="0"/>
        <v>1600</v>
      </c>
      <c r="G19" s="178">
        <v>0</v>
      </c>
      <c r="H19" s="178">
        <v>0</v>
      </c>
      <c r="I19" s="178">
        <v>0</v>
      </c>
      <c r="J19" s="178">
        <v>0</v>
      </c>
      <c r="K19" s="179">
        <v>0</v>
      </c>
      <c r="L19" s="100" t="s">
        <v>8</v>
      </c>
      <c r="M19" s="176">
        <f t="shared" si="1"/>
        <v>0</v>
      </c>
      <c r="N19" s="96">
        <v>1</v>
      </c>
      <c r="O19" s="176">
        <f t="shared" si="2"/>
        <v>1600</v>
      </c>
      <c r="P19" s="180"/>
      <c r="Q19" s="52" t="s">
        <v>46</v>
      </c>
      <c r="R19" s="75" t="s">
        <v>77</v>
      </c>
      <c r="S19" s="145" t="str">
        <f t="shared" si="3"/>
        <v>BPD2013</v>
      </c>
      <c r="T19" s="145" t="str">
        <f t="shared" si="4"/>
        <v>B1.2.1.1.22013</v>
      </c>
      <c r="U19" s="145" t="s">
        <v>186</v>
      </c>
      <c r="V19" s="145" t="str">
        <f t="shared" si="5"/>
        <v>Production Sectors</v>
      </c>
      <c r="AB19" s="33">
        <v>2013</v>
      </c>
      <c r="AC19" s="140">
        <f t="shared" si="6"/>
        <v>0</v>
      </c>
      <c r="AD19" s="140">
        <f t="shared" si="7"/>
        <v>0</v>
      </c>
      <c r="AE19" s="140">
        <f t="shared" si="8"/>
        <v>0</v>
      </c>
      <c r="AF19" s="140">
        <f t="shared" si="9"/>
        <v>0</v>
      </c>
      <c r="AG19" s="140">
        <f t="shared" si="10"/>
        <v>0</v>
      </c>
      <c r="AH19" s="251">
        <f t="shared" si="11"/>
        <v>1600</v>
      </c>
      <c r="AI19" s="252"/>
      <c r="AJ19" s="96"/>
      <c r="AK19" s="96"/>
      <c r="AL19" s="176"/>
      <c r="AM19" s="139">
        <f t="shared" si="12"/>
        <v>0</v>
      </c>
      <c r="AN19" s="140">
        <f t="shared" si="13"/>
        <v>0</v>
      </c>
      <c r="AO19" s="140">
        <f t="shared" si="14"/>
        <v>0</v>
      </c>
      <c r="AP19" s="140">
        <f t="shared" si="15"/>
        <v>0</v>
      </c>
      <c r="AQ19" s="140">
        <f t="shared" si="16"/>
        <v>0</v>
      </c>
      <c r="AR19" s="140">
        <f t="shared" si="17"/>
        <v>0</v>
      </c>
      <c r="AS19" s="252"/>
    </row>
    <row r="20" spans="1:45" s="20" customFormat="1">
      <c r="A20" s="46" t="s">
        <v>54</v>
      </c>
      <c r="B20" s="20" t="s">
        <v>9</v>
      </c>
      <c r="C20" s="175">
        <v>0</v>
      </c>
      <c r="D20" s="100" t="s">
        <v>9</v>
      </c>
      <c r="E20" s="176">
        <v>0</v>
      </c>
      <c r="F20" s="177">
        <f t="shared" si="0"/>
        <v>0</v>
      </c>
      <c r="G20" s="178">
        <v>0</v>
      </c>
      <c r="H20" s="178">
        <v>2</v>
      </c>
      <c r="I20" s="178">
        <v>0</v>
      </c>
      <c r="J20" s="178">
        <v>2</v>
      </c>
      <c r="K20" s="179">
        <v>0</v>
      </c>
      <c r="L20" s="100" t="s">
        <v>8</v>
      </c>
      <c r="M20" s="176">
        <f t="shared" si="1"/>
        <v>432.54000000000008</v>
      </c>
      <c r="N20" s="96">
        <v>1</v>
      </c>
      <c r="O20" s="176">
        <f t="shared" si="2"/>
        <v>432.54000000000008</v>
      </c>
      <c r="P20" s="180"/>
      <c r="Q20" s="52" t="s">
        <v>46</v>
      </c>
      <c r="R20" s="75" t="s">
        <v>77</v>
      </c>
      <c r="S20" s="145" t="str">
        <f t="shared" si="3"/>
        <v>BPD2013</v>
      </c>
      <c r="T20" s="145" t="str">
        <f t="shared" si="4"/>
        <v>B1.2.1.1.22013</v>
      </c>
      <c r="U20" s="145" t="s">
        <v>186</v>
      </c>
      <c r="V20" s="145" t="str">
        <f t="shared" si="5"/>
        <v>Production Sectors</v>
      </c>
      <c r="AB20" s="33">
        <v>2013</v>
      </c>
      <c r="AC20" s="140">
        <f t="shared" si="6"/>
        <v>0</v>
      </c>
      <c r="AD20" s="140">
        <f t="shared" si="7"/>
        <v>2</v>
      </c>
      <c r="AE20" s="140">
        <f t="shared" si="8"/>
        <v>0</v>
      </c>
      <c r="AF20" s="140">
        <f t="shared" si="9"/>
        <v>2</v>
      </c>
      <c r="AG20" s="140">
        <f t="shared" si="10"/>
        <v>0</v>
      </c>
      <c r="AH20" s="251">
        <f t="shared" si="11"/>
        <v>0</v>
      </c>
      <c r="AI20" s="252"/>
      <c r="AJ20" s="96"/>
      <c r="AK20" s="96"/>
      <c r="AL20" s="176"/>
      <c r="AM20" s="139">
        <f t="shared" si="12"/>
        <v>0</v>
      </c>
      <c r="AN20" s="140">
        <f t="shared" si="13"/>
        <v>0</v>
      </c>
      <c r="AO20" s="140">
        <f t="shared" si="14"/>
        <v>0</v>
      </c>
      <c r="AP20" s="140">
        <f t="shared" si="15"/>
        <v>0</v>
      </c>
      <c r="AQ20" s="140">
        <f t="shared" si="16"/>
        <v>0</v>
      </c>
      <c r="AR20" s="140">
        <f t="shared" si="17"/>
        <v>0</v>
      </c>
      <c r="AS20" s="252"/>
    </row>
    <row r="21" spans="1:45" s="141" customFormat="1">
      <c r="A21" s="46" t="s">
        <v>55</v>
      </c>
      <c r="B21" s="20" t="s">
        <v>58</v>
      </c>
      <c r="C21" s="175">
        <v>0.5</v>
      </c>
      <c r="D21" s="100" t="s">
        <v>59</v>
      </c>
      <c r="E21" s="176">
        <v>105</v>
      </c>
      <c r="F21" s="177">
        <f t="shared" si="0"/>
        <v>52.5</v>
      </c>
      <c r="G21" s="178">
        <v>0</v>
      </c>
      <c r="H21" s="178">
        <v>8</v>
      </c>
      <c r="I21" s="178">
        <v>0</v>
      </c>
      <c r="J21" s="178">
        <v>1</v>
      </c>
      <c r="K21" s="179">
        <v>0</v>
      </c>
      <c r="L21" s="100" t="s">
        <v>8</v>
      </c>
      <c r="M21" s="176">
        <f t="shared" si="1"/>
        <v>879.66000000000008</v>
      </c>
      <c r="N21" s="96">
        <v>1</v>
      </c>
      <c r="O21" s="176">
        <f t="shared" si="2"/>
        <v>932.16000000000008</v>
      </c>
      <c r="P21" s="180"/>
      <c r="Q21" s="52" t="s">
        <v>46</v>
      </c>
      <c r="R21" s="75" t="s">
        <v>77</v>
      </c>
      <c r="S21" s="145" t="str">
        <f t="shared" si="3"/>
        <v>BPD2013</v>
      </c>
      <c r="T21" s="145" t="str">
        <f t="shared" si="4"/>
        <v>B1.2.1.1.22013</v>
      </c>
      <c r="U21" s="145" t="s">
        <v>186</v>
      </c>
      <c r="V21" s="145" t="str">
        <f t="shared" si="5"/>
        <v>Production Sectors</v>
      </c>
      <c r="W21" s="20"/>
      <c r="X21" s="20"/>
      <c r="Y21" s="20"/>
      <c r="Z21" s="20"/>
      <c r="AA21" s="20"/>
      <c r="AB21" s="33">
        <v>2013</v>
      </c>
      <c r="AC21" s="140">
        <f t="shared" si="6"/>
        <v>0</v>
      </c>
      <c r="AD21" s="140">
        <f t="shared" si="7"/>
        <v>8</v>
      </c>
      <c r="AE21" s="140">
        <f t="shared" si="8"/>
        <v>0</v>
      </c>
      <c r="AF21" s="140">
        <f t="shared" si="9"/>
        <v>1</v>
      </c>
      <c r="AG21" s="140">
        <f t="shared" si="10"/>
        <v>0</v>
      </c>
      <c r="AH21" s="251">
        <f t="shared" si="11"/>
        <v>52.5</v>
      </c>
      <c r="AI21" s="252"/>
      <c r="AJ21" s="96"/>
      <c r="AK21" s="96"/>
      <c r="AL21" s="176"/>
      <c r="AM21" s="139">
        <f t="shared" si="12"/>
        <v>0</v>
      </c>
      <c r="AN21" s="140">
        <f t="shared" si="13"/>
        <v>0</v>
      </c>
      <c r="AO21" s="140">
        <f t="shared" si="14"/>
        <v>0</v>
      </c>
      <c r="AP21" s="140">
        <f t="shared" si="15"/>
        <v>0</v>
      </c>
      <c r="AQ21" s="140">
        <f t="shared" si="16"/>
        <v>0</v>
      </c>
      <c r="AR21" s="140">
        <f t="shared" si="17"/>
        <v>0</v>
      </c>
      <c r="AS21" s="253"/>
    </row>
    <row r="22" spans="1:45" s="20" customFormat="1">
      <c r="A22" s="46" t="s">
        <v>61</v>
      </c>
      <c r="B22" s="20" t="s">
        <v>9</v>
      </c>
      <c r="C22" s="175">
        <v>1</v>
      </c>
      <c r="D22" s="100" t="s">
        <v>57</v>
      </c>
      <c r="E22" s="176">
        <v>1500</v>
      </c>
      <c r="F22" s="177">
        <f t="shared" si="0"/>
        <v>1500</v>
      </c>
      <c r="G22" s="178">
        <v>0</v>
      </c>
      <c r="H22" s="178">
        <v>4</v>
      </c>
      <c r="I22" s="178">
        <v>0</v>
      </c>
      <c r="J22" s="178">
        <v>4</v>
      </c>
      <c r="K22" s="179">
        <v>0</v>
      </c>
      <c r="L22" s="100" t="s">
        <v>8</v>
      </c>
      <c r="M22" s="176">
        <f t="shared" si="1"/>
        <v>865.08000000000015</v>
      </c>
      <c r="N22" s="96">
        <v>1</v>
      </c>
      <c r="O22" s="176">
        <f t="shared" si="2"/>
        <v>2365.08</v>
      </c>
      <c r="P22" s="180"/>
      <c r="Q22" s="52" t="s">
        <v>46</v>
      </c>
      <c r="R22" s="75" t="s">
        <v>77</v>
      </c>
      <c r="S22" s="145" t="str">
        <f t="shared" si="3"/>
        <v>BPD2013</v>
      </c>
      <c r="T22" s="145" t="str">
        <f t="shared" si="4"/>
        <v>B1.2.1.1.22013</v>
      </c>
      <c r="U22" s="145" t="s">
        <v>186</v>
      </c>
      <c r="V22" s="145" t="str">
        <f t="shared" si="5"/>
        <v>Production Sectors</v>
      </c>
      <c r="AB22" s="33">
        <v>2013</v>
      </c>
      <c r="AC22" s="140">
        <f t="shared" si="6"/>
        <v>0</v>
      </c>
      <c r="AD22" s="140">
        <f t="shared" si="7"/>
        <v>4</v>
      </c>
      <c r="AE22" s="140">
        <f t="shared" si="8"/>
        <v>0</v>
      </c>
      <c r="AF22" s="140">
        <f t="shared" si="9"/>
        <v>4</v>
      </c>
      <c r="AG22" s="140">
        <f t="shared" si="10"/>
        <v>0</v>
      </c>
      <c r="AH22" s="251">
        <f t="shared" si="11"/>
        <v>1500</v>
      </c>
      <c r="AI22" s="252"/>
      <c r="AJ22" s="96"/>
      <c r="AK22" s="96"/>
      <c r="AL22" s="176"/>
      <c r="AM22" s="139">
        <f t="shared" si="12"/>
        <v>0</v>
      </c>
      <c r="AN22" s="140">
        <f t="shared" si="13"/>
        <v>0</v>
      </c>
      <c r="AO22" s="140">
        <f t="shared" si="14"/>
        <v>0</v>
      </c>
      <c r="AP22" s="140">
        <f t="shared" si="15"/>
        <v>0</v>
      </c>
      <c r="AQ22" s="140">
        <f t="shared" si="16"/>
        <v>0</v>
      </c>
      <c r="AR22" s="140">
        <f t="shared" si="17"/>
        <v>0</v>
      </c>
      <c r="AS22" s="252"/>
    </row>
    <row r="23" spans="1:45" s="20" customFormat="1">
      <c r="A23" s="47" t="s">
        <v>226</v>
      </c>
      <c r="B23" s="20" t="s">
        <v>90</v>
      </c>
      <c r="C23" s="175">
        <v>10</v>
      </c>
      <c r="D23" s="100" t="s">
        <v>59</v>
      </c>
      <c r="E23" s="176">
        <v>600</v>
      </c>
      <c r="F23" s="177">
        <f t="shared" si="0"/>
        <v>6000</v>
      </c>
      <c r="G23" s="178">
        <v>0</v>
      </c>
      <c r="H23" s="178">
        <v>0</v>
      </c>
      <c r="I23" s="178">
        <v>0</v>
      </c>
      <c r="J23" s="178">
        <v>8</v>
      </c>
      <c r="K23" s="179">
        <v>0</v>
      </c>
      <c r="L23" s="100" t="s">
        <v>8</v>
      </c>
      <c r="M23" s="176">
        <f t="shared" si="1"/>
        <v>972.00000000000011</v>
      </c>
      <c r="N23" s="96">
        <v>1</v>
      </c>
      <c r="O23" s="176">
        <f t="shared" si="2"/>
        <v>6972</v>
      </c>
      <c r="P23" s="180"/>
      <c r="Q23" s="52" t="s">
        <v>46</v>
      </c>
      <c r="R23" s="75" t="s">
        <v>77</v>
      </c>
      <c r="S23" s="145" t="str">
        <f t="shared" si="3"/>
        <v>BPD2010</v>
      </c>
      <c r="T23" s="145" t="str">
        <f t="shared" si="4"/>
        <v>B1.2.1.2.12010</v>
      </c>
      <c r="U23" s="145" t="s">
        <v>191</v>
      </c>
      <c r="V23" s="145" t="str">
        <f t="shared" si="5"/>
        <v>Prototype D-Tube</v>
      </c>
      <c r="AB23" s="33">
        <v>2010</v>
      </c>
      <c r="AC23" s="140">
        <f t="shared" si="6"/>
        <v>0</v>
      </c>
      <c r="AD23" s="140">
        <f t="shared" si="7"/>
        <v>0</v>
      </c>
      <c r="AE23" s="140">
        <f t="shared" si="8"/>
        <v>0</v>
      </c>
      <c r="AF23" s="140">
        <f t="shared" si="9"/>
        <v>8</v>
      </c>
      <c r="AG23" s="140">
        <f t="shared" si="10"/>
        <v>0</v>
      </c>
      <c r="AH23" s="251">
        <f t="shared" si="11"/>
        <v>6000</v>
      </c>
      <c r="AI23" s="252"/>
      <c r="AJ23" s="96"/>
      <c r="AK23" s="96"/>
      <c r="AL23" s="176"/>
      <c r="AM23" s="139">
        <f t="shared" si="12"/>
        <v>0</v>
      </c>
      <c r="AN23" s="140">
        <f t="shared" si="13"/>
        <v>0</v>
      </c>
      <c r="AO23" s="140">
        <f t="shared" si="14"/>
        <v>0</v>
      </c>
      <c r="AP23" s="140">
        <f t="shared" si="15"/>
        <v>0</v>
      </c>
      <c r="AQ23" s="140">
        <f t="shared" si="16"/>
        <v>0</v>
      </c>
      <c r="AR23" s="140">
        <f t="shared" si="17"/>
        <v>0</v>
      </c>
      <c r="AS23" s="252"/>
    </row>
    <row r="24" spans="1:45" s="20" customFormat="1">
      <c r="A24" s="46" t="s">
        <v>224</v>
      </c>
      <c r="B24" s="20" t="s">
        <v>9</v>
      </c>
      <c r="C24" s="175">
        <v>1</v>
      </c>
      <c r="D24" s="100" t="s">
        <v>9</v>
      </c>
      <c r="E24" s="176">
        <v>1500</v>
      </c>
      <c r="F24" s="177">
        <f t="shared" si="0"/>
        <v>1500</v>
      </c>
      <c r="G24" s="178">
        <v>0</v>
      </c>
      <c r="H24" s="178">
        <v>0</v>
      </c>
      <c r="I24" s="178">
        <v>0</v>
      </c>
      <c r="J24" s="178">
        <v>0</v>
      </c>
      <c r="K24" s="179">
        <v>0</v>
      </c>
      <c r="L24" s="100" t="s">
        <v>8</v>
      </c>
      <c r="M24" s="176">
        <f t="shared" si="1"/>
        <v>0</v>
      </c>
      <c r="N24" s="96">
        <v>1</v>
      </c>
      <c r="O24" s="176">
        <f t="shared" si="2"/>
        <v>1500</v>
      </c>
      <c r="P24" s="180"/>
      <c r="Q24" s="52" t="s">
        <v>46</v>
      </c>
      <c r="R24" s="75" t="s">
        <v>77</v>
      </c>
      <c r="S24" s="145" t="str">
        <f t="shared" si="3"/>
        <v>BPD2010</v>
      </c>
      <c r="T24" s="145" t="str">
        <f t="shared" si="4"/>
        <v>B1.2.1.2.12010</v>
      </c>
      <c r="U24" s="145" t="s">
        <v>191</v>
      </c>
      <c r="V24" s="145" t="str">
        <f t="shared" si="5"/>
        <v>Prototype D-Tube</v>
      </c>
      <c r="AB24" s="33">
        <v>2010</v>
      </c>
      <c r="AC24" s="140">
        <f t="shared" si="6"/>
        <v>0</v>
      </c>
      <c r="AD24" s="140">
        <f t="shared" si="7"/>
        <v>0</v>
      </c>
      <c r="AE24" s="140">
        <f t="shared" si="8"/>
        <v>0</v>
      </c>
      <c r="AF24" s="140">
        <f t="shared" si="9"/>
        <v>0</v>
      </c>
      <c r="AG24" s="140">
        <f t="shared" si="10"/>
        <v>0</v>
      </c>
      <c r="AH24" s="251">
        <f t="shared" si="11"/>
        <v>1500</v>
      </c>
      <c r="AI24" s="252"/>
      <c r="AJ24" s="96"/>
      <c r="AK24" s="96"/>
      <c r="AL24" s="176"/>
      <c r="AM24" s="139">
        <f t="shared" si="12"/>
        <v>0</v>
      </c>
      <c r="AN24" s="140">
        <f t="shared" si="13"/>
        <v>0</v>
      </c>
      <c r="AO24" s="140">
        <f t="shared" si="14"/>
        <v>0</v>
      </c>
      <c r="AP24" s="140">
        <f t="shared" si="15"/>
        <v>0</v>
      </c>
      <c r="AQ24" s="140">
        <f t="shared" si="16"/>
        <v>0</v>
      </c>
      <c r="AR24" s="140">
        <f t="shared" si="17"/>
        <v>0</v>
      </c>
      <c r="AS24" s="252"/>
    </row>
    <row r="25" spans="1:45" s="20" customFormat="1">
      <c r="A25" s="46" t="s">
        <v>225</v>
      </c>
      <c r="B25" s="20" t="s">
        <v>9</v>
      </c>
      <c r="C25" s="175">
        <f>C23*0.1</f>
        <v>1</v>
      </c>
      <c r="D25" s="100" t="s">
        <v>9</v>
      </c>
      <c r="E25" s="176">
        <f>E23</f>
        <v>600</v>
      </c>
      <c r="F25" s="177">
        <f t="shared" si="0"/>
        <v>600</v>
      </c>
      <c r="G25" s="178">
        <v>0</v>
      </c>
      <c r="H25" s="178">
        <v>0</v>
      </c>
      <c r="I25" s="178">
        <v>0</v>
      </c>
      <c r="J25" s="178">
        <v>0</v>
      </c>
      <c r="K25" s="179">
        <v>0</v>
      </c>
      <c r="L25" s="100" t="s">
        <v>8</v>
      </c>
      <c r="M25" s="176">
        <f t="shared" si="1"/>
        <v>0</v>
      </c>
      <c r="N25" s="96">
        <v>1</v>
      </c>
      <c r="O25" s="176">
        <f t="shared" si="2"/>
        <v>600</v>
      </c>
      <c r="P25" s="180"/>
      <c r="Q25" s="52" t="s">
        <v>46</v>
      </c>
      <c r="R25" s="75" t="s">
        <v>77</v>
      </c>
      <c r="S25" s="145" t="str">
        <f t="shared" si="3"/>
        <v>BPD2010</v>
      </c>
      <c r="T25" s="145" t="str">
        <f t="shared" si="4"/>
        <v>B1.2.1.2.12010</v>
      </c>
      <c r="U25" s="145" t="s">
        <v>191</v>
      </c>
      <c r="V25" s="145" t="str">
        <f t="shared" si="5"/>
        <v>Prototype D-Tube</v>
      </c>
      <c r="AB25" s="33">
        <v>2010</v>
      </c>
      <c r="AC25" s="140">
        <f t="shared" si="6"/>
        <v>0</v>
      </c>
      <c r="AD25" s="140">
        <f t="shared" si="7"/>
        <v>0</v>
      </c>
      <c r="AE25" s="140">
        <f t="shared" si="8"/>
        <v>0</v>
      </c>
      <c r="AF25" s="140">
        <f t="shared" si="9"/>
        <v>0</v>
      </c>
      <c r="AG25" s="140">
        <f t="shared" si="10"/>
        <v>0</v>
      </c>
      <c r="AH25" s="251">
        <f t="shared" si="11"/>
        <v>600</v>
      </c>
      <c r="AI25" s="252"/>
      <c r="AJ25" s="96"/>
      <c r="AK25" s="96"/>
      <c r="AL25" s="176"/>
      <c r="AM25" s="139">
        <f t="shared" si="12"/>
        <v>0</v>
      </c>
      <c r="AN25" s="140">
        <f t="shared" si="13"/>
        <v>0</v>
      </c>
      <c r="AO25" s="140">
        <f t="shared" si="14"/>
        <v>0</v>
      </c>
      <c r="AP25" s="140">
        <f t="shared" si="15"/>
        <v>0</v>
      </c>
      <c r="AQ25" s="140">
        <f t="shared" si="16"/>
        <v>0</v>
      </c>
      <c r="AR25" s="140">
        <f t="shared" si="17"/>
        <v>0</v>
      </c>
      <c r="AS25" s="252"/>
    </row>
    <row r="26" spans="1:45" s="20" customFormat="1">
      <c r="A26" s="46" t="s">
        <v>54</v>
      </c>
      <c r="B26" s="20" t="s">
        <v>9</v>
      </c>
      <c r="C26" s="175">
        <v>0</v>
      </c>
      <c r="D26" s="100" t="s">
        <v>9</v>
      </c>
      <c r="E26" s="176">
        <v>0</v>
      </c>
      <c r="F26" s="177">
        <f t="shared" si="0"/>
        <v>0</v>
      </c>
      <c r="G26" s="178">
        <v>0</v>
      </c>
      <c r="H26" s="178">
        <v>2</v>
      </c>
      <c r="I26" s="178">
        <v>0</v>
      </c>
      <c r="J26" s="178">
        <v>0</v>
      </c>
      <c r="K26" s="179">
        <v>0</v>
      </c>
      <c r="L26" s="100" t="s">
        <v>8</v>
      </c>
      <c r="M26" s="176">
        <f t="shared" si="1"/>
        <v>189.54000000000002</v>
      </c>
      <c r="N26" s="96">
        <v>1</v>
      </c>
      <c r="O26" s="176">
        <f t="shared" si="2"/>
        <v>189.54000000000002</v>
      </c>
      <c r="P26" s="180"/>
      <c r="Q26" s="52" t="s">
        <v>46</v>
      </c>
      <c r="R26" s="75" t="s">
        <v>77</v>
      </c>
      <c r="S26" s="145" t="str">
        <f t="shared" si="3"/>
        <v>BPD2010</v>
      </c>
      <c r="T26" s="145" t="str">
        <f t="shared" si="4"/>
        <v>B1.2.1.2.12010</v>
      </c>
      <c r="U26" s="145" t="s">
        <v>191</v>
      </c>
      <c r="V26" s="145" t="str">
        <f t="shared" si="5"/>
        <v>Prototype D-Tube</v>
      </c>
      <c r="AB26" s="33">
        <v>2010</v>
      </c>
      <c r="AC26" s="140">
        <f t="shared" si="6"/>
        <v>0</v>
      </c>
      <c r="AD26" s="140">
        <f t="shared" si="7"/>
        <v>2</v>
      </c>
      <c r="AE26" s="140">
        <f t="shared" si="8"/>
        <v>0</v>
      </c>
      <c r="AF26" s="140">
        <f t="shared" si="9"/>
        <v>0</v>
      </c>
      <c r="AG26" s="140">
        <f t="shared" si="10"/>
        <v>0</v>
      </c>
      <c r="AH26" s="251">
        <f t="shared" si="11"/>
        <v>0</v>
      </c>
      <c r="AI26" s="252"/>
      <c r="AJ26" s="96"/>
      <c r="AK26" s="96"/>
      <c r="AL26" s="176"/>
      <c r="AM26" s="139">
        <f t="shared" si="12"/>
        <v>0</v>
      </c>
      <c r="AN26" s="140">
        <f t="shared" si="13"/>
        <v>0</v>
      </c>
      <c r="AO26" s="140">
        <f t="shared" si="14"/>
        <v>0</v>
      </c>
      <c r="AP26" s="140">
        <f t="shared" si="15"/>
        <v>0</v>
      </c>
      <c r="AQ26" s="140">
        <f t="shared" si="16"/>
        <v>0</v>
      </c>
      <c r="AR26" s="140">
        <f t="shared" si="17"/>
        <v>0</v>
      </c>
      <c r="AS26" s="252"/>
    </row>
    <row r="27" spans="1:45" s="141" customFormat="1">
      <c r="A27" s="46" t="s">
        <v>55</v>
      </c>
      <c r="B27" s="20" t="s">
        <v>58</v>
      </c>
      <c r="C27" s="175">
        <v>0.5</v>
      </c>
      <c r="D27" s="100" t="s">
        <v>59</v>
      </c>
      <c r="E27" s="176">
        <v>105</v>
      </c>
      <c r="F27" s="177">
        <f t="shared" si="0"/>
        <v>52.5</v>
      </c>
      <c r="G27" s="178">
        <v>0</v>
      </c>
      <c r="H27" s="178">
        <v>8</v>
      </c>
      <c r="I27" s="178">
        <v>0</v>
      </c>
      <c r="J27" s="178">
        <v>1</v>
      </c>
      <c r="K27" s="179">
        <v>0</v>
      </c>
      <c r="L27" s="100" t="s">
        <v>8</v>
      </c>
      <c r="M27" s="176">
        <f t="shared" si="1"/>
        <v>879.66000000000008</v>
      </c>
      <c r="N27" s="96">
        <v>1</v>
      </c>
      <c r="O27" s="176">
        <f t="shared" si="2"/>
        <v>932.16000000000008</v>
      </c>
      <c r="P27" s="180"/>
      <c r="Q27" s="52" t="s">
        <v>46</v>
      </c>
      <c r="R27" s="75" t="s">
        <v>77</v>
      </c>
      <c r="S27" s="145" t="str">
        <f t="shared" si="3"/>
        <v>BPD2010</v>
      </c>
      <c r="T27" s="145" t="str">
        <f t="shared" si="4"/>
        <v>B1.2.1.2.12010</v>
      </c>
      <c r="U27" s="145" t="s">
        <v>191</v>
      </c>
      <c r="V27" s="145" t="str">
        <f t="shared" si="5"/>
        <v>Prototype D-Tube</v>
      </c>
      <c r="W27" s="20"/>
      <c r="X27" s="20"/>
      <c r="Y27" s="20"/>
      <c r="Z27" s="20"/>
      <c r="AA27" s="20"/>
      <c r="AB27" s="33">
        <v>2010</v>
      </c>
      <c r="AC27" s="140">
        <f t="shared" si="6"/>
        <v>0</v>
      </c>
      <c r="AD27" s="140">
        <f t="shared" si="7"/>
        <v>8</v>
      </c>
      <c r="AE27" s="140">
        <f t="shared" si="8"/>
        <v>0</v>
      </c>
      <c r="AF27" s="140">
        <f t="shared" si="9"/>
        <v>1</v>
      </c>
      <c r="AG27" s="140">
        <f t="shared" si="10"/>
        <v>0</v>
      </c>
      <c r="AH27" s="251">
        <f t="shared" si="11"/>
        <v>52.5</v>
      </c>
      <c r="AI27" s="252"/>
      <c r="AJ27" s="96"/>
      <c r="AK27" s="96"/>
      <c r="AL27" s="176"/>
      <c r="AM27" s="139">
        <f t="shared" si="12"/>
        <v>0</v>
      </c>
      <c r="AN27" s="140">
        <f t="shared" si="13"/>
        <v>0</v>
      </c>
      <c r="AO27" s="140">
        <f t="shared" si="14"/>
        <v>0</v>
      </c>
      <c r="AP27" s="140">
        <f t="shared" si="15"/>
        <v>0</v>
      </c>
      <c r="AQ27" s="140">
        <f t="shared" si="16"/>
        <v>0</v>
      </c>
      <c r="AR27" s="140">
        <f t="shared" si="17"/>
        <v>0</v>
      </c>
      <c r="AS27" s="253"/>
    </row>
    <row r="28" spans="1:45" s="20" customFormat="1">
      <c r="A28" s="46" t="s">
        <v>61</v>
      </c>
      <c r="B28" s="20" t="s">
        <v>9</v>
      </c>
      <c r="C28" s="175">
        <v>1</v>
      </c>
      <c r="D28" s="100" t="s">
        <v>57</v>
      </c>
      <c r="E28" s="176">
        <v>1500</v>
      </c>
      <c r="F28" s="177">
        <f t="shared" si="0"/>
        <v>1500</v>
      </c>
      <c r="G28" s="178">
        <v>0</v>
      </c>
      <c r="H28" s="178">
        <v>4</v>
      </c>
      <c r="I28" s="178">
        <v>0</v>
      </c>
      <c r="J28" s="178">
        <v>4</v>
      </c>
      <c r="K28" s="179">
        <v>0</v>
      </c>
      <c r="L28" s="100" t="s">
        <v>8</v>
      </c>
      <c r="M28" s="176">
        <f t="shared" si="1"/>
        <v>865.08000000000015</v>
      </c>
      <c r="N28" s="96">
        <v>1</v>
      </c>
      <c r="O28" s="176">
        <f t="shared" si="2"/>
        <v>2365.08</v>
      </c>
      <c r="P28" s="180"/>
      <c r="Q28" s="52" t="s">
        <v>46</v>
      </c>
      <c r="R28" s="75" t="s">
        <v>77</v>
      </c>
      <c r="S28" s="145" t="str">
        <f t="shared" si="3"/>
        <v>BPD2010</v>
      </c>
      <c r="T28" s="145" t="str">
        <f t="shared" si="4"/>
        <v>B1.2.1.2.12010</v>
      </c>
      <c r="U28" s="145" t="s">
        <v>191</v>
      </c>
      <c r="V28" s="145" t="str">
        <f t="shared" si="5"/>
        <v>Prototype D-Tube</v>
      </c>
      <c r="AB28" s="33">
        <v>2010</v>
      </c>
      <c r="AC28" s="140">
        <f t="shared" si="6"/>
        <v>0</v>
      </c>
      <c r="AD28" s="140">
        <f t="shared" si="7"/>
        <v>4</v>
      </c>
      <c r="AE28" s="140">
        <f t="shared" si="8"/>
        <v>0</v>
      </c>
      <c r="AF28" s="140">
        <f t="shared" si="9"/>
        <v>4</v>
      </c>
      <c r="AG28" s="140">
        <f t="shared" si="10"/>
        <v>0</v>
      </c>
      <c r="AH28" s="251">
        <f t="shared" si="11"/>
        <v>1500</v>
      </c>
      <c r="AI28" s="252"/>
      <c r="AJ28" s="96"/>
      <c r="AK28" s="96"/>
      <c r="AL28" s="176"/>
      <c r="AM28" s="139">
        <f t="shared" si="12"/>
        <v>0</v>
      </c>
      <c r="AN28" s="140">
        <f t="shared" si="13"/>
        <v>0</v>
      </c>
      <c r="AO28" s="140">
        <f t="shared" si="14"/>
        <v>0</v>
      </c>
      <c r="AP28" s="140">
        <f t="shared" si="15"/>
        <v>0</v>
      </c>
      <c r="AQ28" s="140">
        <f t="shared" si="16"/>
        <v>0</v>
      </c>
      <c r="AR28" s="140">
        <f t="shared" si="17"/>
        <v>0</v>
      </c>
      <c r="AS28" s="252"/>
    </row>
    <row r="29" spans="1:45" s="20" customFormat="1">
      <c r="A29" s="47" t="s">
        <v>403</v>
      </c>
      <c r="B29" s="20" t="s">
        <v>90</v>
      </c>
      <c r="C29" s="175">
        <v>10</v>
      </c>
      <c r="D29" s="100" t="s">
        <v>59</v>
      </c>
      <c r="E29" s="176">
        <v>600</v>
      </c>
      <c r="F29" s="177">
        <f t="shared" si="0"/>
        <v>6000</v>
      </c>
      <c r="G29" s="178">
        <v>0</v>
      </c>
      <c r="H29" s="178">
        <v>0</v>
      </c>
      <c r="I29" s="178">
        <v>0</v>
      </c>
      <c r="J29" s="178">
        <v>8</v>
      </c>
      <c r="K29" s="179">
        <v>0</v>
      </c>
      <c r="L29" s="100" t="s">
        <v>8</v>
      </c>
      <c r="M29" s="176">
        <f t="shared" si="1"/>
        <v>972.00000000000011</v>
      </c>
      <c r="N29" s="96">
        <v>1</v>
      </c>
      <c r="O29" s="176">
        <f t="shared" si="2"/>
        <v>6972</v>
      </c>
      <c r="P29" s="180"/>
      <c r="Q29" s="52" t="s">
        <v>47</v>
      </c>
      <c r="R29" s="75" t="s">
        <v>77</v>
      </c>
      <c r="S29" s="145" t="str">
        <f t="shared" si="3"/>
        <v>CPD2013</v>
      </c>
      <c r="T29" s="145" t="str">
        <f t="shared" si="4"/>
        <v>C1.2.1.2.12013</v>
      </c>
      <c r="U29" s="145" t="s">
        <v>191</v>
      </c>
      <c r="V29" s="145" t="str">
        <f t="shared" si="5"/>
        <v>Prototype D-Tube</v>
      </c>
      <c r="AB29" s="33">
        <v>2013</v>
      </c>
      <c r="AC29" s="140">
        <f t="shared" si="6"/>
        <v>0</v>
      </c>
      <c r="AD29" s="140">
        <f t="shared" si="7"/>
        <v>0</v>
      </c>
      <c r="AE29" s="140">
        <f t="shared" si="8"/>
        <v>0</v>
      </c>
      <c r="AF29" s="140">
        <f t="shared" si="9"/>
        <v>0</v>
      </c>
      <c r="AG29" s="140">
        <f t="shared" si="10"/>
        <v>0</v>
      </c>
      <c r="AH29" s="251">
        <f t="shared" si="11"/>
        <v>0</v>
      </c>
      <c r="AI29" s="252"/>
      <c r="AJ29" s="96"/>
      <c r="AK29" s="96"/>
      <c r="AL29" s="176"/>
      <c r="AM29" s="139">
        <f t="shared" si="12"/>
        <v>0</v>
      </c>
      <c r="AN29" s="140">
        <f t="shared" si="13"/>
        <v>0</v>
      </c>
      <c r="AO29" s="140">
        <f t="shared" si="14"/>
        <v>0</v>
      </c>
      <c r="AP29" s="140">
        <f t="shared" si="15"/>
        <v>8</v>
      </c>
      <c r="AQ29" s="140">
        <f t="shared" si="16"/>
        <v>0</v>
      </c>
      <c r="AR29" s="140">
        <f t="shared" si="17"/>
        <v>6000</v>
      </c>
      <c r="AS29" s="252"/>
    </row>
    <row r="30" spans="1:45" s="20" customFormat="1">
      <c r="A30" s="46" t="s">
        <v>224</v>
      </c>
      <c r="B30" s="20" t="s">
        <v>9</v>
      </c>
      <c r="C30" s="175">
        <v>1</v>
      </c>
      <c r="D30" s="100" t="s">
        <v>9</v>
      </c>
      <c r="E30" s="176">
        <v>1500</v>
      </c>
      <c r="F30" s="177">
        <f t="shared" si="0"/>
        <v>1500</v>
      </c>
      <c r="G30" s="178">
        <v>0</v>
      </c>
      <c r="H30" s="178">
        <v>0</v>
      </c>
      <c r="I30" s="178">
        <v>0</v>
      </c>
      <c r="J30" s="178">
        <v>0</v>
      </c>
      <c r="K30" s="179">
        <v>0</v>
      </c>
      <c r="L30" s="100" t="s">
        <v>8</v>
      </c>
      <c r="M30" s="176">
        <f t="shared" si="1"/>
        <v>0</v>
      </c>
      <c r="N30" s="96">
        <v>1</v>
      </c>
      <c r="O30" s="176">
        <f t="shared" si="2"/>
        <v>1500</v>
      </c>
      <c r="P30" s="180"/>
      <c r="Q30" s="52" t="s">
        <v>47</v>
      </c>
      <c r="R30" s="75" t="s">
        <v>77</v>
      </c>
      <c r="S30" s="145" t="str">
        <f t="shared" si="3"/>
        <v>CPD2011</v>
      </c>
      <c r="T30" s="145" t="str">
        <f t="shared" si="4"/>
        <v>C1.2.1.2.12011</v>
      </c>
      <c r="U30" s="145" t="s">
        <v>191</v>
      </c>
      <c r="V30" s="145" t="str">
        <f t="shared" si="5"/>
        <v>Prototype D-Tube</v>
      </c>
      <c r="AB30" s="33">
        <v>2011</v>
      </c>
      <c r="AC30" s="140">
        <f t="shared" si="6"/>
        <v>0</v>
      </c>
      <c r="AD30" s="140">
        <f t="shared" si="7"/>
        <v>0</v>
      </c>
      <c r="AE30" s="140">
        <f t="shared" si="8"/>
        <v>0</v>
      </c>
      <c r="AF30" s="140">
        <f t="shared" si="9"/>
        <v>0</v>
      </c>
      <c r="AG30" s="140">
        <f t="shared" si="10"/>
        <v>0</v>
      </c>
      <c r="AH30" s="251">
        <f t="shared" si="11"/>
        <v>0</v>
      </c>
      <c r="AI30" s="252"/>
      <c r="AJ30" s="96"/>
      <c r="AK30" s="96"/>
      <c r="AL30" s="176"/>
      <c r="AM30" s="139">
        <f t="shared" si="12"/>
        <v>0</v>
      </c>
      <c r="AN30" s="140">
        <f t="shared" si="13"/>
        <v>0</v>
      </c>
      <c r="AO30" s="140">
        <f t="shared" si="14"/>
        <v>0</v>
      </c>
      <c r="AP30" s="140">
        <f t="shared" si="15"/>
        <v>0</v>
      </c>
      <c r="AQ30" s="140">
        <f t="shared" si="16"/>
        <v>0</v>
      </c>
      <c r="AR30" s="140">
        <f t="shared" si="17"/>
        <v>1500</v>
      </c>
      <c r="AS30" s="252"/>
    </row>
    <row r="31" spans="1:45" s="20" customFormat="1">
      <c r="A31" s="46" t="s">
        <v>225</v>
      </c>
      <c r="B31" s="20" t="s">
        <v>9</v>
      </c>
      <c r="C31" s="175">
        <f>C29*0.1</f>
        <v>1</v>
      </c>
      <c r="D31" s="100" t="s">
        <v>9</v>
      </c>
      <c r="E31" s="176">
        <f>E29</f>
        <v>600</v>
      </c>
      <c r="F31" s="177">
        <f t="shared" si="0"/>
        <v>600</v>
      </c>
      <c r="G31" s="178">
        <v>0</v>
      </c>
      <c r="H31" s="178">
        <v>0</v>
      </c>
      <c r="I31" s="178">
        <v>0</v>
      </c>
      <c r="J31" s="178">
        <v>0</v>
      </c>
      <c r="K31" s="179">
        <v>0</v>
      </c>
      <c r="L31" s="100" t="s">
        <v>8</v>
      </c>
      <c r="M31" s="176">
        <f t="shared" si="1"/>
        <v>0</v>
      </c>
      <c r="N31" s="96">
        <v>1</v>
      </c>
      <c r="O31" s="176">
        <f t="shared" si="2"/>
        <v>600</v>
      </c>
      <c r="P31" s="180"/>
      <c r="Q31" s="52" t="s">
        <v>47</v>
      </c>
      <c r="R31" s="75" t="s">
        <v>77</v>
      </c>
      <c r="S31" s="145" t="str">
        <f t="shared" si="3"/>
        <v>CPD2011</v>
      </c>
      <c r="T31" s="145" t="str">
        <f t="shared" si="4"/>
        <v>C1.2.1.2.12011</v>
      </c>
      <c r="U31" s="145" t="s">
        <v>191</v>
      </c>
      <c r="V31" s="145" t="str">
        <f t="shared" si="5"/>
        <v>Prototype D-Tube</v>
      </c>
      <c r="AB31" s="33">
        <v>2011</v>
      </c>
      <c r="AC31" s="140">
        <f t="shared" si="6"/>
        <v>0</v>
      </c>
      <c r="AD31" s="140">
        <f t="shared" si="7"/>
        <v>0</v>
      </c>
      <c r="AE31" s="140">
        <f t="shared" si="8"/>
        <v>0</v>
      </c>
      <c r="AF31" s="140">
        <f t="shared" si="9"/>
        <v>0</v>
      </c>
      <c r="AG31" s="140">
        <f t="shared" si="10"/>
        <v>0</v>
      </c>
      <c r="AH31" s="251">
        <f t="shared" si="11"/>
        <v>0</v>
      </c>
      <c r="AI31" s="252"/>
      <c r="AJ31" s="96"/>
      <c r="AK31" s="96"/>
      <c r="AL31" s="176"/>
      <c r="AM31" s="139">
        <f t="shared" si="12"/>
        <v>0</v>
      </c>
      <c r="AN31" s="140">
        <f t="shared" si="13"/>
        <v>0</v>
      </c>
      <c r="AO31" s="140">
        <f t="shared" si="14"/>
        <v>0</v>
      </c>
      <c r="AP31" s="140">
        <f t="shared" si="15"/>
        <v>0</v>
      </c>
      <c r="AQ31" s="140">
        <f t="shared" si="16"/>
        <v>0</v>
      </c>
      <c r="AR31" s="140">
        <f t="shared" si="17"/>
        <v>600</v>
      </c>
      <c r="AS31" s="252"/>
    </row>
    <row r="32" spans="1:45" s="20" customFormat="1">
      <c r="A32" s="46" t="s">
        <v>54</v>
      </c>
      <c r="B32" s="20" t="s">
        <v>9</v>
      </c>
      <c r="C32" s="175">
        <v>0</v>
      </c>
      <c r="D32" s="100" t="s">
        <v>9</v>
      </c>
      <c r="E32" s="176">
        <v>0</v>
      </c>
      <c r="F32" s="177">
        <f t="shared" si="0"/>
        <v>0</v>
      </c>
      <c r="G32" s="178">
        <v>0</v>
      </c>
      <c r="H32" s="178">
        <v>2</v>
      </c>
      <c r="I32" s="178">
        <v>0</v>
      </c>
      <c r="J32" s="178">
        <v>0</v>
      </c>
      <c r="K32" s="179">
        <v>0</v>
      </c>
      <c r="L32" s="100" t="s">
        <v>8</v>
      </c>
      <c r="M32" s="176">
        <f t="shared" si="1"/>
        <v>189.54000000000002</v>
      </c>
      <c r="N32" s="96">
        <v>1</v>
      </c>
      <c r="O32" s="176">
        <f t="shared" si="2"/>
        <v>189.54000000000002</v>
      </c>
      <c r="P32" s="180"/>
      <c r="Q32" s="52" t="s">
        <v>47</v>
      </c>
      <c r="R32" s="75" t="s">
        <v>77</v>
      </c>
      <c r="S32" s="145" t="str">
        <f t="shared" si="3"/>
        <v>CPD2011</v>
      </c>
      <c r="T32" s="145" t="str">
        <f t="shared" si="4"/>
        <v>C1.2.1.2.12011</v>
      </c>
      <c r="U32" s="145" t="s">
        <v>191</v>
      </c>
      <c r="V32" s="145" t="str">
        <f t="shared" si="5"/>
        <v>Prototype D-Tube</v>
      </c>
      <c r="AB32" s="33">
        <v>2011</v>
      </c>
      <c r="AC32" s="140">
        <f t="shared" si="6"/>
        <v>0</v>
      </c>
      <c r="AD32" s="140">
        <f t="shared" si="7"/>
        <v>0</v>
      </c>
      <c r="AE32" s="140">
        <f t="shared" si="8"/>
        <v>0</v>
      </c>
      <c r="AF32" s="140">
        <f t="shared" si="9"/>
        <v>0</v>
      </c>
      <c r="AG32" s="140">
        <f t="shared" si="10"/>
        <v>0</v>
      </c>
      <c r="AH32" s="251">
        <f t="shared" si="11"/>
        <v>0</v>
      </c>
      <c r="AI32" s="252"/>
      <c r="AJ32" s="96"/>
      <c r="AK32" s="96"/>
      <c r="AL32" s="176"/>
      <c r="AM32" s="139">
        <f t="shared" si="12"/>
        <v>0</v>
      </c>
      <c r="AN32" s="140">
        <f t="shared" si="13"/>
        <v>2</v>
      </c>
      <c r="AO32" s="140">
        <f t="shared" si="14"/>
        <v>0</v>
      </c>
      <c r="AP32" s="140">
        <f t="shared" si="15"/>
        <v>0</v>
      </c>
      <c r="AQ32" s="140">
        <f t="shared" si="16"/>
        <v>0</v>
      </c>
      <c r="AR32" s="140">
        <f t="shared" si="17"/>
        <v>0</v>
      </c>
      <c r="AS32" s="252"/>
    </row>
    <row r="33" spans="1:45" s="141" customFormat="1">
      <c r="A33" s="46" t="s">
        <v>55</v>
      </c>
      <c r="B33" s="20" t="s">
        <v>58</v>
      </c>
      <c r="C33" s="175">
        <v>0.5</v>
      </c>
      <c r="D33" s="100" t="s">
        <v>59</v>
      </c>
      <c r="E33" s="176">
        <v>105</v>
      </c>
      <c r="F33" s="177">
        <f t="shared" si="0"/>
        <v>52.5</v>
      </c>
      <c r="G33" s="178">
        <v>0</v>
      </c>
      <c r="H33" s="178">
        <v>8</v>
      </c>
      <c r="I33" s="178">
        <v>0</v>
      </c>
      <c r="J33" s="178">
        <v>1</v>
      </c>
      <c r="K33" s="179">
        <v>0</v>
      </c>
      <c r="L33" s="100" t="s">
        <v>8</v>
      </c>
      <c r="M33" s="176">
        <f t="shared" si="1"/>
        <v>879.66000000000008</v>
      </c>
      <c r="N33" s="96">
        <v>1</v>
      </c>
      <c r="O33" s="176">
        <f t="shared" si="2"/>
        <v>932.16000000000008</v>
      </c>
      <c r="P33" s="180"/>
      <c r="Q33" s="52" t="s">
        <v>47</v>
      </c>
      <c r="R33" s="75" t="s">
        <v>77</v>
      </c>
      <c r="S33" s="145" t="str">
        <f t="shared" si="3"/>
        <v>CPD2011</v>
      </c>
      <c r="T33" s="145" t="str">
        <f t="shared" si="4"/>
        <v>C1.2.1.2.12011</v>
      </c>
      <c r="U33" s="145" t="s">
        <v>191</v>
      </c>
      <c r="V33" s="145" t="str">
        <f t="shared" si="5"/>
        <v>Prototype D-Tube</v>
      </c>
      <c r="W33" s="20"/>
      <c r="X33" s="20"/>
      <c r="Y33" s="20"/>
      <c r="Z33" s="20"/>
      <c r="AA33" s="20"/>
      <c r="AB33" s="33">
        <v>2011</v>
      </c>
      <c r="AC33" s="140">
        <f t="shared" si="6"/>
        <v>0</v>
      </c>
      <c r="AD33" s="140">
        <f t="shared" si="7"/>
        <v>0</v>
      </c>
      <c r="AE33" s="140">
        <f t="shared" si="8"/>
        <v>0</v>
      </c>
      <c r="AF33" s="140">
        <f t="shared" si="9"/>
        <v>0</v>
      </c>
      <c r="AG33" s="140">
        <f t="shared" si="10"/>
        <v>0</v>
      </c>
      <c r="AH33" s="251">
        <f t="shared" si="11"/>
        <v>0</v>
      </c>
      <c r="AI33" s="252"/>
      <c r="AJ33" s="96"/>
      <c r="AK33" s="96"/>
      <c r="AL33" s="176"/>
      <c r="AM33" s="139">
        <f t="shared" si="12"/>
        <v>0</v>
      </c>
      <c r="AN33" s="140">
        <f t="shared" si="13"/>
        <v>8</v>
      </c>
      <c r="AO33" s="140">
        <f t="shared" si="14"/>
        <v>0</v>
      </c>
      <c r="AP33" s="140">
        <f t="shared" si="15"/>
        <v>1</v>
      </c>
      <c r="AQ33" s="140">
        <f t="shared" si="16"/>
        <v>0</v>
      </c>
      <c r="AR33" s="140">
        <f t="shared" si="17"/>
        <v>52.5</v>
      </c>
      <c r="AS33" s="253"/>
    </row>
    <row r="34" spans="1:45" s="20" customFormat="1">
      <c r="A34" s="46" t="s">
        <v>61</v>
      </c>
      <c r="B34" s="20" t="s">
        <v>9</v>
      </c>
      <c r="C34" s="175">
        <v>1</v>
      </c>
      <c r="D34" s="100" t="s">
        <v>57</v>
      </c>
      <c r="E34" s="176">
        <v>1500</v>
      </c>
      <c r="F34" s="177">
        <f t="shared" si="0"/>
        <v>1500</v>
      </c>
      <c r="G34" s="178">
        <v>0</v>
      </c>
      <c r="H34" s="178">
        <v>4</v>
      </c>
      <c r="I34" s="178">
        <v>0</v>
      </c>
      <c r="J34" s="178">
        <v>4</v>
      </c>
      <c r="K34" s="179">
        <v>0</v>
      </c>
      <c r="L34" s="100" t="s">
        <v>8</v>
      </c>
      <c r="M34" s="176">
        <f t="shared" si="1"/>
        <v>865.08000000000015</v>
      </c>
      <c r="N34" s="96">
        <v>1</v>
      </c>
      <c r="O34" s="176">
        <f t="shared" si="2"/>
        <v>2365.08</v>
      </c>
      <c r="P34" s="180"/>
      <c r="Q34" s="52" t="s">
        <v>47</v>
      </c>
      <c r="R34" s="75" t="s">
        <v>77</v>
      </c>
      <c r="S34" s="145" t="str">
        <f t="shared" si="3"/>
        <v>CPD2011</v>
      </c>
      <c r="T34" s="145" t="str">
        <f t="shared" si="4"/>
        <v>C1.2.1.2.12011</v>
      </c>
      <c r="U34" s="145" t="s">
        <v>191</v>
      </c>
      <c r="V34" s="145" t="str">
        <f t="shared" si="5"/>
        <v>Prototype D-Tube</v>
      </c>
      <c r="AB34" s="33">
        <v>2011</v>
      </c>
      <c r="AC34" s="140">
        <f t="shared" si="6"/>
        <v>0</v>
      </c>
      <c r="AD34" s="140">
        <f t="shared" si="7"/>
        <v>0</v>
      </c>
      <c r="AE34" s="140">
        <f t="shared" si="8"/>
        <v>0</v>
      </c>
      <c r="AF34" s="140">
        <f t="shared" si="9"/>
        <v>0</v>
      </c>
      <c r="AG34" s="140">
        <f t="shared" si="10"/>
        <v>0</v>
      </c>
      <c r="AH34" s="251">
        <f t="shared" si="11"/>
        <v>0</v>
      </c>
      <c r="AI34" s="252"/>
      <c r="AJ34" s="96"/>
      <c r="AK34" s="96"/>
      <c r="AL34" s="176"/>
      <c r="AM34" s="139">
        <f t="shared" si="12"/>
        <v>0</v>
      </c>
      <c r="AN34" s="140">
        <f t="shared" si="13"/>
        <v>4</v>
      </c>
      <c r="AO34" s="140">
        <f t="shared" si="14"/>
        <v>0</v>
      </c>
      <c r="AP34" s="140">
        <f t="shared" si="15"/>
        <v>4</v>
      </c>
      <c r="AQ34" s="140">
        <f t="shared" si="16"/>
        <v>0</v>
      </c>
      <c r="AR34" s="140">
        <f t="shared" si="17"/>
        <v>1500</v>
      </c>
      <c r="AS34" s="252"/>
    </row>
    <row r="35" spans="1:45" s="20" customFormat="1">
      <c r="A35" s="47" t="s">
        <v>230</v>
      </c>
      <c r="B35" s="20" t="s">
        <v>90</v>
      </c>
      <c r="C35" s="175">
        <v>10</v>
      </c>
      <c r="D35" s="100" t="s">
        <v>59</v>
      </c>
      <c r="E35" s="176">
        <v>600</v>
      </c>
      <c r="F35" s="177">
        <f t="shared" si="0"/>
        <v>6000</v>
      </c>
      <c r="G35" s="178">
        <v>0</v>
      </c>
      <c r="H35" s="178">
        <v>0</v>
      </c>
      <c r="I35" s="178">
        <v>0</v>
      </c>
      <c r="J35" s="178">
        <v>8</v>
      </c>
      <c r="K35" s="179">
        <v>0</v>
      </c>
      <c r="L35" s="100" t="s">
        <v>8</v>
      </c>
      <c r="M35" s="176">
        <f t="shared" si="1"/>
        <v>972.00000000000011</v>
      </c>
      <c r="N35" s="96">
        <v>1</v>
      </c>
      <c r="O35" s="176">
        <f t="shared" si="2"/>
        <v>6972</v>
      </c>
      <c r="P35" s="180"/>
      <c r="Q35" s="52" t="s">
        <v>46</v>
      </c>
      <c r="R35" s="75" t="s">
        <v>77</v>
      </c>
      <c r="S35" s="145" t="str">
        <f t="shared" si="3"/>
        <v>BPD2012</v>
      </c>
      <c r="T35" s="145" t="str">
        <f t="shared" si="4"/>
        <v>B1.2.1.2.32012</v>
      </c>
      <c r="U35" s="145" t="s">
        <v>195</v>
      </c>
      <c r="V35" s="145" t="str">
        <f t="shared" si="5"/>
        <v>Production D-Tube and Kinematic Mounts</v>
      </c>
      <c r="AB35" s="33">
        <v>2012</v>
      </c>
      <c r="AC35" s="140">
        <f t="shared" si="6"/>
        <v>0</v>
      </c>
      <c r="AD35" s="140">
        <f t="shared" si="7"/>
        <v>0</v>
      </c>
      <c r="AE35" s="140">
        <f t="shared" si="8"/>
        <v>0</v>
      </c>
      <c r="AF35" s="140">
        <f t="shared" si="9"/>
        <v>8</v>
      </c>
      <c r="AG35" s="140">
        <f t="shared" si="10"/>
        <v>0</v>
      </c>
      <c r="AH35" s="251">
        <f t="shared" si="11"/>
        <v>6000</v>
      </c>
      <c r="AI35" s="252"/>
      <c r="AJ35" s="96"/>
      <c r="AK35" s="96"/>
      <c r="AL35" s="176"/>
      <c r="AM35" s="139">
        <f t="shared" si="12"/>
        <v>0</v>
      </c>
      <c r="AN35" s="140">
        <f t="shared" si="13"/>
        <v>0</v>
      </c>
      <c r="AO35" s="140">
        <f t="shared" si="14"/>
        <v>0</v>
      </c>
      <c r="AP35" s="140">
        <f t="shared" si="15"/>
        <v>0</v>
      </c>
      <c r="AQ35" s="140">
        <f t="shared" si="16"/>
        <v>0</v>
      </c>
      <c r="AR35" s="140">
        <f t="shared" si="17"/>
        <v>0</v>
      </c>
      <c r="AS35" s="252"/>
    </row>
    <row r="36" spans="1:45" s="20" customFormat="1">
      <c r="A36" s="46" t="s">
        <v>224</v>
      </c>
      <c r="B36" s="20" t="s">
        <v>9</v>
      </c>
      <c r="C36" s="175">
        <v>1</v>
      </c>
      <c r="D36" s="100" t="s">
        <v>9</v>
      </c>
      <c r="E36" s="176">
        <v>1500</v>
      </c>
      <c r="F36" s="177">
        <f t="shared" si="0"/>
        <v>1500</v>
      </c>
      <c r="G36" s="178">
        <v>0</v>
      </c>
      <c r="H36" s="178">
        <v>0</v>
      </c>
      <c r="I36" s="178">
        <v>0</v>
      </c>
      <c r="J36" s="178">
        <v>0</v>
      </c>
      <c r="K36" s="179">
        <v>0</v>
      </c>
      <c r="L36" s="100" t="s">
        <v>8</v>
      </c>
      <c r="M36" s="176">
        <f t="shared" si="1"/>
        <v>0</v>
      </c>
      <c r="N36" s="96">
        <v>1</v>
      </c>
      <c r="O36" s="176">
        <f t="shared" si="2"/>
        <v>1500</v>
      </c>
      <c r="P36" s="180"/>
      <c r="Q36" s="52" t="s">
        <v>46</v>
      </c>
      <c r="R36" s="75" t="s">
        <v>77</v>
      </c>
      <c r="S36" s="145" t="str">
        <f t="shared" si="3"/>
        <v>BPD2012</v>
      </c>
      <c r="T36" s="145" t="str">
        <f t="shared" si="4"/>
        <v>B1.2.1.2.32012</v>
      </c>
      <c r="U36" s="145" t="s">
        <v>195</v>
      </c>
      <c r="V36" s="145" t="str">
        <f t="shared" si="5"/>
        <v>Production D-Tube and Kinematic Mounts</v>
      </c>
      <c r="AB36" s="33">
        <v>2012</v>
      </c>
      <c r="AC36" s="140">
        <f t="shared" si="6"/>
        <v>0</v>
      </c>
      <c r="AD36" s="140">
        <f t="shared" si="7"/>
        <v>0</v>
      </c>
      <c r="AE36" s="140">
        <f t="shared" si="8"/>
        <v>0</v>
      </c>
      <c r="AF36" s="140">
        <f t="shared" si="9"/>
        <v>0</v>
      </c>
      <c r="AG36" s="140">
        <f t="shared" si="10"/>
        <v>0</v>
      </c>
      <c r="AH36" s="251">
        <f t="shared" si="11"/>
        <v>1500</v>
      </c>
      <c r="AI36" s="252"/>
      <c r="AJ36" s="96"/>
      <c r="AK36" s="96"/>
      <c r="AL36" s="176"/>
      <c r="AM36" s="139">
        <f t="shared" si="12"/>
        <v>0</v>
      </c>
      <c r="AN36" s="140">
        <f t="shared" si="13"/>
        <v>0</v>
      </c>
      <c r="AO36" s="140">
        <f t="shared" si="14"/>
        <v>0</v>
      </c>
      <c r="AP36" s="140">
        <f t="shared" si="15"/>
        <v>0</v>
      </c>
      <c r="AQ36" s="140">
        <f t="shared" si="16"/>
        <v>0</v>
      </c>
      <c r="AR36" s="140">
        <f t="shared" si="17"/>
        <v>0</v>
      </c>
      <c r="AS36" s="252"/>
    </row>
    <row r="37" spans="1:45" s="20" customFormat="1">
      <c r="A37" s="46" t="s">
        <v>225</v>
      </c>
      <c r="B37" s="20" t="s">
        <v>9</v>
      </c>
      <c r="C37" s="175">
        <f>C35*0.1</f>
        <v>1</v>
      </c>
      <c r="D37" s="100" t="s">
        <v>9</v>
      </c>
      <c r="E37" s="176">
        <f>E35</f>
        <v>600</v>
      </c>
      <c r="F37" s="177">
        <f t="shared" si="0"/>
        <v>600</v>
      </c>
      <c r="G37" s="178">
        <v>0</v>
      </c>
      <c r="H37" s="178">
        <v>0</v>
      </c>
      <c r="I37" s="178">
        <v>0</v>
      </c>
      <c r="J37" s="178">
        <v>0</v>
      </c>
      <c r="K37" s="179">
        <v>0</v>
      </c>
      <c r="L37" s="100" t="s">
        <v>8</v>
      </c>
      <c r="M37" s="176">
        <f t="shared" si="1"/>
        <v>0</v>
      </c>
      <c r="N37" s="96">
        <v>1</v>
      </c>
      <c r="O37" s="176">
        <f t="shared" si="2"/>
        <v>600</v>
      </c>
      <c r="P37" s="180"/>
      <c r="Q37" s="52" t="s">
        <v>46</v>
      </c>
      <c r="R37" s="75" t="s">
        <v>77</v>
      </c>
      <c r="S37" s="145" t="str">
        <f t="shared" si="3"/>
        <v>BPD2012</v>
      </c>
      <c r="T37" s="145" t="str">
        <f t="shared" si="4"/>
        <v>B1.2.1.2.32012</v>
      </c>
      <c r="U37" s="145" t="s">
        <v>195</v>
      </c>
      <c r="V37" s="145" t="str">
        <f t="shared" si="5"/>
        <v>Production D-Tube and Kinematic Mounts</v>
      </c>
      <c r="AB37" s="33">
        <v>2012</v>
      </c>
      <c r="AC37" s="140">
        <f t="shared" si="6"/>
        <v>0</v>
      </c>
      <c r="AD37" s="140">
        <f t="shared" si="7"/>
        <v>0</v>
      </c>
      <c r="AE37" s="140">
        <f t="shared" si="8"/>
        <v>0</v>
      </c>
      <c r="AF37" s="140">
        <f t="shared" si="9"/>
        <v>0</v>
      </c>
      <c r="AG37" s="140">
        <f t="shared" si="10"/>
        <v>0</v>
      </c>
      <c r="AH37" s="251">
        <f t="shared" si="11"/>
        <v>600</v>
      </c>
      <c r="AI37" s="252"/>
      <c r="AJ37" s="96"/>
      <c r="AK37" s="96"/>
      <c r="AL37" s="176"/>
      <c r="AM37" s="139">
        <f t="shared" si="12"/>
        <v>0</v>
      </c>
      <c r="AN37" s="140">
        <f t="shared" si="13"/>
        <v>0</v>
      </c>
      <c r="AO37" s="140">
        <f t="shared" si="14"/>
        <v>0</v>
      </c>
      <c r="AP37" s="140">
        <f t="shared" si="15"/>
        <v>0</v>
      </c>
      <c r="AQ37" s="140">
        <f t="shared" si="16"/>
        <v>0</v>
      </c>
      <c r="AR37" s="140">
        <f t="shared" si="17"/>
        <v>0</v>
      </c>
      <c r="AS37" s="252"/>
    </row>
    <row r="38" spans="1:45" s="20" customFormat="1">
      <c r="A38" s="46" t="s">
        <v>54</v>
      </c>
      <c r="B38" s="20" t="s">
        <v>9</v>
      </c>
      <c r="C38" s="175">
        <v>0</v>
      </c>
      <c r="D38" s="100" t="s">
        <v>9</v>
      </c>
      <c r="E38" s="176">
        <v>0</v>
      </c>
      <c r="F38" s="177">
        <f t="shared" si="0"/>
        <v>0</v>
      </c>
      <c r="G38" s="178">
        <v>0</v>
      </c>
      <c r="H38" s="178">
        <v>2</v>
      </c>
      <c r="I38" s="178">
        <v>0</v>
      </c>
      <c r="J38" s="178">
        <v>0</v>
      </c>
      <c r="K38" s="179">
        <v>0</v>
      </c>
      <c r="L38" s="100" t="s">
        <v>8</v>
      </c>
      <c r="M38" s="176">
        <f t="shared" si="1"/>
        <v>189.54000000000002</v>
      </c>
      <c r="N38" s="96">
        <v>1</v>
      </c>
      <c r="O38" s="176">
        <f t="shared" si="2"/>
        <v>189.54000000000002</v>
      </c>
      <c r="P38" s="180"/>
      <c r="Q38" s="52" t="s">
        <v>46</v>
      </c>
      <c r="R38" s="75" t="s">
        <v>77</v>
      </c>
      <c r="S38" s="145" t="str">
        <f t="shared" si="3"/>
        <v>BPD2012</v>
      </c>
      <c r="T38" s="145" t="str">
        <f t="shared" si="4"/>
        <v>B1.2.1.2.32012</v>
      </c>
      <c r="U38" s="145" t="s">
        <v>195</v>
      </c>
      <c r="V38" s="145" t="str">
        <f t="shared" si="5"/>
        <v>Production D-Tube and Kinematic Mounts</v>
      </c>
      <c r="AB38" s="33">
        <v>2012</v>
      </c>
      <c r="AC38" s="140">
        <f t="shared" si="6"/>
        <v>0</v>
      </c>
      <c r="AD38" s="140">
        <f t="shared" si="7"/>
        <v>2</v>
      </c>
      <c r="AE38" s="140">
        <f t="shared" si="8"/>
        <v>0</v>
      </c>
      <c r="AF38" s="140">
        <f t="shared" si="9"/>
        <v>0</v>
      </c>
      <c r="AG38" s="140">
        <f t="shared" si="10"/>
        <v>0</v>
      </c>
      <c r="AH38" s="251">
        <f t="shared" si="11"/>
        <v>0</v>
      </c>
      <c r="AI38" s="252"/>
      <c r="AJ38" s="96"/>
      <c r="AK38" s="96"/>
      <c r="AL38" s="176"/>
      <c r="AM38" s="139">
        <f t="shared" si="12"/>
        <v>0</v>
      </c>
      <c r="AN38" s="140">
        <f t="shared" si="13"/>
        <v>0</v>
      </c>
      <c r="AO38" s="140">
        <f t="shared" si="14"/>
        <v>0</v>
      </c>
      <c r="AP38" s="140">
        <f t="shared" si="15"/>
        <v>0</v>
      </c>
      <c r="AQ38" s="140">
        <f t="shared" si="16"/>
        <v>0</v>
      </c>
      <c r="AR38" s="140">
        <f t="shared" si="17"/>
        <v>0</v>
      </c>
      <c r="AS38" s="252"/>
    </row>
    <row r="39" spans="1:45" s="141" customFormat="1">
      <c r="A39" s="46" t="s">
        <v>55</v>
      </c>
      <c r="B39" s="20" t="s">
        <v>58</v>
      </c>
      <c r="C39" s="175">
        <v>0.5</v>
      </c>
      <c r="D39" s="100" t="s">
        <v>59</v>
      </c>
      <c r="E39" s="176">
        <v>105</v>
      </c>
      <c r="F39" s="177">
        <f t="shared" si="0"/>
        <v>52.5</v>
      </c>
      <c r="G39" s="178">
        <v>0</v>
      </c>
      <c r="H39" s="178">
        <v>8</v>
      </c>
      <c r="I39" s="178">
        <v>0</v>
      </c>
      <c r="J39" s="178">
        <v>1</v>
      </c>
      <c r="K39" s="179">
        <v>0</v>
      </c>
      <c r="L39" s="100" t="s">
        <v>8</v>
      </c>
      <c r="M39" s="176">
        <f t="shared" si="1"/>
        <v>879.66000000000008</v>
      </c>
      <c r="N39" s="96">
        <v>1</v>
      </c>
      <c r="O39" s="176">
        <f t="shared" si="2"/>
        <v>932.16000000000008</v>
      </c>
      <c r="P39" s="180"/>
      <c r="Q39" s="52" t="s">
        <v>46</v>
      </c>
      <c r="R39" s="75" t="s">
        <v>77</v>
      </c>
      <c r="S39" s="145" t="str">
        <f t="shared" si="3"/>
        <v>BPD2012</v>
      </c>
      <c r="T39" s="145" t="str">
        <f t="shared" si="4"/>
        <v>B1.2.1.2.32012</v>
      </c>
      <c r="U39" s="145" t="s">
        <v>195</v>
      </c>
      <c r="V39" s="145" t="str">
        <f t="shared" si="5"/>
        <v>Production D-Tube and Kinematic Mounts</v>
      </c>
      <c r="W39" s="20"/>
      <c r="X39" s="20"/>
      <c r="Y39" s="20"/>
      <c r="Z39" s="20"/>
      <c r="AA39" s="20"/>
      <c r="AB39" s="33">
        <v>2012</v>
      </c>
      <c r="AC39" s="140">
        <f t="shared" si="6"/>
        <v>0</v>
      </c>
      <c r="AD39" s="140">
        <f t="shared" si="7"/>
        <v>8</v>
      </c>
      <c r="AE39" s="140">
        <f t="shared" si="8"/>
        <v>0</v>
      </c>
      <c r="AF39" s="140">
        <f t="shared" si="9"/>
        <v>1</v>
      </c>
      <c r="AG39" s="140">
        <f t="shared" si="10"/>
        <v>0</v>
      </c>
      <c r="AH39" s="251">
        <f t="shared" si="11"/>
        <v>52.5</v>
      </c>
      <c r="AI39" s="252"/>
      <c r="AJ39" s="96"/>
      <c r="AK39" s="96"/>
      <c r="AL39" s="176"/>
      <c r="AM39" s="139">
        <f t="shared" si="12"/>
        <v>0</v>
      </c>
      <c r="AN39" s="140">
        <f t="shared" si="13"/>
        <v>0</v>
      </c>
      <c r="AO39" s="140">
        <f t="shared" si="14"/>
        <v>0</v>
      </c>
      <c r="AP39" s="140">
        <f t="shared" si="15"/>
        <v>0</v>
      </c>
      <c r="AQ39" s="140">
        <f t="shared" si="16"/>
        <v>0</v>
      </c>
      <c r="AR39" s="140">
        <f t="shared" si="17"/>
        <v>0</v>
      </c>
      <c r="AS39" s="253"/>
    </row>
    <row r="40" spans="1:45" s="20" customFormat="1">
      <c r="A40" s="46" t="s">
        <v>61</v>
      </c>
      <c r="B40" s="20" t="s">
        <v>9</v>
      </c>
      <c r="C40" s="175">
        <v>1</v>
      </c>
      <c r="D40" s="100" t="s">
        <v>57</v>
      </c>
      <c r="E40" s="176">
        <v>1500</v>
      </c>
      <c r="F40" s="177">
        <f t="shared" si="0"/>
        <v>1500</v>
      </c>
      <c r="G40" s="178">
        <v>0</v>
      </c>
      <c r="H40" s="178">
        <v>4</v>
      </c>
      <c r="I40" s="178">
        <v>0</v>
      </c>
      <c r="J40" s="178">
        <v>4</v>
      </c>
      <c r="K40" s="179">
        <v>0</v>
      </c>
      <c r="L40" s="100" t="s">
        <v>8</v>
      </c>
      <c r="M40" s="176">
        <f t="shared" si="1"/>
        <v>865.08000000000015</v>
      </c>
      <c r="N40" s="96">
        <v>1</v>
      </c>
      <c r="O40" s="176">
        <f t="shared" si="2"/>
        <v>2365.08</v>
      </c>
      <c r="P40" s="180"/>
      <c r="Q40" s="52" t="s">
        <v>46</v>
      </c>
      <c r="R40" s="75" t="s">
        <v>77</v>
      </c>
      <c r="S40" s="145" t="str">
        <f t="shared" si="3"/>
        <v>BPD2012</v>
      </c>
      <c r="T40" s="145" t="str">
        <f t="shared" si="4"/>
        <v>B1.2.1.2.32012</v>
      </c>
      <c r="U40" s="145" t="s">
        <v>195</v>
      </c>
      <c r="V40" s="145" t="str">
        <f t="shared" si="5"/>
        <v>Production D-Tube and Kinematic Mounts</v>
      </c>
      <c r="AB40" s="33">
        <v>2012</v>
      </c>
      <c r="AC40" s="140">
        <f t="shared" si="6"/>
        <v>0</v>
      </c>
      <c r="AD40" s="140">
        <f t="shared" si="7"/>
        <v>4</v>
      </c>
      <c r="AE40" s="140">
        <f t="shared" si="8"/>
        <v>0</v>
      </c>
      <c r="AF40" s="140">
        <f t="shared" si="9"/>
        <v>4</v>
      </c>
      <c r="AG40" s="140">
        <f t="shared" si="10"/>
        <v>0</v>
      </c>
      <c r="AH40" s="251">
        <f t="shared" si="11"/>
        <v>1500</v>
      </c>
      <c r="AI40" s="252"/>
      <c r="AJ40" s="96"/>
      <c r="AK40" s="96"/>
      <c r="AL40" s="176"/>
      <c r="AM40" s="139">
        <f t="shared" si="12"/>
        <v>0</v>
      </c>
      <c r="AN40" s="140">
        <f t="shared" si="13"/>
        <v>0</v>
      </c>
      <c r="AO40" s="140">
        <f t="shared" si="14"/>
        <v>0</v>
      </c>
      <c r="AP40" s="140">
        <f t="shared" si="15"/>
        <v>0</v>
      </c>
      <c r="AQ40" s="140">
        <f t="shared" si="16"/>
        <v>0</v>
      </c>
      <c r="AR40" s="140">
        <f t="shared" si="17"/>
        <v>0</v>
      </c>
      <c r="AS40" s="252"/>
    </row>
    <row r="41" spans="1:45" s="20" customFormat="1">
      <c r="A41" s="47" t="s">
        <v>87</v>
      </c>
      <c r="B41" s="20" t="s">
        <v>227</v>
      </c>
      <c r="C41" s="175">
        <v>1</v>
      </c>
      <c r="D41" s="100" t="s">
        <v>57</v>
      </c>
      <c r="E41" s="176">
        <v>500</v>
      </c>
      <c r="F41" s="177">
        <f t="shared" si="0"/>
        <v>500</v>
      </c>
      <c r="G41" s="178">
        <v>0</v>
      </c>
      <c r="H41" s="178">
        <v>1</v>
      </c>
      <c r="I41" s="178">
        <v>0</v>
      </c>
      <c r="J41" s="178">
        <v>0</v>
      </c>
      <c r="K41" s="179">
        <v>0</v>
      </c>
      <c r="L41" s="100" t="s">
        <v>8</v>
      </c>
      <c r="M41" s="176">
        <f t="shared" si="1"/>
        <v>351</v>
      </c>
      <c r="N41" s="96">
        <v>3</v>
      </c>
      <c r="O41" s="176">
        <f t="shared" si="2"/>
        <v>1851</v>
      </c>
      <c r="P41" s="180"/>
      <c r="Q41" s="52" t="s">
        <v>46</v>
      </c>
      <c r="R41" s="75" t="s">
        <v>221</v>
      </c>
      <c r="S41" s="145" t="str">
        <f t="shared" si="3"/>
        <v>BPT2010</v>
      </c>
      <c r="T41" s="145" t="str">
        <f t="shared" si="4"/>
        <v>B1.2.12010</v>
      </c>
      <c r="U41" s="145" t="s">
        <v>180</v>
      </c>
      <c r="V41" s="145" t="str">
        <f t="shared" si="5"/>
        <v>Pixel Mechanics</v>
      </c>
      <c r="AB41" s="33">
        <v>2010</v>
      </c>
      <c r="AC41" s="140">
        <f t="shared" si="6"/>
        <v>0</v>
      </c>
      <c r="AD41" s="140">
        <f t="shared" si="7"/>
        <v>3</v>
      </c>
      <c r="AE41" s="140">
        <f t="shared" si="8"/>
        <v>0</v>
      </c>
      <c r="AF41" s="140">
        <f t="shared" si="9"/>
        <v>0</v>
      </c>
      <c r="AG41" s="140">
        <f t="shared" si="10"/>
        <v>0</v>
      </c>
      <c r="AH41" s="251">
        <f t="shared" si="11"/>
        <v>1500</v>
      </c>
      <c r="AI41" s="252"/>
      <c r="AJ41" s="96"/>
      <c r="AK41" s="96"/>
      <c r="AL41" s="176"/>
      <c r="AM41" s="139">
        <f t="shared" si="12"/>
        <v>0</v>
      </c>
      <c r="AN41" s="140">
        <f t="shared" si="13"/>
        <v>0</v>
      </c>
      <c r="AO41" s="140">
        <f t="shared" si="14"/>
        <v>0</v>
      </c>
      <c r="AP41" s="140">
        <f t="shared" si="15"/>
        <v>0</v>
      </c>
      <c r="AQ41" s="140">
        <f t="shared" si="16"/>
        <v>0</v>
      </c>
      <c r="AR41" s="140">
        <f t="shared" si="17"/>
        <v>0</v>
      </c>
      <c r="AS41" s="252"/>
    </row>
    <row r="42" spans="1:45" s="20" customFormat="1">
      <c r="A42" s="47" t="s">
        <v>228</v>
      </c>
      <c r="B42" s="20" t="s">
        <v>227</v>
      </c>
      <c r="C42" s="175">
        <v>2</v>
      </c>
      <c r="D42" s="100" t="s">
        <v>57</v>
      </c>
      <c r="E42" s="176">
        <v>500</v>
      </c>
      <c r="F42" s="177">
        <f t="shared" si="0"/>
        <v>1000</v>
      </c>
      <c r="G42" s="178">
        <v>0</v>
      </c>
      <c r="H42" s="178">
        <v>1</v>
      </c>
      <c r="I42" s="178">
        <v>0</v>
      </c>
      <c r="J42" s="178">
        <v>0</v>
      </c>
      <c r="K42" s="179">
        <v>0</v>
      </c>
      <c r="L42" s="100" t="s">
        <v>8</v>
      </c>
      <c r="M42" s="176">
        <f t="shared" si="1"/>
        <v>284.31000000000006</v>
      </c>
      <c r="N42" s="96">
        <v>3</v>
      </c>
      <c r="O42" s="176">
        <f t="shared" si="2"/>
        <v>3284.31</v>
      </c>
      <c r="P42" s="180"/>
      <c r="Q42" s="52" t="s">
        <v>46</v>
      </c>
      <c r="R42" s="75" t="s">
        <v>77</v>
      </c>
      <c r="S42" s="145" t="str">
        <f t="shared" si="3"/>
        <v>BPD2011</v>
      </c>
      <c r="T42" s="145" t="str">
        <f t="shared" si="4"/>
        <v>B1.2.12011</v>
      </c>
      <c r="U42" s="145" t="s">
        <v>180</v>
      </c>
      <c r="V42" s="145" t="str">
        <f t="shared" si="5"/>
        <v>Pixel Mechanics</v>
      </c>
      <c r="AB42" s="33">
        <v>2011</v>
      </c>
      <c r="AC42" s="140">
        <f t="shared" si="6"/>
        <v>0</v>
      </c>
      <c r="AD42" s="140">
        <f t="shared" si="7"/>
        <v>3</v>
      </c>
      <c r="AE42" s="140">
        <f t="shared" si="8"/>
        <v>0</v>
      </c>
      <c r="AF42" s="140">
        <f t="shared" si="9"/>
        <v>0</v>
      </c>
      <c r="AG42" s="140">
        <f t="shared" si="10"/>
        <v>0</v>
      </c>
      <c r="AH42" s="251">
        <f t="shared" si="11"/>
        <v>3000</v>
      </c>
      <c r="AI42" s="252"/>
      <c r="AJ42" s="96"/>
      <c r="AK42" s="96"/>
      <c r="AL42" s="176"/>
      <c r="AM42" s="139">
        <f t="shared" si="12"/>
        <v>0</v>
      </c>
      <c r="AN42" s="140">
        <f t="shared" si="13"/>
        <v>0</v>
      </c>
      <c r="AO42" s="140">
        <f t="shared" si="14"/>
        <v>0</v>
      </c>
      <c r="AP42" s="140">
        <f t="shared" si="15"/>
        <v>0</v>
      </c>
      <c r="AQ42" s="140">
        <f t="shared" si="16"/>
        <v>0</v>
      </c>
      <c r="AR42" s="140">
        <f t="shared" si="17"/>
        <v>0</v>
      </c>
      <c r="AS42" s="252"/>
    </row>
    <row r="43" spans="1:45" s="20" customFormat="1">
      <c r="A43" s="47" t="s">
        <v>228</v>
      </c>
      <c r="B43" s="20" t="s">
        <v>227</v>
      </c>
      <c r="C43" s="175">
        <v>1</v>
      </c>
      <c r="D43" s="100" t="s">
        <v>57</v>
      </c>
      <c r="E43" s="176">
        <v>500</v>
      </c>
      <c r="F43" s="177">
        <f t="shared" si="0"/>
        <v>500</v>
      </c>
      <c r="G43" s="178">
        <v>0</v>
      </c>
      <c r="H43" s="178">
        <v>1</v>
      </c>
      <c r="I43" s="178">
        <v>0</v>
      </c>
      <c r="J43" s="178">
        <v>0</v>
      </c>
      <c r="K43" s="179">
        <v>0</v>
      </c>
      <c r="L43" s="100" t="s">
        <v>8</v>
      </c>
      <c r="M43" s="176">
        <f t="shared" si="1"/>
        <v>284.31000000000006</v>
      </c>
      <c r="N43" s="96">
        <v>3</v>
      </c>
      <c r="O43" s="176">
        <f t="shared" si="2"/>
        <v>1784.31</v>
      </c>
      <c r="P43" s="180"/>
      <c r="Q43" s="52" t="s">
        <v>46</v>
      </c>
      <c r="R43" s="75" t="s">
        <v>77</v>
      </c>
      <c r="S43" s="145" t="str">
        <f t="shared" si="3"/>
        <v>BPD2012</v>
      </c>
      <c r="T43" s="145" t="str">
        <f t="shared" si="4"/>
        <v>B1.2.12012</v>
      </c>
      <c r="U43" s="145" t="s">
        <v>180</v>
      </c>
      <c r="V43" s="145" t="str">
        <f t="shared" si="5"/>
        <v>Pixel Mechanics</v>
      </c>
      <c r="AB43" s="33">
        <v>2012</v>
      </c>
      <c r="AC43" s="140">
        <f t="shared" si="6"/>
        <v>0</v>
      </c>
      <c r="AD43" s="140">
        <f t="shared" si="7"/>
        <v>3</v>
      </c>
      <c r="AE43" s="140">
        <f t="shared" si="8"/>
        <v>0</v>
      </c>
      <c r="AF43" s="140">
        <f t="shared" si="9"/>
        <v>0</v>
      </c>
      <c r="AG43" s="140">
        <f t="shared" si="10"/>
        <v>0</v>
      </c>
      <c r="AH43" s="251">
        <f t="shared" si="11"/>
        <v>1500</v>
      </c>
      <c r="AI43" s="252"/>
      <c r="AJ43" s="96"/>
      <c r="AK43" s="96"/>
      <c r="AL43" s="176"/>
      <c r="AM43" s="139">
        <f t="shared" si="12"/>
        <v>0</v>
      </c>
      <c r="AN43" s="140">
        <f t="shared" si="13"/>
        <v>0</v>
      </c>
      <c r="AO43" s="140">
        <f t="shared" si="14"/>
        <v>0</v>
      </c>
      <c r="AP43" s="140">
        <f t="shared" si="15"/>
        <v>0</v>
      </c>
      <c r="AQ43" s="140">
        <f t="shared" si="16"/>
        <v>0</v>
      </c>
      <c r="AR43" s="140">
        <f t="shared" si="17"/>
        <v>0</v>
      </c>
      <c r="AS43" s="252"/>
    </row>
    <row r="44" spans="1:45" s="141" customFormat="1">
      <c r="A44" s="47" t="s">
        <v>330</v>
      </c>
      <c r="B44" s="20" t="s">
        <v>329</v>
      </c>
      <c r="C44" s="175">
        <v>1</v>
      </c>
      <c r="D44" s="100" t="s">
        <v>57</v>
      </c>
      <c r="E44" s="176">
        <f ca="1">SUMIF(B5:B376,"Bagging",AH5:AH359)</f>
        <v>1207.5</v>
      </c>
      <c r="F44" s="177">
        <f t="shared" ca="1" si="0"/>
        <v>1207.5</v>
      </c>
      <c r="G44" s="178">
        <v>0</v>
      </c>
      <c r="H44" s="178">
        <v>2</v>
      </c>
      <c r="I44" s="178">
        <v>0</v>
      </c>
      <c r="J44" s="178">
        <v>0</v>
      </c>
      <c r="K44" s="179">
        <v>0</v>
      </c>
      <c r="L44" s="100" t="s">
        <v>8</v>
      </c>
      <c r="M44" s="176">
        <f t="shared" si="1"/>
        <v>234</v>
      </c>
      <c r="N44" s="96">
        <v>1</v>
      </c>
      <c r="O44" s="176">
        <f t="shared" ca="1" si="2"/>
        <v>1441.5</v>
      </c>
      <c r="P44" s="180"/>
      <c r="Q44" s="52" t="s">
        <v>46</v>
      </c>
      <c r="R44" s="75" t="s">
        <v>221</v>
      </c>
      <c r="S44" s="145" t="str">
        <f t="shared" si="3"/>
        <v>BPT2011</v>
      </c>
      <c r="T44" s="145" t="str">
        <f t="shared" si="4"/>
        <v>B1.2.12011</v>
      </c>
      <c r="U44" s="145" t="s">
        <v>180</v>
      </c>
      <c r="V44" s="145" t="str">
        <f t="shared" si="5"/>
        <v>Pixel Mechanics</v>
      </c>
      <c r="W44" s="20"/>
      <c r="X44" s="20"/>
      <c r="Y44" s="20"/>
      <c r="Z44" s="20"/>
      <c r="AA44" s="20"/>
      <c r="AB44" s="33">
        <v>2011</v>
      </c>
      <c r="AC44" s="140">
        <f t="shared" si="6"/>
        <v>0</v>
      </c>
      <c r="AD44" s="140">
        <f t="shared" si="7"/>
        <v>2</v>
      </c>
      <c r="AE44" s="140">
        <f t="shared" si="8"/>
        <v>0</v>
      </c>
      <c r="AF44" s="140">
        <f t="shared" si="9"/>
        <v>0</v>
      </c>
      <c r="AG44" s="140">
        <f t="shared" si="10"/>
        <v>0</v>
      </c>
      <c r="AH44" s="251">
        <f t="shared" ca="1" si="11"/>
        <v>1207.5</v>
      </c>
      <c r="AI44" s="252"/>
      <c r="AJ44" s="96"/>
      <c r="AK44" s="96"/>
      <c r="AL44" s="176"/>
      <c r="AM44" s="139">
        <f t="shared" si="12"/>
        <v>0</v>
      </c>
      <c r="AN44" s="140">
        <f t="shared" si="13"/>
        <v>0</v>
      </c>
      <c r="AO44" s="140">
        <f t="shared" si="14"/>
        <v>0</v>
      </c>
      <c r="AP44" s="140">
        <f t="shared" si="15"/>
        <v>0</v>
      </c>
      <c r="AQ44" s="140">
        <f t="shared" si="16"/>
        <v>0</v>
      </c>
      <c r="AR44" s="140">
        <f t="shared" si="17"/>
        <v>0</v>
      </c>
      <c r="AS44" s="253"/>
    </row>
    <row r="45" spans="1:45" s="141" customFormat="1">
      <c r="A45" s="47" t="s">
        <v>331</v>
      </c>
      <c r="B45" s="20" t="s">
        <v>329</v>
      </c>
      <c r="C45" s="175">
        <v>1</v>
      </c>
      <c r="D45" s="100" t="s">
        <v>57</v>
      </c>
      <c r="E45" s="176">
        <f ca="1">SUMIF(B5:B376,"Bagging",AR5:AR359)</f>
        <v>945</v>
      </c>
      <c r="F45" s="177">
        <f t="shared" ca="1" si="0"/>
        <v>945</v>
      </c>
      <c r="G45" s="178">
        <v>0</v>
      </c>
      <c r="H45" s="178">
        <v>2</v>
      </c>
      <c r="I45" s="178">
        <v>0</v>
      </c>
      <c r="J45" s="178">
        <v>0</v>
      </c>
      <c r="K45" s="179">
        <v>0</v>
      </c>
      <c r="L45" s="100" t="s">
        <v>8</v>
      </c>
      <c r="M45" s="176">
        <f t="shared" si="1"/>
        <v>234</v>
      </c>
      <c r="N45" s="96">
        <v>1</v>
      </c>
      <c r="O45" s="176">
        <f t="shared" ca="1" si="2"/>
        <v>1179</v>
      </c>
      <c r="P45" s="180"/>
      <c r="Q45" s="52" t="s">
        <v>46</v>
      </c>
      <c r="R45" s="75" t="s">
        <v>221</v>
      </c>
      <c r="S45" s="145" t="str">
        <f t="shared" si="3"/>
        <v>BPT2012</v>
      </c>
      <c r="T45" s="145" t="str">
        <f t="shared" si="4"/>
        <v>B1.2.12012</v>
      </c>
      <c r="U45" s="145" t="s">
        <v>180</v>
      </c>
      <c r="V45" s="145" t="str">
        <f t="shared" si="5"/>
        <v>Pixel Mechanics</v>
      </c>
      <c r="W45" s="20"/>
      <c r="X45" s="20"/>
      <c r="Y45" s="20"/>
      <c r="Z45" s="20"/>
      <c r="AA45" s="20"/>
      <c r="AB45" s="33">
        <v>2012</v>
      </c>
      <c r="AC45" s="140">
        <f t="shared" si="6"/>
        <v>0</v>
      </c>
      <c r="AD45" s="140">
        <f t="shared" si="7"/>
        <v>2</v>
      </c>
      <c r="AE45" s="140">
        <f t="shared" si="8"/>
        <v>0</v>
      </c>
      <c r="AF45" s="140">
        <f t="shared" si="9"/>
        <v>0</v>
      </c>
      <c r="AG45" s="140">
        <f t="shared" si="10"/>
        <v>0</v>
      </c>
      <c r="AH45" s="251">
        <f t="shared" ca="1" si="11"/>
        <v>945</v>
      </c>
      <c r="AI45" s="252"/>
      <c r="AJ45" s="96"/>
      <c r="AK45" s="96"/>
      <c r="AL45" s="176"/>
      <c r="AM45" s="139">
        <f t="shared" si="12"/>
        <v>0</v>
      </c>
      <c r="AN45" s="140">
        <f t="shared" si="13"/>
        <v>0</v>
      </c>
      <c r="AO45" s="140">
        <f t="shared" si="14"/>
        <v>0</v>
      </c>
      <c r="AP45" s="140">
        <f t="shared" si="15"/>
        <v>0</v>
      </c>
      <c r="AQ45" s="140">
        <f t="shared" si="16"/>
        <v>0</v>
      </c>
      <c r="AR45" s="140">
        <f t="shared" si="17"/>
        <v>0</v>
      </c>
      <c r="AS45" s="253"/>
    </row>
    <row r="46" spans="1:45">
      <c r="A46" s="21" t="s">
        <v>60</v>
      </c>
      <c r="B46" s="3"/>
      <c r="C46" s="181"/>
      <c r="D46" s="380"/>
      <c r="E46" s="182"/>
      <c r="F46" s="183"/>
      <c r="G46" s="181"/>
      <c r="H46" s="181"/>
      <c r="I46" s="181"/>
      <c r="J46" s="181"/>
      <c r="K46" s="184"/>
      <c r="L46" s="380"/>
      <c r="M46" s="182">
        <f>SUMIF(Q5:Q45,"B",M5:M45)</f>
        <v>9620.4599999999991</v>
      </c>
      <c r="N46" s="379" t="s">
        <v>65</v>
      </c>
      <c r="O46" s="380"/>
      <c r="P46" s="381"/>
      <c r="Q46" s="53"/>
      <c r="R46" s="78"/>
      <c r="S46" s="146"/>
      <c r="T46" s="146"/>
      <c r="U46" s="146"/>
      <c r="V46" s="146"/>
      <c r="W46" s="3"/>
      <c r="X46" s="3"/>
      <c r="Y46" s="3"/>
      <c r="Z46" s="3"/>
      <c r="AA46" s="3"/>
      <c r="AB46" s="34"/>
      <c r="AC46" s="5">
        <f>SUM(AC5:AC45)</f>
        <v>0</v>
      </c>
      <c r="AD46" s="5">
        <f>SUM(AD5:AD45)</f>
        <v>55</v>
      </c>
      <c r="AE46" s="5">
        <f>SUM(AE5:AE45)</f>
        <v>0</v>
      </c>
      <c r="AF46" s="5">
        <f>SUM(AF5:AF45)</f>
        <v>35</v>
      </c>
      <c r="AG46" s="5">
        <f>SUM(AG5:AG45)</f>
        <v>0</v>
      </c>
      <c r="AH46" s="182"/>
      <c r="AI46" s="183">
        <f ca="1">SUM(AH5:AH45)</f>
        <v>48110</v>
      </c>
      <c r="AJ46" s="182">
        <f ca="1">(Shop*AC46)+M_Tech*AD46+CMM*AE46+ENG*AF46+DES*AG46+AI46</f>
        <v>57574.850000000006</v>
      </c>
      <c r="AK46" s="182"/>
      <c r="AL46" s="183">
        <f>Shop*AM46+M_Tech*AN46+CMM*AO46+ENG*AP46+DES*AQ46+AS46</f>
        <v>35631.56</v>
      </c>
      <c r="AM46" s="5">
        <f>SUM(AM5:AM45)</f>
        <v>0</v>
      </c>
      <c r="AN46" s="5">
        <f>SUM(AN5:AN45)</f>
        <v>28</v>
      </c>
      <c r="AO46" s="5">
        <f>SUM(AO5:AO45)</f>
        <v>0</v>
      </c>
      <c r="AP46" s="5">
        <f>SUM(AP5:AP45)</f>
        <v>22</v>
      </c>
      <c r="AQ46" s="5">
        <f>SUM(AQ5:AQ45)</f>
        <v>0</v>
      </c>
      <c r="AR46" s="182"/>
      <c r="AS46" s="183">
        <f>SUM(AR5:AR45)</f>
        <v>30305</v>
      </c>
    </row>
    <row r="47" spans="1:45">
      <c r="A47" s="378"/>
      <c r="B47" s="378"/>
      <c r="F47" s="170"/>
      <c r="G47" s="168"/>
      <c r="H47" s="168"/>
      <c r="I47" s="168"/>
      <c r="J47" s="168"/>
      <c r="K47" s="185"/>
      <c r="M47" s="116"/>
      <c r="N47" s="7"/>
      <c r="P47" s="186"/>
      <c r="Q47" s="35"/>
      <c r="R47" s="76"/>
      <c r="S47" s="147"/>
      <c r="T47" s="147"/>
      <c r="U47" s="147"/>
      <c r="V47" s="147"/>
      <c r="W47" s="378"/>
      <c r="X47" s="378"/>
      <c r="Y47" s="378"/>
      <c r="Z47" s="378"/>
      <c r="AA47" s="378"/>
      <c r="AB47" s="36"/>
      <c r="AC47" s="31"/>
      <c r="AD47" s="31"/>
      <c r="AE47" s="31"/>
      <c r="AF47" s="31"/>
      <c r="AG47" s="31"/>
      <c r="AH47" s="254"/>
      <c r="AI47" s="255"/>
      <c r="AJ47" s="6"/>
      <c r="AK47" s="6"/>
      <c r="AM47" s="32"/>
      <c r="AN47" s="4"/>
      <c r="AO47" s="4"/>
      <c r="AP47" s="4"/>
      <c r="AQ47" s="4"/>
      <c r="AR47" s="4"/>
      <c r="AS47" s="256"/>
    </row>
    <row r="48" spans="1:45" s="20" customFormat="1" ht="15.75">
      <c r="A48" s="49" t="s">
        <v>229</v>
      </c>
      <c r="C48" s="175"/>
      <c r="D48" s="100"/>
      <c r="E48" s="176"/>
      <c r="F48" s="177"/>
      <c r="G48" s="178"/>
      <c r="H48" s="178"/>
      <c r="I48" s="178"/>
      <c r="J48" s="178"/>
      <c r="K48" s="179"/>
      <c r="L48" s="100"/>
      <c r="M48" s="176"/>
      <c r="N48" s="96"/>
      <c r="O48" s="180"/>
      <c r="P48" s="180"/>
      <c r="Q48" s="52"/>
      <c r="R48" s="75"/>
      <c r="S48" s="145"/>
      <c r="T48" s="145"/>
      <c r="U48" s="145"/>
      <c r="V48" s="145"/>
      <c r="AB48" s="33"/>
      <c r="AC48" s="140"/>
      <c r="AD48" s="140"/>
      <c r="AE48" s="140"/>
      <c r="AF48" s="140"/>
      <c r="AG48" s="140"/>
      <c r="AH48" s="251"/>
      <c r="AI48" s="252"/>
      <c r="AJ48" s="140"/>
      <c r="AK48" s="140"/>
      <c r="AL48" s="176"/>
      <c r="AM48" s="139"/>
      <c r="AN48" s="140"/>
      <c r="AO48" s="140"/>
      <c r="AP48" s="140"/>
      <c r="AQ48" s="140"/>
      <c r="AR48" s="140"/>
      <c r="AS48" s="252"/>
    </row>
    <row r="49" spans="1:45" s="20" customFormat="1" ht="15.75">
      <c r="A49" s="47" t="s">
        <v>233</v>
      </c>
      <c r="C49" s="175"/>
      <c r="D49" s="100"/>
      <c r="E49" s="61"/>
      <c r="F49" s="62"/>
      <c r="G49" s="63"/>
      <c r="H49" s="63"/>
      <c r="I49" s="63"/>
      <c r="J49" s="63"/>
      <c r="K49" s="64"/>
      <c r="L49" s="115"/>
      <c r="M49" s="59"/>
      <c r="N49" s="187">
        <v>1</v>
      </c>
      <c r="O49" s="180"/>
      <c r="P49" s="180"/>
      <c r="Q49" s="52"/>
      <c r="R49" s="75"/>
      <c r="S49" s="145"/>
      <c r="T49" s="145"/>
      <c r="U49" s="145"/>
      <c r="V49" s="145"/>
      <c r="AB49" s="33"/>
      <c r="AC49" s="140"/>
      <c r="AD49" s="140"/>
      <c r="AE49" s="143"/>
      <c r="AF49" s="140"/>
      <c r="AG49" s="140"/>
      <c r="AH49" s="251"/>
      <c r="AI49" s="252"/>
      <c r="AJ49" s="140"/>
      <c r="AK49" s="140"/>
      <c r="AL49" s="176"/>
      <c r="AM49" s="139"/>
      <c r="AN49" s="140"/>
      <c r="AO49" s="140"/>
      <c r="AP49" s="140"/>
      <c r="AQ49" s="140"/>
      <c r="AR49" s="140"/>
      <c r="AS49" s="252"/>
    </row>
    <row r="50" spans="1:45" s="20" customFormat="1" hidden="1">
      <c r="A50" s="46" t="s">
        <v>234</v>
      </c>
      <c r="B50" s="20" t="s">
        <v>7</v>
      </c>
      <c r="C50" s="175">
        <v>20</v>
      </c>
      <c r="D50" s="100" t="s">
        <v>38</v>
      </c>
      <c r="E50" s="176">
        <v>8</v>
      </c>
      <c r="F50" s="177">
        <f>E50*C50</f>
        <v>160</v>
      </c>
      <c r="G50" s="178">
        <v>8</v>
      </c>
      <c r="H50" s="178">
        <v>2</v>
      </c>
      <c r="I50" s="178">
        <v>0</v>
      </c>
      <c r="J50" s="178">
        <v>4</v>
      </c>
      <c r="K50" s="179">
        <v>0</v>
      </c>
      <c r="L50" s="100" t="s">
        <v>8</v>
      </c>
      <c r="M50" s="176">
        <f>IF(R50="PD",((Shop*G50)+(M_Tech*H50)+(CMM*I50)+(ENG*J50)+(DES*K50))*N50,((Shop_RD*G50)+(MTECH_RD*H50)+(CMM_RD*I50)+(ENG_RD*J50)+(DES_RD*K50))*N50)</f>
        <v>0</v>
      </c>
      <c r="N50" s="96">
        <v>0</v>
      </c>
      <c r="O50" s="176">
        <f>M50+(F50*N50)</f>
        <v>0</v>
      </c>
      <c r="P50" s="180"/>
      <c r="Q50" s="52" t="s">
        <v>46</v>
      </c>
      <c r="R50" s="75" t="s">
        <v>221</v>
      </c>
      <c r="S50" s="145" t="str">
        <f>CONCATENATE(Q50,R50,AB50)</f>
        <v>BPT2009</v>
      </c>
      <c r="T50" s="145" t="str">
        <f>CONCATENATE(Q50,U50,AB50)</f>
        <v>B1.2.1.1.12009</v>
      </c>
      <c r="U50" s="145" t="s">
        <v>184</v>
      </c>
      <c r="V50" s="145" t="str">
        <f>LOOKUP(U50,$B$383:$B$420,$A$383:$A$420)</f>
        <v>Sector Mechanical Prototypes</v>
      </c>
      <c r="AB50" s="33">
        <v>2009</v>
      </c>
      <c r="AC50" s="140">
        <f t="shared" ref="AC50:AG54" si="18">IF($Q50="B", (G50*$N50),0)</f>
        <v>0</v>
      </c>
      <c r="AD50" s="140">
        <f t="shared" si="18"/>
        <v>0</v>
      </c>
      <c r="AE50" s="140">
        <f t="shared" si="18"/>
        <v>0</v>
      </c>
      <c r="AF50" s="140">
        <f t="shared" si="18"/>
        <v>0</v>
      </c>
      <c r="AG50" s="140">
        <f t="shared" si="18"/>
        <v>0</v>
      </c>
      <c r="AH50" s="251">
        <f>IF($Q50="B", (F50*$N50),0)</f>
        <v>0</v>
      </c>
      <c r="AI50" s="252"/>
      <c r="AJ50" s="140"/>
      <c r="AK50" s="140"/>
      <c r="AL50" s="176"/>
      <c r="AM50" s="139">
        <f t="shared" ref="AM50:AQ54" si="19">IF($Q50="C", (G50*$N50),0)</f>
        <v>0</v>
      </c>
      <c r="AN50" s="140">
        <f t="shared" si="19"/>
        <v>0</v>
      </c>
      <c r="AO50" s="140">
        <f t="shared" si="19"/>
        <v>0</v>
      </c>
      <c r="AP50" s="140">
        <f t="shared" si="19"/>
        <v>0</v>
      </c>
      <c r="AQ50" s="140">
        <f t="shared" si="19"/>
        <v>0</v>
      </c>
      <c r="AR50" s="140">
        <f>IF($Q50="C", (F50*$N50),0)</f>
        <v>0</v>
      </c>
      <c r="AS50" s="252"/>
    </row>
    <row r="51" spans="1:45" s="20" customFormat="1">
      <c r="A51" s="46" t="s">
        <v>384</v>
      </c>
      <c r="B51" s="20" t="s">
        <v>33</v>
      </c>
      <c r="C51" s="175">
        <v>0</v>
      </c>
      <c r="D51" s="100" t="s">
        <v>9</v>
      </c>
      <c r="E51" s="176">
        <v>0</v>
      </c>
      <c r="F51" s="177">
        <f>E51*C51</f>
        <v>0</v>
      </c>
      <c r="G51" s="178">
        <v>0</v>
      </c>
      <c r="H51" s="178">
        <v>0</v>
      </c>
      <c r="I51" s="178">
        <v>0</v>
      </c>
      <c r="J51" s="178">
        <v>40</v>
      </c>
      <c r="K51" s="179">
        <v>0</v>
      </c>
      <c r="L51" s="100" t="s">
        <v>8</v>
      </c>
      <c r="M51" s="176">
        <f>IF(R51="PD",((Shop*G51)+(M_Tech*H51)+(CMM*I51)+(ENG*J51)+(DES*K51))*N51,((Shop_RD*G51)+(MTECH_RD*H51)+(CMM_RD*I51)+(ENG_RD*J51)+(DES_RD*K51))*N51)</f>
        <v>6000</v>
      </c>
      <c r="N51" s="96">
        <v>1</v>
      </c>
      <c r="O51" s="176">
        <f>M51+(F51*N51)</f>
        <v>6000</v>
      </c>
      <c r="P51" s="180"/>
      <c r="Q51" s="52" t="s">
        <v>46</v>
      </c>
      <c r="R51" s="75" t="s">
        <v>221</v>
      </c>
      <c r="S51" s="145" t="str">
        <f>CONCATENATE(Q51,R51,AB51)</f>
        <v>BPT2010</v>
      </c>
      <c r="T51" s="145" t="str">
        <f>CONCATENATE(Q51,U51,AB51)</f>
        <v>B1.2.1.1.12010</v>
      </c>
      <c r="U51" s="145" t="s">
        <v>184</v>
      </c>
      <c r="V51" s="145" t="str">
        <f>LOOKUP(U51,$B$383:$B$420,$A$383:$A$420)</f>
        <v>Sector Mechanical Prototypes</v>
      </c>
      <c r="AB51" s="433">
        <v>2010</v>
      </c>
      <c r="AC51" s="140">
        <f t="shared" si="18"/>
        <v>0</v>
      </c>
      <c r="AD51" s="140">
        <f t="shared" si="18"/>
        <v>0</v>
      </c>
      <c r="AE51" s="140">
        <f t="shared" si="18"/>
        <v>0</v>
      </c>
      <c r="AF51" s="140">
        <f t="shared" si="18"/>
        <v>40</v>
      </c>
      <c r="AG51" s="140">
        <f t="shared" si="18"/>
        <v>0</v>
      </c>
      <c r="AH51" s="251">
        <f>IF($Q51="B", (F51*$N51),0)</f>
        <v>0</v>
      </c>
      <c r="AI51" s="252"/>
      <c r="AJ51" s="140"/>
      <c r="AK51" s="140"/>
      <c r="AL51" s="176"/>
      <c r="AM51" s="139">
        <f t="shared" si="19"/>
        <v>0</v>
      </c>
      <c r="AN51" s="140">
        <f t="shared" si="19"/>
        <v>0</v>
      </c>
      <c r="AO51" s="140">
        <f t="shared" si="19"/>
        <v>0</v>
      </c>
      <c r="AP51" s="140">
        <f t="shared" si="19"/>
        <v>0</v>
      </c>
      <c r="AQ51" s="140">
        <f t="shared" si="19"/>
        <v>0</v>
      </c>
      <c r="AR51" s="140">
        <f>IF($Q51="C", (F51*$N51),0)</f>
        <v>0</v>
      </c>
      <c r="AS51" s="252"/>
    </row>
    <row r="52" spans="1:45" s="20" customFormat="1">
      <c r="A52" s="46" t="s">
        <v>385</v>
      </c>
      <c r="B52" s="20" t="s">
        <v>33</v>
      </c>
      <c r="C52" s="175">
        <v>1</v>
      </c>
      <c r="D52" s="100" t="s">
        <v>9</v>
      </c>
      <c r="E52" s="176">
        <v>8</v>
      </c>
      <c r="F52" s="177">
        <f>E52*C52</f>
        <v>8</v>
      </c>
      <c r="G52" s="178">
        <v>0</v>
      </c>
      <c r="H52" s="178">
        <v>0</v>
      </c>
      <c r="I52" s="178">
        <v>0</v>
      </c>
      <c r="J52" s="178">
        <v>40</v>
      </c>
      <c r="K52" s="179">
        <v>0</v>
      </c>
      <c r="L52" s="100" t="s">
        <v>8</v>
      </c>
      <c r="M52" s="176">
        <f>IF(R52="PD",((Shop*G52)+(M_Tech*H52)+(CMM*I52)+(ENG*J52)+(DES*K52))*N52,((Shop_RD*G52)+(MTECH_RD*H52)+(CMM_RD*I52)+(ENG_RD*J52)+(DES_RD*K52))*N52)</f>
        <v>6000</v>
      </c>
      <c r="N52" s="96">
        <v>1</v>
      </c>
      <c r="O52" s="176">
        <f>M52+(F52*N52)</f>
        <v>6008</v>
      </c>
      <c r="P52" s="180"/>
      <c r="Q52" s="52" t="s">
        <v>47</v>
      </c>
      <c r="R52" s="75" t="s">
        <v>221</v>
      </c>
      <c r="S52" s="145" t="str">
        <f>CONCATENATE(Q52,R52,AB52)</f>
        <v>CPT2012</v>
      </c>
      <c r="T52" s="145" t="str">
        <f>CONCATENATE(Q52,U52,AB52)</f>
        <v>C1.2.1.1.12012</v>
      </c>
      <c r="U52" s="145" t="s">
        <v>184</v>
      </c>
      <c r="V52" s="145" t="str">
        <f>LOOKUP(U52,$B$383:$B$420,$A$383:$A$420)</f>
        <v>Sector Mechanical Prototypes</v>
      </c>
      <c r="AB52" s="33">
        <v>2012</v>
      </c>
      <c r="AC52" s="140">
        <f t="shared" si="18"/>
        <v>0</v>
      </c>
      <c r="AD52" s="140">
        <f t="shared" si="18"/>
        <v>0</v>
      </c>
      <c r="AE52" s="140">
        <f t="shared" si="18"/>
        <v>0</v>
      </c>
      <c r="AF52" s="140">
        <f t="shared" si="18"/>
        <v>0</v>
      </c>
      <c r="AG52" s="140">
        <f t="shared" si="18"/>
        <v>0</v>
      </c>
      <c r="AH52" s="251">
        <f>IF($Q52="B", (F52*$N52),0)</f>
        <v>0</v>
      </c>
      <c r="AI52" s="252"/>
      <c r="AJ52" s="140"/>
      <c r="AK52" s="140"/>
      <c r="AL52" s="176"/>
      <c r="AM52" s="139">
        <f t="shared" si="19"/>
        <v>0</v>
      </c>
      <c r="AN52" s="140">
        <f t="shared" si="19"/>
        <v>0</v>
      </c>
      <c r="AO52" s="140">
        <f t="shared" si="19"/>
        <v>0</v>
      </c>
      <c r="AP52" s="140">
        <f t="shared" si="19"/>
        <v>40</v>
      </c>
      <c r="AQ52" s="140">
        <f t="shared" si="19"/>
        <v>0</v>
      </c>
      <c r="AR52" s="140">
        <f>IF($Q52="C", (F52*$N52),0)</f>
        <v>8</v>
      </c>
      <c r="AS52" s="252"/>
    </row>
    <row r="53" spans="1:45" s="20" customFormat="1">
      <c r="A53" s="46" t="s">
        <v>235</v>
      </c>
      <c r="B53" s="20" t="s">
        <v>7</v>
      </c>
      <c r="C53" s="175">
        <v>20</v>
      </c>
      <c r="D53" s="100" t="s">
        <v>38</v>
      </c>
      <c r="E53" s="176">
        <v>8</v>
      </c>
      <c r="F53" s="177">
        <f>E53*C53</f>
        <v>160</v>
      </c>
      <c r="G53" s="178">
        <v>16</v>
      </c>
      <c r="H53" s="178">
        <v>2</v>
      </c>
      <c r="I53" s="178">
        <v>0</v>
      </c>
      <c r="J53" s="178">
        <v>0</v>
      </c>
      <c r="K53" s="179">
        <v>0</v>
      </c>
      <c r="L53" s="100" t="s">
        <v>8</v>
      </c>
      <c r="M53" s="176">
        <f>IF(R53="PD",((Shop*G53)+(M_Tech*H53)+(CMM*I53)+(ENG*J53)+(DES*K53))*N53,((Shop_RD*G53)+(MTECH_RD*H53)+(CMM_RD*I53)+(ENG_RD*J53)+(DES_RD*K53))*N53)</f>
        <v>2250</v>
      </c>
      <c r="N53" s="96">
        <v>1</v>
      </c>
      <c r="O53" s="176">
        <f>M53+(F53*N53)</f>
        <v>2410</v>
      </c>
      <c r="P53" s="180"/>
      <c r="Q53" s="52" t="s">
        <v>46</v>
      </c>
      <c r="R53" s="75" t="s">
        <v>221</v>
      </c>
      <c r="S53" s="145" t="str">
        <f>CONCATENATE(Q53,R53,AB53)</f>
        <v>BPT2013</v>
      </c>
      <c r="T53" s="145" t="str">
        <f>CONCATENATE(Q53,U53,AB53)</f>
        <v>B1.2.1.1.12013</v>
      </c>
      <c r="U53" s="145" t="s">
        <v>184</v>
      </c>
      <c r="V53" s="145" t="str">
        <f>LOOKUP(U53,$B$383:$B$420,$A$383:$A$420)</f>
        <v>Sector Mechanical Prototypes</v>
      </c>
      <c r="AB53" s="33">
        <v>2013</v>
      </c>
      <c r="AC53" s="140">
        <f t="shared" si="18"/>
        <v>16</v>
      </c>
      <c r="AD53" s="140">
        <f t="shared" si="18"/>
        <v>2</v>
      </c>
      <c r="AE53" s="140">
        <f t="shared" si="18"/>
        <v>0</v>
      </c>
      <c r="AF53" s="140">
        <f t="shared" si="18"/>
        <v>0</v>
      </c>
      <c r="AG53" s="140">
        <f t="shared" si="18"/>
        <v>0</v>
      </c>
      <c r="AH53" s="251">
        <f>IF($Q53="B", (F53*$N53),0)</f>
        <v>160</v>
      </c>
      <c r="AI53" s="252"/>
      <c r="AJ53" s="140"/>
      <c r="AK53" s="140"/>
      <c r="AL53" s="176"/>
      <c r="AM53" s="139">
        <f t="shared" si="19"/>
        <v>0</v>
      </c>
      <c r="AN53" s="140">
        <f t="shared" si="19"/>
        <v>0</v>
      </c>
      <c r="AO53" s="140">
        <f t="shared" si="19"/>
        <v>0</v>
      </c>
      <c r="AP53" s="140">
        <f t="shared" si="19"/>
        <v>0</v>
      </c>
      <c r="AQ53" s="140">
        <f t="shared" si="19"/>
        <v>0</v>
      </c>
      <c r="AR53" s="140">
        <f>IF($Q53="C", (F53*$N53),0)</f>
        <v>0</v>
      </c>
      <c r="AS53" s="252"/>
    </row>
    <row r="54" spans="1:45" s="20" customFormat="1">
      <c r="A54" s="46" t="s">
        <v>236</v>
      </c>
      <c r="B54" s="20" t="s">
        <v>7</v>
      </c>
      <c r="C54" s="175">
        <v>20</v>
      </c>
      <c r="D54" s="100" t="s">
        <v>38</v>
      </c>
      <c r="E54" s="176">
        <v>8</v>
      </c>
      <c r="F54" s="177">
        <f>E54*C54</f>
        <v>160</v>
      </c>
      <c r="G54" s="178">
        <v>16</v>
      </c>
      <c r="H54" s="178">
        <v>2</v>
      </c>
      <c r="I54" s="178">
        <v>0</v>
      </c>
      <c r="J54" s="178">
        <v>40</v>
      </c>
      <c r="K54" s="179">
        <v>0</v>
      </c>
      <c r="L54" s="100" t="s">
        <v>8</v>
      </c>
      <c r="M54" s="176">
        <f>IF(R54="PD",((Shop*G54)+(M_Tech*H54)+(CMM*I54)+(ENG*J54)+(DES*K54))*N54,((Shop_RD*G54)+(MTECH_RD*H54)+(CMM_RD*I54)+(ENG_RD*J54)+(DES_RD*K54))*N54)</f>
        <v>8250</v>
      </c>
      <c r="N54" s="96">
        <v>1</v>
      </c>
      <c r="O54" s="176">
        <f>M54+(F54*N54)</f>
        <v>8410</v>
      </c>
      <c r="P54" s="180"/>
      <c r="Q54" s="52" t="s">
        <v>47</v>
      </c>
      <c r="R54" s="75" t="s">
        <v>221</v>
      </c>
      <c r="S54" s="145" t="str">
        <f>CONCATENATE(Q54,R54,AB54)</f>
        <v>CPT2013</v>
      </c>
      <c r="T54" s="145" t="str">
        <f>CONCATENATE(Q54,U54,AB54)</f>
        <v>C1.2.1.1.12013</v>
      </c>
      <c r="U54" s="145" t="s">
        <v>184</v>
      </c>
      <c r="V54" s="145" t="str">
        <f>LOOKUP(U54,$B$383:$B$420,$A$383:$A$420)</f>
        <v>Sector Mechanical Prototypes</v>
      </c>
      <c r="AB54" s="33">
        <v>2013</v>
      </c>
      <c r="AC54" s="140">
        <f t="shared" si="18"/>
        <v>0</v>
      </c>
      <c r="AD54" s="140">
        <f t="shared" si="18"/>
        <v>0</v>
      </c>
      <c r="AE54" s="140">
        <f t="shared" si="18"/>
        <v>0</v>
      </c>
      <c r="AF54" s="140">
        <f t="shared" si="18"/>
        <v>0</v>
      </c>
      <c r="AG54" s="140">
        <f t="shared" si="18"/>
        <v>0</v>
      </c>
      <c r="AH54" s="251">
        <f>IF($Q54="B", (F54*$N54),0)</f>
        <v>0</v>
      </c>
      <c r="AI54" s="252"/>
      <c r="AJ54" s="140"/>
      <c r="AK54" s="140"/>
      <c r="AL54" s="176"/>
      <c r="AM54" s="139">
        <f t="shared" si="19"/>
        <v>16</v>
      </c>
      <c r="AN54" s="140">
        <f t="shared" si="19"/>
        <v>2</v>
      </c>
      <c r="AO54" s="140">
        <f t="shared" si="19"/>
        <v>0</v>
      </c>
      <c r="AP54" s="140">
        <f t="shared" si="19"/>
        <v>40</v>
      </c>
      <c r="AQ54" s="140">
        <f t="shared" si="19"/>
        <v>0</v>
      </c>
      <c r="AR54" s="140">
        <f>IF($Q54="C", (F54*$N54),0)</f>
        <v>160</v>
      </c>
      <c r="AS54" s="252"/>
    </row>
    <row r="55" spans="1:45" s="20" customFormat="1">
      <c r="A55" s="47" t="s">
        <v>237</v>
      </c>
      <c r="C55" s="175"/>
      <c r="D55" s="100"/>
      <c r="E55" s="61"/>
      <c r="F55" s="62"/>
      <c r="G55" s="63"/>
      <c r="H55" s="63"/>
      <c r="I55" s="63"/>
      <c r="J55" s="63"/>
      <c r="K55" s="64"/>
      <c r="L55" s="234" t="s">
        <v>66</v>
      </c>
      <c r="M55" s="188">
        <f>SUMIF(Q50:Q54,"B",M50:M54)</f>
        <v>8250</v>
      </c>
      <c r="N55" s="69" t="s">
        <v>65</v>
      </c>
      <c r="O55" s="176"/>
      <c r="P55" s="180"/>
      <c r="Q55" s="52"/>
      <c r="R55" s="75"/>
      <c r="S55" s="145"/>
      <c r="T55" s="145"/>
      <c r="U55" s="145"/>
      <c r="V55" s="145"/>
      <c r="AB55" s="33"/>
      <c r="AC55" s="140"/>
      <c r="AD55" s="140"/>
      <c r="AE55" s="143"/>
      <c r="AF55" s="140"/>
      <c r="AG55" s="140"/>
      <c r="AH55" s="251"/>
      <c r="AI55" s="252"/>
      <c r="AJ55" s="140"/>
      <c r="AK55" s="140"/>
      <c r="AL55" s="176"/>
      <c r="AM55" s="139"/>
      <c r="AN55" s="140"/>
      <c r="AO55" s="140"/>
      <c r="AP55" s="140"/>
      <c r="AQ55" s="140"/>
      <c r="AR55" s="140"/>
      <c r="AS55" s="252"/>
    </row>
    <row r="56" spans="1:45" s="20" customFormat="1" hidden="1">
      <c r="A56" s="46" t="s">
        <v>238</v>
      </c>
      <c r="B56" s="20" t="s">
        <v>33</v>
      </c>
      <c r="C56" s="175">
        <v>0.03</v>
      </c>
      <c r="D56" s="100" t="s">
        <v>9</v>
      </c>
      <c r="E56" s="176">
        <v>0</v>
      </c>
      <c r="F56" s="177">
        <f>E56*C56</f>
        <v>0</v>
      </c>
      <c r="G56" s="178">
        <v>0</v>
      </c>
      <c r="H56" s="178">
        <v>6</v>
      </c>
      <c r="I56" s="178">
        <v>0</v>
      </c>
      <c r="J56" s="178">
        <v>0</v>
      </c>
      <c r="K56" s="179">
        <v>0</v>
      </c>
      <c r="L56" s="100" t="s">
        <v>8</v>
      </c>
      <c r="M56" s="176">
        <f>IF(R56="PD",((Shop*G56)+(M_Tech*H56)+(CMM*I56)+(ENG*J56)+(DES*K56))*N56,((Shop_RD*G56)+(MTECH_RD*H56)+(CMM_RD*I56)+(ENG_RD*J56)+(DES_RD*K56))*N56)</f>
        <v>0</v>
      </c>
      <c r="N56" s="96">
        <v>0</v>
      </c>
      <c r="O56" s="176">
        <f>M56+(F56*N56)</f>
        <v>0</v>
      </c>
      <c r="P56" s="180"/>
      <c r="Q56" s="52" t="s">
        <v>46</v>
      </c>
      <c r="R56" s="75" t="s">
        <v>221</v>
      </c>
      <c r="S56" s="145" t="str">
        <f>CONCATENATE(Q56,R56,AB56)</f>
        <v>BPT2009</v>
      </c>
      <c r="T56" s="145" t="str">
        <f>CONCATENATE(Q56,U56,AB56)</f>
        <v>B1.2.1.1.12009</v>
      </c>
      <c r="U56" s="145" t="s">
        <v>184</v>
      </c>
      <c r="V56" s="145" t="str">
        <f>LOOKUP(U56,$B$383:$B$420,$A$383:$A$420)</f>
        <v>Sector Mechanical Prototypes</v>
      </c>
      <c r="AB56" s="33">
        <v>2009</v>
      </c>
      <c r="AC56" s="140">
        <f t="shared" ref="AC56:AG59" si="20">IF($Q56="B", (G56*$N56),0)</f>
        <v>0</v>
      </c>
      <c r="AD56" s="140">
        <f t="shared" si="20"/>
        <v>0</v>
      </c>
      <c r="AE56" s="140">
        <f t="shared" si="20"/>
        <v>0</v>
      </c>
      <c r="AF56" s="140">
        <f t="shared" si="20"/>
        <v>0</v>
      </c>
      <c r="AG56" s="140">
        <f t="shared" si="20"/>
        <v>0</v>
      </c>
      <c r="AH56" s="251">
        <f>IF($Q56="B", (F56*$N56),0)</f>
        <v>0</v>
      </c>
      <c r="AI56" s="252"/>
      <c r="AJ56" s="140"/>
      <c r="AK56" s="140"/>
      <c r="AL56" s="176"/>
      <c r="AM56" s="139">
        <f t="shared" ref="AM56:AQ59" si="21">IF($Q56="C", (G56*$N56),0)</f>
        <v>0</v>
      </c>
      <c r="AN56" s="140">
        <f t="shared" si="21"/>
        <v>0</v>
      </c>
      <c r="AO56" s="140">
        <f t="shared" si="21"/>
        <v>0</v>
      </c>
      <c r="AP56" s="140">
        <f t="shared" si="21"/>
        <v>0</v>
      </c>
      <c r="AQ56" s="140">
        <f t="shared" si="21"/>
        <v>0</v>
      </c>
      <c r="AR56" s="140">
        <f>IF($Q56="C", (F56*$N56),0)</f>
        <v>0</v>
      </c>
      <c r="AS56" s="252"/>
    </row>
    <row r="57" spans="1:45" s="20" customFormat="1" hidden="1">
      <c r="A57" s="46" t="s">
        <v>239</v>
      </c>
      <c r="B57" s="20" t="s">
        <v>33</v>
      </c>
      <c r="C57" s="175">
        <v>0.03</v>
      </c>
      <c r="D57" s="100" t="s">
        <v>9</v>
      </c>
      <c r="E57" s="176">
        <v>0</v>
      </c>
      <c r="F57" s="177">
        <f>E57*C57</f>
        <v>0</v>
      </c>
      <c r="G57" s="178">
        <v>0</v>
      </c>
      <c r="H57" s="178">
        <v>6</v>
      </c>
      <c r="I57" s="178">
        <v>0</v>
      </c>
      <c r="J57" s="178">
        <v>0</v>
      </c>
      <c r="K57" s="179">
        <v>0</v>
      </c>
      <c r="L57" s="100" t="s">
        <v>8</v>
      </c>
      <c r="M57" s="176">
        <f>IF(R57="PD",((Shop*G57)+(M_Tech*H57)+(CMM*I57)+(ENG*J57)+(DES*K57))*N57,((Shop_RD*G57)+(MTECH_RD*H57)+(CMM_RD*I57)+(ENG_RD*J57)+(DES_RD*K57))*N57)</f>
        <v>0</v>
      </c>
      <c r="N57" s="96">
        <v>0</v>
      </c>
      <c r="O57" s="176">
        <f>M57+(F57*N57)</f>
        <v>0</v>
      </c>
      <c r="P57" s="180"/>
      <c r="Q57" s="52" t="s">
        <v>46</v>
      </c>
      <c r="R57" s="75" t="s">
        <v>221</v>
      </c>
      <c r="S57" s="145" t="str">
        <f>CONCATENATE(Q57,R57,AB57)</f>
        <v>BPT2010</v>
      </c>
      <c r="T57" s="145" t="str">
        <f>CONCATENATE(Q57,U57,AB57)</f>
        <v>B1.2.1.1.12010</v>
      </c>
      <c r="U57" s="145" t="s">
        <v>184</v>
      </c>
      <c r="V57" s="145" t="str">
        <f>LOOKUP(U57,$B$383:$B$420,$A$383:$A$420)</f>
        <v>Sector Mechanical Prototypes</v>
      </c>
      <c r="AB57" s="33">
        <v>2010</v>
      </c>
      <c r="AC57" s="140">
        <f t="shared" si="20"/>
        <v>0</v>
      </c>
      <c r="AD57" s="140">
        <f t="shared" si="20"/>
        <v>0</v>
      </c>
      <c r="AE57" s="140">
        <f t="shared" si="20"/>
        <v>0</v>
      </c>
      <c r="AF57" s="140">
        <f t="shared" si="20"/>
        <v>0</v>
      </c>
      <c r="AG57" s="140">
        <f t="shared" si="20"/>
        <v>0</v>
      </c>
      <c r="AH57" s="251">
        <f>IF($Q57="B", (F57*$N57),0)</f>
        <v>0</v>
      </c>
      <c r="AI57" s="252"/>
      <c r="AJ57" s="140"/>
      <c r="AK57" s="140"/>
      <c r="AL57" s="176"/>
      <c r="AM57" s="139">
        <f t="shared" si="21"/>
        <v>0</v>
      </c>
      <c r="AN57" s="140">
        <f t="shared" si="21"/>
        <v>0</v>
      </c>
      <c r="AO57" s="140">
        <f t="shared" si="21"/>
        <v>0</v>
      </c>
      <c r="AP57" s="140">
        <f t="shared" si="21"/>
        <v>0</v>
      </c>
      <c r="AQ57" s="140">
        <f t="shared" si="21"/>
        <v>0</v>
      </c>
      <c r="AR57" s="140">
        <f>IF($Q57="C", (F57*$N57),0)</f>
        <v>0</v>
      </c>
      <c r="AS57" s="252"/>
    </row>
    <row r="58" spans="1:45" s="20" customFormat="1">
      <c r="A58" s="46" t="s">
        <v>240</v>
      </c>
      <c r="B58" s="20" t="s">
        <v>33</v>
      </c>
      <c r="C58" s="175">
        <v>0.03</v>
      </c>
      <c r="D58" s="100" t="s">
        <v>9</v>
      </c>
      <c r="E58" s="176">
        <v>0</v>
      </c>
      <c r="F58" s="177">
        <f>E58*C58</f>
        <v>0</v>
      </c>
      <c r="G58" s="178">
        <v>0</v>
      </c>
      <c r="H58" s="178">
        <v>6</v>
      </c>
      <c r="I58" s="178">
        <v>0</v>
      </c>
      <c r="J58" s="178">
        <v>0</v>
      </c>
      <c r="K58" s="179">
        <v>0</v>
      </c>
      <c r="L58" s="100" t="s">
        <v>8</v>
      </c>
      <c r="M58" s="176">
        <f>IF(R58="PD",((Shop*G58)+(M_Tech*H58)+(CMM*I58)+(ENG*J58)+(DES*K58))*N58,((Shop_RD*G58)+(MTECH_RD*H58)+(CMM_RD*I58)+(ENG_RD*J58)+(DES_RD*K58))*N58)</f>
        <v>2843.1000000000004</v>
      </c>
      <c r="N58" s="96">
        <v>5</v>
      </c>
      <c r="O58" s="176">
        <f>M58+(F58*N58)</f>
        <v>2843.1000000000004</v>
      </c>
      <c r="P58" s="180"/>
      <c r="Q58" s="52" t="s">
        <v>46</v>
      </c>
      <c r="R58" s="75" t="s">
        <v>77</v>
      </c>
      <c r="S58" s="145" t="str">
        <f>CONCATENATE(Q58,R58,AB58)</f>
        <v>BPD2011</v>
      </c>
      <c r="T58" s="145" t="str">
        <f>CONCATENATE(Q58,U58,AB58)</f>
        <v>B1.2.1.1.12011</v>
      </c>
      <c r="U58" s="145" t="s">
        <v>184</v>
      </c>
      <c r="V58" s="145" t="str">
        <f>LOOKUP(U58,$B$383:$B$420,$A$383:$A$420)</f>
        <v>Sector Mechanical Prototypes</v>
      </c>
      <c r="AB58" s="33">
        <v>2011</v>
      </c>
      <c r="AC58" s="140">
        <f t="shared" si="20"/>
        <v>0</v>
      </c>
      <c r="AD58" s="140">
        <f t="shared" si="20"/>
        <v>30</v>
      </c>
      <c r="AE58" s="140">
        <f t="shared" si="20"/>
        <v>0</v>
      </c>
      <c r="AF58" s="140">
        <f t="shared" si="20"/>
        <v>0</v>
      </c>
      <c r="AG58" s="140">
        <f t="shared" si="20"/>
        <v>0</v>
      </c>
      <c r="AH58" s="251">
        <f>IF($Q58="B", (F58*$N58),0)</f>
        <v>0</v>
      </c>
      <c r="AI58" s="252"/>
      <c r="AJ58" s="140"/>
      <c r="AK58" s="140"/>
      <c r="AL58" s="176"/>
      <c r="AM58" s="139">
        <f t="shared" si="21"/>
        <v>0</v>
      </c>
      <c r="AN58" s="140">
        <f t="shared" si="21"/>
        <v>0</v>
      </c>
      <c r="AO58" s="140">
        <f t="shared" si="21"/>
        <v>0</v>
      </c>
      <c r="AP58" s="140">
        <f t="shared" si="21"/>
        <v>0</v>
      </c>
      <c r="AQ58" s="140">
        <f t="shared" si="21"/>
        <v>0</v>
      </c>
      <c r="AR58" s="140">
        <f>IF($Q58="C", (F58*$N58),0)</f>
        <v>0</v>
      </c>
      <c r="AS58" s="252"/>
    </row>
    <row r="59" spans="1:45" s="20" customFormat="1">
      <c r="A59" s="46" t="s">
        <v>241</v>
      </c>
      <c r="B59" s="20" t="s">
        <v>33</v>
      </c>
      <c r="C59" s="175">
        <v>0.03</v>
      </c>
      <c r="D59" s="100" t="s">
        <v>9</v>
      </c>
      <c r="E59" s="176">
        <v>0</v>
      </c>
      <c r="F59" s="177">
        <f>E59*C59</f>
        <v>0</v>
      </c>
      <c r="G59" s="178">
        <v>0</v>
      </c>
      <c r="H59" s="178">
        <v>6</v>
      </c>
      <c r="I59" s="178">
        <v>0</v>
      </c>
      <c r="J59" s="178">
        <v>0</v>
      </c>
      <c r="K59" s="179">
        <v>0</v>
      </c>
      <c r="L59" s="100" t="s">
        <v>8</v>
      </c>
      <c r="M59" s="176">
        <f>IF(R59="PD",((Shop*G59)+(M_Tech*H59)+(CMM*I59)+(ENG*J59)+(DES*K59))*N59,((Shop_RD*G59)+(MTECH_RD*H59)+(CMM_RD*I59)+(ENG_RD*J59)+(DES_RD*K59))*N59)</f>
        <v>3980.3400000000011</v>
      </c>
      <c r="N59" s="96">
        <v>7</v>
      </c>
      <c r="O59" s="176">
        <f>M59+(F59*N59)</f>
        <v>3980.3400000000011</v>
      </c>
      <c r="P59" s="180"/>
      <c r="Q59" s="52" t="s">
        <v>47</v>
      </c>
      <c r="R59" s="75" t="s">
        <v>77</v>
      </c>
      <c r="S59" s="145" t="str">
        <f>CONCATENATE(Q59,R59,AB59)</f>
        <v>CPD2012</v>
      </c>
      <c r="T59" s="145" t="str">
        <f>CONCATENATE(Q59,U59,AB59)</f>
        <v>C1.2.1.1.12012</v>
      </c>
      <c r="U59" s="145" t="s">
        <v>184</v>
      </c>
      <c r="V59" s="145" t="str">
        <f>LOOKUP(U59,$B$383:$B$420,$A$383:$A$420)</f>
        <v>Sector Mechanical Prototypes</v>
      </c>
      <c r="AB59" s="33">
        <v>2012</v>
      </c>
      <c r="AC59" s="140">
        <f t="shared" si="20"/>
        <v>0</v>
      </c>
      <c r="AD59" s="140">
        <f t="shared" si="20"/>
        <v>0</v>
      </c>
      <c r="AE59" s="140">
        <f t="shared" si="20"/>
        <v>0</v>
      </c>
      <c r="AF59" s="140">
        <f t="shared" si="20"/>
        <v>0</v>
      </c>
      <c r="AG59" s="140">
        <f t="shared" si="20"/>
        <v>0</v>
      </c>
      <c r="AH59" s="251">
        <f>IF($Q59="B", (F59*$N59),0)</f>
        <v>0</v>
      </c>
      <c r="AI59" s="252"/>
      <c r="AJ59" s="140"/>
      <c r="AK59" s="140"/>
      <c r="AL59" s="176"/>
      <c r="AM59" s="139">
        <f t="shared" si="21"/>
        <v>0</v>
      </c>
      <c r="AN59" s="140">
        <f t="shared" si="21"/>
        <v>42</v>
      </c>
      <c r="AO59" s="140">
        <f t="shared" si="21"/>
        <v>0</v>
      </c>
      <c r="AP59" s="140">
        <f t="shared" si="21"/>
        <v>0</v>
      </c>
      <c r="AQ59" s="140">
        <f t="shared" si="21"/>
        <v>0</v>
      </c>
      <c r="AR59" s="140">
        <f>IF($Q59="C", (F59*$N59),0)</f>
        <v>0</v>
      </c>
      <c r="AS59" s="252"/>
    </row>
    <row r="60" spans="1:45" s="20" customFormat="1">
      <c r="A60" s="47" t="s">
        <v>243</v>
      </c>
      <c r="C60" s="175"/>
      <c r="D60" s="100"/>
      <c r="E60" s="61"/>
      <c r="F60" s="62"/>
      <c r="G60" s="63"/>
      <c r="H60" s="63"/>
      <c r="I60" s="63"/>
      <c r="J60" s="63"/>
      <c r="K60" s="64"/>
      <c r="L60" s="234" t="s">
        <v>66</v>
      </c>
      <c r="M60" s="188">
        <f>SUMIF(Q56:Q59,"B",M56:M59)</f>
        <v>2843.1000000000004</v>
      </c>
      <c r="N60" s="69" t="s">
        <v>65</v>
      </c>
      <c r="O60" s="176"/>
      <c r="P60" s="180"/>
      <c r="Q60" s="52"/>
      <c r="R60" s="75"/>
      <c r="S60" s="145"/>
      <c r="T60" s="145"/>
      <c r="U60" s="145"/>
      <c r="V60" s="145"/>
      <c r="AB60" s="33"/>
      <c r="AC60" s="140"/>
      <c r="AD60" s="140"/>
      <c r="AE60" s="143"/>
      <c r="AF60" s="140"/>
      <c r="AG60" s="140"/>
      <c r="AH60" s="251"/>
      <c r="AI60" s="252"/>
      <c r="AJ60" s="140"/>
      <c r="AK60" s="140"/>
      <c r="AL60" s="176"/>
      <c r="AM60" s="139"/>
      <c r="AN60" s="140"/>
      <c r="AO60" s="140"/>
      <c r="AP60" s="140"/>
      <c r="AQ60" s="140"/>
      <c r="AR60" s="140"/>
      <c r="AS60" s="252"/>
    </row>
    <row r="61" spans="1:45" s="20" customFormat="1">
      <c r="A61" s="46" t="s">
        <v>243</v>
      </c>
      <c r="B61" s="20" t="s">
        <v>33</v>
      </c>
      <c r="C61" s="175">
        <v>0.03</v>
      </c>
      <c r="D61" s="100" t="s">
        <v>9</v>
      </c>
      <c r="E61" s="176">
        <v>0</v>
      </c>
      <c r="F61" s="177">
        <f>E61*C61</f>
        <v>0</v>
      </c>
      <c r="G61" s="178">
        <v>0</v>
      </c>
      <c r="H61" s="178">
        <v>6</v>
      </c>
      <c r="I61" s="178">
        <v>0</v>
      </c>
      <c r="J61" s="178">
        <v>0</v>
      </c>
      <c r="K61" s="179">
        <v>0</v>
      </c>
      <c r="L61" s="100" t="s">
        <v>8</v>
      </c>
      <c r="M61" s="176">
        <f>IF(R61="PD",((Shop*G61)+(M_Tech*H61)+(CMM*I61)+(ENG*J61)+(DES*K61))*N61,((Shop_RD*G61)+(MTECH_RD*H61)+(CMM_RD*I61)+(ENG_RD*J61)+(DES_RD*K61))*N61)</f>
        <v>14215.500000000004</v>
      </c>
      <c r="N61" s="96">
        <v>25</v>
      </c>
      <c r="O61" s="176">
        <f>M61+(F61*N61)</f>
        <v>14215.500000000004</v>
      </c>
      <c r="P61" s="180"/>
      <c r="Q61" s="52" t="s">
        <v>46</v>
      </c>
      <c r="R61" s="75" t="s">
        <v>77</v>
      </c>
      <c r="S61" s="145" t="str">
        <f>CONCATENATE(Q61,R61,AB61)</f>
        <v>BPD2013</v>
      </c>
      <c r="T61" s="145" t="str">
        <f>CONCATENATE(Q61,U61,AB61)</f>
        <v>B1.2.1.1.22013</v>
      </c>
      <c r="U61" s="145" t="s">
        <v>186</v>
      </c>
      <c r="V61" s="145" t="str">
        <f>LOOKUP(U61,$B$383:$B$420,$A$383:$A$420)</f>
        <v>Production Sectors</v>
      </c>
      <c r="AB61" s="33">
        <v>2013</v>
      </c>
      <c r="AC61" s="140">
        <f t="shared" ref="AC61:AG62" si="22">IF($Q61="B", (G61*$N61),0)</f>
        <v>0</v>
      </c>
      <c r="AD61" s="140">
        <f t="shared" si="22"/>
        <v>150</v>
      </c>
      <c r="AE61" s="140">
        <f t="shared" si="22"/>
        <v>0</v>
      </c>
      <c r="AF61" s="140">
        <f t="shared" si="22"/>
        <v>0</v>
      </c>
      <c r="AG61" s="140">
        <f t="shared" si="22"/>
        <v>0</v>
      </c>
      <c r="AH61" s="251">
        <f>IF($Q61="B", (F61*$N61),0)</f>
        <v>0</v>
      </c>
      <c r="AI61" s="252"/>
      <c r="AJ61" s="140"/>
      <c r="AK61" s="140"/>
      <c r="AL61" s="176"/>
      <c r="AM61" s="139">
        <f t="shared" ref="AM61:AQ62" si="23">IF($Q61="C", (G61*$N61),0)</f>
        <v>0</v>
      </c>
      <c r="AN61" s="140">
        <f t="shared" si="23"/>
        <v>0</v>
      </c>
      <c r="AO61" s="140">
        <f t="shared" si="23"/>
        <v>0</v>
      </c>
      <c r="AP61" s="140">
        <f t="shared" si="23"/>
        <v>0</v>
      </c>
      <c r="AQ61" s="140">
        <f t="shared" si="23"/>
        <v>0</v>
      </c>
      <c r="AR61" s="140">
        <f>IF($Q61="C", (F61*$N61),0)</f>
        <v>0</v>
      </c>
      <c r="AS61" s="252"/>
    </row>
    <row r="62" spans="1:45" s="20" customFormat="1">
      <c r="A62" s="46" t="s">
        <v>244</v>
      </c>
      <c r="B62" s="20" t="s">
        <v>33</v>
      </c>
      <c r="C62" s="175">
        <v>0.03</v>
      </c>
      <c r="D62" s="100" t="s">
        <v>9</v>
      </c>
      <c r="E62" s="176">
        <v>0</v>
      </c>
      <c r="F62" s="177">
        <f>E62*C62</f>
        <v>0</v>
      </c>
      <c r="G62" s="178">
        <v>0</v>
      </c>
      <c r="H62" s="178">
        <v>6</v>
      </c>
      <c r="I62" s="178">
        <v>0</v>
      </c>
      <c r="J62" s="178">
        <v>0</v>
      </c>
      <c r="K62" s="179">
        <v>0</v>
      </c>
      <c r="L62" s="100" t="s">
        <v>8</v>
      </c>
      <c r="M62" s="176">
        <f>IF(R62="PD",((Shop*G62)+(M_Tech*H62)+(CMM*I62)+(ENG*J62)+(DES*K62))*N62,((Shop_RD*G62)+(MTECH_RD*H62)+(CMM_RD*I62)+(ENG_RD*J62)+(DES_RD*K62))*N62)</f>
        <v>5686.2000000000007</v>
      </c>
      <c r="N62" s="96">
        <v>10</v>
      </c>
      <c r="O62" s="176">
        <f>M62+(F62*N62)</f>
        <v>5686.2000000000007</v>
      </c>
      <c r="P62" s="180"/>
      <c r="Q62" s="52" t="s">
        <v>46</v>
      </c>
      <c r="R62" s="75" t="s">
        <v>77</v>
      </c>
      <c r="S62" s="145" t="str">
        <f>CONCATENATE(Q62,R62,AB62)</f>
        <v>BPD2013</v>
      </c>
      <c r="T62" s="145" t="str">
        <f>CONCATENATE(Q62,U62,AB62)</f>
        <v>B1.2.1.1.22013</v>
      </c>
      <c r="U62" s="145" t="s">
        <v>186</v>
      </c>
      <c r="V62" s="145" t="str">
        <f>LOOKUP(U62,$B$383:$B$420,$A$383:$A$420)</f>
        <v>Production Sectors</v>
      </c>
      <c r="AB62" s="33">
        <v>2013</v>
      </c>
      <c r="AC62" s="140">
        <f t="shared" si="22"/>
        <v>0</v>
      </c>
      <c r="AD62" s="140">
        <f t="shared" si="22"/>
        <v>60</v>
      </c>
      <c r="AE62" s="140">
        <f t="shared" si="22"/>
        <v>0</v>
      </c>
      <c r="AF62" s="140">
        <f t="shared" si="22"/>
        <v>0</v>
      </c>
      <c r="AG62" s="140">
        <f t="shared" si="22"/>
        <v>0</v>
      </c>
      <c r="AH62" s="251">
        <f>IF($Q62="B", (F62*$N62),0)</f>
        <v>0</v>
      </c>
      <c r="AI62" s="252"/>
      <c r="AJ62" s="140"/>
      <c r="AK62" s="140"/>
      <c r="AL62" s="176"/>
      <c r="AM62" s="139">
        <f t="shared" si="23"/>
        <v>0</v>
      </c>
      <c r="AN62" s="140">
        <f t="shared" si="23"/>
        <v>0</v>
      </c>
      <c r="AO62" s="140">
        <f t="shared" si="23"/>
        <v>0</v>
      </c>
      <c r="AP62" s="140">
        <f t="shared" si="23"/>
        <v>0</v>
      </c>
      <c r="AQ62" s="140">
        <f t="shared" si="23"/>
        <v>0</v>
      </c>
      <c r="AR62" s="140">
        <f>IF($Q62="C", (F62*$N62),0)</f>
        <v>0</v>
      </c>
      <c r="AS62" s="252"/>
    </row>
    <row r="63" spans="1:45" s="20" customFormat="1">
      <c r="A63" s="47" t="s">
        <v>253</v>
      </c>
      <c r="C63" s="175"/>
      <c r="D63" s="100"/>
      <c r="E63" s="61"/>
      <c r="F63" s="62"/>
      <c r="G63" s="63"/>
      <c r="H63" s="63"/>
      <c r="I63" s="63"/>
      <c r="J63" s="63"/>
      <c r="K63" s="64"/>
      <c r="L63" s="234" t="s">
        <v>66</v>
      </c>
      <c r="M63" s="188">
        <f>SUMIF(Q61:Q62,"B",M61:M62)</f>
        <v>19901.700000000004</v>
      </c>
      <c r="N63" s="69" t="s">
        <v>65</v>
      </c>
      <c r="O63" s="176"/>
      <c r="P63" s="180"/>
      <c r="Q63" s="52"/>
      <c r="R63" s="75"/>
      <c r="S63" s="145"/>
      <c r="T63" s="145"/>
      <c r="U63" s="145"/>
      <c r="V63" s="145"/>
      <c r="AB63" s="33"/>
      <c r="AC63" s="140"/>
      <c r="AD63" s="140"/>
      <c r="AE63" s="143"/>
      <c r="AF63" s="140"/>
      <c r="AG63" s="140"/>
      <c r="AH63" s="251"/>
      <c r="AI63" s="252"/>
      <c r="AJ63" s="140"/>
      <c r="AK63" s="140"/>
      <c r="AL63" s="176"/>
      <c r="AM63" s="139"/>
      <c r="AN63" s="140"/>
      <c r="AO63" s="140"/>
      <c r="AP63" s="140"/>
      <c r="AQ63" s="140"/>
      <c r="AR63" s="140"/>
      <c r="AS63" s="252"/>
    </row>
    <row r="64" spans="1:45" s="20" customFormat="1" hidden="1">
      <c r="A64" s="46" t="s">
        <v>242</v>
      </c>
      <c r="B64" s="20" t="s">
        <v>7</v>
      </c>
      <c r="C64" s="175">
        <v>6</v>
      </c>
      <c r="D64" s="100" t="s">
        <v>38</v>
      </c>
      <c r="E64" s="176">
        <v>8</v>
      </c>
      <c r="F64" s="177">
        <f t="shared" ref="F64:F73" si="24">E64*C64</f>
        <v>48</v>
      </c>
      <c r="G64" s="178">
        <v>7.75</v>
      </c>
      <c r="H64" s="178">
        <v>0</v>
      </c>
      <c r="I64" s="178">
        <v>0</v>
      </c>
      <c r="J64" s="178">
        <v>0</v>
      </c>
      <c r="K64" s="179">
        <v>0</v>
      </c>
      <c r="L64" s="100" t="s">
        <v>8</v>
      </c>
      <c r="M64" s="176">
        <f t="shared" ref="M64:M73" si="25">IF(R64="PD",((Shop*G64)+(M_Tech*H64)+(CMM*I64)+(ENG*J64)+(DES*K64))*N64,((Shop_RD*G64)+(MTECH_RD*H64)+(CMM_RD*I64)+(ENG_RD*J64)+(DES_RD*K64))*N64)</f>
        <v>0</v>
      </c>
      <c r="N64" s="96">
        <v>0</v>
      </c>
      <c r="O64" s="176">
        <f t="shared" ref="O64:O73" si="26">M64+(F64*N64)</f>
        <v>0</v>
      </c>
      <c r="P64" s="180"/>
      <c r="Q64" s="52" t="s">
        <v>46</v>
      </c>
      <c r="R64" s="75" t="s">
        <v>221</v>
      </c>
      <c r="S64" s="145" t="str">
        <f t="shared" ref="S64:S73" si="27">CONCATENATE(Q64,R64,AB64)</f>
        <v>BPT2009</v>
      </c>
      <c r="T64" s="145" t="str">
        <f t="shared" ref="T64:T73" si="28">CONCATENATE(Q64,U64,AB64)</f>
        <v>B1.2.1.1.12009</v>
      </c>
      <c r="U64" s="145" t="s">
        <v>184</v>
      </c>
      <c r="V64" s="145" t="str">
        <f t="shared" ref="V64:V73" si="29">LOOKUP(U64,$B$383:$B$420,$A$383:$A$420)</f>
        <v>Sector Mechanical Prototypes</v>
      </c>
      <c r="AB64" s="33">
        <v>2009</v>
      </c>
      <c r="AC64" s="140">
        <f t="shared" ref="AC64:AC73" si="30">IF($Q64="B", (G64*$N64),0)</f>
        <v>0</v>
      </c>
      <c r="AD64" s="140">
        <f t="shared" ref="AD64:AD73" si="31">IF($Q64="B", (H64*$N64),0)</f>
        <v>0</v>
      </c>
      <c r="AE64" s="140">
        <f t="shared" ref="AE64:AE73" si="32">IF($Q64="B", (I64*$N64),0)</f>
        <v>0</v>
      </c>
      <c r="AF64" s="140">
        <f t="shared" ref="AF64:AF73" si="33">IF($Q64="B", (J64*$N64),0)</f>
        <v>0</v>
      </c>
      <c r="AG64" s="140">
        <f t="shared" ref="AG64:AG73" si="34">IF($Q64="B", (K64*$N64),0)</f>
        <v>0</v>
      </c>
      <c r="AH64" s="251">
        <f t="shared" ref="AH64:AH73" si="35">IF($Q64="B", (F64*$N64),0)</f>
        <v>0</v>
      </c>
      <c r="AI64" s="252"/>
      <c r="AJ64" s="140"/>
      <c r="AK64" s="140"/>
      <c r="AL64" s="176"/>
      <c r="AM64" s="139">
        <f t="shared" ref="AM64:AM73" si="36">IF($Q64="C", (G64*$N64),0)</f>
        <v>0</v>
      </c>
      <c r="AN64" s="140">
        <f t="shared" ref="AN64:AN73" si="37">IF($Q64="C", (H64*$N64),0)</f>
        <v>0</v>
      </c>
      <c r="AO64" s="140">
        <f t="shared" ref="AO64:AO73" si="38">IF($Q64="C", (I64*$N64),0)</f>
        <v>0</v>
      </c>
      <c r="AP64" s="140">
        <f t="shared" ref="AP64:AP73" si="39">IF($Q64="C", (J64*$N64),0)</f>
        <v>0</v>
      </c>
      <c r="AQ64" s="140">
        <f t="shared" ref="AQ64:AQ73" si="40">IF($Q64="C", (K64*$N64),0)</f>
        <v>0</v>
      </c>
      <c r="AR64" s="140">
        <f t="shared" ref="AR64:AR73" si="41">IF($Q64="C", (F64*$N64),0)</f>
        <v>0</v>
      </c>
      <c r="AS64" s="252"/>
    </row>
    <row r="65" spans="1:45" s="20" customFormat="1" hidden="1">
      <c r="A65" s="46" t="s">
        <v>245</v>
      </c>
      <c r="B65" s="20" t="s">
        <v>95</v>
      </c>
      <c r="C65" s="175">
        <v>1</v>
      </c>
      <c r="D65" s="100" t="s">
        <v>2</v>
      </c>
      <c r="E65" s="176">
        <v>150</v>
      </c>
      <c r="F65" s="177">
        <f t="shared" si="24"/>
        <v>150</v>
      </c>
      <c r="G65" s="178">
        <v>0</v>
      </c>
      <c r="H65" s="178">
        <v>0</v>
      </c>
      <c r="I65" s="178">
        <v>0</v>
      </c>
      <c r="J65" s="178">
        <v>0</v>
      </c>
      <c r="K65" s="179">
        <v>0</v>
      </c>
      <c r="L65" s="100" t="s">
        <v>8</v>
      </c>
      <c r="M65" s="176">
        <f t="shared" si="25"/>
        <v>0</v>
      </c>
      <c r="N65" s="96">
        <v>0</v>
      </c>
      <c r="O65" s="176">
        <f t="shared" si="26"/>
        <v>0</v>
      </c>
      <c r="P65" s="180"/>
      <c r="Q65" s="52" t="s">
        <v>46</v>
      </c>
      <c r="R65" s="75" t="s">
        <v>221</v>
      </c>
      <c r="S65" s="145" t="str">
        <f t="shared" si="27"/>
        <v>BPT2009</v>
      </c>
      <c r="T65" s="145" t="str">
        <f t="shared" si="28"/>
        <v>B1.2.1.1.12009</v>
      </c>
      <c r="U65" s="145" t="s">
        <v>184</v>
      </c>
      <c r="V65" s="145" t="str">
        <f t="shared" si="29"/>
        <v>Sector Mechanical Prototypes</v>
      </c>
      <c r="AB65" s="33">
        <v>2009</v>
      </c>
      <c r="AC65" s="140">
        <f t="shared" si="30"/>
        <v>0</v>
      </c>
      <c r="AD65" s="140">
        <f t="shared" si="31"/>
        <v>0</v>
      </c>
      <c r="AE65" s="140">
        <f t="shared" si="32"/>
        <v>0</v>
      </c>
      <c r="AF65" s="140">
        <f t="shared" si="33"/>
        <v>0</v>
      </c>
      <c r="AG65" s="140">
        <f t="shared" si="34"/>
        <v>0</v>
      </c>
      <c r="AH65" s="251">
        <f t="shared" si="35"/>
        <v>0</v>
      </c>
      <c r="AI65" s="252"/>
      <c r="AJ65" s="140"/>
      <c r="AK65" s="140"/>
      <c r="AL65" s="176"/>
      <c r="AM65" s="139">
        <f t="shared" si="36"/>
        <v>0</v>
      </c>
      <c r="AN65" s="140">
        <f t="shared" si="37"/>
        <v>0</v>
      </c>
      <c r="AO65" s="140">
        <f t="shared" si="38"/>
        <v>0</v>
      </c>
      <c r="AP65" s="140">
        <f t="shared" si="39"/>
        <v>0</v>
      </c>
      <c r="AQ65" s="140">
        <f t="shared" si="40"/>
        <v>0</v>
      </c>
      <c r="AR65" s="140">
        <f t="shared" si="41"/>
        <v>0</v>
      </c>
      <c r="AS65" s="252"/>
    </row>
    <row r="66" spans="1:45" s="20" customFormat="1">
      <c r="A66" s="46" t="s">
        <v>386</v>
      </c>
      <c r="B66" s="20" t="s">
        <v>33</v>
      </c>
      <c r="C66" s="175">
        <v>0</v>
      </c>
      <c r="D66" s="100" t="s">
        <v>9</v>
      </c>
      <c r="E66" s="176">
        <v>0</v>
      </c>
      <c r="F66" s="177">
        <f t="shared" si="24"/>
        <v>0</v>
      </c>
      <c r="G66" s="178">
        <v>0</v>
      </c>
      <c r="H66" s="178">
        <v>0</v>
      </c>
      <c r="I66" s="178">
        <v>0</v>
      </c>
      <c r="J66" s="178">
        <v>60</v>
      </c>
      <c r="K66" s="179">
        <v>0</v>
      </c>
      <c r="L66" s="100" t="s">
        <v>8</v>
      </c>
      <c r="M66" s="176">
        <f t="shared" si="25"/>
        <v>9000</v>
      </c>
      <c r="N66" s="96">
        <v>1</v>
      </c>
      <c r="O66" s="176">
        <f t="shared" si="26"/>
        <v>9000</v>
      </c>
      <c r="P66" s="180"/>
      <c r="Q66" s="52" t="s">
        <v>46</v>
      </c>
      <c r="R66" s="75" t="s">
        <v>221</v>
      </c>
      <c r="S66" s="145" t="str">
        <f t="shared" si="27"/>
        <v>BPT2012</v>
      </c>
      <c r="T66" s="145" t="str">
        <f t="shared" si="28"/>
        <v>B1.2.1.1.12012</v>
      </c>
      <c r="U66" s="145" t="s">
        <v>184</v>
      </c>
      <c r="V66" s="145" t="str">
        <f t="shared" si="29"/>
        <v>Sector Mechanical Prototypes</v>
      </c>
      <c r="AB66" s="33">
        <v>2012</v>
      </c>
      <c r="AC66" s="140">
        <f t="shared" si="30"/>
        <v>0</v>
      </c>
      <c r="AD66" s="140">
        <f t="shared" si="31"/>
        <v>0</v>
      </c>
      <c r="AE66" s="140">
        <f t="shared" si="32"/>
        <v>0</v>
      </c>
      <c r="AF66" s="140">
        <f t="shared" si="33"/>
        <v>60</v>
      </c>
      <c r="AG66" s="140">
        <f t="shared" si="34"/>
        <v>0</v>
      </c>
      <c r="AH66" s="251">
        <f t="shared" si="35"/>
        <v>0</v>
      </c>
      <c r="AI66" s="252"/>
      <c r="AJ66" s="140"/>
      <c r="AK66" s="140"/>
      <c r="AL66" s="176"/>
      <c r="AM66" s="139">
        <f t="shared" si="36"/>
        <v>0</v>
      </c>
      <c r="AN66" s="140">
        <f t="shared" si="37"/>
        <v>0</v>
      </c>
      <c r="AO66" s="140">
        <f t="shared" si="38"/>
        <v>0</v>
      </c>
      <c r="AP66" s="140">
        <f t="shared" si="39"/>
        <v>0</v>
      </c>
      <c r="AQ66" s="140">
        <f t="shared" si="40"/>
        <v>0</v>
      </c>
      <c r="AR66" s="140">
        <f t="shared" si="41"/>
        <v>0</v>
      </c>
      <c r="AS66" s="252"/>
    </row>
    <row r="67" spans="1:45" s="20" customFormat="1">
      <c r="A67" s="46" t="s">
        <v>246</v>
      </c>
      <c r="B67" s="20" t="s">
        <v>7</v>
      </c>
      <c r="C67" s="175">
        <v>6</v>
      </c>
      <c r="D67" s="100" t="s">
        <v>38</v>
      </c>
      <c r="E67" s="176">
        <v>8</v>
      </c>
      <c r="F67" s="177">
        <f t="shared" si="24"/>
        <v>48</v>
      </c>
      <c r="G67" s="178">
        <v>7.75</v>
      </c>
      <c r="H67" s="178">
        <v>0</v>
      </c>
      <c r="I67" s="178">
        <v>0</v>
      </c>
      <c r="J67" s="178">
        <v>0</v>
      </c>
      <c r="K67" s="179">
        <v>0</v>
      </c>
      <c r="L67" s="100" t="s">
        <v>8</v>
      </c>
      <c r="M67" s="176">
        <f t="shared" si="25"/>
        <v>4882.5</v>
      </c>
      <c r="N67" s="96">
        <v>5</v>
      </c>
      <c r="O67" s="176">
        <f t="shared" si="26"/>
        <v>5122.5</v>
      </c>
      <c r="P67" s="180"/>
      <c r="Q67" s="52" t="s">
        <v>46</v>
      </c>
      <c r="R67" s="75" t="s">
        <v>221</v>
      </c>
      <c r="S67" s="145" t="str">
        <f t="shared" si="27"/>
        <v>BPT2012</v>
      </c>
      <c r="T67" s="145" t="str">
        <f t="shared" si="28"/>
        <v>B1.2.1.1.12012</v>
      </c>
      <c r="U67" s="145" t="s">
        <v>184</v>
      </c>
      <c r="V67" s="145" t="str">
        <f t="shared" si="29"/>
        <v>Sector Mechanical Prototypes</v>
      </c>
      <c r="AB67" s="33">
        <v>2012</v>
      </c>
      <c r="AC67" s="140">
        <f t="shared" si="30"/>
        <v>38.75</v>
      </c>
      <c r="AD67" s="140">
        <f t="shared" si="31"/>
        <v>0</v>
      </c>
      <c r="AE67" s="140">
        <f t="shared" si="32"/>
        <v>0</v>
      </c>
      <c r="AF67" s="140">
        <f t="shared" si="33"/>
        <v>0</v>
      </c>
      <c r="AG67" s="140">
        <f t="shared" si="34"/>
        <v>0</v>
      </c>
      <c r="AH67" s="251">
        <f t="shared" si="35"/>
        <v>240</v>
      </c>
      <c r="AI67" s="252"/>
      <c r="AJ67" s="140"/>
      <c r="AK67" s="140"/>
      <c r="AL67" s="176"/>
      <c r="AM67" s="139">
        <f t="shared" si="36"/>
        <v>0</v>
      </c>
      <c r="AN67" s="140">
        <f t="shared" si="37"/>
        <v>0</v>
      </c>
      <c r="AO67" s="140">
        <f t="shared" si="38"/>
        <v>0</v>
      </c>
      <c r="AP67" s="140">
        <f t="shared" si="39"/>
        <v>0</v>
      </c>
      <c r="AQ67" s="140">
        <f t="shared" si="40"/>
        <v>0</v>
      </c>
      <c r="AR67" s="140">
        <f t="shared" si="41"/>
        <v>0</v>
      </c>
      <c r="AS67" s="252"/>
    </row>
    <row r="68" spans="1:45" s="20" customFormat="1" hidden="1">
      <c r="A68" s="46" t="s">
        <v>247</v>
      </c>
      <c r="B68" s="20" t="s">
        <v>95</v>
      </c>
      <c r="C68" s="175">
        <v>1</v>
      </c>
      <c r="D68" s="100" t="s">
        <v>2</v>
      </c>
      <c r="E68" s="176">
        <v>150</v>
      </c>
      <c r="F68" s="177">
        <f t="shared" si="24"/>
        <v>150</v>
      </c>
      <c r="G68" s="178">
        <v>0</v>
      </c>
      <c r="H68" s="178">
        <v>0</v>
      </c>
      <c r="I68" s="178">
        <v>0</v>
      </c>
      <c r="J68" s="178">
        <v>0</v>
      </c>
      <c r="K68" s="179">
        <v>0</v>
      </c>
      <c r="L68" s="100" t="s">
        <v>8</v>
      </c>
      <c r="M68" s="176">
        <f t="shared" si="25"/>
        <v>0</v>
      </c>
      <c r="N68" s="96">
        <v>0</v>
      </c>
      <c r="O68" s="176">
        <f t="shared" si="26"/>
        <v>0</v>
      </c>
      <c r="P68" s="180"/>
      <c r="Q68" s="52" t="s">
        <v>46</v>
      </c>
      <c r="R68" s="75" t="s">
        <v>221</v>
      </c>
      <c r="S68" s="145" t="str">
        <f t="shared" si="27"/>
        <v>BPT2011</v>
      </c>
      <c r="T68" s="145" t="str">
        <f t="shared" si="28"/>
        <v>B1.2.1.1.12011</v>
      </c>
      <c r="U68" s="145" t="s">
        <v>184</v>
      </c>
      <c r="V68" s="145" t="str">
        <f t="shared" si="29"/>
        <v>Sector Mechanical Prototypes</v>
      </c>
      <c r="AB68" s="33">
        <v>2011</v>
      </c>
      <c r="AC68" s="140">
        <f t="shared" si="30"/>
        <v>0</v>
      </c>
      <c r="AD68" s="140">
        <f t="shared" si="31"/>
        <v>0</v>
      </c>
      <c r="AE68" s="140">
        <f t="shared" si="32"/>
        <v>0</v>
      </c>
      <c r="AF68" s="140">
        <f t="shared" si="33"/>
        <v>0</v>
      </c>
      <c r="AG68" s="140">
        <f t="shared" si="34"/>
        <v>0</v>
      </c>
      <c r="AH68" s="251">
        <f t="shared" si="35"/>
        <v>0</v>
      </c>
      <c r="AI68" s="252"/>
      <c r="AJ68" s="140"/>
      <c r="AK68" s="140"/>
      <c r="AL68" s="176"/>
      <c r="AM68" s="139">
        <f t="shared" si="36"/>
        <v>0</v>
      </c>
      <c r="AN68" s="140">
        <f t="shared" si="37"/>
        <v>0</v>
      </c>
      <c r="AO68" s="140">
        <f t="shared" si="38"/>
        <v>0</v>
      </c>
      <c r="AP68" s="140">
        <f t="shared" si="39"/>
        <v>0</v>
      </c>
      <c r="AQ68" s="140">
        <f t="shared" si="40"/>
        <v>0</v>
      </c>
      <c r="AR68" s="140">
        <f t="shared" si="41"/>
        <v>0</v>
      </c>
      <c r="AS68" s="252"/>
    </row>
    <row r="69" spans="1:45" s="20" customFormat="1">
      <c r="A69" s="46" t="s">
        <v>248</v>
      </c>
      <c r="B69" s="20" t="s">
        <v>7</v>
      </c>
      <c r="C69" s="175">
        <v>6</v>
      </c>
      <c r="D69" s="100" t="s">
        <v>38</v>
      </c>
      <c r="E69" s="176">
        <v>8</v>
      </c>
      <c r="F69" s="177">
        <f t="shared" si="24"/>
        <v>48</v>
      </c>
      <c r="G69" s="178">
        <v>7.75</v>
      </c>
      <c r="H69" s="178">
        <v>0</v>
      </c>
      <c r="I69" s="178">
        <v>0</v>
      </c>
      <c r="J69" s="178">
        <v>4</v>
      </c>
      <c r="K69" s="179">
        <v>0</v>
      </c>
      <c r="L69" s="100" t="s">
        <v>8</v>
      </c>
      <c r="M69" s="176">
        <f t="shared" si="25"/>
        <v>15323.580000000002</v>
      </c>
      <c r="N69" s="96">
        <v>12</v>
      </c>
      <c r="O69" s="176">
        <f t="shared" si="26"/>
        <v>15899.580000000002</v>
      </c>
      <c r="P69" s="180"/>
      <c r="Q69" s="52" t="s">
        <v>47</v>
      </c>
      <c r="R69" s="75" t="s">
        <v>77</v>
      </c>
      <c r="S69" s="145" t="str">
        <f t="shared" si="27"/>
        <v>CPD2012</v>
      </c>
      <c r="T69" s="145" t="str">
        <f t="shared" si="28"/>
        <v>C1.2.1.1.12012</v>
      </c>
      <c r="U69" s="145" t="s">
        <v>184</v>
      </c>
      <c r="V69" s="145" t="str">
        <f t="shared" si="29"/>
        <v>Sector Mechanical Prototypes</v>
      </c>
      <c r="AB69" s="33">
        <v>2012</v>
      </c>
      <c r="AC69" s="140">
        <f t="shared" si="30"/>
        <v>0</v>
      </c>
      <c r="AD69" s="140">
        <f t="shared" si="31"/>
        <v>0</v>
      </c>
      <c r="AE69" s="140">
        <f t="shared" si="32"/>
        <v>0</v>
      </c>
      <c r="AF69" s="140">
        <f t="shared" si="33"/>
        <v>0</v>
      </c>
      <c r="AG69" s="140">
        <f t="shared" si="34"/>
        <v>0</v>
      </c>
      <c r="AH69" s="251">
        <f t="shared" si="35"/>
        <v>0</v>
      </c>
      <c r="AI69" s="252"/>
      <c r="AJ69" s="140"/>
      <c r="AK69" s="140"/>
      <c r="AL69" s="176"/>
      <c r="AM69" s="139">
        <f t="shared" si="36"/>
        <v>93</v>
      </c>
      <c r="AN69" s="140">
        <f t="shared" si="37"/>
        <v>0</v>
      </c>
      <c r="AO69" s="140">
        <f t="shared" si="38"/>
        <v>0</v>
      </c>
      <c r="AP69" s="140">
        <f t="shared" si="39"/>
        <v>48</v>
      </c>
      <c r="AQ69" s="140">
        <f t="shared" si="40"/>
        <v>0</v>
      </c>
      <c r="AR69" s="140">
        <f t="shared" si="41"/>
        <v>576</v>
      </c>
      <c r="AS69" s="252"/>
    </row>
    <row r="70" spans="1:45" s="20" customFormat="1" hidden="1">
      <c r="A70" s="46" t="s">
        <v>249</v>
      </c>
      <c r="B70" s="20" t="s">
        <v>95</v>
      </c>
      <c r="C70" s="175">
        <v>1</v>
      </c>
      <c r="D70" s="100" t="s">
        <v>2</v>
      </c>
      <c r="E70" s="176">
        <v>50</v>
      </c>
      <c r="F70" s="177">
        <f t="shared" si="24"/>
        <v>50</v>
      </c>
      <c r="G70" s="178">
        <v>0</v>
      </c>
      <c r="H70" s="178">
        <v>0</v>
      </c>
      <c r="I70" s="178">
        <v>0</v>
      </c>
      <c r="J70" s="178">
        <v>2</v>
      </c>
      <c r="K70" s="179">
        <v>0</v>
      </c>
      <c r="L70" s="100" t="s">
        <v>8</v>
      </c>
      <c r="M70" s="176">
        <f t="shared" si="25"/>
        <v>0</v>
      </c>
      <c r="N70" s="96">
        <v>0</v>
      </c>
      <c r="O70" s="176">
        <f t="shared" si="26"/>
        <v>0</v>
      </c>
      <c r="P70" s="180"/>
      <c r="Q70" s="52" t="s">
        <v>47</v>
      </c>
      <c r="R70" s="75" t="s">
        <v>77</v>
      </c>
      <c r="S70" s="145" t="str">
        <f t="shared" si="27"/>
        <v>CPD2011</v>
      </c>
      <c r="T70" s="145" t="str">
        <f t="shared" si="28"/>
        <v>C1.2.1.1.12011</v>
      </c>
      <c r="U70" s="145" t="s">
        <v>184</v>
      </c>
      <c r="V70" s="145" t="str">
        <f t="shared" si="29"/>
        <v>Sector Mechanical Prototypes</v>
      </c>
      <c r="AB70" s="33">
        <v>2011</v>
      </c>
      <c r="AC70" s="140">
        <f t="shared" si="30"/>
        <v>0</v>
      </c>
      <c r="AD70" s="140">
        <f t="shared" si="31"/>
        <v>0</v>
      </c>
      <c r="AE70" s="140">
        <f t="shared" si="32"/>
        <v>0</v>
      </c>
      <c r="AF70" s="140">
        <f t="shared" si="33"/>
        <v>0</v>
      </c>
      <c r="AG70" s="140">
        <f t="shared" si="34"/>
        <v>0</v>
      </c>
      <c r="AH70" s="251">
        <f t="shared" si="35"/>
        <v>0</v>
      </c>
      <c r="AI70" s="252"/>
      <c r="AJ70" s="140"/>
      <c r="AK70" s="140"/>
      <c r="AL70" s="176"/>
      <c r="AM70" s="139">
        <f t="shared" si="36"/>
        <v>0</v>
      </c>
      <c r="AN70" s="140">
        <f t="shared" si="37"/>
        <v>0</v>
      </c>
      <c r="AO70" s="140">
        <f t="shared" si="38"/>
        <v>0</v>
      </c>
      <c r="AP70" s="140">
        <f t="shared" si="39"/>
        <v>0</v>
      </c>
      <c r="AQ70" s="140">
        <f t="shared" si="40"/>
        <v>0</v>
      </c>
      <c r="AR70" s="140">
        <f t="shared" si="41"/>
        <v>0</v>
      </c>
      <c r="AS70" s="252"/>
    </row>
    <row r="71" spans="1:45" s="20" customFormat="1">
      <c r="A71" s="46" t="s">
        <v>250</v>
      </c>
      <c r="B71" s="20" t="s">
        <v>95</v>
      </c>
      <c r="C71" s="175">
        <v>1</v>
      </c>
      <c r="D71" s="100" t="s">
        <v>2</v>
      </c>
      <c r="E71" s="176">
        <v>50</v>
      </c>
      <c r="F71" s="177">
        <f t="shared" si="24"/>
        <v>50</v>
      </c>
      <c r="G71" s="178">
        <v>0</v>
      </c>
      <c r="H71" s="178">
        <v>0</v>
      </c>
      <c r="I71" s="178">
        <v>0</v>
      </c>
      <c r="J71" s="178">
        <v>0</v>
      </c>
      <c r="K71" s="179">
        <v>0</v>
      </c>
      <c r="L71" s="100" t="s">
        <v>8</v>
      </c>
      <c r="M71" s="176">
        <f t="shared" si="25"/>
        <v>0</v>
      </c>
      <c r="N71" s="96">
        <v>10</v>
      </c>
      <c r="O71" s="176">
        <f t="shared" si="26"/>
        <v>500</v>
      </c>
      <c r="P71" s="180"/>
      <c r="Q71" s="52" t="s">
        <v>46</v>
      </c>
      <c r="R71" s="75" t="s">
        <v>221</v>
      </c>
      <c r="S71" s="145" t="str">
        <f t="shared" si="27"/>
        <v>BPT2012</v>
      </c>
      <c r="T71" s="145" t="str">
        <f t="shared" si="28"/>
        <v>B1.2.1.1.12012</v>
      </c>
      <c r="U71" s="145" t="s">
        <v>184</v>
      </c>
      <c r="V71" s="145" t="str">
        <f t="shared" si="29"/>
        <v>Sector Mechanical Prototypes</v>
      </c>
      <c r="AB71" s="33">
        <v>2012</v>
      </c>
      <c r="AC71" s="140">
        <f t="shared" si="30"/>
        <v>0</v>
      </c>
      <c r="AD71" s="140">
        <f t="shared" si="31"/>
        <v>0</v>
      </c>
      <c r="AE71" s="140">
        <f t="shared" si="32"/>
        <v>0</v>
      </c>
      <c r="AF71" s="140">
        <f t="shared" si="33"/>
        <v>0</v>
      </c>
      <c r="AG71" s="140">
        <f t="shared" si="34"/>
        <v>0</v>
      </c>
      <c r="AH71" s="251">
        <f t="shared" si="35"/>
        <v>500</v>
      </c>
      <c r="AI71" s="252"/>
      <c r="AJ71" s="140"/>
      <c r="AK71" s="140"/>
      <c r="AL71" s="176"/>
      <c r="AM71" s="139">
        <f t="shared" si="36"/>
        <v>0</v>
      </c>
      <c r="AN71" s="140">
        <f t="shared" si="37"/>
        <v>0</v>
      </c>
      <c r="AO71" s="140">
        <f t="shared" si="38"/>
        <v>0</v>
      </c>
      <c r="AP71" s="140">
        <f t="shared" si="39"/>
        <v>0</v>
      </c>
      <c r="AQ71" s="140">
        <f t="shared" si="40"/>
        <v>0</v>
      </c>
      <c r="AR71" s="140">
        <f t="shared" si="41"/>
        <v>0</v>
      </c>
      <c r="AS71" s="252"/>
    </row>
    <row r="72" spans="1:45" s="20" customFormat="1">
      <c r="A72" s="46" t="s">
        <v>251</v>
      </c>
      <c r="B72" s="20" t="s">
        <v>95</v>
      </c>
      <c r="C72" s="175">
        <v>1</v>
      </c>
      <c r="D72" s="100" t="s">
        <v>2</v>
      </c>
      <c r="E72" s="176">
        <v>50</v>
      </c>
      <c r="F72" s="177">
        <f t="shared" si="24"/>
        <v>50</v>
      </c>
      <c r="G72" s="178">
        <v>0</v>
      </c>
      <c r="H72" s="178">
        <v>0</v>
      </c>
      <c r="I72" s="178">
        <v>0</v>
      </c>
      <c r="J72" s="178">
        <v>0</v>
      </c>
      <c r="K72" s="179">
        <v>0</v>
      </c>
      <c r="L72" s="100" t="s">
        <v>8</v>
      </c>
      <c r="M72" s="176">
        <f t="shared" si="25"/>
        <v>0</v>
      </c>
      <c r="N72" s="96">
        <v>12</v>
      </c>
      <c r="O72" s="176">
        <f t="shared" si="26"/>
        <v>600</v>
      </c>
      <c r="P72" s="180"/>
      <c r="Q72" s="52" t="s">
        <v>46</v>
      </c>
      <c r="R72" s="75" t="s">
        <v>221</v>
      </c>
      <c r="S72" s="145" t="str">
        <f t="shared" si="27"/>
        <v>BPT2012</v>
      </c>
      <c r="T72" s="145" t="str">
        <f t="shared" si="28"/>
        <v>B1.2.1.1.12012</v>
      </c>
      <c r="U72" s="145" t="s">
        <v>184</v>
      </c>
      <c r="V72" s="145" t="str">
        <f t="shared" si="29"/>
        <v>Sector Mechanical Prototypes</v>
      </c>
      <c r="AB72" s="33">
        <v>2012</v>
      </c>
      <c r="AC72" s="140">
        <f t="shared" si="30"/>
        <v>0</v>
      </c>
      <c r="AD72" s="140">
        <f t="shared" si="31"/>
        <v>0</v>
      </c>
      <c r="AE72" s="140">
        <f t="shared" si="32"/>
        <v>0</v>
      </c>
      <c r="AF72" s="140">
        <f t="shared" si="33"/>
        <v>0</v>
      </c>
      <c r="AG72" s="140">
        <f t="shared" si="34"/>
        <v>0</v>
      </c>
      <c r="AH72" s="251">
        <f t="shared" si="35"/>
        <v>600</v>
      </c>
      <c r="AI72" s="252"/>
      <c r="AJ72" s="140"/>
      <c r="AK72" s="140"/>
      <c r="AL72" s="176"/>
      <c r="AM72" s="139">
        <f t="shared" si="36"/>
        <v>0</v>
      </c>
      <c r="AN72" s="140">
        <f t="shared" si="37"/>
        <v>0</v>
      </c>
      <c r="AO72" s="140">
        <f t="shared" si="38"/>
        <v>0</v>
      </c>
      <c r="AP72" s="140">
        <f t="shared" si="39"/>
        <v>0</v>
      </c>
      <c r="AQ72" s="140">
        <f t="shared" si="40"/>
        <v>0</v>
      </c>
      <c r="AR72" s="140">
        <f t="shared" si="41"/>
        <v>0</v>
      </c>
      <c r="AS72" s="252"/>
    </row>
    <row r="73" spans="1:45" s="20" customFormat="1">
      <c r="A73" s="46" t="s">
        <v>252</v>
      </c>
      <c r="B73" s="20" t="s">
        <v>95</v>
      </c>
      <c r="C73" s="175">
        <v>1</v>
      </c>
      <c r="D73" s="100" t="s">
        <v>2</v>
      </c>
      <c r="E73" s="176">
        <v>150</v>
      </c>
      <c r="F73" s="177">
        <f t="shared" si="24"/>
        <v>150</v>
      </c>
      <c r="G73" s="178">
        <v>0</v>
      </c>
      <c r="H73" s="178">
        <v>0</v>
      </c>
      <c r="I73" s="178">
        <v>0</v>
      </c>
      <c r="J73" s="178">
        <v>0</v>
      </c>
      <c r="K73" s="179">
        <v>0</v>
      </c>
      <c r="L73" s="100" t="s">
        <v>8</v>
      </c>
      <c r="M73" s="176">
        <f t="shared" si="25"/>
        <v>0</v>
      </c>
      <c r="N73" s="96">
        <v>12</v>
      </c>
      <c r="O73" s="176">
        <f t="shared" si="26"/>
        <v>1800</v>
      </c>
      <c r="P73" s="180"/>
      <c r="Q73" s="52" t="s">
        <v>47</v>
      </c>
      <c r="R73" s="75" t="s">
        <v>77</v>
      </c>
      <c r="S73" s="145" t="str">
        <f t="shared" si="27"/>
        <v>CPD2013</v>
      </c>
      <c r="T73" s="145" t="str">
        <f t="shared" si="28"/>
        <v>C1.2.1.1.12013</v>
      </c>
      <c r="U73" s="145" t="s">
        <v>184</v>
      </c>
      <c r="V73" s="145" t="str">
        <f t="shared" si="29"/>
        <v>Sector Mechanical Prototypes</v>
      </c>
      <c r="AB73" s="33">
        <v>2013</v>
      </c>
      <c r="AC73" s="140">
        <f t="shared" si="30"/>
        <v>0</v>
      </c>
      <c r="AD73" s="140">
        <f t="shared" si="31"/>
        <v>0</v>
      </c>
      <c r="AE73" s="140">
        <f t="shared" si="32"/>
        <v>0</v>
      </c>
      <c r="AF73" s="140">
        <f t="shared" si="33"/>
        <v>0</v>
      </c>
      <c r="AG73" s="140">
        <f t="shared" si="34"/>
        <v>0</v>
      </c>
      <c r="AH73" s="251">
        <f t="shared" si="35"/>
        <v>0</v>
      </c>
      <c r="AI73" s="252"/>
      <c r="AJ73" s="140"/>
      <c r="AK73" s="140"/>
      <c r="AL73" s="176"/>
      <c r="AM73" s="139">
        <f t="shared" si="36"/>
        <v>0</v>
      </c>
      <c r="AN73" s="140">
        <f t="shared" si="37"/>
        <v>0</v>
      </c>
      <c r="AO73" s="140">
        <f t="shared" si="38"/>
        <v>0</v>
      </c>
      <c r="AP73" s="140">
        <f t="shared" si="39"/>
        <v>0</v>
      </c>
      <c r="AQ73" s="140">
        <f t="shared" si="40"/>
        <v>0</v>
      </c>
      <c r="AR73" s="140">
        <f t="shared" si="41"/>
        <v>1800</v>
      </c>
      <c r="AS73" s="252"/>
    </row>
    <row r="74" spans="1:45" s="20" customFormat="1">
      <c r="A74" s="47" t="s">
        <v>254</v>
      </c>
      <c r="C74" s="175"/>
      <c r="D74" s="100"/>
      <c r="E74" s="61"/>
      <c r="F74" s="62"/>
      <c r="G74" s="63"/>
      <c r="H74" s="63"/>
      <c r="I74" s="63"/>
      <c r="J74" s="63"/>
      <c r="K74" s="64"/>
      <c r="L74" s="234" t="s">
        <v>66</v>
      </c>
      <c r="M74" s="188">
        <f>SUMIF(Q64:Q73,"B",M64:M73)</f>
        <v>13882.5</v>
      </c>
      <c r="N74" s="69" t="s">
        <v>65</v>
      </c>
      <c r="O74" s="176"/>
      <c r="P74" s="180"/>
      <c r="Q74" s="52"/>
      <c r="R74" s="75"/>
      <c r="S74" s="145"/>
      <c r="T74" s="145"/>
      <c r="U74" s="145"/>
      <c r="V74" s="145"/>
      <c r="AB74" s="33"/>
      <c r="AC74" s="140"/>
      <c r="AD74" s="140"/>
      <c r="AE74" s="143"/>
      <c r="AF74" s="140"/>
      <c r="AG74" s="140"/>
      <c r="AH74" s="251"/>
      <c r="AI74" s="252"/>
      <c r="AJ74" s="140"/>
      <c r="AK74" s="140"/>
      <c r="AL74" s="176"/>
      <c r="AM74" s="139"/>
      <c r="AN74" s="140"/>
      <c r="AO74" s="140"/>
      <c r="AP74" s="140"/>
      <c r="AQ74" s="140"/>
      <c r="AR74" s="140"/>
      <c r="AS74" s="252"/>
    </row>
    <row r="75" spans="1:45" s="20" customFormat="1">
      <c r="A75" s="46" t="s">
        <v>255</v>
      </c>
      <c r="B75" s="20" t="s">
        <v>7</v>
      </c>
      <c r="C75" s="175">
        <v>6</v>
      </c>
      <c r="D75" s="100" t="s">
        <v>38</v>
      </c>
      <c r="E75" s="176">
        <v>8</v>
      </c>
      <c r="F75" s="177">
        <f>E75*C75</f>
        <v>48</v>
      </c>
      <c r="G75" s="178">
        <v>7.75</v>
      </c>
      <c r="H75" s="178">
        <v>0</v>
      </c>
      <c r="I75" s="178">
        <v>0</v>
      </c>
      <c r="J75" s="178">
        <v>2</v>
      </c>
      <c r="K75" s="179">
        <v>0</v>
      </c>
      <c r="L75" s="100" t="s">
        <v>8</v>
      </c>
      <c r="M75" s="176">
        <f>IF(R75="PD",((Shop*G75)+(M_Tech*H75)+(CMM*I75)+(ENG*J75)+(DES*K75))*N75,((Shop_RD*G75)+(MTECH_RD*H75)+(CMM_RD*I75)+(ENG_RD*J75)+(DES_RD*K75))*N75)</f>
        <v>25849.125000000004</v>
      </c>
      <c r="N75" s="96">
        <v>25</v>
      </c>
      <c r="O75" s="176">
        <f>M75+(F75*N75)</f>
        <v>27049.125000000004</v>
      </c>
      <c r="P75" s="180"/>
      <c r="Q75" s="52" t="s">
        <v>46</v>
      </c>
      <c r="R75" s="75" t="s">
        <v>77</v>
      </c>
      <c r="S75" s="145" t="str">
        <f>CONCATENATE(Q75,R75,AB75)</f>
        <v>BPD2013</v>
      </c>
      <c r="T75" s="145" t="str">
        <f>CONCATENATE(Q75,U75,AB75)</f>
        <v>B1.2.1.1.22013</v>
      </c>
      <c r="U75" s="145" t="s">
        <v>186</v>
      </c>
      <c r="V75" s="145" t="str">
        <f>LOOKUP(U75,$B$383:$B$420,$A$383:$A$420)</f>
        <v>Production Sectors</v>
      </c>
      <c r="AB75" s="33">
        <v>2013</v>
      </c>
      <c r="AC75" s="140">
        <f t="shared" ref="AC75:AG78" si="42">IF($Q75="B", (G75*$N75),0)</f>
        <v>193.75</v>
      </c>
      <c r="AD75" s="140">
        <f t="shared" si="42"/>
        <v>0</v>
      </c>
      <c r="AE75" s="140">
        <f t="shared" si="42"/>
        <v>0</v>
      </c>
      <c r="AF75" s="140">
        <f t="shared" si="42"/>
        <v>50</v>
      </c>
      <c r="AG75" s="140">
        <f t="shared" si="42"/>
        <v>0</v>
      </c>
      <c r="AH75" s="251">
        <f>IF($Q75="B", (F75*$N75),0)</f>
        <v>1200</v>
      </c>
      <c r="AI75" s="252"/>
      <c r="AJ75" s="140"/>
      <c r="AK75" s="140"/>
      <c r="AL75" s="176"/>
      <c r="AM75" s="139">
        <f t="shared" ref="AM75:AQ78" si="43">IF($Q75="C", (G75*$N75),0)</f>
        <v>0</v>
      </c>
      <c r="AN75" s="140">
        <f t="shared" si="43"/>
        <v>0</v>
      </c>
      <c r="AO75" s="140">
        <f t="shared" si="43"/>
        <v>0</v>
      </c>
      <c r="AP75" s="140">
        <f t="shared" si="43"/>
        <v>0</v>
      </c>
      <c r="AQ75" s="140">
        <f t="shared" si="43"/>
        <v>0</v>
      </c>
      <c r="AR75" s="140">
        <f>IF($Q75="C", (F75*$N75),0)</f>
        <v>0</v>
      </c>
      <c r="AS75" s="252"/>
    </row>
    <row r="76" spans="1:45" s="20" customFormat="1">
      <c r="A76" s="46" t="s">
        <v>316</v>
      </c>
      <c r="B76" s="20" t="s">
        <v>95</v>
      </c>
      <c r="C76" s="175">
        <v>1</v>
      </c>
      <c r="D76" s="100" t="s">
        <v>2</v>
      </c>
      <c r="E76" s="176">
        <v>50</v>
      </c>
      <c r="F76" s="177">
        <f>E76*C76</f>
        <v>50</v>
      </c>
      <c r="G76" s="178">
        <v>0</v>
      </c>
      <c r="H76" s="178">
        <v>0</v>
      </c>
      <c r="I76" s="178">
        <v>0</v>
      </c>
      <c r="J76" s="178">
        <v>1</v>
      </c>
      <c r="K76" s="179">
        <v>0</v>
      </c>
      <c r="L76" s="100" t="s">
        <v>8</v>
      </c>
      <c r="M76" s="176">
        <f>IF(R76="PD",((Shop*G76)+(M_Tech*H76)+(CMM*I76)+(ENG*J76)+(DES*K76))*N76,((Shop_RD*G76)+(MTECH_RD*H76)+(CMM_RD*I76)+(ENG_RD*J76)+(DES_RD*K76))*N76)</f>
        <v>3037.5000000000005</v>
      </c>
      <c r="N76" s="96">
        <v>25</v>
      </c>
      <c r="O76" s="176">
        <f>M76+(F76*N76)</f>
        <v>4287.5</v>
      </c>
      <c r="P76" s="180"/>
      <c r="Q76" s="52" t="s">
        <v>46</v>
      </c>
      <c r="R76" s="75" t="s">
        <v>77</v>
      </c>
      <c r="S76" s="145" t="str">
        <f>CONCATENATE(Q76,R76,AB76)</f>
        <v>BPD2013</v>
      </c>
      <c r="T76" s="145" t="str">
        <f>CONCATENATE(Q76,U76,AB76)</f>
        <v>B1.2.1.1.22013</v>
      </c>
      <c r="U76" s="145" t="s">
        <v>186</v>
      </c>
      <c r="V76" s="145" t="str">
        <f>LOOKUP(U76,$B$383:$B$420,$A$383:$A$420)</f>
        <v>Production Sectors</v>
      </c>
      <c r="AB76" s="33">
        <v>2013</v>
      </c>
      <c r="AC76" s="140">
        <f t="shared" si="42"/>
        <v>0</v>
      </c>
      <c r="AD76" s="140">
        <f t="shared" si="42"/>
        <v>0</v>
      </c>
      <c r="AE76" s="140">
        <f t="shared" si="42"/>
        <v>0</v>
      </c>
      <c r="AF76" s="140">
        <f t="shared" si="42"/>
        <v>25</v>
      </c>
      <c r="AG76" s="140">
        <f t="shared" si="42"/>
        <v>0</v>
      </c>
      <c r="AH76" s="251">
        <f>IF($Q76="B", (F76*$N76),0)</f>
        <v>1250</v>
      </c>
      <c r="AI76" s="252"/>
      <c r="AJ76" s="140"/>
      <c r="AK76" s="140"/>
      <c r="AL76" s="176"/>
      <c r="AM76" s="139">
        <f t="shared" si="43"/>
        <v>0</v>
      </c>
      <c r="AN76" s="140">
        <f t="shared" si="43"/>
        <v>0</v>
      </c>
      <c r="AO76" s="140">
        <f t="shared" si="43"/>
        <v>0</v>
      </c>
      <c r="AP76" s="140">
        <f t="shared" si="43"/>
        <v>0</v>
      </c>
      <c r="AQ76" s="140">
        <f t="shared" si="43"/>
        <v>0</v>
      </c>
      <c r="AR76" s="140">
        <f>IF($Q76="C", (F76*$N76),0)</f>
        <v>0</v>
      </c>
      <c r="AS76" s="252"/>
    </row>
    <row r="77" spans="1:45" s="20" customFormat="1">
      <c r="A77" s="46" t="s">
        <v>317</v>
      </c>
      <c r="B77" s="20" t="s">
        <v>7</v>
      </c>
      <c r="C77" s="175">
        <v>6</v>
      </c>
      <c r="D77" s="100" t="s">
        <v>38</v>
      </c>
      <c r="E77" s="176">
        <v>8</v>
      </c>
      <c r="F77" s="177">
        <f>E77*C77</f>
        <v>48</v>
      </c>
      <c r="G77" s="178">
        <v>7.75</v>
      </c>
      <c r="H77" s="178">
        <v>0</v>
      </c>
      <c r="I77" s="178">
        <v>0</v>
      </c>
      <c r="J77" s="178">
        <v>8</v>
      </c>
      <c r="K77" s="179">
        <v>0</v>
      </c>
      <c r="L77" s="100" t="s">
        <v>8</v>
      </c>
      <c r="M77" s="176">
        <f>IF(R77="PD",((Shop*G77)+(M_Tech*H77)+(CMM*I77)+(ENG*J77)+(DES*K77))*N77,((Shop_RD*G77)+(MTECH_RD*H77)+(CMM_RD*I77)+(ENG_RD*J77)+(DES_RD*K77))*N77)</f>
        <v>8814.8250000000007</v>
      </c>
      <c r="N77" s="96">
        <v>5</v>
      </c>
      <c r="O77" s="176">
        <f>M77+(F77*N77)</f>
        <v>9054.8250000000007</v>
      </c>
      <c r="P77" s="180"/>
      <c r="Q77" s="52" t="s">
        <v>47</v>
      </c>
      <c r="R77" s="75" t="s">
        <v>77</v>
      </c>
      <c r="S77" s="145" t="str">
        <f>CONCATENATE(Q77,R77,AB77)</f>
        <v>CPD2013</v>
      </c>
      <c r="T77" s="145" t="str">
        <f>CONCATENATE(Q77,U77,AB77)</f>
        <v>C1.2.1.1.22013</v>
      </c>
      <c r="U77" s="145" t="s">
        <v>186</v>
      </c>
      <c r="V77" s="145" t="str">
        <f>LOOKUP(U77,$B$383:$B$420,$A$383:$A$420)</f>
        <v>Production Sectors</v>
      </c>
      <c r="AB77" s="33">
        <v>2013</v>
      </c>
      <c r="AC77" s="140">
        <f t="shared" si="42"/>
        <v>0</v>
      </c>
      <c r="AD77" s="140">
        <f t="shared" si="42"/>
        <v>0</v>
      </c>
      <c r="AE77" s="140">
        <f t="shared" si="42"/>
        <v>0</v>
      </c>
      <c r="AF77" s="140">
        <f t="shared" si="42"/>
        <v>0</v>
      </c>
      <c r="AG77" s="140">
        <f t="shared" si="42"/>
        <v>0</v>
      </c>
      <c r="AH77" s="251">
        <f>IF($Q77="B", (F77*$N77),0)</f>
        <v>0</v>
      </c>
      <c r="AI77" s="252"/>
      <c r="AJ77" s="140"/>
      <c r="AK77" s="140"/>
      <c r="AL77" s="176"/>
      <c r="AM77" s="139">
        <f t="shared" si="43"/>
        <v>38.75</v>
      </c>
      <c r="AN77" s="140">
        <f t="shared" si="43"/>
        <v>0</v>
      </c>
      <c r="AO77" s="140">
        <f t="shared" si="43"/>
        <v>0</v>
      </c>
      <c r="AP77" s="140">
        <f t="shared" si="43"/>
        <v>40</v>
      </c>
      <c r="AQ77" s="140">
        <f t="shared" si="43"/>
        <v>0</v>
      </c>
      <c r="AR77" s="140">
        <f>IF($Q77="C", (F77*$N77),0)</f>
        <v>240</v>
      </c>
      <c r="AS77" s="252"/>
    </row>
    <row r="78" spans="1:45" s="20" customFormat="1">
      <c r="A78" s="46" t="s">
        <v>318</v>
      </c>
      <c r="B78" s="20" t="s">
        <v>95</v>
      </c>
      <c r="C78" s="175">
        <v>1</v>
      </c>
      <c r="D78" s="100" t="s">
        <v>2</v>
      </c>
      <c r="E78" s="176">
        <v>50</v>
      </c>
      <c r="F78" s="177">
        <f>E78*C78</f>
        <v>50</v>
      </c>
      <c r="G78" s="178">
        <v>0</v>
      </c>
      <c r="H78" s="178">
        <v>0</v>
      </c>
      <c r="I78" s="178">
        <v>0</v>
      </c>
      <c r="J78" s="178">
        <v>2</v>
      </c>
      <c r="K78" s="179">
        <v>0</v>
      </c>
      <c r="L78" s="100" t="s">
        <v>8</v>
      </c>
      <c r="M78" s="176">
        <f>IF(R78="PD",((Shop*G78)+(M_Tech*H78)+(CMM*I78)+(ENG*J78)+(DES*K78))*N78,((Shop_RD*G78)+(MTECH_RD*H78)+(CMM_RD*I78)+(ENG_RD*J78)+(DES_RD*K78))*N78)</f>
        <v>1215.0000000000002</v>
      </c>
      <c r="N78" s="96">
        <v>5</v>
      </c>
      <c r="O78" s="176">
        <f>M78+(F78*N78)</f>
        <v>1465.0000000000002</v>
      </c>
      <c r="P78" s="180"/>
      <c r="Q78" s="52" t="s">
        <v>47</v>
      </c>
      <c r="R78" s="75" t="s">
        <v>77</v>
      </c>
      <c r="S78" s="145" t="str">
        <f>CONCATENATE(Q78,R78,AB78)</f>
        <v>CPD2013</v>
      </c>
      <c r="T78" s="145" t="str">
        <f>CONCATENATE(Q78,U78,AB78)</f>
        <v>C1.2.1.1.22013</v>
      </c>
      <c r="U78" s="145" t="s">
        <v>186</v>
      </c>
      <c r="V78" s="145" t="str">
        <f>LOOKUP(U78,$B$383:$B$420,$A$383:$A$420)</f>
        <v>Production Sectors</v>
      </c>
      <c r="AB78" s="33">
        <v>2013</v>
      </c>
      <c r="AC78" s="140">
        <f t="shared" si="42"/>
        <v>0</v>
      </c>
      <c r="AD78" s="140">
        <f t="shared" si="42"/>
        <v>0</v>
      </c>
      <c r="AE78" s="140">
        <f t="shared" si="42"/>
        <v>0</v>
      </c>
      <c r="AF78" s="140">
        <f t="shared" si="42"/>
        <v>0</v>
      </c>
      <c r="AG78" s="140">
        <f t="shared" si="42"/>
        <v>0</v>
      </c>
      <c r="AH78" s="251">
        <f>IF($Q78="B", (F78*$N78),0)</f>
        <v>0</v>
      </c>
      <c r="AI78" s="252"/>
      <c r="AJ78" s="140"/>
      <c r="AK78" s="140"/>
      <c r="AL78" s="176"/>
      <c r="AM78" s="139">
        <f t="shared" si="43"/>
        <v>0</v>
      </c>
      <c r="AN78" s="140">
        <f t="shared" si="43"/>
        <v>0</v>
      </c>
      <c r="AO78" s="140">
        <f t="shared" si="43"/>
        <v>0</v>
      </c>
      <c r="AP78" s="140">
        <f t="shared" si="43"/>
        <v>10</v>
      </c>
      <c r="AQ78" s="140">
        <f t="shared" si="43"/>
        <v>0</v>
      </c>
      <c r="AR78" s="140">
        <f>IF($Q78="C", (F78*$N78),0)</f>
        <v>250</v>
      </c>
      <c r="AS78" s="252"/>
    </row>
    <row r="79" spans="1:45" s="20" customFormat="1">
      <c r="A79" s="47" t="s">
        <v>256</v>
      </c>
      <c r="C79" s="175"/>
      <c r="D79" s="100"/>
      <c r="E79" s="61"/>
      <c r="F79" s="62"/>
      <c r="G79" s="63"/>
      <c r="H79" s="63"/>
      <c r="I79" s="63"/>
      <c r="J79" s="63"/>
      <c r="K79" s="64"/>
      <c r="L79" s="234" t="s">
        <v>66</v>
      </c>
      <c r="M79" s="188">
        <f>SUMIF(Q75:Q78,"B",M75:M78)</f>
        <v>28886.625000000004</v>
      </c>
      <c r="N79" s="69" t="s">
        <v>65</v>
      </c>
      <c r="O79" s="176"/>
      <c r="P79" s="180"/>
      <c r="Q79" s="52"/>
      <c r="R79" s="75"/>
      <c r="S79" s="145"/>
      <c r="T79" s="145"/>
      <c r="U79" s="145"/>
      <c r="V79" s="145"/>
      <c r="AB79" s="33"/>
      <c r="AC79" s="140"/>
      <c r="AD79" s="140"/>
      <c r="AE79" s="143"/>
      <c r="AF79" s="140"/>
      <c r="AG79" s="140"/>
      <c r="AH79" s="251"/>
      <c r="AI79" s="252"/>
      <c r="AJ79" s="140"/>
      <c r="AK79" s="140"/>
      <c r="AL79" s="176"/>
      <c r="AM79" s="139"/>
      <c r="AN79" s="140"/>
      <c r="AO79" s="140"/>
      <c r="AP79" s="140"/>
      <c r="AQ79" s="140"/>
      <c r="AR79" s="140"/>
      <c r="AS79" s="252"/>
    </row>
    <row r="80" spans="1:45" s="20" customFormat="1" hidden="1">
      <c r="A80" s="46" t="s">
        <v>257</v>
      </c>
      <c r="B80" s="20" t="s">
        <v>7</v>
      </c>
      <c r="C80" s="175">
        <v>15</v>
      </c>
      <c r="D80" s="100" t="s">
        <v>38</v>
      </c>
      <c r="E80" s="176">
        <v>8</v>
      </c>
      <c r="F80" s="177">
        <f t="shared" ref="F80:F88" si="44">E80*C80</f>
        <v>120</v>
      </c>
      <c r="G80" s="178">
        <v>16</v>
      </c>
      <c r="H80" s="178">
        <v>8</v>
      </c>
      <c r="I80" s="178">
        <v>0</v>
      </c>
      <c r="J80" s="178">
        <v>0</v>
      </c>
      <c r="K80" s="179">
        <v>0</v>
      </c>
      <c r="L80" s="100" t="s">
        <v>8</v>
      </c>
      <c r="M80" s="176">
        <f t="shared" ref="M80:M88" si="45">IF(R80="PD",((Shop*G80)+(M_Tech*H80)+(CMM*I80)+(ENG*J80)+(DES*K80))*N80,((Shop_RD*G80)+(MTECH_RD*H80)+(CMM_RD*I80)+(ENG_RD*J80)+(DES_RD*K80))*N80)</f>
        <v>0</v>
      </c>
      <c r="N80" s="96">
        <v>0</v>
      </c>
      <c r="O80" s="176">
        <f t="shared" ref="O80:O88" si="46">M80+(F80*N80)</f>
        <v>0</v>
      </c>
      <c r="P80" s="180"/>
      <c r="Q80" s="52" t="s">
        <v>46</v>
      </c>
      <c r="R80" s="75" t="s">
        <v>221</v>
      </c>
      <c r="S80" s="145" t="str">
        <f t="shared" ref="S80:S88" si="47">CONCATENATE(Q80,R80,AB80)</f>
        <v>BPT2009</v>
      </c>
      <c r="T80" s="145" t="str">
        <f t="shared" ref="T80:T88" si="48">CONCATENATE(Q80,U80,AB80)</f>
        <v>B1.2.3.1.12009</v>
      </c>
      <c r="U80" s="145" t="s">
        <v>407</v>
      </c>
      <c r="V80" s="145" t="str">
        <f t="shared" ref="V80:V88" si="49">LOOKUP(U80,$B$383:$B$420,$A$383:$A$420)</f>
        <v>Mechanical Sector Assemblies</v>
      </c>
      <c r="AB80" s="33">
        <v>2009</v>
      </c>
      <c r="AC80" s="140">
        <f t="shared" ref="AC80:AC88" si="50">IF($Q80="B", (G80*$N80),0)</f>
        <v>0</v>
      </c>
      <c r="AD80" s="140">
        <f t="shared" ref="AD80:AD88" si="51">IF($Q80="B", (H80*$N80),0)</f>
        <v>0</v>
      </c>
      <c r="AE80" s="140">
        <f t="shared" ref="AE80:AE88" si="52">IF($Q80="B", (I80*$N80),0)</f>
        <v>0</v>
      </c>
      <c r="AF80" s="140">
        <f t="shared" ref="AF80:AF88" si="53">IF($Q80="B", (J80*$N80),0)</f>
        <v>0</v>
      </c>
      <c r="AG80" s="140">
        <f t="shared" ref="AG80:AG88" si="54">IF($Q80="B", (K80*$N80),0)</f>
        <v>0</v>
      </c>
      <c r="AH80" s="251">
        <f t="shared" ref="AH80:AH88" si="55">IF($Q80="B", (F80*$N80),0)</f>
        <v>0</v>
      </c>
      <c r="AI80" s="252"/>
      <c r="AJ80" s="140"/>
      <c r="AK80" s="140"/>
      <c r="AL80" s="176"/>
      <c r="AM80" s="139">
        <f t="shared" ref="AM80:AM88" si="56">IF($Q80="C", (G80*$N80),0)</f>
        <v>0</v>
      </c>
      <c r="AN80" s="140">
        <f t="shared" ref="AN80:AN88" si="57">IF($Q80="C", (H80*$N80),0)</f>
        <v>0</v>
      </c>
      <c r="AO80" s="140">
        <f t="shared" ref="AO80:AO88" si="58">IF($Q80="C", (I80*$N80),0)</f>
        <v>0</v>
      </c>
      <c r="AP80" s="140">
        <f t="shared" ref="AP80:AP88" si="59">IF($Q80="C", (J80*$N80),0)</f>
        <v>0</v>
      </c>
      <c r="AQ80" s="140">
        <f t="shared" ref="AQ80:AQ88" si="60">IF($Q80="C", (K80*$N80),0)</f>
        <v>0</v>
      </c>
      <c r="AR80" s="140">
        <f t="shared" ref="AR80:AR88" si="61">IF($Q80="C", (F80*$N80),0)</f>
        <v>0</v>
      </c>
      <c r="AS80" s="252"/>
    </row>
    <row r="81" spans="1:45" s="20" customFormat="1" hidden="1">
      <c r="A81" s="46" t="s">
        <v>387</v>
      </c>
      <c r="B81" s="20" t="s">
        <v>33</v>
      </c>
      <c r="C81" s="175">
        <v>0</v>
      </c>
      <c r="D81" s="100" t="s">
        <v>9</v>
      </c>
      <c r="E81" s="176">
        <v>0</v>
      </c>
      <c r="F81" s="177">
        <f t="shared" si="44"/>
        <v>0</v>
      </c>
      <c r="G81" s="178">
        <v>0</v>
      </c>
      <c r="H81" s="178">
        <v>0</v>
      </c>
      <c r="I81" s="178">
        <v>0</v>
      </c>
      <c r="J81" s="178">
        <v>40</v>
      </c>
      <c r="K81" s="179">
        <v>0</v>
      </c>
      <c r="L81" s="100" t="s">
        <v>8</v>
      </c>
      <c r="M81" s="176">
        <f t="shared" si="45"/>
        <v>0</v>
      </c>
      <c r="N81" s="96">
        <v>0</v>
      </c>
      <c r="O81" s="176">
        <f t="shared" si="46"/>
        <v>0</v>
      </c>
      <c r="P81" s="180"/>
      <c r="Q81" s="52" t="s">
        <v>46</v>
      </c>
      <c r="R81" s="75" t="s">
        <v>221</v>
      </c>
      <c r="S81" s="145" t="str">
        <f t="shared" si="47"/>
        <v>BPTCONT</v>
      </c>
      <c r="T81" s="145" t="str">
        <f t="shared" si="48"/>
        <v>B1.2.3.1.1CONT</v>
      </c>
      <c r="U81" s="145" t="s">
        <v>407</v>
      </c>
      <c r="V81" s="145" t="str">
        <f t="shared" si="49"/>
        <v>Mechanical Sector Assemblies</v>
      </c>
      <c r="AB81" s="33" t="s">
        <v>177</v>
      </c>
      <c r="AC81" s="140">
        <f t="shared" si="50"/>
        <v>0</v>
      </c>
      <c r="AD81" s="140">
        <f t="shared" si="51"/>
        <v>0</v>
      </c>
      <c r="AE81" s="140">
        <f t="shared" si="52"/>
        <v>0</v>
      </c>
      <c r="AF81" s="140">
        <f t="shared" si="53"/>
        <v>0</v>
      </c>
      <c r="AG81" s="140">
        <f t="shared" si="54"/>
        <v>0</v>
      </c>
      <c r="AH81" s="251">
        <f t="shared" si="55"/>
        <v>0</v>
      </c>
      <c r="AI81" s="252"/>
      <c r="AJ81" s="140"/>
      <c r="AK81" s="140"/>
      <c r="AL81" s="176"/>
      <c r="AM81" s="139">
        <f t="shared" si="56"/>
        <v>0</v>
      </c>
      <c r="AN81" s="140">
        <f t="shared" si="57"/>
        <v>0</v>
      </c>
      <c r="AO81" s="140">
        <f t="shared" si="58"/>
        <v>0</v>
      </c>
      <c r="AP81" s="140">
        <f t="shared" si="59"/>
        <v>0</v>
      </c>
      <c r="AQ81" s="140">
        <f t="shared" si="60"/>
        <v>0</v>
      </c>
      <c r="AR81" s="140">
        <f t="shared" si="61"/>
        <v>0</v>
      </c>
      <c r="AS81" s="252"/>
    </row>
    <row r="82" spans="1:45" s="20" customFormat="1" hidden="1">
      <c r="A82" s="46" t="s">
        <v>258</v>
      </c>
      <c r="B82" s="20" t="s">
        <v>7</v>
      </c>
      <c r="C82" s="175">
        <v>15</v>
      </c>
      <c r="D82" s="100" t="s">
        <v>38</v>
      </c>
      <c r="E82" s="176">
        <v>8</v>
      </c>
      <c r="F82" s="177">
        <f t="shared" si="44"/>
        <v>120</v>
      </c>
      <c r="G82" s="178">
        <v>16</v>
      </c>
      <c r="H82" s="178">
        <v>8</v>
      </c>
      <c r="I82" s="178">
        <v>0</v>
      </c>
      <c r="J82" s="178">
        <v>0</v>
      </c>
      <c r="K82" s="179">
        <v>0</v>
      </c>
      <c r="L82" s="100" t="s">
        <v>8</v>
      </c>
      <c r="M82" s="176">
        <f t="shared" si="45"/>
        <v>0</v>
      </c>
      <c r="N82" s="96">
        <v>0</v>
      </c>
      <c r="O82" s="176">
        <f t="shared" si="46"/>
        <v>0</v>
      </c>
      <c r="P82" s="180"/>
      <c r="Q82" s="52" t="s">
        <v>46</v>
      </c>
      <c r="R82" s="75" t="s">
        <v>221</v>
      </c>
      <c r="S82" s="145" t="str">
        <f t="shared" si="47"/>
        <v>BPT2010</v>
      </c>
      <c r="T82" s="145" t="str">
        <f t="shared" si="48"/>
        <v>B1.2.3.1.12010</v>
      </c>
      <c r="U82" s="145" t="s">
        <v>407</v>
      </c>
      <c r="V82" s="145" t="str">
        <f t="shared" si="49"/>
        <v>Mechanical Sector Assemblies</v>
      </c>
      <c r="AB82" s="33">
        <v>2010</v>
      </c>
      <c r="AC82" s="140">
        <f t="shared" si="50"/>
        <v>0</v>
      </c>
      <c r="AD82" s="140">
        <f t="shared" si="51"/>
        <v>0</v>
      </c>
      <c r="AE82" s="140">
        <f t="shared" si="52"/>
        <v>0</v>
      </c>
      <c r="AF82" s="140">
        <f t="shared" si="53"/>
        <v>0</v>
      </c>
      <c r="AG82" s="140">
        <f t="shared" si="54"/>
        <v>0</v>
      </c>
      <c r="AH82" s="251">
        <f t="shared" si="55"/>
        <v>0</v>
      </c>
      <c r="AI82" s="252"/>
      <c r="AJ82" s="140"/>
      <c r="AK82" s="140"/>
      <c r="AL82" s="176"/>
      <c r="AM82" s="139">
        <f t="shared" si="56"/>
        <v>0</v>
      </c>
      <c r="AN82" s="140">
        <f t="shared" si="57"/>
        <v>0</v>
      </c>
      <c r="AO82" s="140">
        <f t="shared" si="58"/>
        <v>0</v>
      </c>
      <c r="AP82" s="140">
        <f t="shared" si="59"/>
        <v>0</v>
      </c>
      <c r="AQ82" s="140">
        <f t="shared" si="60"/>
        <v>0</v>
      </c>
      <c r="AR82" s="140">
        <f t="shared" si="61"/>
        <v>0</v>
      </c>
      <c r="AS82" s="252"/>
    </row>
    <row r="83" spans="1:45" s="20" customFormat="1" hidden="1">
      <c r="A83" s="46" t="s">
        <v>388</v>
      </c>
      <c r="B83" s="20" t="s">
        <v>33</v>
      </c>
      <c r="C83" s="175">
        <v>0</v>
      </c>
      <c r="D83" s="100" t="s">
        <v>9</v>
      </c>
      <c r="E83" s="176">
        <v>0</v>
      </c>
      <c r="F83" s="177">
        <f t="shared" si="44"/>
        <v>0</v>
      </c>
      <c r="G83" s="178">
        <v>16</v>
      </c>
      <c r="H83" s="178">
        <v>8</v>
      </c>
      <c r="I83" s="178">
        <v>0</v>
      </c>
      <c r="J83" s="178">
        <v>40</v>
      </c>
      <c r="K83" s="179">
        <v>0</v>
      </c>
      <c r="L83" s="100" t="s">
        <v>8</v>
      </c>
      <c r="M83" s="176">
        <f t="shared" si="45"/>
        <v>0</v>
      </c>
      <c r="N83" s="96">
        <v>0</v>
      </c>
      <c r="O83" s="176">
        <f t="shared" si="46"/>
        <v>0</v>
      </c>
      <c r="P83" s="180"/>
      <c r="Q83" s="52" t="s">
        <v>47</v>
      </c>
      <c r="R83" s="75" t="s">
        <v>221</v>
      </c>
      <c r="S83" s="145" t="str">
        <f t="shared" si="47"/>
        <v>CPT2011</v>
      </c>
      <c r="T83" s="145" t="str">
        <f t="shared" si="48"/>
        <v>C1.2.3.1.12011</v>
      </c>
      <c r="U83" s="145" t="s">
        <v>407</v>
      </c>
      <c r="V83" s="145" t="str">
        <f t="shared" si="49"/>
        <v>Mechanical Sector Assemblies</v>
      </c>
      <c r="AB83" s="33">
        <v>2011</v>
      </c>
      <c r="AC83" s="140">
        <f t="shared" si="50"/>
        <v>0</v>
      </c>
      <c r="AD83" s="140">
        <f t="shared" si="51"/>
        <v>0</v>
      </c>
      <c r="AE83" s="140">
        <f t="shared" si="52"/>
        <v>0</v>
      </c>
      <c r="AF83" s="140">
        <f t="shared" si="53"/>
        <v>0</v>
      </c>
      <c r="AG83" s="140">
        <f t="shared" si="54"/>
        <v>0</v>
      </c>
      <c r="AH83" s="251">
        <f t="shared" si="55"/>
        <v>0</v>
      </c>
      <c r="AI83" s="252"/>
      <c r="AJ83" s="140"/>
      <c r="AK83" s="140"/>
      <c r="AL83" s="176"/>
      <c r="AM83" s="139">
        <f t="shared" si="56"/>
        <v>0</v>
      </c>
      <c r="AN83" s="140">
        <f t="shared" si="57"/>
        <v>0</v>
      </c>
      <c r="AO83" s="140">
        <f t="shared" si="58"/>
        <v>0</v>
      </c>
      <c r="AP83" s="140">
        <f t="shared" si="59"/>
        <v>0</v>
      </c>
      <c r="AQ83" s="140">
        <f t="shared" si="60"/>
        <v>0</v>
      </c>
      <c r="AR83" s="140">
        <f t="shared" si="61"/>
        <v>0</v>
      </c>
      <c r="AS83" s="252"/>
    </row>
    <row r="84" spans="1:45" s="20" customFormat="1" hidden="1">
      <c r="A84" s="46" t="s">
        <v>259</v>
      </c>
      <c r="B84" s="20" t="s">
        <v>7</v>
      </c>
      <c r="C84" s="175">
        <v>15</v>
      </c>
      <c r="D84" s="100" t="s">
        <v>38</v>
      </c>
      <c r="E84" s="176">
        <v>8</v>
      </c>
      <c r="F84" s="177">
        <f t="shared" si="44"/>
        <v>120</v>
      </c>
      <c r="G84" s="178">
        <v>0</v>
      </c>
      <c r="H84" s="178">
        <v>0</v>
      </c>
      <c r="I84" s="178">
        <v>0</v>
      </c>
      <c r="J84" s="178">
        <v>20</v>
      </c>
      <c r="K84" s="179">
        <v>0</v>
      </c>
      <c r="L84" s="100" t="s">
        <v>8</v>
      </c>
      <c r="M84" s="176">
        <f t="shared" si="45"/>
        <v>0</v>
      </c>
      <c r="N84" s="96">
        <v>0</v>
      </c>
      <c r="O84" s="176">
        <f t="shared" si="46"/>
        <v>0</v>
      </c>
      <c r="P84" s="180"/>
      <c r="Q84" s="52" t="s">
        <v>47</v>
      </c>
      <c r="R84" s="75" t="s">
        <v>221</v>
      </c>
      <c r="S84" s="145" t="str">
        <f t="shared" si="47"/>
        <v>CPT2011</v>
      </c>
      <c r="T84" s="145" t="str">
        <f t="shared" si="48"/>
        <v>C1.2.3.1.12011</v>
      </c>
      <c r="U84" s="145" t="s">
        <v>407</v>
      </c>
      <c r="V84" s="145" t="str">
        <f t="shared" si="49"/>
        <v>Mechanical Sector Assemblies</v>
      </c>
      <c r="AB84" s="33">
        <v>2011</v>
      </c>
      <c r="AC84" s="140">
        <f t="shared" si="50"/>
        <v>0</v>
      </c>
      <c r="AD84" s="140">
        <f t="shared" si="51"/>
        <v>0</v>
      </c>
      <c r="AE84" s="140">
        <f t="shared" si="52"/>
        <v>0</v>
      </c>
      <c r="AF84" s="140">
        <f t="shared" si="53"/>
        <v>0</v>
      </c>
      <c r="AG84" s="140">
        <f t="shared" si="54"/>
        <v>0</v>
      </c>
      <c r="AH84" s="251">
        <f t="shared" si="55"/>
        <v>0</v>
      </c>
      <c r="AI84" s="252"/>
      <c r="AJ84" s="140"/>
      <c r="AK84" s="140"/>
      <c r="AL84" s="176"/>
      <c r="AM84" s="139">
        <f t="shared" si="56"/>
        <v>0</v>
      </c>
      <c r="AN84" s="140">
        <f t="shared" si="57"/>
        <v>0</v>
      </c>
      <c r="AO84" s="140">
        <f t="shared" si="58"/>
        <v>0</v>
      </c>
      <c r="AP84" s="140">
        <f t="shared" si="59"/>
        <v>0</v>
      </c>
      <c r="AQ84" s="140">
        <f t="shared" si="60"/>
        <v>0</v>
      </c>
      <c r="AR84" s="140">
        <f t="shared" si="61"/>
        <v>0</v>
      </c>
      <c r="AS84" s="252"/>
    </row>
    <row r="85" spans="1:45" s="20" customFormat="1" hidden="1">
      <c r="A85" s="46" t="s">
        <v>260</v>
      </c>
      <c r="B85" s="20" t="s">
        <v>33</v>
      </c>
      <c r="C85" s="175">
        <v>0</v>
      </c>
      <c r="D85" s="100" t="s">
        <v>9</v>
      </c>
      <c r="E85" s="176">
        <v>0</v>
      </c>
      <c r="F85" s="177">
        <f t="shared" si="44"/>
        <v>0</v>
      </c>
      <c r="G85" s="178">
        <v>0</v>
      </c>
      <c r="H85" s="178">
        <v>4</v>
      </c>
      <c r="I85" s="178">
        <v>0</v>
      </c>
      <c r="J85" s="178">
        <v>0</v>
      </c>
      <c r="K85" s="179">
        <v>0</v>
      </c>
      <c r="L85" s="100" t="s">
        <v>8</v>
      </c>
      <c r="M85" s="176">
        <f t="shared" si="45"/>
        <v>0</v>
      </c>
      <c r="N85" s="96">
        <v>0</v>
      </c>
      <c r="O85" s="176">
        <f t="shared" si="46"/>
        <v>0</v>
      </c>
      <c r="P85" s="180"/>
      <c r="Q85" s="52" t="s">
        <v>46</v>
      </c>
      <c r="R85" s="75" t="s">
        <v>221</v>
      </c>
      <c r="S85" s="145" t="str">
        <f t="shared" si="47"/>
        <v>BPT2009</v>
      </c>
      <c r="T85" s="145" t="str">
        <f t="shared" si="48"/>
        <v>B1.2.3.1.12009</v>
      </c>
      <c r="U85" s="145" t="s">
        <v>407</v>
      </c>
      <c r="V85" s="145" t="str">
        <f t="shared" si="49"/>
        <v>Mechanical Sector Assemblies</v>
      </c>
      <c r="AB85" s="33">
        <v>2009</v>
      </c>
      <c r="AC85" s="140">
        <f t="shared" si="50"/>
        <v>0</v>
      </c>
      <c r="AD85" s="140">
        <f t="shared" si="51"/>
        <v>0</v>
      </c>
      <c r="AE85" s="140">
        <f t="shared" si="52"/>
        <v>0</v>
      </c>
      <c r="AF85" s="140">
        <f t="shared" si="53"/>
        <v>0</v>
      </c>
      <c r="AG85" s="140">
        <f t="shared" si="54"/>
        <v>0</v>
      </c>
      <c r="AH85" s="251">
        <f t="shared" si="55"/>
        <v>0</v>
      </c>
      <c r="AI85" s="252"/>
      <c r="AJ85" s="140"/>
      <c r="AK85" s="140"/>
      <c r="AL85" s="176"/>
      <c r="AM85" s="139">
        <f t="shared" si="56"/>
        <v>0</v>
      </c>
      <c r="AN85" s="140">
        <f t="shared" si="57"/>
        <v>0</v>
      </c>
      <c r="AO85" s="140">
        <f t="shared" si="58"/>
        <v>0</v>
      </c>
      <c r="AP85" s="140">
        <f t="shared" si="59"/>
        <v>0</v>
      </c>
      <c r="AQ85" s="140">
        <f t="shared" si="60"/>
        <v>0</v>
      </c>
      <c r="AR85" s="140">
        <f t="shared" si="61"/>
        <v>0</v>
      </c>
      <c r="AS85" s="252"/>
    </row>
    <row r="86" spans="1:45" s="20" customFormat="1" hidden="1">
      <c r="A86" s="46" t="s">
        <v>261</v>
      </c>
      <c r="B86" s="20" t="s">
        <v>33</v>
      </c>
      <c r="C86" s="175">
        <v>0</v>
      </c>
      <c r="D86" s="100" t="s">
        <v>9</v>
      </c>
      <c r="E86" s="176">
        <v>0</v>
      </c>
      <c r="F86" s="177">
        <f t="shared" si="44"/>
        <v>0</v>
      </c>
      <c r="G86" s="178">
        <v>0</v>
      </c>
      <c r="H86" s="178">
        <v>4</v>
      </c>
      <c r="I86" s="178">
        <v>0</v>
      </c>
      <c r="J86" s="178">
        <v>0</v>
      </c>
      <c r="K86" s="179">
        <v>0</v>
      </c>
      <c r="L86" s="100" t="s">
        <v>8</v>
      </c>
      <c r="M86" s="176">
        <f t="shared" si="45"/>
        <v>0</v>
      </c>
      <c r="N86" s="96">
        <v>0</v>
      </c>
      <c r="O86" s="176">
        <f t="shared" si="46"/>
        <v>0</v>
      </c>
      <c r="P86" s="180"/>
      <c r="Q86" s="52" t="s">
        <v>46</v>
      </c>
      <c r="R86" s="75" t="s">
        <v>221</v>
      </c>
      <c r="S86" s="145" t="str">
        <f t="shared" si="47"/>
        <v>BPT2010</v>
      </c>
      <c r="T86" s="145" t="str">
        <f t="shared" si="48"/>
        <v>B1.2.3.1.12010</v>
      </c>
      <c r="U86" s="145" t="s">
        <v>407</v>
      </c>
      <c r="V86" s="145" t="str">
        <f t="shared" si="49"/>
        <v>Mechanical Sector Assemblies</v>
      </c>
      <c r="AB86" s="33">
        <v>2010</v>
      </c>
      <c r="AC86" s="140">
        <f t="shared" si="50"/>
        <v>0</v>
      </c>
      <c r="AD86" s="140">
        <f t="shared" si="51"/>
        <v>0</v>
      </c>
      <c r="AE86" s="140">
        <f t="shared" si="52"/>
        <v>0</v>
      </c>
      <c r="AF86" s="140">
        <f t="shared" si="53"/>
        <v>0</v>
      </c>
      <c r="AG86" s="140">
        <f t="shared" si="54"/>
        <v>0</v>
      </c>
      <c r="AH86" s="251">
        <f t="shared" si="55"/>
        <v>0</v>
      </c>
      <c r="AI86" s="252"/>
      <c r="AJ86" s="140"/>
      <c r="AK86" s="140"/>
      <c r="AL86" s="176"/>
      <c r="AM86" s="139">
        <f t="shared" si="56"/>
        <v>0</v>
      </c>
      <c r="AN86" s="140">
        <f t="shared" si="57"/>
        <v>0</v>
      </c>
      <c r="AO86" s="140">
        <f t="shared" si="58"/>
        <v>0</v>
      </c>
      <c r="AP86" s="140">
        <f t="shared" si="59"/>
        <v>0</v>
      </c>
      <c r="AQ86" s="140">
        <f t="shared" si="60"/>
        <v>0</v>
      </c>
      <c r="AR86" s="140">
        <f t="shared" si="61"/>
        <v>0</v>
      </c>
      <c r="AS86" s="252"/>
    </row>
    <row r="87" spans="1:45" s="20" customFormat="1" hidden="1">
      <c r="A87" s="46" t="s">
        <v>262</v>
      </c>
      <c r="B87" s="20" t="s">
        <v>33</v>
      </c>
      <c r="C87" s="175">
        <v>0</v>
      </c>
      <c r="D87" s="100" t="s">
        <v>9</v>
      </c>
      <c r="E87" s="176">
        <v>0</v>
      </c>
      <c r="F87" s="177">
        <f t="shared" si="44"/>
        <v>0</v>
      </c>
      <c r="G87" s="178">
        <v>0</v>
      </c>
      <c r="H87" s="178">
        <v>4</v>
      </c>
      <c r="I87" s="178">
        <v>0</v>
      </c>
      <c r="J87" s="178">
        <v>2</v>
      </c>
      <c r="K87" s="179">
        <v>0</v>
      </c>
      <c r="L87" s="100" t="s">
        <v>8</v>
      </c>
      <c r="M87" s="176">
        <f t="shared" si="45"/>
        <v>0</v>
      </c>
      <c r="N87" s="96">
        <v>0</v>
      </c>
      <c r="O87" s="176">
        <f t="shared" si="46"/>
        <v>0</v>
      </c>
      <c r="P87" s="180"/>
      <c r="Q87" s="52" t="s">
        <v>46</v>
      </c>
      <c r="R87" s="75" t="s">
        <v>77</v>
      </c>
      <c r="S87" s="145" t="str">
        <f t="shared" si="47"/>
        <v>BPD2011</v>
      </c>
      <c r="T87" s="145" t="str">
        <f t="shared" si="48"/>
        <v>B1.2.3.1.12011</v>
      </c>
      <c r="U87" s="145" t="s">
        <v>407</v>
      </c>
      <c r="V87" s="145" t="str">
        <f t="shared" si="49"/>
        <v>Mechanical Sector Assemblies</v>
      </c>
      <c r="AB87" s="33">
        <v>2011</v>
      </c>
      <c r="AC87" s="140">
        <f t="shared" si="50"/>
        <v>0</v>
      </c>
      <c r="AD87" s="140">
        <f t="shared" si="51"/>
        <v>0</v>
      </c>
      <c r="AE87" s="140">
        <f t="shared" si="52"/>
        <v>0</v>
      </c>
      <c r="AF87" s="140">
        <f t="shared" si="53"/>
        <v>0</v>
      </c>
      <c r="AG87" s="140">
        <f t="shared" si="54"/>
        <v>0</v>
      </c>
      <c r="AH87" s="251">
        <f t="shared" si="55"/>
        <v>0</v>
      </c>
      <c r="AI87" s="252"/>
      <c r="AJ87" s="140"/>
      <c r="AK87" s="140"/>
      <c r="AL87" s="176"/>
      <c r="AM87" s="139">
        <f t="shared" si="56"/>
        <v>0</v>
      </c>
      <c r="AN87" s="140">
        <f t="shared" si="57"/>
        <v>0</v>
      </c>
      <c r="AO87" s="140">
        <f t="shared" si="58"/>
        <v>0</v>
      </c>
      <c r="AP87" s="140">
        <f t="shared" si="59"/>
        <v>0</v>
      </c>
      <c r="AQ87" s="140">
        <f t="shared" si="60"/>
        <v>0</v>
      </c>
      <c r="AR87" s="140">
        <f t="shared" si="61"/>
        <v>0</v>
      </c>
      <c r="AS87" s="252"/>
    </row>
    <row r="88" spans="1:45" s="20" customFormat="1" hidden="1">
      <c r="A88" s="46" t="s">
        <v>263</v>
      </c>
      <c r="B88" s="20" t="s">
        <v>33</v>
      </c>
      <c r="C88" s="175">
        <v>0</v>
      </c>
      <c r="D88" s="100" t="s">
        <v>9</v>
      </c>
      <c r="E88" s="176">
        <v>0</v>
      </c>
      <c r="F88" s="177">
        <f t="shared" si="44"/>
        <v>0</v>
      </c>
      <c r="G88" s="178">
        <v>0</v>
      </c>
      <c r="H88" s="178">
        <v>4</v>
      </c>
      <c r="I88" s="178">
        <v>0</v>
      </c>
      <c r="J88" s="178">
        <v>1</v>
      </c>
      <c r="K88" s="179">
        <v>0</v>
      </c>
      <c r="L88" s="100" t="s">
        <v>8</v>
      </c>
      <c r="M88" s="176">
        <f t="shared" si="45"/>
        <v>0</v>
      </c>
      <c r="N88" s="96">
        <v>0</v>
      </c>
      <c r="O88" s="176">
        <f t="shared" si="46"/>
        <v>0</v>
      </c>
      <c r="P88" s="180"/>
      <c r="Q88" s="52" t="s">
        <v>46</v>
      </c>
      <c r="R88" s="75" t="s">
        <v>77</v>
      </c>
      <c r="S88" s="145" t="str">
        <f t="shared" si="47"/>
        <v>BPD2011</v>
      </c>
      <c r="T88" s="145" t="str">
        <f t="shared" si="48"/>
        <v>B1.2.3.1.12011</v>
      </c>
      <c r="U88" s="145" t="s">
        <v>407</v>
      </c>
      <c r="V88" s="145" t="str">
        <f t="shared" si="49"/>
        <v>Mechanical Sector Assemblies</v>
      </c>
      <c r="AB88" s="33">
        <v>2011</v>
      </c>
      <c r="AC88" s="140">
        <f t="shared" si="50"/>
        <v>0</v>
      </c>
      <c r="AD88" s="140">
        <f t="shared" si="51"/>
        <v>0</v>
      </c>
      <c r="AE88" s="140">
        <f t="shared" si="52"/>
        <v>0</v>
      </c>
      <c r="AF88" s="140">
        <f t="shared" si="53"/>
        <v>0</v>
      </c>
      <c r="AG88" s="140">
        <f t="shared" si="54"/>
        <v>0</v>
      </c>
      <c r="AH88" s="251">
        <f t="shared" si="55"/>
        <v>0</v>
      </c>
      <c r="AI88" s="252"/>
      <c r="AJ88" s="140"/>
      <c r="AK88" s="140"/>
      <c r="AL88" s="176"/>
      <c r="AM88" s="139">
        <f t="shared" si="56"/>
        <v>0</v>
      </c>
      <c r="AN88" s="140">
        <f t="shared" si="57"/>
        <v>0</v>
      </c>
      <c r="AO88" s="140">
        <f t="shared" si="58"/>
        <v>0</v>
      </c>
      <c r="AP88" s="140">
        <f t="shared" si="59"/>
        <v>0</v>
      </c>
      <c r="AQ88" s="140">
        <f t="shared" si="60"/>
        <v>0</v>
      </c>
      <c r="AR88" s="140">
        <f t="shared" si="61"/>
        <v>0</v>
      </c>
      <c r="AS88" s="252"/>
    </row>
    <row r="89" spans="1:45" s="20" customFormat="1" hidden="1">
      <c r="A89" s="47" t="s">
        <v>315</v>
      </c>
      <c r="C89" s="175"/>
      <c r="D89" s="100"/>
      <c r="E89" s="61"/>
      <c r="F89" s="62"/>
      <c r="G89" s="63"/>
      <c r="H89" s="63"/>
      <c r="I89" s="63"/>
      <c r="J89" s="63"/>
      <c r="K89" s="64"/>
      <c r="L89" s="234" t="s">
        <v>66</v>
      </c>
      <c r="M89" s="188">
        <f>SUMIF(Q80:Q88,"B",M80:M88)</f>
        <v>0</v>
      </c>
      <c r="N89" s="69" t="s">
        <v>65</v>
      </c>
      <c r="O89" s="176"/>
      <c r="P89" s="180"/>
      <c r="Q89" s="52"/>
      <c r="R89" s="75"/>
      <c r="S89" s="145"/>
      <c r="T89" s="145"/>
      <c r="U89" s="145"/>
      <c r="V89" s="145"/>
      <c r="AB89" s="33"/>
      <c r="AC89" s="140"/>
      <c r="AD89" s="140"/>
      <c r="AE89" s="143"/>
      <c r="AF89" s="140"/>
      <c r="AG89" s="140"/>
      <c r="AH89" s="251"/>
      <c r="AI89" s="252"/>
      <c r="AJ89" s="140"/>
      <c r="AK89" s="140"/>
      <c r="AL89" s="176"/>
      <c r="AM89" s="139"/>
      <c r="AN89" s="140"/>
      <c r="AO89" s="140"/>
      <c r="AP89" s="140"/>
      <c r="AQ89" s="140"/>
      <c r="AR89" s="140"/>
      <c r="AS89" s="252"/>
    </row>
    <row r="90" spans="1:45" s="20" customFormat="1" hidden="1">
      <c r="A90" s="46" t="s">
        <v>264</v>
      </c>
      <c r="B90" s="20" t="s">
        <v>33</v>
      </c>
      <c r="C90" s="175">
        <v>0</v>
      </c>
      <c r="D90" s="100" t="s">
        <v>9</v>
      </c>
      <c r="E90" s="176">
        <v>0</v>
      </c>
      <c r="F90" s="177">
        <f>E90*C90</f>
        <v>0</v>
      </c>
      <c r="G90" s="178">
        <v>0</v>
      </c>
      <c r="H90" s="178">
        <v>4</v>
      </c>
      <c r="I90" s="178">
        <v>0</v>
      </c>
      <c r="J90" s="178">
        <v>1</v>
      </c>
      <c r="K90" s="179">
        <v>0</v>
      </c>
      <c r="L90" s="100" t="s">
        <v>8</v>
      </c>
      <c r="M90" s="176">
        <f>IF(R90="PD",((Shop*G90)+(M_Tech*H90)+(CMM*I90)+(ENG*J90)+(DES*K90))*N90,((Shop_RD*G90)+(MTECH_RD*H90)+(CMM_RD*I90)+(ENG_RD*J90)+(DES_RD*K90))*N90)</f>
        <v>0</v>
      </c>
      <c r="N90" s="96">
        <v>0</v>
      </c>
      <c r="O90" s="176">
        <f>M90+(F90*N90)</f>
        <v>0</v>
      </c>
      <c r="P90" s="180"/>
      <c r="Q90" s="52" t="s">
        <v>46</v>
      </c>
      <c r="R90" s="75" t="s">
        <v>77</v>
      </c>
      <c r="S90" s="145" t="str">
        <f>CONCATENATE(Q90,R90,AB90)</f>
        <v>BPD2012</v>
      </c>
      <c r="T90" s="145" t="str">
        <f>CONCATENATE(Q90,U90,AB90)</f>
        <v>B1.2.3.1.12012</v>
      </c>
      <c r="U90" s="145" t="s">
        <v>407</v>
      </c>
      <c r="V90" s="145" t="str">
        <f>LOOKUP(U90,$B$383:$B$420,$A$383:$A$420)</f>
        <v>Mechanical Sector Assemblies</v>
      </c>
      <c r="AB90" s="33">
        <v>2012</v>
      </c>
      <c r="AC90" s="140">
        <f t="shared" ref="AC90:AG92" si="62">IF($Q90="B", (G90*$N90),0)</f>
        <v>0</v>
      </c>
      <c r="AD90" s="140">
        <f t="shared" si="62"/>
        <v>0</v>
      </c>
      <c r="AE90" s="140">
        <f t="shared" si="62"/>
        <v>0</v>
      </c>
      <c r="AF90" s="140">
        <f t="shared" si="62"/>
        <v>0</v>
      </c>
      <c r="AG90" s="140">
        <f t="shared" si="62"/>
        <v>0</v>
      </c>
      <c r="AH90" s="251">
        <f>IF($Q90="B", (F90*$N90),0)</f>
        <v>0</v>
      </c>
      <c r="AI90" s="252"/>
      <c r="AJ90" s="140"/>
      <c r="AK90" s="140"/>
      <c r="AL90" s="176"/>
      <c r="AM90" s="139">
        <f t="shared" ref="AM90:AQ92" si="63">IF($Q90="C", (G90*$N90),0)</f>
        <v>0</v>
      </c>
      <c r="AN90" s="140">
        <f t="shared" si="63"/>
        <v>0</v>
      </c>
      <c r="AO90" s="140">
        <f t="shared" si="63"/>
        <v>0</v>
      </c>
      <c r="AP90" s="140">
        <f t="shared" si="63"/>
        <v>0</v>
      </c>
      <c r="AQ90" s="140">
        <f t="shared" si="63"/>
        <v>0</v>
      </c>
      <c r="AR90" s="140">
        <f>IF($Q90="C", (F90*$N90),0)</f>
        <v>0</v>
      </c>
      <c r="AS90" s="252"/>
    </row>
    <row r="91" spans="1:45" s="20" customFormat="1" hidden="1">
      <c r="A91" s="46" t="s">
        <v>389</v>
      </c>
      <c r="B91" s="20" t="s">
        <v>33</v>
      </c>
      <c r="C91" s="175">
        <v>0</v>
      </c>
      <c r="D91" s="100" t="s">
        <v>9</v>
      </c>
      <c r="E91" s="176">
        <v>0</v>
      </c>
      <c r="F91" s="177">
        <f>E91*C91</f>
        <v>0</v>
      </c>
      <c r="G91" s="178">
        <v>0</v>
      </c>
      <c r="H91" s="178">
        <v>4</v>
      </c>
      <c r="I91" s="178">
        <v>0</v>
      </c>
      <c r="J91" s="178">
        <v>40</v>
      </c>
      <c r="K91" s="179">
        <v>0</v>
      </c>
      <c r="L91" s="100" t="s">
        <v>8</v>
      </c>
      <c r="M91" s="176">
        <f>IF(R91="PD",((Shop*G91)+(M_Tech*H91)+(CMM*I91)+(ENG*J91)+(DES*K91))*N91,((Shop_RD*G91)+(MTECH_RD*H91)+(CMM_RD*I91)+(ENG_RD*J91)+(DES_RD*K91))*N91)</f>
        <v>0</v>
      </c>
      <c r="N91" s="96">
        <v>0</v>
      </c>
      <c r="O91" s="176">
        <f>M91+(F91*N91)</f>
        <v>0</v>
      </c>
      <c r="P91" s="180"/>
      <c r="Q91" s="52" t="s">
        <v>46</v>
      </c>
      <c r="R91" s="75" t="s">
        <v>77</v>
      </c>
      <c r="S91" s="145" t="str">
        <f>CONCATENATE(Q91,R91,AB91)</f>
        <v>BPD2012</v>
      </c>
      <c r="T91" s="145" t="str">
        <f>CONCATENATE(Q91,U91,AB91)</f>
        <v>B1.2.3.1.12012</v>
      </c>
      <c r="U91" s="145" t="s">
        <v>407</v>
      </c>
      <c r="V91" s="145" t="str">
        <f>LOOKUP(U91,$B$383:$B$420,$A$383:$A$420)</f>
        <v>Mechanical Sector Assemblies</v>
      </c>
      <c r="AB91" s="33">
        <v>2012</v>
      </c>
      <c r="AC91" s="140">
        <f t="shared" si="62"/>
        <v>0</v>
      </c>
      <c r="AD91" s="140">
        <f t="shared" si="62"/>
        <v>0</v>
      </c>
      <c r="AE91" s="140">
        <f t="shared" si="62"/>
        <v>0</v>
      </c>
      <c r="AF91" s="140">
        <f t="shared" si="62"/>
        <v>0</v>
      </c>
      <c r="AG91" s="140">
        <f t="shared" si="62"/>
        <v>0</v>
      </c>
      <c r="AH91" s="251">
        <f>IF($Q91="B", (F91*$N91),0)</f>
        <v>0</v>
      </c>
      <c r="AI91" s="252"/>
      <c r="AJ91" s="140"/>
      <c r="AK91" s="140"/>
      <c r="AL91" s="176"/>
      <c r="AM91" s="139">
        <f t="shared" si="63"/>
        <v>0</v>
      </c>
      <c r="AN91" s="140">
        <f t="shared" si="63"/>
        <v>0</v>
      </c>
      <c r="AO91" s="140">
        <f t="shared" si="63"/>
        <v>0</v>
      </c>
      <c r="AP91" s="140">
        <f t="shared" si="63"/>
        <v>0</v>
      </c>
      <c r="AQ91" s="140">
        <f t="shared" si="63"/>
        <v>0</v>
      </c>
      <c r="AR91" s="140">
        <f>IF($Q91="C", (F91*$N91),0)</f>
        <v>0</v>
      </c>
      <c r="AS91" s="252"/>
    </row>
    <row r="92" spans="1:45" s="20" customFormat="1" hidden="1">
      <c r="A92" s="46" t="s">
        <v>265</v>
      </c>
      <c r="B92" s="20" t="s">
        <v>33</v>
      </c>
      <c r="C92" s="175">
        <v>0</v>
      </c>
      <c r="D92" s="100" t="s">
        <v>9</v>
      </c>
      <c r="E92" s="176">
        <v>0</v>
      </c>
      <c r="F92" s="177">
        <f>E92*C92</f>
        <v>0</v>
      </c>
      <c r="G92" s="178">
        <v>0</v>
      </c>
      <c r="H92" s="178">
        <v>4</v>
      </c>
      <c r="I92" s="178">
        <v>0</v>
      </c>
      <c r="J92" s="178">
        <v>1</v>
      </c>
      <c r="K92" s="179">
        <v>0</v>
      </c>
      <c r="L92" s="100" t="s">
        <v>8</v>
      </c>
      <c r="M92" s="176">
        <f>IF(R92="PD",((Shop*G92)+(M_Tech*H92)+(CMM*I92)+(ENG*J92)+(DES*K92))*N92,((Shop_RD*G92)+(MTECH_RD*H92)+(CMM_RD*I92)+(ENG_RD*J92)+(DES_RD*K92))*N92)</f>
        <v>0</v>
      </c>
      <c r="N92" s="96">
        <v>0</v>
      </c>
      <c r="O92" s="176">
        <f>M92+(F92*N92)</f>
        <v>0</v>
      </c>
      <c r="P92" s="180"/>
      <c r="Q92" s="52" t="s">
        <v>46</v>
      </c>
      <c r="R92" s="75" t="s">
        <v>77</v>
      </c>
      <c r="S92" s="145" t="str">
        <f>CONCATENATE(Q92,R92,AB92)</f>
        <v>BPD2013</v>
      </c>
      <c r="T92" s="145" t="str">
        <f>CONCATENATE(Q92,U92,AB92)</f>
        <v>B1.2.3.1.12013</v>
      </c>
      <c r="U92" s="145" t="s">
        <v>407</v>
      </c>
      <c r="V92" s="145" t="str">
        <f>LOOKUP(U92,$B$383:$B$420,$A$383:$A$420)</f>
        <v>Mechanical Sector Assemblies</v>
      </c>
      <c r="AB92" s="33">
        <v>2013</v>
      </c>
      <c r="AC92" s="140">
        <f t="shared" si="62"/>
        <v>0</v>
      </c>
      <c r="AD92" s="140">
        <f t="shared" si="62"/>
        <v>0</v>
      </c>
      <c r="AE92" s="140">
        <f t="shared" si="62"/>
        <v>0</v>
      </c>
      <c r="AF92" s="140">
        <f t="shared" si="62"/>
        <v>0</v>
      </c>
      <c r="AG92" s="140">
        <f t="shared" si="62"/>
        <v>0</v>
      </c>
      <c r="AH92" s="251">
        <f>IF($Q92="B", (F92*$N92),0)</f>
        <v>0</v>
      </c>
      <c r="AI92" s="252"/>
      <c r="AJ92" s="140"/>
      <c r="AK92" s="140"/>
      <c r="AL92" s="176"/>
      <c r="AM92" s="139">
        <f t="shared" si="63"/>
        <v>0</v>
      </c>
      <c r="AN92" s="140">
        <f t="shared" si="63"/>
        <v>0</v>
      </c>
      <c r="AO92" s="140">
        <f t="shared" si="63"/>
        <v>0</v>
      </c>
      <c r="AP92" s="140">
        <f t="shared" si="63"/>
        <v>0</v>
      </c>
      <c r="AQ92" s="140">
        <f t="shared" si="63"/>
        <v>0</v>
      </c>
      <c r="AR92" s="140">
        <f>IF($Q92="C", (F92*$N92),0)</f>
        <v>0</v>
      </c>
      <c r="AS92" s="252"/>
    </row>
    <row r="93" spans="1:45">
      <c r="A93" s="21" t="s">
        <v>266</v>
      </c>
      <c r="B93" s="3"/>
      <c r="C93" s="181"/>
      <c r="D93" s="380"/>
      <c r="E93" s="182"/>
      <c r="F93" s="183"/>
      <c r="G93" s="181"/>
      <c r="H93" s="181"/>
      <c r="I93" s="181"/>
      <c r="J93" s="181"/>
      <c r="K93" s="184"/>
      <c r="L93" s="380"/>
      <c r="M93" s="182">
        <f>SUMIF(Q50:Q92,"B",M50:M92)</f>
        <v>73763.925000000003</v>
      </c>
      <c r="N93" s="379" t="s">
        <v>65</v>
      </c>
      <c r="O93" s="379"/>
      <c r="P93" s="382"/>
      <c r="Q93" s="53"/>
      <c r="R93" s="78"/>
      <c r="S93" s="146"/>
      <c r="T93" s="146"/>
      <c r="U93" s="146"/>
      <c r="V93" s="146"/>
      <c r="W93" s="3"/>
      <c r="X93" s="3"/>
      <c r="Y93" s="3"/>
      <c r="Z93" s="3"/>
      <c r="AA93" s="3"/>
      <c r="AB93" s="34"/>
      <c r="AC93" s="5">
        <f>SUM(AC50:AC92)</f>
        <v>248.5</v>
      </c>
      <c r="AD93" s="5">
        <f>SUM(AD50:AD92)</f>
        <v>242</v>
      </c>
      <c r="AE93" s="5">
        <f>SUM(AE50:AE92)</f>
        <v>0</v>
      </c>
      <c r="AF93" s="5">
        <f>SUM(AF50:AF92)</f>
        <v>175</v>
      </c>
      <c r="AG93" s="5">
        <f>SUM(AG50:AG92)</f>
        <v>0</v>
      </c>
      <c r="AH93" s="182"/>
      <c r="AI93" s="183">
        <f>SUM(AH49:AH92)</f>
        <v>3950</v>
      </c>
      <c r="AJ93" s="182">
        <f>(Shop*AC93)+M_Tech*AD93+CMM*AE93+ENG*AF93+DES*AG93+AI93</f>
        <v>73508.75</v>
      </c>
      <c r="AK93" s="182"/>
      <c r="AL93" s="183">
        <f>Shop*AM93+M_Tech*AN93+CMM*AO93+ENG*AP93+DES*AQ93+AS93</f>
        <v>43910.245000000003</v>
      </c>
      <c r="AM93" s="5">
        <f>SUM(AM49:AM92)</f>
        <v>147.75</v>
      </c>
      <c r="AN93" s="5">
        <f>SUM(AN49:AN92)</f>
        <v>44</v>
      </c>
      <c r="AO93" s="5">
        <f>SUM(AO49:AO92)</f>
        <v>0</v>
      </c>
      <c r="AP93" s="5">
        <f>SUM(AP49:AP92)</f>
        <v>178</v>
      </c>
      <c r="AQ93" s="5">
        <f>SUM(AQ49:AQ92)</f>
        <v>0</v>
      </c>
      <c r="AR93" s="182"/>
      <c r="AS93" s="183">
        <f>SUM(AR49:AR92)</f>
        <v>3034</v>
      </c>
    </row>
    <row r="94" spans="1:45">
      <c r="A94" s="378"/>
      <c r="B94" s="378"/>
      <c r="F94" s="170"/>
      <c r="G94" s="168"/>
      <c r="H94" s="168"/>
      <c r="I94" s="168"/>
      <c r="J94" s="168"/>
      <c r="K94" s="185"/>
      <c r="M94" s="116"/>
      <c r="N94" s="7"/>
      <c r="P94" s="186"/>
      <c r="Q94" s="35"/>
      <c r="R94" s="76"/>
      <c r="S94" s="147"/>
      <c r="T94" s="147"/>
      <c r="U94" s="147"/>
      <c r="V94" s="147"/>
      <c r="W94" s="378"/>
      <c r="X94" s="378"/>
      <c r="Y94" s="378"/>
      <c r="Z94" s="378"/>
      <c r="AA94" s="378"/>
      <c r="AB94" s="36"/>
      <c r="AC94" s="31"/>
      <c r="AD94" s="31"/>
      <c r="AE94" s="31"/>
      <c r="AF94" s="31"/>
      <c r="AG94" s="31"/>
      <c r="AH94" s="254"/>
      <c r="AI94" s="255"/>
      <c r="AJ94" s="6"/>
      <c r="AK94" s="6"/>
      <c r="AM94" s="32"/>
      <c r="AN94" s="4"/>
      <c r="AO94" s="4"/>
      <c r="AP94" s="4"/>
      <c r="AQ94" s="4"/>
      <c r="AR94" s="4"/>
      <c r="AS94" s="256"/>
    </row>
    <row r="95" spans="1:45" s="20" customFormat="1" ht="15.75">
      <c r="A95" s="49" t="s">
        <v>427</v>
      </c>
      <c r="C95" s="175"/>
      <c r="D95" s="100"/>
      <c r="E95" s="176"/>
      <c r="F95" s="177"/>
      <c r="G95" s="178"/>
      <c r="H95" s="178"/>
      <c r="I95" s="178"/>
      <c r="J95" s="178"/>
      <c r="K95" s="179"/>
      <c r="L95" s="100"/>
      <c r="M95" s="176"/>
      <c r="N95" s="96" t="s">
        <v>426</v>
      </c>
      <c r="O95" s="180"/>
      <c r="P95" s="180"/>
      <c r="Q95" s="52"/>
      <c r="R95" s="75"/>
      <c r="S95" s="145"/>
      <c r="T95" s="145"/>
      <c r="U95" s="145"/>
      <c r="V95" s="145"/>
      <c r="AB95" s="33"/>
      <c r="AC95" s="140"/>
      <c r="AD95" s="140"/>
      <c r="AE95" s="140"/>
      <c r="AF95" s="140"/>
      <c r="AG95" s="140"/>
      <c r="AH95" s="251"/>
      <c r="AI95" s="252"/>
      <c r="AJ95" s="140"/>
      <c r="AK95" s="140"/>
      <c r="AL95" s="176"/>
      <c r="AM95" s="139"/>
      <c r="AN95" s="140"/>
      <c r="AO95" s="140"/>
      <c r="AP95" s="140"/>
      <c r="AQ95" s="140"/>
      <c r="AR95" s="140"/>
      <c r="AS95" s="252"/>
    </row>
    <row r="96" spans="1:45" s="20" customFormat="1" ht="15.75">
      <c r="A96" s="47" t="s">
        <v>428</v>
      </c>
      <c r="C96" s="175"/>
      <c r="D96" s="100"/>
      <c r="E96" s="61"/>
      <c r="F96" s="62"/>
      <c r="G96" s="63"/>
      <c r="H96" s="63"/>
      <c r="I96" s="63"/>
      <c r="J96" s="63"/>
      <c r="K96" s="64"/>
      <c r="L96" s="115"/>
      <c r="M96" s="59"/>
      <c r="N96" s="187" t="s">
        <v>426</v>
      </c>
      <c r="O96" s="180"/>
      <c r="P96" s="180"/>
      <c r="Q96" s="52"/>
      <c r="R96" s="75"/>
      <c r="S96" s="145"/>
      <c r="T96" s="145"/>
      <c r="U96" s="145"/>
      <c r="V96" s="145"/>
      <c r="AB96" s="33"/>
      <c r="AC96" s="140"/>
      <c r="AD96" s="140"/>
      <c r="AE96" s="143"/>
      <c r="AF96" s="140"/>
      <c r="AG96" s="140"/>
      <c r="AH96" s="251"/>
      <c r="AI96" s="252"/>
      <c r="AJ96" s="140"/>
      <c r="AK96" s="140"/>
      <c r="AL96" s="176"/>
      <c r="AM96" s="139"/>
      <c r="AN96" s="140"/>
      <c r="AO96" s="140"/>
      <c r="AP96" s="140"/>
      <c r="AQ96" s="140"/>
      <c r="AR96" s="140"/>
      <c r="AS96" s="252"/>
    </row>
    <row r="97" spans="1:45" s="20" customFormat="1">
      <c r="A97" s="46" t="s">
        <v>429</v>
      </c>
      <c r="B97" s="20" t="s">
        <v>33</v>
      </c>
      <c r="C97" s="175">
        <v>0</v>
      </c>
      <c r="D97" s="100" t="s">
        <v>9</v>
      </c>
      <c r="E97" s="176">
        <v>0</v>
      </c>
      <c r="F97" s="177">
        <f>E97*C97</f>
        <v>0</v>
      </c>
      <c r="G97" s="178">
        <v>0</v>
      </c>
      <c r="H97" s="178">
        <v>0</v>
      </c>
      <c r="I97" s="178">
        <v>0</v>
      </c>
      <c r="J97" s="178">
        <v>60</v>
      </c>
      <c r="K97" s="179">
        <v>0</v>
      </c>
      <c r="L97" s="100" t="s">
        <v>8</v>
      </c>
      <c r="M97" s="176">
        <f>IF(R97="PD",((Shop*G97)+(M_Tech*H97)+(CMM*I97)+(ENG*J97)+(DES*K97))*N97,((Shop_RD*G97)+(MTECH_RD*H97)+(CMM_RD*I97)+(ENG_RD*J97)+(DES_RD*K97))*N97)</f>
        <v>7290.0000000000009</v>
      </c>
      <c r="N97" s="96">
        <v>1</v>
      </c>
      <c r="O97" s="176">
        <f>M97+(F97*N97)</f>
        <v>7290.0000000000009</v>
      </c>
      <c r="P97" s="180"/>
      <c r="Q97" s="52" t="s">
        <v>46</v>
      </c>
      <c r="R97" s="75" t="s">
        <v>77</v>
      </c>
      <c r="S97" s="145" t="str">
        <f>CONCATENATE(Q97,R97,AB97)</f>
        <v>BPD2012</v>
      </c>
      <c r="T97" s="145" t="str">
        <f>CONCATENATE(Q97,U97,AB97)</f>
        <v>B1.2.3.1.12012</v>
      </c>
      <c r="U97" s="145" t="s">
        <v>407</v>
      </c>
      <c r="V97" s="145" t="str">
        <f>LOOKUP(U97,$B$383:$B$420,$A$383:$A$420)</f>
        <v>Mechanical Sector Assemblies</v>
      </c>
      <c r="AB97" s="33">
        <v>2012</v>
      </c>
      <c r="AC97" s="140">
        <f t="shared" ref="AC97:AG100" si="64">IF($Q97="B", (G97*$N97),0)</f>
        <v>0</v>
      </c>
      <c r="AD97" s="140">
        <f t="shared" si="64"/>
        <v>0</v>
      </c>
      <c r="AE97" s="140">
        <f t="shared" si="64"/>
        <v>0</v>
      </c>
      <c r="AF97" s="140">
        <f t="shared" si="64"/>
        <v>60</v>
      </c>
      <c r="AG97" s="140">
        <f t="shared" si="64"/>
        <v>0</v>
      </c>
      <c r="AH97" s="251">
        <f>IF($Q97="B", (F97*$N97),0)</f>
        <v>0</v>
      </c>
      <c r="AI97" s="252"/>
      <c r="AJ97" s="140"/>
      <c r="AK97" s="140"/>
      <c r="AL97" s="176"/>
      <c r="AM97" s="139">
        <f t="shared" ref="AM97:AQ100" si="65">IF($Q97="C", (G97*$N97),0)</f>
        <v>0</v>
      </c>
      <c r="AN97" s="140">
        <f t="shared" si="65"/>
        <v>0</v>
      </c>
      <c r="AO97" s="140">
        <f t="shared" si="65"/>
        <v>0</v>
      </c>
      <c r="AP97" s="140">
        <f t="shared" si="65"/>
        <v>0</v>
      </c>
      <c r="AQ97" s="140">
        <f t="shared" si="65"/>
        <v>0</v>
      </c>
      <c r="AR97" s="140">
        <f>IF($Q97="C", (F97*$N97),0)</f>
        <v>0</v>
      </c>
      <c r="AS97" s="252"/>
    </row>
    <row r="98" spans="1:45" s="20" customFormat="1">
      <c r="A98" s="46" t="s">
        <v>430</v>
      </c>
      <c r="B98" s="20" t="s">
        <v>33</v>
      </c>
      <c r="C98" s="175">
        <v>1</v>
      </c>
      <c r="D98" s="100" t="s">
        <v>9</v>
      </c>
      <c r="E98" s="176">
        <v>8</v>
      </c>
      <c r="F98" s="177">
        <f>E98*C98</f>
        <v>8</v>
      </c>
      <c r="G98" s="178">
        <v>0</v>
      </c>
      <c r="H98" s="178">
        <v>0</v>
      </c>
      <c r="I98" s="178">
        <v>0</v>
      </c>
      <c r="J98" s="178">
        <v>60</v>
      </c>
      <c r="K98" s="179">
        <v>0</v>
      </c>
      <c r="L98" s="100" t="s">
        <v>8</v>
      </c>
      <c r="M98" s="176">
        <f>IF(R98="PD",((Shop*G98)+(M_Tech*H98)+(CMM*I98)+(ENG*J98)+(DES*K98))*N98,((Shop_RD*G98)+(MTECH_RD*H98)+(CMM_RD*I98)+(ENG_RD*J98)+(DES_RD*K98))*N98)</f>
        <v>7290.0000000000009</v>
      </c>
      <c r="N98" s="96">
        <v>1</v>
      </c>
      <c r="O98" s="176">
        <f>M98+(F98*N98)</f>
        <v>7298.0000000000009</v>
      </c>
      <c r="P98" s="180"/>
      <c r="Q98" s="52" t="s">
        <v>47</v>
      </c>
      <c r="R98" s="75" t="s">
        <v>77</v>
      </c>
      <c r="S98" s="145" t="str">
        <f>CONCATENATE(Q98,R98,AB98)</f>
        <v>CPD2013</v>
      </c>
      <c r="T98" s="145" t="str">
        <f>CONCATENATE(Q98,U98,AB98)</f>
        <v>C1.2.3.1.12013</v>
      </c>
      <c r="U98" s="145" t="s">
        <v>407</v>
      </c>
      <c r="V98" s="145" t="str">
        <f>LOOKUP(U98,$B$383:$B$420,$A$383:$A$420)</f>
        <v>Mechanical Sector Assemblies</v>
      </c>
      <c r="AB98" s="33">
        <v>2013</v>
      </c>
      <c r="AC98" s="140">
        <f t="shared" si="64"/>
        <v>0</v>
      </c>
      <c r="AD98" s="140">
        <f t="shared" si="64"/>
        <v>0</v>
      </c>
      <c r="AE98" s="140">
        <f t="shared" si="64"/>
        <v>0</v>
      </c>
      <c r="AF98" s="140">
        <f t="shared" si="64"/>
        <v>0</v>
      </c>
      <c r="AG98" s="140">
        <f t="shared" si="64"/>
        <v>0</v>
      </c>
      <c r="AH98" s="251">
        <f>IF($Q98="B", (F98*$N98),0)</f>
        <v>0</v>
      </c>
      <c r="AI98" s="252"/>
      <c r="AJ98" s="140"/>
      <c r="AK98" s="140"/>
      <c r="AL98" s="176"/>
      <c r="AM98" s="139">
        <f t="shared" si="65"/>
        <v>0</v>
      </c>
      <c r="AN98" s="140">
        <f t="shared" si="65"/>
        <v>0</v>
      </c>
      <c r="AO98" s="140">
        <f t="shared" si="65"/>
        <v>0</v>
      </c>
      <c r="AP98" s="140">
        <f t="shared" si="65"/>
        <v>60</v>
      </c>
      <c r="AQ98" s="140">
        <f t="shared" si="65"/>
        <v>0</v>
      </c>
      <c r="AR98" s="140">
        <f>IF($Q98="C", (F98*$N98),0)</f>
        <v>8</v>
      </c>
      <c r="AS98" s="252"/>
    </row>
    <row r="99" spans="1:45" s="20" customFormat="1">
      <c r="A99" s="46" t="s">
        <v>431</v>
      </c>
      <c r="B99" s="20" t="s">
        <v>7</v>
      </c>
      <c r="C99" s="175">
        <v>50</v>
      </c>
      <c r="D99" s="100" t="s">
        <v>38</v>
      </c>
      <c r="E99" s="176">
        <v>8</v>
      </c>
      <c r="F99" s="177">
        <f>E99*C99</f>
        <v>400</v>
      </c>
      <c r="G99" s="178">
        <v>80</v>
      </c>
      <c r="H99" s="178">
        <v>4</v>
      </c>
      <c r="I99" s="178">
        <v>0</v>
      </c>
      <c r="J99" s="178">
        <v>0</v>
      </c>
      <c r="K99" s="179">
        <v>0</v>
      </c>
      <c r="L99" s="100" t="s">
        <v>8</v>
      </c>
      <c r="M99" s="176">
        <f>IF(R99="PD",((Shop*G99)+(M_Tech*H99)+(CMM*I99)+(ENG*J99)+(DES*K99))*N99,((Shop_RD*G99)+(MTECH_RD*H99)+(CMM_RD*I99)+(ENG_RD*J99)+(DES_RD*K99))*N99)</f>
        <v>34175.520000000004</v>
      </c>
      <c r="N99" s="96">
        <v>4</v>
      </c>
      <c r="O99" s="176">
        <f>M99+(F99*N99)</f>
        <v>35775.520000000004</v>
      </c>
      <c r="P99" s="180"/>
      <c r="Q99" s="52" t="s">
        <v>46</v>
      </c>
      <c r="R99" s="75" t="s">
        <v>77</v>
      </c>
      <c r="S99" s="145" t="str">
        <f>CONCATENATE(Q99,R99,AB99)</f>
        <v>BPD2012</v>
      </c>
      <c r="T99" s="145" t="str">
        <f>CONCATENATE(Q99,U99,AB99)</f>
        <v>B1.2.3.1.12012</v>
      </c>
      <c r="U99" s="145" t="s">
        <v>407</v>
      </c>
      <c r="V99" s="145" t="str">
        <f>LOOKUP(U99,$B$383:$B$420,$A$383:$A$420)</f>
        <v>Mechanical Sector Assemblies</v>
      </c>
      <c r="AB99" s="33">
        <v>2012</v>
      </c>
      <c r="AC99" s="140">
        <f t="shared" si="64"/>
        <v>320</v>
      </c>
      <c r="AD99" s="140">
        <f t="shared" si="64"/>
        <v>16</v>
      </c>
      <c r="AE99" s="140">
        <f t="shared" si="64"/>
        <v>0</v>
      </c>
      <c r="AF99" s="140">
        <f t="shared" si="64"/>
        <v>0</v>
      </c>
      <c r="AG99" s="140">
        <f t="shared" si="64"/>
        <v>0</v>
      </c>
      <c r="AH99" s="251">
        <f>IF($Q99="B", (F99*$N99),0)</f>
        <v>1600</v>
      </c>
      <c r="AI99" s="252"/>
      <c r="AJ99" s="140"/>
      <c r="AK99" s="140"/>
      <c r="AL99" s="176"/>
      <c r="AM99" s="139">
        <f t="shared" si="65"/>
        <v>0</v>
      </c>
      <c r="AN99" s="140">
        <f t="shared" si="65"/>
        <v>0</v>
      </c>
      <c r="AO99" s="140">
        <f t="shared" si="65"/>
        <v>0</v>
      </c>
      <c r="AP99" s="140">
        <f t="shared" si="65"/>
        <v>0</v>
      </c>
      <c r="AQ99" s="140">
        <f t="shared" si="65"/>
        <v>0</v>
      </c>
      <c r="AR99" s="140">
        <f>IF($Q99="C", (F99*$N99),0)</f>
        <v>0</v>
      </c>
      <c r="AS99" s="252"/>
    </row>
    <row r="100" spans="1:45" s="20" customFormat="1">
      <c r="A100" s="46" t="s">
        <v>431</v>
      </c>
      <c r="B100" s="20" t="s">
        <v>7</v>
      </c>
      <c r="C100" s="175">
        <v>50</v>
      </c>
      <c r="D100" s="100" t="s">
        <v>38</v>
      </c>
      <c r="E100" s="176">
        <v>8</v>
      </c>
      <c r="F100" s="177">
        <f>E100*C100</f>
        <v>400</v>
      </c>
      <c r="G100" s="178">
        <v>80</v>
      </c>
      <c r="H100" s="178">
        <v>4</v>
      </c>
      <c r="I100" s="178">
        <v>0</v>
      </c>
      <c r="J100" s="178">
        <v>0</v>
      </c>
      <c r="K100" s="179">
        <v>0</v>
      </c>
      <c r="L100" s="100" t="s">
        <v>8</v>
      </c>
      <c r="M100" s="176">
        <f>IF(R100="PD",((Shop*G100)+(M_Tech*H100)+(CMM*I100)+(ENG*J100)+(DES*K100))*N100,((Shop_RD*G100)+(MTECH_RD*H100)+(CMM_RD*I100)+(ENG_RD*J100)+(DES_RD*K100))*N100)</f>
        <v>34175.520000000004</v>
      </c>
      <c r="N100" s="96">
        <v>4</v>
      </c>
      <c r="O100" s="176">
        <f>M100+(F100*N100)</f>
        <v>35775.520000000004</v>
      </c>
      <c r="P100" s="180"/>
      <c r="Q100" s="52" t="s">
        <v>47</v>
      </c>
      <c r="R100" s="75" t="s">
        <v>77</v>
      </c>
      <c r="S100" s="145" t="str">
        <f>CONCATENATE(Q100,R100,AB100)</f>
        <v>CPD2013</v>
      </c>
      <c r="T100" s="145" t="str">
        <f>CONCATENATE(Q100,U100,AB100)</f>
        <v>C1.2.3.1.12013</v>
      </c>
      <c r="U100" s="145" t="s">
        <v>407</v>
      </c>
      <c r="V100" s="145" t="str">
        <f>LOOKUP(U100,$B$383:$B$420,$A$383:$A$420)</f>
        <v>Mechanical Sector Assemblies</v>
      </c>
      <c r="AB100" s="33">
        <v>2013</v>
      </c>
      <c r="AC100" s="140">
        <f t="shared" si="64"/>
        <v>0</v>
      </c>
      <c r="AD100" s="140">
        <f t="shared" si="64"/>
        <v>0</v>
      </c>
      <c r="AE100" s="140">
        <f t="shared" si="64"/>
        <v>0</v>
      </c>
      <c r="AF100" s="140">
        <f t="shared" si="64"/>
        <v>0</v>
      </c>
      <c r="AG100" s="140">
        <f t="shared" si="64"/>
        <v>0</v>
      </c>
      <c r="AH100" s="251">
        <f>IF($Q100="B", (F100*$N100),0)</f>
        <v>0</v>
      </c>
      <c r="AI100" s="252"/>
      <c r="AJ100" s="140"/>
      <c r="AK100" s="140"/>
      <c r="AL100" s="176"/>
      <c r="AM100" s="139">
        <f t="shared" si="65"/>
        <v>320</v>
      </c>
      <c r="AN100" s="140">
        <f t="shared" si="65"/>
        <v>16</v>
      </c>
      <c r="AO100" s="140">
        <f t="shared" si="65"/>
        <v>0</v>
      </c>
      <c r="AP100" s="140">
        <f t="shared" si="65"/>
        <v>0</v>
      </c>
      <c r="AQ100" s="140">
        <f t="shared" si="65"/>
        <v>0</v>
      </c>
      <c r="AR100" s="140">
        <f>IF($Q100="C", (F100*$N100),0)</f>
        <v>1600</v>
      </c>
      <c r="AS100" s="252"/>
    </row>
    <row r="101" spans="1:45" s="20" customFormat="1">
      <c r="A101" s="47" t="s">
        <v>432</v>
      </c>
      <c r="C101" s="175"/>
      <c r="D101" s="100"/>
      <c r="E101" s="61"/>
      <c r="F101" s="62"/>
      <c r="G101" s="63"/>
      <c r="H101" s="63"/>
      <c r="I101" s="63"/>
      <c r="J101" s="63"/>
      <c r="K101" s="64"/>
      <c r="L101" s="234" t="s">
        <v>66</v>
      </c>
      <c r="M101" s="188">
        <f>SUMIF(Q97:Q100,"B",M97:M100)</f>
        <v>41465.520000000004</v>
      </c>
      <c r="N101" s="69" t="s">
        <v>65</v>
      </c>
      <c r="O101" s="176"/>
      <c r="P101" s="180"/>
      <c r="Q101" s="52"/>
      <c r="R101" s="75"/>
      <c r="S101" s="145"/>
      <c r="T101" s="145"/>
      <c r="U101" s="145"/>
      <c r="V101" s="145"/>
      <c r="AB101" s="33"/>
      <c r="AC101" s="140"/>
      <c r="AD101" s="140"/>
      <c r="AE101" s="143"/>
      <c r="AF101" s="140"/>
      <c r="AG101" s="140"/>
      <c r="AH101" s="251"/>
      <c r="AI101" s="252"/>
      <c r="AJ101" s="140"/>
      <c r="AK101" s="140"/>
      <c r="AL101" s="176"/>
      <c r="AM101" s="139"/>
      <c r="AN101" s="140"/>
      <c r="AO101" s="140"/>
      <c r="AP101" s="140"/>
      <c r="AQ101" s="140"/>
      <c r="AR101" s="140"/>
      <c r="AS101" s="252"/>
    </row>
    <row r="102" spans="1:45" s="20" customFormat="1" hidden="1">
      <c r="A102" s="46" t="s">
        <v>433</v>
      </c>
      <c r="B102" s="20" t="s">
        <v>33</v>
      </c>
      <c r="C102" s="175">
        <v>0.03</v>
      </c>
      <c r="D102" s="100" t="s">
        <v>9</v>
      </c>
      <c r="E102" s="176">
        <v>0</v>
      </c>
      <c r="F102" s="177">
        <f>E102*C102</f>
        <v>0</v>
      </c>
      <c r="G102" s="178">
        <v>0</v>
      </c>
      <c r="H102" s="178">
        <v>8</v>
      </c>
      <c r="I102" s="178">
        <v>0</v>
      </c>
      <c r="J102" s="178">
        <v>0</v>
      </c>
      <c r="K102" s="179">
        <v>0</v>
      </c>
      <c r="L102" s="100" t="s">
        <v>8</v>
      </c>
      <c r="M102" s="176">
        <f>IF(R102="PD",((Shop*G102)+(M_Tech*H102)+(CMM*I102)+(ENG*J102)+(DES*K102))*N102,((Shop_RD*G102)+(MTECH_RD*H102)+(CMM_RD*I102)+(ENG_RD*J102)+(DES_RD*K102))*N102)</f>
        <v>0</v>
      </c>
      <c r="N102" s="96">
        <v>0</v>
      </c>
      <c r="O102" s="176">
        <f>M102+(F102*N102)</f>
        <v>0</v>
      </c>
      <c r="P102" s="180"/>
      <c r="Q102" s="52" t="s">
        <v>46</v>
      </c>
      <c r="R102" s="75" t="s">
        <v>221</v>
      </c>
      <c r="S102" s="145" t="str">
        <f>CONCATENATE(Q102,R102,AB102)</f>
        <v>BPT2009</v>
      </c>
      <c r="T102" s="145" t="str">
        <f>CONCATENATE(Q102,U102,AB102)</f>
        <v>B1.2.3.1.12009</v>
      </c>
      <c r="U102" s="145" t="s">
        <v>407</v>
      </c>
      <c r="V102" s="145" t="str">
        <f>LOOKUP(U102,$B$383:$B$420,$A$383:$A$420)</f>
        <v>Mechanical Sector Assemblies</v>
      </c>
      <c r="AB102" s="33">
        <v>2009</v>
      </c>
      <c r="AC102" s="140">
        <f t="shared" ref="AC102:AG106" si="66">IF($Q102="B", (G102*$N102),0)</f>
        <v>0</v>
      </c>
      <c r="AD102" s="140">
        <f t="shared" si="66"/>
        <v>0</v>
      </c>
      <c r="AE102" s="140">
        <f t="shared" si="66"/>
        <v>0</v>
      </c>
      <c r="AF102" s="140">
        <f t="shared" si="66"/>
        <v>0</v>
      </c>
      <c r="AG102" s="140">
        <f t="shared" si="66"/>
        <v>0</v>
      </c>
      <c r="AH102" s="251">
        <f>IF($Q102="B", (F102*$N102),0)</f>
        <v>0</v>
      </c>
      <c r="AI102" s="252"/>
      <c r="AJ102" s="140"/>
      <c r="AK102" s="140"/>
      <c r="AL102" s="176"/>
      <c r="AM102" s="139">
        <f t="shared" ref="AM102:AQ106" si="67">IF($Q102="C", (G102*$N102),0)</f>
        <v>0</v>
      </c>
      <c r="AN102" s="140">
        <f t="shared" si="67"/>
        <v>0</v>
      </c>
      <c r="AO102" s="140">
        <f t="shared" si="67"/>
        <v>0</v>
      </c>
      <c r="AP102" s="140">
        <f t="shared" si="67"/>
        <v>0</v>
      </c>
      <c r="AQ102" s="140">
        <f t="shared" si="67"/>
        <v>0</v>
      </c>
      <c r="AR102" s="140">
        <f>IF($Q102="C", (F102*$N102),0)</f>
        <v>0</v>
      </c>
      <c r="AS102" s="252"/>
    </row>
    <row r="103" spans="1:45" s="20" customFormat="1" hidden="1">
      <c r="A103" s="46" t="s">
        <v>434</v>
      </c>
      <c r="B103" s="20" t="s">
        <v>33</v>
      </c>
      <c r="C103" s="175">
        <v>0.03</v>
      </c>
      <c r="D103" s="100" t="s">
        <v>9</v>
      </c>
      <c r="E103" s="176">
        <v>0</v>
      </c>
      <c r="F103" s="177">
        <f>E103*C103</f>
        <v>0</v>
      </c>
      <c r="G103" s="178">
        <v>0</v>
      </c>
      <c r="H103" s="178">
        <v>0</v>
      </c>
      <c r="I103" s="178">
        <v>0</v>
      </c>
      <c r="J103" s="178">
        <v>24</v>
      </c>
      <c r="K103" s="179">
        <v>0</v>
      </c>
      <c r="L103" s="100" t="s">
        <v>8</v>
      </c>
      <c r="M103" s="176">
        <f>IF(R103="PD",((Shop*G103)+(M_Tech*H103)+(CMM*I103)+(ENG*J103)+(DES*K103))*N103,((Shop_RD*G103)+(MTECH_RD*H103)+(CMM_RD*I103)+(ENG_RD*J103)+(DES_RD*K103))*N103)</f>
        <v>0</v>
      </c>
      <c r="N103" s="96">
        <v>0</v>
      </c>
      <c r="O103" s="176">
        <f>M103+(F103*N103)</f>
        <v>0</v>
      </c>
      <c r="P103" s="180"/>
      <c r="Q103" s="52" t="s">
        <v>46</v>
      </c>
      <c r="R103" s="75" t="s">
        <v>221</v>
      </c>
      <c r="S103" s="145" t="str">
        <f>CONCATENATE(Q103,R103,AB103)</f>
        <v>BPTCONT</v>
      </c>
      <c r="T103" s="145" t="str">
        <f>CONCATENATE(Q103,U103,AB103)</f>
        <v>B1.2.3.1.1CONT</v>
      </c>
      <c r="U103" s="145" t="s">
        <v>407</v>
      </c>
      <c r="V103" s="145" t="str">
        <f>LOOKUP(U103,$B$383:$B$420,$A$383:$A$420)</f>
        <v>Mechanical Sector Assemblies</v>
      </c>
      <c r="AB103" s="33" t="s">
        <v>177</v>
      </c>
      <c r="AC103" s="140">
        <f t="shared" si="66"/>
        <v>0</v>
      </c>
      <c r="AD103" s="140">
        <f t="shared" si="66"/>
        <v>0</v>
      </c>
      <c r="AE103" s="140">
        <f t="shared" si="66"/>
        <v>0</v>
      </c>
      <c r="AF103" s="140">
        <f t="shared" si="66"/>
        <v>0</v>
      </c>
      <c r="AG103" s="140">
        <f t="shared" si="66"/>
        <v>0</v>
      </c>
      <c r="AH103" s="251">
        <f>IF($Q103="B", (F103*$N103),0)</f>
        <v>0</v>
      </c>
      <c r="AI103" s="252"/>
      <c r="AJ103" s="140"/>
      <c r="AK103" s="140"/>
      <c r="AL103" s="176"/>
      <c r="AM103" s="139">
        <f t="shared" si="67"/>
        <v>0</v>
      </c>
      <c r="AN103" s="140">
        <f t="shared" si="67"/>
        <v>0</v>
      </c>
      <c r="AO103" s="140">
        <f t="shared" si="67"/>
        <v>0</v>
      </c>
      <c r="AP103" s="140">
        <f t="shared" si="67"/>
        <v>0</v>
      </c>
      <c r="AQ103" s="140">
        <f t="shared" si="67"/>
        <v>0</v>
      </c>
      <c r="AR103" s="140">
        <f>IF($Q103="C", (F103*$N103),0)</f>
        <v>0</v>
      </c>
      <c r="AS103" s="252"/>
    </row>
    <row r="104" spans="1:45" s="20" customFormat="1" hidden="1">
      <c r="A104" s="46" t="s">
        <v>435</v>
      </c>
      <c r="B104" s="20" t="s">
        <v>33</v>
      </c>
      <c r="C104" s="175">
        <v>0.03</v>
      </c>
      <c r="D104" s="100" t="s">
        <v>9</v>
      </c>
      <c r="E104" s="176">
        <v>0</v>
      </c>
      <c r="F104" s="177">
        <f>E104*C104</f>
        <v>0</v>
      </c>
      <c r="G104" s="178">
        <v>0</v>
      </c>
      <c r="H104" s="178">
        <v>8</v>
      </c>
      <c r="I104" s="178">
        <v>0</v>
      </c>
      <c r="J104" s="178">
        <v>0</v>
      </c>
      <c r="K104" s="179">
        <v>0</v>
      </c>
      <c r="L104" s="100" t="s">
        <v>8</v>
      </c>
      <c r="M104" s="176">
        <f>IF(R104="PD",((Shop*G104)+(M_Tech*H104)+(CMM*I104)+(ENG*J104)+(DES*K104))*N104,((Shop_RD*G104)+(MTECH_RD*H104)+(CMM_RD*I104)+(ENG_RD*J104)+(DES_RD*K104))*N104)</f>
        <v>0</v>
      </c>
      <c r="N104" s="96">
        <v>0</v>
      </c>
      <c r="O104" s="176">
        <f>M104+(F104*N104)</f>
        <v>0</v>
      </c>
      <c r="P104" s="180"/>
      <c r="Q104" s="52" t="s">
        <v>46</v>
      </c>
      <c r="R104" s="75" t="s">
        <v>221</v>
      </c>
      <c r="S104" s="145" t="str">
        <f>CONCATENATE(Q104,R104,AB104)</f>
        <v>BPT2010</v>
      </c>
      <c r="T104" s="145" t="str">
        <f>CONCATENATE(Q104,U104,AB104)</f>
        <v>B1.2.3.1.12010</v>
      </c>
      <c r="U104" s="145" t="s">
        <v>407</v>
      </c>
      <c r="V104" s="145" t="str">
        <f>LOOKUP(U104,$B$383:$B$420,$A$383:$A$420)</f>
        <v>Mechanical Sector Assemblies</v>
      </c>
      <c r="AB104" s="33">
        <v>2010</v>
      </c>
      <c r="AC104" s="140">
        <f t="shared" si="66"/>
        <v>0</v>
      </c>
      <c r="AD104" s="140">
        <f t="shared" si="66"/>
        <v>0</v>
      </c>
      <c r="AE104" s="140">
        <f t="shared" si="66"/>
        <v>0</v>
      </c>
      <c r="AF104" s="140">
        <f t="shared" si="66"/>
        <v>0</v>
      </c>
      <c r="AG104" s="140">
        <f t="shared" si="66"/>
        <v>0</v>
      </c>
      <c r="AH104" s="251">
        <f>IF($Q104="B", (F104*$N104),0)</f>
        <v>0</v>
      </c>
      <c r="AI104" s="252"/>
      <c r="AJ104" s="140"/>
      <c r="AK104" s="140"/>
      <c r="AL104" s="176"/>
      <c r="AM104" s="139">
        <f t="shared" si="67"/>
        <v>0</v>
      </c>
      <c r="AN104" s="140">
        <f t="shared" si="67"/>
        <v>0</v>
      </c>
      <c r="AO104" s="140">
        <f t="shared" si="67"/>
        <v>0</v>
      </c>
      <c r="AP104" s="140">
        <f t="shared" si="67"/>
        <v>0</v>
      </c>
      <c r="AQ104" s="140">
        <f t="shared" si="67"/>
        <v>0</v>
      </c>
      <c r="AR104" s="140">
        <f>IF($Q104="C", (F104*$N104),0)</f>
        <v>0</v>
      </c>
      <c r="AS104" s="252"/>
    </row>
    <row r="105" spans="1:45" s="20" customFormat="1">
      <c r="A105" s="46" t="s">
        <v>436</v>
      </c>
      <c r="B105" s="20" t="s">
        <v>33</v>
      </c>
      <c r="C105" s="175">
        <v>0.03</v>
      </c>
      <c r="D105" s="100" t="s">
        <v>9</v>
      </c>
      <c r="E105" s="176">
        <v>0</v>
      </c>
      <c r="F105" s="177">
        <f>E105*C105</f>
        <v>0</v>
      </c>
      <c r="G105" s="178">
        <v>0</v>
      </c>
      <c r="H105" s="178">
        <v>12</v>
      </c>
      <c r="I105" s="178">
        <v>0</v>
      </c>
      <c r="J105" s="178">
        <v>2</v>
      </c>
      <c r="K105" s="179">
        <v>0</v>
      </c>
      <c r="L105" s="100" t="s">
        <v>8</v>
      </c>
      <c r="M105" s="176">
        <f>IF(R105="PD",((Shop*G105)+(M_Tech*H105)+(CMM*I105)+(ENG*J105)+(DES*K105))*N105,((Shop_RD*G105)+(MTECH_RD*H105)+(CMM_RD*I105)+(ENG_RD*J105)+(DES_RD*K105))*N105)</f>
        <v>6901.2000000000007</v>
      </c>
      <c r="N105" s="96">
        <v>5</v>
      </c>
      <c r="O105" s="176">
        <f>M105+(F105*N105)</f>
        <v>6901.2000000000007</v>
      </c>
      <c r="P105" s="180"/>
      <c r="Q105" s="52" t="s">
        <v>46</v>
      </c>
      <c r="R105" s="75" t="s">
        <v>77</v>
      </c>
      <c r="S105" s="145" t="str">
        <f>CONCATENATE(Q105,R105,AB105)</f>
        <v>BPD2011</v>
      </c>
      <c r="T105" s="145" t="str">
        <f>CONCATENATE(Q105,U105,AB105)</f>
        <v>B1.2.3.1.12011</v>
      </c>
      <c r="U105" s="145" t="s">
        <v>407</v>
      </c>
      <c r="V105" s="145" t="str">
        <f>LOOKUP(U105,$B$383:$B$420,$A$383:$A$420)</f>
        <v>Mechanical Sector Assemblies</v>
      </c>
      <c r="AB105" s="33">
        <v>2011</v>
      </c>
      <c r="AC105" s="140">
        <f t="shared" si="66"/>
        <v>0</v>
      </c>
      <c r="AD105" s="140">
        <f t="shared" si="66"/>
        <v>60</v>
      </c>
      <c r="AE105" s="140">
        <f t="shared" si="66"/>
        <v>0</v>
      </c>
      <c r="AF105" s="140">
        <f t="shared" si="66"/>
        <v>10</v>
      </c>
      <c r="AG105" s="140">
        <f t="shared" si="66"/>
        <v>0</v>
      </c>
      <c r="AH105" s="251">
        <f>IF($Q105="B", (F105*$N105),0)</f>
        <v>0</v>
      </c>
      <c r="AI105" s="252"/>
      <c r="AJ105" s="140"/>
      <c r="AK105" s="140"/>
      <c r="AL105" s="176"/>
      <c r="AM105" s="139">
        <f t="shared" si="67"/>
        <v>0</v>
      </c>
      <c r="AN105" s="140">
        <f t="shared" si="67"/>
        <v>0</v>
      </c>
      <c r="AO105" s="140">
        <f t="shared" si="67"/>
        <v>0</v>
      </c>
      <c r="AP105" s="140">
        <f t="shared" si="67"/>
        <v>0</v>
      </c>
      <c r="AQ105" s="140">
        <f t="shared" si="67"/>
        <v>0</v>
      </c>
      <c r="AR105" s="140">
        <f>IF($Q105="C", (F105*$N105),0)</f>
        <v>0</v>
      </c>
      <c r="AS105" s="252"/>
    </row>
    <row r="106" spans="1:45" s="20" customFormat="1">
      <c r="A106" s="46" t="s">
        <v>437</v>
      </c>
      <c r="B106" s="20" t="s">
        <v>33</v>
      </c>
      <c r="C106" s="175">
        <v>0.03</v>
      </c>
      <c r="D106" s="100" t="s">
        <v>9</v>
      </c>
      <c r="E106" s="176">
        <v>0</v>
      </c>
      <c r="F106" s="177">
        <f>E106*C106</f>
        <v>0</v>
      </c>
      <c r="G106" s="178">
        <v>0</v>
      </c>
      <c r="H106" s="178">
        <v>12</v>
      </c>
      <c r="I106" s="178">
        <v>0</v>
      </c>
      <c r="J106" s="178">
        <v>2</v>
      </c>
      <c r="K106" s="179">
        <v>0</v>
      </c>
      <c r="L106" s="100" t="s">
        <v>8</v>
      </c>
      <c r="M106" s="176">
        <f>IF(R106="PD",((Shop*G106)+(M_Tech*H106)+(CMM*I106)+(ENG*J106)+(DES*K106))*N106,((Shop_RD*G106)+(MTECH_RD*H106)+(CMM_RD*I106)+(ENG_RD*J106)+(DES_RD*K106))*N106)</f>
        <v>9661.6800000000021</v>
      </c>
      <c r="N106" s="96">
        <v>7</v>
      </c>
      <c r="O106" s="176">
        <f>M106+(F106*N106)</f>
        <v>9661.6800000000021</v>
      </c>
      <c r="P106" s="180"/>
      <c r="Q106" s="52" t="s">
        <v>47</v>
      </c>
      <c r="R106" s="75" t="s">
        <v>77</v>
      </c>
      <c r="S106" s="145" t="str">
        <f>CONCATENATE(Q106,R106,AB106)</f>
        <v>CPD2012</v>
      </c>
      <c r="T106" s="145" t="str">
        <f>CONCATENATE(Q106,U106,AB106)</f>
        <v>C1.2.3.1.12012</v>
      </c>
      <c r="U106" s="145" t="s">
        <v>407</v>
      </c>
      <c r="V106" s="145" t="str">
        <f>LOOKUP(U106,$B$383:$B$420,$A$383:$A$420)</f>
        <v>Mechanical Sector Assemblies</v>
      </c>
      <c r="AB106" s="33">
        <v>2012</v>
      </c>
      <c r="AC106" s="140">
        <f t="shared" si="66"/>
        <v>0</v>
      </c>
      <c r="AD106" s="140">
        <f t="shared" si="66"/>
        <v>0</v>
      </c>
      <c r="AE106" s="140">
        <f t="shared" si="66"/>
        <v>0</v>
      </c>
      <c r="AF106" s="140">
        <f t="shared" si="66"/>
        <v>0</v>
      </c>
      <c r="AG106" s="140">
        <f t="shared" si="66"/>
        <v>0</v>
      </c>
      <c r="AH106" s="251">
        <f>IF($Q106="B", (F106*$N106),0)</f>
        <v>0</v>
      </c>
      <c r="AI106" s="252"/>
      <c r="AJ106" s="140"/>
      <c r="AK106" s="140"/>
      <c r="AL106" s="176"/>
      <c r="AM106" s="139">
        <f t="shared" si="67"/>
        <v>0</v>
      </c>
      <c r="AN106" s="140">
        <f t="shared" si="67"/>
        <v>84</v>
      </c>
      <c r="AO106" s="140">
        <f t="shared" si="67"/>
        <v>0</v>
      </c>
      <c r="AP106" s="140">
        <f t="shared" si="67"/>
        <v>14</v>
      </c>
      <c r="AQ106" s="140">
        <f t="shared" si="67"/>
        <v>0</v>
      </c>
      <c r="AR106" s="140">
        <f>IF($Q106="C", (F106*$N106),0)</f>
        <v>0</v>
      </c>
      <c r="AS106" s="252"/>
    </row>
    <row r="107" spans="1:45" s="20" customFormat="1">
      <c r="A107" s="47" t="s">
        <v>440</v>
      </c>
      <c r="C107" s="175"/>
      <c r="D107" s="100"/>
      <c r="E107" s="61"/>
      <c r="F107" s="62"/>
      <c r="G107" s="63"/>
      <c r="H107" s="63"/>
      <c r="I107" s="63"/>
      <c r="J107" s="63"/>
      <c r="K107" s="64"/>
      <c r="L107" s="234" t="s">
        <v>66</v>
      </c>
      <c r="M107" s="188">
        <f>SUMIF(Q102:Q106,"B",M102:M106)</f>
        <v>6901.2000000000007</v>
      </c>
      <c r="N107" s="69" t="s">
        <v>65</v>
      </c>
      <c r="O107" s="176"/>
      <c r="P107" s="180"/>
      <c r="Q107" s="52"/>
      <c r="R107" s="75"/>
      <c r="S107" s="145"/>
      <c r="T107" s="145"/>
      <c r="U107" s="145"/>
      <c r="V107" s="145"/>
      <c r="AB107" s="33"/>
      <c r="AC107" s="140"/>
      <c r="AD107" s="140"/>
      <c r="AE107" s="143"/>
      <c r="AF107" s="140"/>
      <c r="AG107" s="140"/>
      <c r="AH107" s="251"/>
      <c r="AI107" s="252"/>
      <c r="AJ107" s="140"/>
      <c r="AK107" s="140"/>
      <c r="AL107" s="176"/>
      <c r="AM107" s="139"/>
      <c r="AN107" s="140"/>
      <c r="AO107" s="140"/>
      <c r="AP107" s="140"/>
      <c r="AQ107" s="140"/>
      <c r="AR107" s="140"/>
      <c r="AS107" s="252"/>
    </row>
    <row r="108" spans="1:45" s="20" customFormat="1">
      <c r="A108" s="46" t="s">
        <v>438</v>
      </c>
      <c r="B108" s="20" t="s">
        <v>33</v>
      </c>
      <c r="C108" s="175">
        <v>0.03</v>
      </c>
      <c r="D108" s="100" t="s">
        <v>9</v>
      </c>
      <c r="E108" s="176">
        <v>0</v>
      </c>
      <c r="F108" s="177">
        <f>E108*C108</f>
        <v>0</v>
      </c>
      <c r="G108" s="178">
        <v>0</v>
      </c>
      <c r="H108" s="178">
        <v>12</v>
      </c>
      <c r="I108" s="178">
        <v>0</v>
      </c>
      <c r="J108" s="178">
        <v>2</v>
      </c>
      <c r="K108" s="179">
        <v>0</v>
      </c>
      <c r="L108" s="100" t="s">
        <v>8</v>
      </c>
      <c r="M108" s="176">
        <f>IF(R108="PD",((Shop*G108)+(M_Tech*H108)+(CMM*I108)+(ENG*J108)+(DES*K108))*N108,((Shop_RD*G108)+(MTECH_RD*H108)+(CMM_RD*I108)+(ENG_RD*J108)+(DES_RD*K108))*N108)</f>
        <v>34506.000000000007</v>
      </c>
      <c r="N108" s="96">
        <v>25</v>
      </c>
      <c r="O108" s="176">
        <f>M108+(F108*N108)</f>
        <v>34506.000000000007</v>
      </c>
      <c r="P108" s="180"/>
      <c r="Q108" s="52" t="s">
        <v>46</v>
      </c>
      <c r="R108" s="75" t="s">
        <v>77</v>
      </c>
      <c r="S108" s="145" t="str">
        <f>CONCATENATE(Q108,R108,AB108)</f>
        <v>BPD2013</v>
      </c>
      <c r="T108" s="145" t="str">
        <f>CONCATENATE(Q108,U108,AB108)</f>
        <v>B1.2.3.1.22013</v>
      </c>
      <c r="U108" s="145" t="s">
        <v>408</v>
      </c>
      <c r="V108" s="145" t="str">
        <f>LOOKUP(U108,$B$383:$B$420,$A$383:$A$420)</f>
        <v>Electrical Sector Assemblies</v>
      </c>
      <c r="AB108" s="33">
        <v>2013</v>
      </c>
      <c r="AC108" s="140">
        <f t="shared" ref="AC108:AG109" si="68">IF($Q108="B", (G108*$N108),0)</f>
        <v>0</v>
      </c>
      <c r="AD108" s="140">
        <f t="shared" si="68"/>
        <v>300</v>
      </c>
      <c r="AE108" s="140">
        <f t="shared" si="68"/>
        <v>0</v>
      </c>
      <c r="AF108" s="140">
        <f t="shared" si="68"/>
        <v>50</v>
      </c>
      <c r="AG108" s="140">
        <f t="shared" si="68"/>
        <v>0</v>
      </c>
      <c r="AH108" s="251">
        <f>IF($Q108="B", (F108*$N108),0)</f>
        <v>0</v>
      </c>
      <c r="AI108" s="252"/>
      <c r="AJ108" s="140"/>
      <c r="AK108" s="140"/>
      <c r="AL108" s="176"/>
      <c r="AM108" s="139">
        <f t="shared" ref="AM108:AQ109" si="69">IF($Q108="C", (G108*$N108),0)</f>
        <v>0</v>
      </c>
      <c r="AN108" s="140">
        <f t="shared" si="69"/>
        <v>0</v>
      </c>
      <c r="AO108" s="140">
        <f t="shared" si="69"/>
        <v>0</v>
      </c>
      <c r="AP108" s="140">
        <f t="shared" si="69"/>
        <v>0</v>
      </c>
      <c r="AQ108" s="140">
        <f t="shared" si="69"/>
        <v>0</v>
      </c>
      <c r="AR108" s="140">
        <f>IF($Q108="C", (F108*$N108),0)</f>
        <v>0</v>
      </c>
      <c r="AS108" s="252"/>
    </row>
    <row r="109" spans="1:45" s="20" customFormat="1">
      <c r="A109" s="79" t="s">
        <v>439</v>
      </c>
      <c r="B109" s="20" t="s">
        <v>33</v>
      </c>
      <c r="C109" s="175">
        <v>0.03</v>
      </c>
      <c r="D109" s="100" t="s">
        <v>9</v>
      </c>
      <c r="E109" s="176">
        <v>0</v>
      </c>
      <c r="F109" s="177">
        <f>E109*C109</f>
        <v>0</v>
      </c>
      <c r="G109" s="178">
        <v>0</v>
      </c>
      <c r="H109" s="178">
        <v>12</v>
      </c>
      <c r="I109" s="178">
        <v>0</v>
      </c>
      <c r="J109" s="178">
        <v>2</v>
      </c>
      <c r="K109" s="179">
        <v>0</v>
      </c>
      <c r="L109" s="100" t="s">
        <v>8</v>
      </c>
      <c r="M109" s="176">
        <f>IF(R109="PD",((Shop*G109)+(M_Tech*H109)+(CMM*I109)+(ENG*J109)+(DES*K109))*N109,((Shop_RD*G109)+(MTECH_RD*H109)+(CMM_RD*I109)+(ENG_RD*J109)+(DES_RD*K109))*N109)</f>
        <v>13802.400000000001</v>
      </c>
      <c r="N109" s="96">
        <v>10</v>
      </c>
      <c r="O109" s="176">
        <f>M109+(F109*N109)</f>
        <v>13802.400000000001</v>
      </c>
      <c r="P109" s="180"/>
      <c r="Q109" s="52" t="s">
        <v>47</v>
      </c>
      <c r="R109" s="75" t="s">
        <v>77</v>
      </c>
      <c r="S109" s="145" t="str">
        <f>CONCATENATE(Q109,R109,AB109)</f>
        <v>CPD2013</v>
      </c>
      <c r="T109" s="145" t="str">
        <f>CONCATENATE(Q109,U109,AB109)</f>
        <v>C1.2.3.1.22013</v>
      </c>
      <c r="U109" s="145" t="s">
        <v>408</v>
      </c>
      <c r="V109" s="145" t="str">
        <f>LOOKUP(U109,$B$383:$B$420,$A$383:$A$420)</f>
        <v>Electrical Sector Assemblies</v>
      </c>
      <c r="AB109" s="33">
        <v>2013</v>
      </c>
      <c r="AC109" s="140">
        <f t="shared" si="68"/>
        <v>0</v>
      </c>
      <c r="AD109" s="140">
        <f t="shared" si="68"/>
        <v>0</v>
      </c>
      <c r="AE109" s="140">
        <f t="shared" si="68"/>
        <v>0</v>
      </c>
      <c r="AF109" s="140">
        <f t="shared" si="68"/>
        <v>0</v>
      </c>
      <c r="AG109" s="140">
        <f t="shared" si="68"/>
        <v>0</v>
      </c>
      <c r="AH109" s="251">
        <f>IF($Q109="B", (F109*$N109),0)</f>
        <v>0</v>
      </c>
      <c r="AI109" s="252"/>
      <c r="AJ109" s="140"/>
      <c r="AK109" s="140"/>
      <c r="AL109" s="176"/>
      <c r="AM109" s="139">
        <f t="shared" si="69"/>
        <v>0</v>
      </c>
      <c r="AN109" s="140">
        <f t="shared" si="69"/>
        <v>120</v>
      </c>
      <c r="AO109" s="140">
        <f t="shared" si="69"/>
        <v>0</v>
      </c>
      <c r="AP109" s="140">
        <f t="shared" si="69"/>
        <v>20</v>
      </c>
      <c r="AQ109" s="140">
        <f t="shared" si="69"/>
        <v>0</v>
      </c>
      <c r="AR109" s="140">
        <f>IF($Q109="C", (F109*$N109),0)</f>
        <v>0</v>
      </c>
      <c r="AS109" s="252"/>
    </row>
    <row r="110" spans="1:45" s="20" customFormat="1">
      <c r="A110" s="47" t="s">
        <v>441</v>
      </c>
      <c r="C110" s="175"/>
      <c r="D110" s="100"/>
      <c r="E110" s="61"/>
      <c r="F110" s="62"/>
      <c r="G110" s="63"/>
      <c r="H110" s="63"/>
      <c r="I110" s="63"/>
      <c r="J110" s="63"/>
      <c r="K110" s="64"/>
      <c r="L110" s="234" t="s">
        <v>66</v>
      </c>
      <c r="M110" s="188">
        <f>SUMIF(Q108:Q109,"B",M108:M109)</f>
        <v>34506.000000000007</v>
      </c>
      <c r="N110" s="69" t="s">
        <v>65</v>
      </c>
      <c r="O110" s="176"/>
      <c r="P110" s="180"/>
      <c r="Q110" s="52"/>
      <c r="R110" s="75"/>
      <c r="S110" s="145"/>
      <c r="T110" s="145"/>
      <c r="U110" s="145"/>
      <c r="V110" s="145"/>
      <c r="AB110" s="33"/>
      <c r="AC110" s="140"/>
      <c r="AD110" s="140"/>
      <c r="AE110" s="143"/>
      <c r="AF110" s="140"/>
      <c r="AG110" s="140"/>
      <c r="AH110" s="251"/>
      <c r="AI110" s="252"/>
      <c r="AJ110" s="140"/>
      <c r="AK110" s="140"/>
      <c r="AL110" s="176"/>
      <c r="AM110" s="139"/>
      <c r="AN110" s="140"/>
      <c r="AO110" s="140"/>
      <c r="AP110" s="140"/>
      <c r="AQ110" s="140"/>
      <c r="AR110" s="140"/>
      <c r="AS110" s="252"/>
    </row>
    <row r="111" spans="1:45" s="20" customFormat="1">
      <c r="A111" s="46" t="s">
        <v>442</v>
      </c>
      <c r="B111" s="20" t="s">
        <v>7</v>
      </c>
      <c r="C111" s="175">
        <v>15</v>
      </c>
      <c r="D111" s="100" t="s">
        <v>38</v>
      </c>
      <c r="E111" s="176">
        <v>8</v>
      </c>
      <c r="F111" s="177">
        <f t="shared" ref="F111:F121" si="70">E111*C111</f>
        <v>120</v>
      </c>
      <c r="G111" s="374">
        <v>8</v>
      </c>
      <c r="H111" s="178">
        <v>0</v>
      </c>
      <c r="I111" s="178">
        <v>16</v>
      </c>
      <c r="J111" s="374">
        <v>4</v>
      </c>
      <c r="K111" s="179">
        <v>0</v>
      </c>
      <c r="L111" s="100" t="s">
        <v>8</v>
      </c>
      <c r="M111" s="176">
        <f t="shared" ref="M111:M121" si="71">IF(R111="PD",((Shop*G111)+(M_Tech*H111)+(CMM*I111)+(ENG*J111)+(DES*K111))*N111,((Shop_RD*G111)+(MTECH_RD*H111)+(CMM_RD*I111)+(ENG_RD*J111)+(DES_RD*K111))*N111)</f>
        <v>5870.88</v>
      </c>
      <c r="N111" s="96">
        <v>2</v>
      </c>
      <c r="O111" s="176">
        <f t="shared" ref="O111:O121" si="72">M111+(F111*N111)</f>
        <v>6110.88</v>
      </c>
      <c r="P111" s="180"/>
      <c r="Q111" s="52" t="s">
        <v>46</v>
      </c>
      <c r="R111" s="75" t="s">
        <v>77</v>
      </c>
      <c r="S111" s="145" t="str">
        <f t="shared" ref="S111:S121" si="73">CONCATENATE(Q111,R111,AB111)</f>
        <v>BPD2010</v>
      </c>
      <c r="T111" s="145" t="str">
        <f t="shared" ref="T111:T121" si="74">CONCATENATE(Q111,U111,AB111)</f>
        <v>B1.2.3.1.12010</v>
      </c>
      <c r="U111" s="145" t="s">
        <v>407</v>
      </c>
      <c r="V111" s="145" t="str">
        <f t="shared" ref="V111:V121" si="75">LOOKUP(U111,$B$383:$B$420,$A$383:$A$420)</f>
        <v>Mechanical Sector Assemblies</v>
      </c>
      <c r="AB111" s="33">
        <v>2010</v>
      </c>
      <c r="AC111" s="140">
        <f t="shared" ref="AC111:AC121" si="76">IF($Q111="B", (G111*$N111),0)</f>
        <v>16</v>
      </c>
      <c r="AD111" s="140">
        <f t="shared" ref="AD111:AD121" si="77">IF($Q111="B", (H111*$N111),0)</f>
        <v>0</v>
      </c>
      <c r="AE111" s="140">
        <f t="shared" ref="AE111:AE121" si="78">IF($Q111="B", (I111*$N111),0)</f>
        <v>32</v>
      </c>
      <c r="AF111" s="140">
        <f t="shared" ref="AF111:AF121" si="79">IF($Q111="B", (J111*$N111),0)</f>
        <v>8</v>
      </c>
      <c r="AG111" s="140">
        <f t="shared" ref="AG111:AG121" si="80">IF($Q111="B", (K111*$N111),0)</f>
        <v>0</v>
      </c>
      <c r="AH111" s="251">
        <f t="shared" ref="AH111:AH121" si="81">IF($Q111="B", (F111*$N111),0)</f>
        <v>240</v>
      </c>
      <c r="AI111" s="252"/>
      <c r="AJ111" s="140"/>
      <c r="AK111" s="140"/>
      <c r="AL111" s="176"/>
      <c r="AM111" s="139">
        <f t="shared" ref="AM111:AM121" si="82">IF($Q111="C", (G111*$N111),0)</f>
        <v>0</v>
      </c>
      <c r="AN111" s="140">
        <f t="shared" ref="AN111:AN121" si="83">IF($Q111="C", (H111*$N111),0)</f>
        <v>0</v>
      </c>
      <c r="AO111" s="140">
        <f t="shared" ref="AO111:AO121" si="84">IF($Q111="C", (I111*$N111),0)</f>
        <v>0</v>
      </c>
      <c r="AP111" s="140">
        <f t="shared" ref="AP111:AP121" si="85">IF($Q111="C", (J111*$N111),0)</f>
        <v>0</v>
      </c>
      <c r="AQ111" s="140">
        <f t="shared" ref="AQ111:AQ121" si="86">IF($Q111="C", (K111*$N111),0)</f>
        <v>0</v>
      </c>
      <c r="AR111" s="140">
        <f t="shared" ref="AR111:AR121" si="87">IF($Q111="C", (F111*$N111),0)</f>
        <v>0</v>
      </c>
      <c r="AS111" s="252"/>
    </row>
    <row r="112" spans="1:45" s="20" customFormat="1">
      <c r="A112" s="46" t="s">
        <v>444</v>
      </c>
      <c r="B112" s="20" t="s">
        <v>7</v>
      </c>
      <c r="C112" s="175">
        <v>15</v>
      </c>
      <c r="D112" s="100" t="s">
        <v>2</v>
      </c>
      <c r="E112" s="176">
        <v>8</v>
      </c>
      <c r="F112" s="177">
        <f t="shared" si="70"/>
        <v>120</v>
      </c>
      <c r="G112" s="178">
        <v>40</v>
      </c>
      <c r="H112" s="178">
        <v>0</v>
      </c>
      <c r="I112" s="178">
        <v>16</v>
      </c>
      <c r="J112" s="178">
        <v>20</v>
      </c>
      <c r="K112" s="179">
        <v>0</v>
      </c>
      <c r="L112" s="100" t="s">
        <v>8</v>
      </c>
      <c r="M112" s="176">
        <f t="shared" si="71"/>
        <v>16290.720000000001</v>
      </c>
      <c r="N112" s="96">
        <v>2</v>
      </c>
      <c r="O112" s="176">
        <f t="shared" si="72"/>
        <v>16530.72</v>
      </c>
      <c r="P112" s="180"/>
      <c r="Q112" s="52" t="s">
        <v>47</v>
      </c>
      <c r="R112" s="75" t="s">
        <v>77</v>
      </c>
      <c r="S112" s="145" t="str">
        <f t="shared" si="73"/>
        <v>CPD2011</v>
      </c>
      <c r="T112" s="145" t="str">
        <f t="shared" si="74"/>
        <v>C1.2.3.1.12011</v>
      </c>
      <c r="U112" s="145" t="s">
        <v>407</v>
      </c>
      <c r="V112" s="145" t="str">
        <f t="shared" si="75"/>
        <v>Mechanical Sector Assemblies</v>
      </c>
      <c r="AB112" s="33">
        <v>2011</v>
      </c>
      <c r="AC112" s="140">
        <f t="shared" si="76"/>
        <v>0</v>
      </c>
      <c r="AD112" s="140">
        <f t="shared" si="77"/>
        <v>0</v>
      </c>
      <c r="AE112" s="140">
        <f t="shared" si="78"/>
        <v>0</v>
      </c>
      <c r="AF112" s="140">
        <f t="shared" si="79"/>
        <v>0</v>
      </c>
      <c r="AG112" s="140">
        <f t="shared" si="80"/>
        <v>0</v>
      </c>
      <c r="AH112" s="251">
        <f t="shared" si="81"/>
        <v>0</v>
      </c>
      <c r="AI112" s="252"/>
      <c r="AJ112" s="140"/>
      <c r="AK112" s="140"/>
      <c r="AL112" s="176"/>
      <c r="AM112" s="139">
        <f t="shared" si="82"/>
        <v>80</v>
      </c>
      <c r="AN112" s="140">
        <f t="shared" si="83"/>
        <v>0</v>
      </c>
      <c r="AO112" s="140">
        <f t="shared" si="84"/>
        <v>32</v>
      </c>
      <c r="AP112" s="140">
        <f t="shared" si="85"/>
        <v>40</v>
      </c>
      <c r="AQ112" s="140">
        <f t="shared" si="86"/>
        <v>0</v>
      </c>
      <c r="AR112" s="140">
        <f t="shared" si="87"/>
        <v>240</v>
      </c>
      <c r="AS112" s="252"/>
    </row>
    <row r="113" spans="1:45" s="20" customFormat="1">
      <c r="A113" s="46" t="s">
        <v>516</v>
      </c>
      <c r="B113" s="20" t="s">
        <v>33</v>
      </c>
      <c r="C113" s="175">
        <v>0</v>
      </c>
      <c r="D113" s="100" t="s">
        <v>9</v>
      </c>
      <c r="E113" s="176">
        <v>0</v>
      </c>
      <c r="F113" s="177">
        <f t="shared" si="70"/>
        <v>0</v>
      </c>
      <c r="G113" s="178">
        <v>0</v>
      </c>
      <c r="H113" s="178">
        <v>0</v>
      </c>
      <c r="I113" s="178">
        <v>0</v>
      </c>
      <c r="J113" s="178">
        <v>40</v>
      </c>
      <c r="K113" s="179">
        <v>0</v>
      </c>
      <c r="L113" s="100" t="s">
        <v>8</v>
      </c>
      <c r="M113" s="176">
        <f t="shared" si="71"/>
        <v>4860.0000000000009</v>
      </c>
      <c r="N113" s="96">
        <v>1</v>
      </c>
      <c r="O113" s="176">
        <f t="shared" si="72"/>
        <v>4860.0000000000009</v>
      </c>
      <c r="P113" s="180"/>
      <c r="Q113" s="52" t="s">
        <v>46</v>
      </c>
      <c r="R113" s="75" t="s">
        <v>77</v>
      </c>
      <c r="S113" s="145" t="str">
        <f t="shared" si="73"/>
        <v>BPD2010</v>
      </c>
      <c r="T113" s="145" t="str">
        <f t="shared" si="74"/>
        <v>B1.2.3.1.12010</v>
      </c>
      <c r="U113" s="145" t="s">
        <v>407</v>
      </c>
      <c r="V113" s="145" t="str">
        <f t="shared" si="75"/>
        <v>Mechanical Sector Assemblies</v>
      </c>
      <c r="AB113" s="433">
        <v>2010</v>
      </c>
      <c r="AC113" s="140">
        <f t="shared" si="76"/>
        <v>0</v>
      </c>
      <c r="AD113" s="140">
        <f t="shared" si="77"/>
        <v>0</v>
      </c>
      <c r="AE113" s="140">
        <f t="shared" si="78"/>
        <v>0</v>
      </c>
      <c r="AF113" s="140">
        <f t="shared" si="79"/>
        <v>40</v>
      </c>
      <c r="AG113" s="140">
        <f t="shared" si="80"/>
        <v>0</v>
      </c>
      <c r="AH113" s="251">
        <f t="shared" si="81"/>
        <v>0</v>
      </c>
      <c r="AI113" s="252"/>
      <c r="AJ113" s="140"/>
      <c r="AK113" s="140"/>
      <c r="AL113" s="176"/>
      <c r="AM113" s="139">
        <f t="shared" si="82"/>
        <v>0</v>
      </c>
      <c r="AN113" s="140">
        <f t="shared" si="83"/>
        <v>0</v>
      </c>
      <c r="AO113" s="140">
        <f t="shared" si="84"/>
        <v>0</v>
      </c>
      <c r="AP113" s="140">
        <f t="shared" si="85"/>
        <v>0</v>
      </c>
      <c r="AQ113" s="140">
        <f t="shared" si="86"/>
        <v>0</v>
      </c>
      <c r="AR113" s="140">
        <f t="shared" si="87"/>
        <v>0</v>
      </c>
      <c r="AS113" s="252"/>
    </row>
    <row r="114" spans="1:45" s="20" customFormat="1">
      <c r="A114" s="46" t="s">
        <v>443</v>
      </c>
      <c r="B114" s="20" t="s">
        <v>33</v>
      </c>
      <c r="C114" s="175">
        <v>0</v>
      </c>
      <c r="D114" s="100" t="s">
        <v>9</v>
      </c>
      <c r="E114" s="176">
        <v>0</v>
      </c>
      <c r="F114" s="177">
        <f t="shared" si="70"/>
        <v>0</v>
      </c>
      <c r="G114" s="178">
        <v>0</v>
      </c>
      <c r="H114" s="178">
        <v>0</v>
      </c>
      <c r="I114" s="178">
        <v>24</v>
      </c>
      <c r="J114" s="178">
        <v>0</v>
      </c>
      <c r="K114" s="179">
        <v>0</v>
      </c>
      <c r="L114" s="100" t="s">
        <v>8</v>
      </c>
      <c r="M114" s="176">
        <f t="shared" si="71"/>
        <v>2449.44</v>
      </c>
      <c r="N114" s="96">
        <v>1</v>
      </c>
      <c r="O114" s="176">
        <f t="shared" si="72"/>
        <v>2449.44</v>
      </c>
      <c r="P114" s="180"/>
      <c r="Q114" s="52" t="s">
        <v>46</v>
      </c>
      <c r="R114" s="75" t="s">
        <v>77</v>
      </c>
      <c r="S114" s="145" t="str">
        <f t="shared" si="73"/>
        <v>BPD2010</v>
      </c>
      <c r="T114" s="145" t="str">
        <f t="shared" si="74"/>
        <v>B1.2.3.1.12010</v>
      </c>
      <c r="U114" s="145" t="s">
        <v>407</v>
      </c>
      <c r="V114" s="145" t="str">
        <f t="shared" si="75"/>
        <v>Mechanical Sector Assemblies</v>
      </c>
      <c r="AB114" s="33">
        <v>2010</v>
      </c>
      <c r="AC114" s="140">
        <f t="shared" si="76"/>
        <v>0</v>
      </c>
      <c r="AD114" s="140">
        <f t="shared" si="77"/>
        <v>0</v>
      </c>
      <c r="AE114" s="140">
        <f t="shared" si="78"/>
        <v>24</v>
      </c>
      <c r="AF114" s="140">
        <f t="shared" si="79"/>
        <v>0</v>
      </c>
      <c r="AG114" s="140">
        <f t="shared" si="80"/>
        <v>0</v>
      </c>
      <c r="AH114" s="251">
        <f t="shared" si="81"/>
        <v>0</v>
      </c>
      <c r="AI114" s="252"/>
      <c r="AJ114" s="140"/>
      <c r="AK114" s="140"/>
      <c r="AL114" s="176"/>
      <c r="AM114" s="139">
        <f t="shared" si="82"/>
        <v>0</v>
      </c>
      <c r="AN114" s="140">
        <f t="shared" si="83"/>
        <v>0</v>
      </c>
      <c r="AO114" s="140">
        <f t="shared" si="84"/>
        <v>0</v>
      </c>
      <c r="AP114" s="140">
        <f t="shared" si="85"/>
        <v>0</v>
      </c>
      <c r="AQ114" s="140">
        <f t="shared" si="86"/>
        <v>0</v>
      </c>
      <c r="AR114" s="140">
        <f t="shared" si="87"/>
        <v>0</v>
      </c>
      <c r="AS114" s="252"/>
    </row>
    <row r="115" spans="1:45" s="20" customFormat="1">
      <c r="A115" s="46" t="s">
        <v>445</v>
      </c>
      <c r="B115" s="20" t="s">
        <v>33</v>
      </c>
      <c r="C115" s="175">
        <v>0</v>
      </c>
      <c r="D115" s="100" t="s">
        <v>9</v>
      </c>
      <c r="E115" s="176">
        <v>0</v>
      </c>
      <c r="F115" s="177">
        <f t="shared" si="70"/>
        <v>0</v>
      </c>
      <c r="G115" s="178">
        <v>7.75</v>
      </c>
      <c r="H115" s="178">
        <v>0</v>
      </c>
      <c r="I115" s="178">
        <v>16</v>
      </c>
      <c r="J115" s="178">
        <v>40</v>
      </c>
      <c r="K115" s="179">
        <v>0</v>
      </c>
      <c r="L115" s="100" t="s">
        <v>8</v>
      </c>
      <c r="M115" s="176">
        <f t="shared" si="71"/>
        <v>7283.9250000000011</v>
      </c>
      <c r="N115" s="96">
        <v>1</v>
      </c>
      <c r="O115" s="176">
        <f t="shared" si="72"/>
        <v>7283.9250000000011</v>
      </c>
      <c r="P115" s="180"/>
      <c r="Q115" s="52" t="s">
        <v>47</v>
      </c>
      <c r="R115" s="75" t="s">
        <v>77</v>
      </c>
      <c r="S115" s="145" t="str">
        <f t="shared" si="73"/>
        <v>CPD2011</v>
      </c>
      <c r="T115" s="145" t="str">
        <f t="shared" si="74"/>
        <v>C1.2.3.1.12011</v>
      </c>
      <c r="U115" s="145" t="s">
        <v>407</v>
      </c>
      <c r="V115" s="145" t="str">
        <f t="shared" si="75"/>
        <v>Mechanical Sector Assemblies</v>
      </c>
      <c r="AB115" s="33">
        <v>2011</v>
      </c>
      <c r="AC115" s="140">
        <f t="shared" si="76"/>
        <v>0</v>
      </c>
      <c r="AD115" s="140">
        <f t="shared" si="77"/>
        <v>0</v>
      </c>
      <c r="AE115" s="140">
        <f t="shared" si="78"/>
        <v>0</v>
      </c>
      <c r="AF115" s="140">
        <f t="shared" si="79"/>
        <v>0</v>
      </c>
      <c r="AG115" s="140">
        <f t="shared" si="80"/>
        <v>0</v>
      </c>
      <c r="AH115" s="251">
        <f t="shared" si="81"/>
        <v>0</v>
      </c>
      <c r="AI115" s="252"/>
      <c r="AJ115" s="140"/>
      <c r="AK115" s="140"/>
      <c r="AL115" s="176"/>
      <c r="AM115" s="139">
        <f t="shared" si="82"/>
        <v>7.75</v>
      </c>
      <c r="AN115" s="140">
        <f t="shared" si="83"/>
        <v>0</v>
      </c>
      <c r="AO115" s="140">
        <f t="shared" si="84"/>
        <v>16</v>
      </c>
      <c r="AP115" s="140">
        <f t="shared" si="85"/>
        <v>40</v>
      </c>
      <c r="AQ115" s="140">
        <f t="shared" si="86"/>
        <v>0</v>
      </c>
      <c r="AR115" s="140">
        <f t="shared" si="87"/>
        <v>0</v>
      </c>
      <c r="AS115" s="252"/>
    </row>
    <row r="116" spans="1:45" s="20" customFormat="1" hidden="1">
      <c r="A116" s="46" t="s">
        <v>247</v>
      </c>
      <c r="B116" s="20" t="s">
        <v>95</v>
      </c>
      <c r="C116" s="175">
        <v>1</v>
      </c>
      <c r="D116" s="100" t="s">
        <v>2</v>
      </c>
      <c r="E116" s="176">
        <v>150</v>
      </c>
      <c r="F116" s="177">
        <f t="shared" si="70"/>
        <v>150</v>
      </c>
      <c r="G116" s="178">
        <v>0</v>
      </c>
      <c r="H116" s="178">
        <v>0</v>
      </c>
      <c r="I116" s="178">
        <v>0</v>
      </c>
      <c r="J116" s="178">
        <v>0</v>
      </c>
      <c r="K116" s="179">
        <v>0</v>
      </c>
      <c r="L116" s="100" t="s">
        <v>8</v>
      </c>
      <c r="M116" s="176">
        <f t="shared" si="71"/>
        <v>0</v>
      </c>
      <c r="N116" s="96">
        <v>0</v>
      </c>
      <c r="O116" s="176">
        <f t="shared" si="72"/>
        <v>0</v>
      </c>
      <c r="P116" s="180"/>
      <c r="Q116" s="52" t="s">
        <v>46</v>
      </c>
      <c r="R116" s="75" t="s">
        <v>221</v>
      </c>
      <c r="S116" s="145" t="str">
        <f t="shared" si="73"/>
        <v>BPT2011</v>
      </c>
      <c r="T116" s="145" t="str">
        <f t="shared" si="74"/>
        <v>B1.2.3.1.12011</v>
      </c>
      <c r="U116" s="145" t="s">
        <v>407</v>
      </c>
      <c r="V116" s="145" t="str">
        <f t="shared" si="75"/>
        <v>Mechanical Sector Assemblies</v>
      </c>
      <c r="AB116" s="33">
        <v>2011</v>
      </c>
      <c r="AC116" s="140">
        <f t="shared" si="76"/>
        <v>0</v>
      </c>
      <c r="AD116" s="140">
        <f t="shared" si="77"/>
        <v>0</v>
      </c>
      <c r="AE116" s="140">
        <f t="shared" si="78"/>
        <v>0</v>
      </c>
      <c r="AF116" s="140">
        <f t="shared" si="79"/>
        <v>0</v>
      </c>
      <c r="AG116" s="140">
        <f t="shared" si="80"/>
        <v>0</v>
      </c>
      <c r="AH116" s="251">
        <f t="shared" si="81"/>
        <v>0</v>
      </c>
      <c r="AI116" s="252"/>
      <c r="AJ116" s="140"/>
      <c r="AK116" s="140"/>
      <c r="AL116" s="176"/>
      <c r="AM116" s="139">
        <f t="shared" si="82"/>
        <v>0</v>
      </c>
      <c r="AN116" s="140">
        <f t="shared" si="83"/>
        <v>0</v>
      </c>
      <c r="AO116" s="140">
        <f t="shared" si="84"/>
        <v>0</v>
      </c>
      <c r="AP116" s="140">
        <f t="shared" si="85"/>
        <v>0</v>
      </c>
      <c r="AQ116" s="140">
        <f t="shared" si="86"/>
        <v>0</v>
      </c>
      <c r="AR116" s="140">
        <f t="shared" si="87"/>
        <v>0</v>
      </c>
      <c r="AS116" s="252"/>
    </row>
    <row r="117" spans="1:45" s="20" customFormat="1">
      <c r="A117" s="46" t="s">
        <v>248</v>
      </c>
      <c r="B117" s="20" t="s">
        <v>7</v>
      </c>
      <c r="C117" s="175">
        <v>6</v>
      </c>
      <c r="D117" s="100" t="s">
        <v>38</v>
      </c>
      <c r="E117" s="176">
        <v>8</v>
      </c>
      <c r="F117" s="177">
        <f t="shared" si="70"/>
        <v>48</v>
      </c>
      <c r="G117" s="178">
        <v>7.75</v>
      </c>
      <c r="H117" s="178">
        <v>0</v>
      </c>
      <c r="I117" s="178">
        <v>0</v>
      </c>
      <c r="J117" s="178">
        <v>4</v>
      </c>
      <c r="K117" s="179">
        <v>0</v>
      </c>
      <c r="L117" s="100" t="s">
        <v>8</v>
      </c>
      <c r="M117" s="176">
        <f t="shared" si="71"/>
        <v>15323.580000000002</v>
      </c>
      <c r="N117" s="96">
        <v>12</v>
      </c>
      <c r="O117" s="176">
        <f t="shared" si="72"/>
        <v>15899.580000000002</v>
      </c>
      <c r="P117" s="180"/>
      <c r="Q117" s="52" t="s">
        <v>47</v>
      </c>
      <c r="R117" s="75" t="s">
        <v>77</v>
      </c>
      <c r="S117" s="145" t="str">
        <f t="shared" si="73"/>
        <v>CPD2012</v>
      </c>
      <c r="T117" s="145" t="str">
        <f t="shared" si="74"/>
        <v>C1.2.3.1.12012</v>
      </c>
      <c r="U117" s="145" t="s">
        <v>407</v>
      </c>
      <c r="V117" s="145" t="str">
        <f t="shared" si="75"/>
        <v>Mechanical Sector Assemblies</v>
      </c>
      <c r="AB117" s="33">
        <v>2012</v>
      </c>
      <c r="AC117" s="140">
        <f t="shared" si="76"/>
        <v>0</v>
      </c>
      <c r="AD117" s="140">
        <f t="shared" si="77"/>
        <v>0</v>
      </c>
      <c r="AE117" s="140">
        <f t="shared" si="78"/>
        <v>0</v>
      </c>
      <c r="AF117" s="140">
        <f t="shared" si="79"/>
        <v>0</v>
      </c>
      <c r="AG117" s="140">
        <f t="shared" si="80"/>
        <v>0</v>
      </c>
      <c r="AH117" s="251">
        <f t="shared" si="81"/>
        <v>0</v>
      </c>
      <c r="AI117" s="252"/>
      <c r="AJ117" s="140"/>
      <c r="AK117" s="140"/>
      <c r="AL117" s="176"/>
      <c r="AM117" s="139">
        <f t="shared" si="82"/>
        <v>93</v>
      </c>
      <c r="AN117" s="140">
        <f t="shared" si="83"/>
        <v>0</v>
      </c>
      <c r="AO117" s="140">
        <f t="shared" si="84"/>
        <v>0</v>
      </c>
      <c r="AP117" s="140">
        <f t="shared" si="85"/>
        <v>48</v>
      </c>
      <c r="AQ117" s="140">
        <f t="shared" si="86"/>
        <v>0</v>
      </c>
      <c r="AR117" s="140">
        <f t="shared" si="87"/>
        <v>576</v>
      </c>
      <c r="AS117" s="252"/>
    </row>
    <row r="118" spans="1:45" s="20" customFormat="1" hidden="1">
      <c r="A118" s="46" t="s">
        <v>249</v>
      </c>
      <c r="B118" s="20" t="s">
        <v>95</v>
      </c>
      <c r="C118" s="175">
        <v>1</v>
      </c>
      <c r="D118" s="100" t="s">
        <v>2</v>
      </c>
      <c r="E118" s="176">
        <v>50</v>
      </c>
      <c r="F118" s="177">
        <f t="shared" si="70"/>
        <v>50</v>
      </c>
      <c r="G118" s="178">
        <v>0</v>
      </c>
      <c r="H118" s="178">
        <v>0</v>
      </c>
      <c r="I118" s="178">
        <v>0</v>
      </c>
      <c r="J118" s="178">
        <v>2</v>
      </c>
      <c r="K118" s="179">
        <v>0</v>
      </c>
      <c r="L118" s="100" t="s">
        <v>8</v>
      </c>
      <c r="M118" s="176">
        <f t="shared" si="71"/>
        <v>0</v>
      </c>
      <c r="N118" s="96">
        <v>0</v>
      </c>
      <c r="O118" s="176">
        <f t="shared" si="72"/>
        <v>0</v>
      </c>
      <c r="P118" s="180"/>
      <c r="Q118" s="52" t="s">
        <v>47</v>
      </c>
      <c r="R118" s="75" t="s">
        <v>77</v>
      </c>
      <c r="S118" s="145" t="str">
        <f t="shared" si="73"/>
        <v>CPD2011</v>
      </c>
      <c r="T118" s="145" t="str">
        <f t="shared" si="74"/>
        <v>C1.2.3.1.12011</v>
      </c>
      <c r="U118" s="145" t="s">
        <v>407</v>
      </c>
      <c r="V118" s="145" t="str">
        <f t="shared" si="75"/>
        <v>Mechanical Sector Assemblies</v>
      </c>
      <c r="AB118" s="33">
        <v>2011</v>
      </c>
      <c r="AC118" s="140">
        <f t="shared" si="76"/>
        <v>0</v>
      </c>
      <c r="AD118" s="140">
        <f t="shared" si="77"/>
        <v>0</v>
      </c>
      <c r="AE118" s="140">
        <f t="shared" si="78"/>
        <v>0</v>
      </c>
      <c r="AF118" s="140">
        <f t="shared" si="79"/>
        <v>0</v>
      </c>
      <c r="AG118" s="140">
        <f t="shared" si="80"/>
        <v>0</v>
      </c>
      <c r="AH118" s="251">
        <f t="shared" si="81"/>
        <v>0</v>
      </c>
      <c r="AI118" s="252"/>
      <c r="AJ118" s="140"/>
      <c r="AK118" s="140"/>
      <c r="AL118" s="176"/>
      <c r="AM118" s="139">
        <f t="shared" si="82"/>
        <v>0</v>
      </c>
      <c r="AN118" s="140">
        <f t="shared" si="83"/>
        <v>0</v>
      </c>
      <c r="AO118" s="140">
        <f t="shared" si="84"/>
        <v>0</v>
      </c>
      <c r="AP118" s="140">
        <f t="shared" si="85"/>
        <v>0</v>
      </c>
      <c r="AQ118" s="140">
        <f t="shared" si="86"/>
        <v>0</v>
      </c>
      <c r="AR118" s="140">
        <f t="shared" si="87"/>
        <v>0</v>
      </c>
      <c r="AS118" s="252"/>
    </row>
    <row r="119" spans="1:45" s="20" customFormat="1" hidden="1">
      <c r="A119" s="46" t="s">
        <v>250</v>
      </c>
      <c r="B119" s="20" t="s">
        <v>95</v>
      </c>
      <c r="C119" s="175">
        <v>1</v>
      </c>
      <c r="D119" s="100" t="s">
        <v>2</v>
      </c>
      <c r="E119" s="176">
        <v>50</v>
      </c>
      <c r="F119" s="177">
        <f t="shared" si="70"/>
        <v>50</v>
      </c>
      <c r="G119" s="178">
        <v>0</v>
      </c>
      <c r="H119" s="178">
        <v>0</v>
      </c>
      <c r="I119" s="178">
        <v>0</v>
      </c>
      <c r="J119" s="178">
        <v>0</v>
      </c>
      <c r="K119" s="179">
        <v>0</v>
      </c>
      <c r="L119" s="100" t="s">
        <v>8</v>
      </c>
      <c r="M119" s="176">
        <f t="shared" si="71"/>
        <v>0</v>
      </c>
      <c r="N119" s="96">
        <v>0</v>
      </c>
      <c r="O119" s="176">
        <f t="shared" si="72"/>
        <v>0</v>
      </c>
      <c r="P119" s="180"/>
      <c r="Q119" s="52" t="s">
        <v>46</v>
      </c>
      <c r="R119" s="75" t="s">
        <v>221</v>
      </c>
      <c r="S119" s="145" t="str">
        <f t="shared" si="73"/>
        <v>BPT2009</v>
      </c>
      <c r="T119" s="145" t="str">
        <f t="shared" si="74"/>
        <v>B1.2.3.1.12009</v>
      </c>
      <c r="U119" s="145" t="s">
        <v>407</v>
      </c>
      <c r="V119" s="145" t="str">
        <f t="shared" si="75"/>
        <v>Mechanical Sector Assemblies</v>
      </c>
      <c r="AB119" s="33">
        <v>2009</v>
      </c>
      <c r="AC119" s="140">
        <f t="shared" si="76"/>
        <v>0</v>
      </c>
      <c r="AD119" s="140">
        <f t="shared" si="77"/>
        <v>0</v>
      </c>
      <c r="AE119" s="140">
        <f t="shared" si="78"/>
        <v>0</v>
      </c>
      <c r="AF119" s="140">
        <f t="shared" si="79"/>
        <v>0</v>
      </c>
      <c r="AG119" s="140">
        <f t="shared" si="80"/>
        <v>0</v>
      </c>
      <c r="AH119" s="251">
        <f t="shared" si="81"/>
        <v>0</v>
      </c>
      <c r="AI119" s="252"/>
      <c r="AJ119" s="140"/>
      <c r="AK119" s="140"/>
      <c r="AL119" s="176"/>
      <c r="AM119" s="139">
        <f t="shared" si="82"/>
        <v>0</v>
      </c>
      <c r="AN119" s="140">
        <f t="shared" si="83"/>
        <v>0</v>
      </c>
      <c r="AO119" s="140">
        <f t="shared" si="84"/>
        <v>0</v>
      </c>
      <c r="AP119" s="140">
        <f t="shared" si="85"/>
        <v>0</v>
      </c>
      <c r="AQ119" s="140">
        <f t="shared" si="86"/>
        <v>0</v>
      </c>
      <c r="AR119" s="140">
        <f t="shared" si="87"/>
        <v>0</v>
      </c>
      <c r="AS119" s="252"/>
    </row>
    <row r="120" spans="1:45" s="20" customFormat="1">
      <c r="A120" s="46" t="s">
        <v>251</v>
      </c>
      <c r="B120" s="20" t="s">
        <v>95</v>
      </c>
      <c r="C120" s="175">
        <v>1</v>
      </c>
      <c r="D120" s="100" t="s">
        <v>2</v>
      </c>
      <c r="E120" s="176">
        <v>50</v>
      </c>
      <c r="F120" s="177">
        <f t="shared" si="70"/>
        <v>50</v>
      </c>
      <c r="G120" s="178">
        <v>0</v>
      </c>
      <c r="H120" s="178">
        <v>0</v>
      </c>
      <c r="I120" s="178">
        <v>0</v>
      </c>
      <c r="J120" s="178">
        <v>2</v>
      </c>
      <c r="K120" s="179">
        <v>0</v>
      </c>
      <c r="L120" s="100" t="s">
        <v>8</v>
      </c>
      <c r="M120" s="176">
        <f t="shared" si="71"/>
        <v>3600</v>
      </c>
      <c r="N120" s="96">
        <v>12</v>
      </c>
      <c r="O120" s="176">
        <f t="shared" si="72"/>
        <v>4200</v>
      </c>
      <c r="P120" s="180"/>
      <c r="Q120" s="52" t="s">
        <v>46</v>
      </c>
      <c r="R120" s="75" t="s">
        <v>221</v>
      </c>
      <c r="S120" s="145" t="str">
        <f t="shared" si="73"/>
        <v>BPT2011</v>
      </c>
      <c r="T120" s="145" t="str">
        <f t="shared" si="74"/>
        <v>B1.2.3.1.12011</v>
      </c>
      <c r="U120" s="145" t="s">
        <v>407</v>
      </c>
      <c r="V120" s="145" t="str">
        <f t="shared" si="75"/>
        <v>Mechanical Sector Assemblies</v>
      </c>
      <c r="AB120" s="33">
        <v>2011</v>
      </c>
      <c r="AC120" s="140">
        <f t="shared" si="76"/>
        <v>0</v>
      </c>
      <c r="AD120" s="140">
        <f t="shared" si="77"/>
        <v>0</v>
      </c>
      <c r="AE120" s="140">
        <f t="shared" si="78"/>
        <v>0</v>
      </c>
      <c r="AF120" s="140">
        <f t="shared" si="79"/>
        <v>24</v>
      </c>
      <c r="AG120" s="140">
        <f t="shared" si="80"/>
        <v>0</v>
      </c>
      <c r="AH120" s="251">
        <f t="shared" si="81"/>
        <v>600</v>
      </c>
      <c r="AI120" s="252"/>
      <c r="AJ120" s="140"/>
      <c r="AK120" s="140"/>
      <c r="AL120" s="176"/>
      <c r="AM120" s="139">
        <f t="shared" si="82"/>
        <v>0</v>
      </c>
      <c r="AN120" s="140">
        <f t="shared" si="83"/>
        <v>0</v>
      </c>
      <c r="AO120" s="140">
        <f t="shared" si="84"/>
        <v>0</v>
      </c>
      <c r="AP120" s="140">
        <f t="shared" si="85"/>
        <v>0</v>
      </c>
      <c r="AQ120" s="140">
        <f t="shared" si="86"/>
        <v>0</v>
      </c>
      <c r="AR120" s="140">
        <f t="shared" si="87"/>
        <v>0</v>
      </c>
      <c r="AS120" s="252"/>
    </row>
    <row r="121" spans="1:45" s="20" customFormat="1">
      <c r="A121" s="46" t="s">
        <v>252</v>
      </c>
      <c r="B121" s="20" t="s">
        <v>95</v>
      </c>
      <c r="C121" s="175">
        <v>1</v>
      </c>
      <c r="D121" s="100" t="s">
        <v>2</v>
      </c>
      <c r="E121" s="176">
        <v>150</v>
      </c>
      <c r="F121" s="177">
        <f t="shared" si="70"/>
        <v>150</v>
      </c>
      <c r="G121" s="178">
        <v>0</v>
      </c>
      <c r="H121" s="178">
        <v>0</v>
      </c>
      <c r="I121" s="178">
        <v>0</v>
      </c>
      <c r="J121" s="178">
        <v>2</v>
      </c>
      <c r="K121" s="179">
        <v>0</v>
      </c>
      <c r="L121" s="100" t="s">
        <v>8</v>
      </c>
      <c r="M121" s="176">
        <f t="shared" si="71"/>
        <v>2916.0000000000005</v>
      </c>
      <c r="N121" s="96">
        <v>12</v>
      </c>
      <c r="O121" s="176">
        <f t="shared" si="72"/>
        <v>4716</v>
      </c>
      <c r="P121" s="180"/>
      <c r="Q121" s="52" t="s">
        <v>47</v>
      </c>
      <c r="R121" s="75" t="s">
        <v>77</v>
      </c>
      <c r="S121" s="145" t="str">
        <f t="shared" si="73"/>
        <v>CPD2011</v>
      </c>
      <c r="T121" s="145" t="str">
        <f t="shared" si="74"/>
        <v>C1.2.3.1.12011</v>
      </c>
      <c r="U121" s="145" t="s">
        <v>407</v>
      </c>
      <c r="V121" s="145" t="str">
        <f t="shared" si="75"/>
        <v>Mechanical Sector Assemblies</v>
      </c>
      <c r="AB121" s="33">
        <v>2011</v>
      </c>
      <c r="AC121" s="140">
        <f t="shared" si="76"/>
        <v>0</v>
      </c>
      <c r="AD121" s="140">
        <f t="shared" si="77"/>
        <v>0</v>
      </c>
      <c r="AE121" s="140">
        <f t="shared" si="78"/>
        <v>0</v>
      </c>
      <c r="AF121" s="140">
        <f t="shared" si="79"/>
        <v>0</v>
      </c>
      <c r="AG121" s="140">
        <f t="shared" si="80"/>
        <v>0</v>
      </c>
      <c r="AH121" s="251">
        <f t="shared" si="81"/>
        <v>0</v>
      </c>
      <c r="AI121" s="252"/>
      <c r="AJ121" s="140"/>
      <c r="AK121" s="140"/>
      <c r="AL121" s="176"/>
      <c r="AM121" s="139">
        <f t="shared" si="82"/>
        <v>0</v>
      </c>
      <c r="AN121" s="140">
        <f t="shared" si="83"/>
        <v>0</v>
      </c>
      <c r="AO121" s="140">
        <f t="shared" si="84"/>
        <v>0</v>
      </c>
      <c r="AP121" s="140">
        <f t="shared" si="85"/>
        <v>24</v>
      </c>
      <c r="AQ121" s="140">
        <f t="shared" si="86"/>
        <v>0</v>
      </c>
      <c r="AR121" s="140">
        <f t="shared" si="87"/>
        <v>1800</v>
      </c>
      <c r="AS121" s="252"/>
    </row>
    <row r="122" spans="1:45" s="20" customFormat="1">
      <c r="A122" s="47" t="s">
        <v>254</v>
      </c>
      <c r="C122" s="175"/>
      <c r="D122" s="100"/>
      <c r="E122" s="61"/>
      <c r="F122" s="62"/>
      <c r="G122" s="63"/>
      <c r="H122" s="63"/>
      <c r="I122" s="63"/>
      <c r="J122" s="63"/>
      <c r="K122" s="64"/>
      <c r="L122" s="234" t="s">
        <v>66</v>
      </c>
      <c r="M122" s="188">
        <f>SUMIF(Q111:Q121,"B",M111:M121)</f>
        <v>16780.32</v>
      </c>
      <c r="N122" s="69" t="s">
        <v>65</v>
      </c>
      <c r="O122" s="176"/>
      <c r="P122" s="180"/>
      <c r="Q122" s="52"/>
      <c r="R122" s="75"/>
      <c r="S122" s="145"/>
      <c r="T122" s="145"/>
      <c r="U122" s="145"/>
      <c r="V122" s="145"/>
      <c r="AB122" s="33"/>
      <c r="AC122" s="140"/>
      <c r="AD122" s="140"/>
      <c r="AE122" s="143"/>
      <c r="AF122" s="140"/>
      <c r="AG122" s="140"/>
      <c r="AH122" s="251"/>
      <c r="AI122" s="252"/>
      <c r="AJ122" s="140"/>
      <c r="AK122" s="140"/>
      <c r="AL122" s="176"/>
      <c r="AM122" s="139"/>
      <c r="AN122" s="140"/>
      <c r="AO122" s="140"/>
      <c r="AP122" s="140"/>
      <c r="AQ122" s="140"/>
      <c r="AR122" s="140"/>
      <c r="AS122" s="252"/>
    </row>
    <row r="123" spans="1:45" s="20" customFormat="1">
      <c r="A123" s="46" t="s">
        <v>255</v>
      </c>
      <c r="B123" s="20" t="s">
        <v>7</v>
      </c>
      <c r="C123" s="175">
        <v>6</v>
      </c>
      <c r="D123" s="100" t="s">
        <v>38</v>
      </c>
      <c r="E123" s="176">
        <v>8</v>
      </c>
      <c r="F123" s="177">
        <f>E123*C123</f>
        <v>48</v>
      </c>
      <c r="G123" s="178">
        <v>7.75</v>
      </c>
      <c r="H123" s="178">
        <v>0</v>
      </c>
      <c r="I123" s="178">
        <v>0</v>
      </c>
      <c r="J123" s="178">
        <v>2</v>
      </c>
      <c r="K123" s="179">
        <v>0</v>
      </c>
      <c r="L123" s="100" t="s">
        <v>8</v>
      </c>
      <c r="M123" s="176">
        <f>IF(R123="PD",((Shop*G123)+(M_Tech*H123)+(CMM*I123)+(ENG*J123)+(DES*K123))*N123,((Shop_RD*G123)+(MTECH_RD*H123)+(CMM_RD*I123)+(ENG_RD*J123)+(DES_RD*K123))*N123)</f>
        <v>25849.125000000004</v>
      </c>
      <c r="N123" s="96">
        <v>25</v>
      </c>
      <c r="O123" s="176">
        <f>M123+(F123*N123)</f>
        <v>27049.125000000004</v>
      </c>
      <c r="P123" s="180"/>
      <c r="Q123" s="52" t="s">
        <v>46</v>
      </c>
      <c r="R123" s="75" t="s">
        <v>77</v>
      </c>
      <c r="S123" s="145" t="str">
        <f>CONCATENATE(Q123,R123,AB123)</f>
        <v>BPD2013</v>
      </c>
      <c r="T123" s="145" t="str">
        <f>CONCATENATE(Q123,U123,AB123)</f>
        <v>B1.2.1.1.22013</v>
      </c>
      <c r="U123" s="145" t="s">
        <v>186</v>
      </c>
      <c r="V123" s="145" t="str">
        <f>LOOKUP(U123,$B$383:$B$420,$A$383:$A$420)</f>
        <v>Production Sectors</v>
      </c>
      <c r="AB123" s="33">
        <v>2013</v>
      </c>
      <c r="AC123" s="140">
        <f t="shared" ref="AC123:AG126" si="88">IF($Q123="B", (G123*$N123),0)</f>
        <v>193.75</v>
      </c>
      <c r="AD123" s="140">
        <f t="shared" si="88"/>
        <v>0</v>
      </c>
      <c r="AE123" s="140">
        <f t="shared" si="88"/>
        <v>0</v>
      </c>
      <c r="AF123" s="140">
        <f t="shared" si="88"/>
        <v>50</v>
      </c>
      <c r="AG123" s="140">
        <f t="shared" si="88"/>
        <v>0</v>
      </c>
      <c r="AH123" s="251">
        <f>IF($Q123="B", (F123*$N123),0)</f>
        <v>1200</v>
      </c>
      <c r="AI123" s="252"/>
      <c r="AJ123" s="140"/>
      <c r="AK123" s="140"/>
      <c r="AL123" s="176"/>
      <c r="AM123" s="139">
        <f t="shared" ref="AM123:AQ126" si="89">IF($Q123="C", (G123*$N123),0)</f>
        <v>0</v>
      </c>
      <c r="AN123" s="140">
        <f t="shared" si="89"/>
        <v>0</v>
      </c>
      <c r="AO123" s="140">
        <f t="shared" si="89"/>
        <v>0</v>
      </c>
      <c r="AP123" s="140">
        <f t="shared" si="89"/>
        <v>0</v>
      </c>
      <c r="AQ123" s="140">
        <f t="shared" si="89"/>
        <v>0</v>
      </c>
      <c r="AR123" s="140">
        <f>IF($Q123="C", (F123*$N123),0)</f>
        <v>0</v>
      </c>
      <c r="AS123" s="252"/>
    </row>
    <row r="124" spans="1:45" s="20" customFormat="1">
      <c r="A124" s="46" t="s">
        <v>316</v>
      </c>
      <c r="B124" s="20" t="s">
        <v>95</v>
      </c>
      <c r="C124" s="175">
        <v>1</v>
      </c>
      <c r="D124" s="100" t="s">
        <v>2</v>
      </c>
      <c r="E124" s="176">
        <v>50</v>
      </c>
      <c r="F124" s="177">
        <f>E124*C124</f>
        <v>50</v>
      </c>
      <c r="G124" s="178">
        <v>0</v>
      </c>
      <c r="H124" s="178">
        <v>0</v>
      </c>
      <c r="I124" s="178">
        <v>0</v>
      </c>
      <c r="J124" s="178">
        <v>1</v>
      </c>
      <c r="K124" s="179">
        <v>0</v>
      </c>
      <c r="L124" s="100" t="s">
        <v>8</v>
      </c>
      <c r="M124" s="176">
        <f>IF(R124="PD",((Shop*G124)+(M_Tech*H124)+(CMM*I124)+(ENG*J124)+(DES*K124))*N124,((Shop_RD*G124)+(MTECH_RD*H124)+(CMM_RD*I124)+(ENG_RD*J124)+(DES_RD*K124))*N124)</f>
        <v>3037.5000000000005</v>
      </c>
      <c r="N124" s="96">
        <v>25</v>
      </c>
      <c r="O124" s="176">
        <f>M124+(F124*N124)</f>
        <v>4287.5</v>
      </c>
      <c r="P124" s="180"/>
      <c r="Q124" s="52" t="s">
        <v>46</v>
      </c>
      <c r="R124" s="75" t="s">
        <v>77</v>
      </c>
      <c r="S124" s="145" t="str">
        <f>CONCATENATE(Q124,R124,AB124)</f>
        <v>BPD2013</v>
      </c>
      <c r="T124" s="145" t="str">
        <f>CONCATENATE(Q124,U124,AB124)</f>
        <v>B1.2.1.1.22013</v>
      </c>
      <c r="U124" s="145" t="s">
        <v>186</v>
      </c>
      <c r="V124" s="145" t="str">
        <f>LOOKUP(U124,$B$383:$B$420,$A$383:$A$420)</f>
        <v>Production Sectors</v>
      </c>
      <c r="AB124" s="33">
        <v>2013</v>
      </c>
      <c r="AC124" s="140">
        <f t="shared" si="88"/>
        <v>0</v>
      </c>
      <c r="AD124" s="140">
        <f t="shared" si="88"/>
        <v>0</v>
      </c>
      <c r="AE124" s="140">
        <f t="shared" si="88"/>
        <v>0</v>
      </c>
      <c r="AF124" s="140">
        <f t="shared" si="88"/>
        <v>25</v>
      </c>
      <c r="AG124" s="140">
        <f t="shared" si="88"/>
        <v>0</v>
      </c>
      <c r="AH124" s="251">
        <f>IF($Q124="B", (F124*$N124),0)</f>
        <v>1250</v>
      </c>
      <c r="AI124" s="252"/>
      <c r="AJ124" s="140"/>
      <c r="AK124" s="140"/>
      <c r="AL124" s="176"/>
      <c r="AM124" s="139">
        <f t="shared" si="89"/>
        <v>0</v>
      </c>
      <c r="AN124" s="140">
        <f t="shared" si="89"/>
        <v>0</v>
      </c>
      <c r="AO124" s="140">
        <f t="shared" si="89"/>
        <v>0</v>
      </c>
      <c r="AP124" s="140">
        <f t="shared" si="89"/>
        <v>0</v>
      </c>
      <c r="AQ124" s="140">
        <f t="shared" si="89"/>
        <v>0</v>
      </c>
      <c r="AR124" s="140">
        <f>IF($Q124="C", (F124*$N124),0)</f>
        <v>0</v>
      </c>
      <c r="AS124" s="252"/>
    </row>
    <row r="125" spans="1:45" s="20" customFormat="1">
      <c r="A125" s="46" t="s">
        <v>317</v>
      </c>
      <c r="B125" s="20" t="s">
        <v>7</v>
      </c>
      <c r="C125" s="175">
        <v>6</v>
      </c>
      <c r="D125" s="100" t="s">
        <v>38</v>
      </c>
      <c r="E125" s="176">
        <v>8</v>
      </c>
      <c r="F125" s="177">
        <f>E125*C125</f>
        <v>48</v>
      </c>
      <c r="G125" s="178">
        <v>7.75</v>
      </c>
      <c r="H125" s="178">
        <v>0</v>
      </c>
      <c r="I125" s="178">
        <v>0</v>
      </c>
      <c r="J125" s="178">
        <v>8</v>
      </c>
      <c r="K125" s="179">
        <v>0</v>
      </c>
      <c r="L125" s="100" t="s">
        <v>8</v>
      </c>
      <c r="M125" s="176">
        <f>IF(R125="PD",((Shop*G125)+(M_Tech*H125)+(CMM*I125)+(ENG*J125)+(DES*K125))*N125,((Shop_RD*G125)+(MTECH_RD*H125)+(CMM_RD*I125)+(ENG_RD*J125)+(DES_RD*K125))*N125)</f>
        <v>8814.8250000000007</v>
      </c>
      <c r="N125" s="96">
        <v>5</v>
      </c>
      <c r="O125" s="176">
        <f>M125+(F125*N125)</f>
        <v>9054.8250000000007</v>
      </c>
      <c r="P125" s="180"/>
      <c r="Q125" s="52" t="s">
        <v>47</v>
      </c>
      <c r="R125" s="75" t="s">
        <v>77</v>
      </c>
      <c r="S125" s="145" t="str">
        <f>CONCATENATE(Q125,R125,AB125)</f>
        <v>CPD2013</v>
      </c>
      <c r="T125" s="145" t="str">
        <f>CONCATENATE(Q125,U125,AB125)</f>
        <v>C1.2.1.1.22013</v>
      </c>
      <c r="U125" s="145" t="s">
        <v>186</v>
      </c>
      <c r="V125" s="145" t="str">
        <f>LOOKUP(U125,$B$383:$B$420,$A$383:$A$420)</f>
        <v>Production Sectors</v>
      </c>
      <c r="AB125" s="33">
        <v>2013</v>
      </c>
      <c r="AC125" s="140">
        <f t="shared" si="88"/>
        <v>0</v>
      </c>
      <c r="AD125" s="140">
        <f t="shared" si="88"/>
        <v>0</v>
      </c>
      <c r="AE125" s="140">
        <f t="shared" si="88"/>
        <v>0</v>
      </c>
      <c r="AF125" s="140">
        <f t="shared" si="88"/>
        <v>0</v>
      </c>
      <c r="AG125" s="140">
        <f t="shared" si="88"/>
        <v>0</v>
      </c>
      <c r="AH125" s="251">
        <f>IF($Q125="B", (F125*$N125),0)</f>
        <v>0</v>
      </c>
      <c r="AI125" s="252"/>
      <c r="AJ125" s="140"/>
      <c r="AK125" s="140"/>
      <c r="AL125" s="176"/>
      <c r="AM125" s="139">
        <f t="shared" si="89"/>
        <v>38.75</v>
      </c>
      <c r="AN125" s="140">
        <f t="shared" si="89"/>
        <v>0</v>
      </c>
      <c r="AO125" s="140">
        <f t="shared" si="89"/>
        <v>0</v>
      </c>
      <c r="AP125" s="140">
        <f t="shared" si="89"/>
        <v>40</v>
      </c>
      <c r="AQ125" s="140">
        <f t="shared" si="89"/>
        <v>0</v>
      </c>
      <c r="AR125" s="140">
        <f>IF($Q125="C", (F125*$N125),0)</f>
        <v>240</v>
      </c>
      <c r="AS125" s="252"/>
    </row>
    <row r="126" spans="1:45" s="20" customFormat="1">
      <c r="A126" s="46" t="s">
        <v>318</v>
      </c>
      <c r="B126" s="20" t="s">
        <v>95</v>
      </c>
      <c r="C126" s="175">
        <v>1</v>
      </c>
      <c r="D126" s="100" t="s">
        <v>2</v>
      </c>
      <c r="E126" s="176">
        <v>50</v>
      </c>
      <c r="F126" s="177">
        <f>E126*C126</f>
        <v>50</v>
      </c>
      <c r="G126" s="178">
        <v>0</v>
      </c>
      <c r="H126" s="178">
        <v>0</v>
      </c>
      <c r="I126" s="178">
        <v>0</v>
      </c>
      <c r="J126" s="178">
        <v>2</v>
      </c>
      <c r="K126" s="179">
        <v>0</v>
      </c>
      <c r="L126" s="100" t="s">
        <v>8</v>
      </c>
      <c r="M126" s="176">
        <f>IF(R126="PD",((Shop*G126)+(M_Tech*H126)+(CMM*I126)+(ENG*J126)+(DES*K126))*N126,((Shop_RD*G126)+(MTECH_RD*H126)+(CMM_RD*I126)+(ENG_RD*J126)+(DES_RD*K126))*N126)</f>
        <v>1215.0000000000002</v>
      </c>
      <c r="N126" s="96">
        <v>5</v>
      </c>
      <c r="O126" s="176">
        <f>M126+(F126*N126)</f>
        <v>1465.0000000000002</v>
      </c>
      <c r="P126" s="180"/>
      <c r="Q126" s="52" t="s">
        <v>47</v>
      </c>
      <c r="R126" s="75" t="s">
        <v>77</v>
      </c>
      <c r="S126" s="145" t="str">
        <f>CONCATENATE(Q126,R126,AB126)</f>
        <v>CPD2013</v>
      </c>
      <c r="T126" s="145" t="str">
        <f>CONCATENATE(Q126,U126,AB126)</f>
        <v>C1.2.1.1.22013</v>
      </c>
      <c r="U126" s="145" t="s">
        <v>186</v>
      </c>
      <c r="V126" s="145" t="str">
        <f>LOOKUP(U126,$B$383:$B$420,$A$383:$A$420)</f>
        <v>Production Sectors</v>
      </c>
      <c r="AB126" s="33">
        <v>2013</v>
      </c>
      <c r="AC126" s="140">
        <f t="shared" si="88"/>
        <v>0</v>
      </c>
      <c r="AD126" s="140">
        <f t="shared" si="88"/>
        <v>0</v>
      </c>
      <c r="AE126" s="140">
        <f t="shared" si="88"/>
        <v>0</v>
      </c>
      <c r="AF126" s="140">
        <f t="shared" si="88"/>
        <v>0</v>
      </c>
      <c r="AG126" s="140">
        <f t="shared" si="88"/>
        <v>0</v>
      </c>
      <c r="AH126" s="251">
        <f>IF($Q126="B", (F126*$N126),0)</f>
        <v>0</v>
      </c>
      <c r="AI126" s="252"/>
      <c r="AJ126" s="140"/>
      <c r="AK126" s="140"/>
      <c r="AL126" s="176"/>
      <c r="AM126" s="139">
        <f t="shared" si="89"/>
        <v>0</v>
      </c>
      <c r="AN126" s="140">
        <f t="shared" si="89"/>
        <v>0</v>
      </c>
      <c r="AO126" s="140">
        <f t="shared" si="89"/>
        <v>0</v>
      </c>
      <c r="AP126" s="140">
        <f t="shared" si="89"/>
        <v>10</v>
      </c>
      <c r="AQ126" s="140">
        <f t="shared" si="89"/>
        <v>0</v>
      </c>
      <c r="AR126" s="140">
        <f>IF($Q126="C", (F126*$N126),0)</f>
        <v>250</v>
      </c>
      <c r="AS126" s="252"/>
    </row>
    <row r="127" spans="1:45" s="20" customFormat="1">
      <c r="A127" s="47" t="s">
        <v>256</v>
      </c>
      <c r="C127" s="175"/>
      <c r="D127" s="100"/>
      <c r="E127" s="61"/>
      <c r="F127" s="62"/>
      <c r="G127" s="63"/>
      <c r="H127" s="63"/>
      <c r="I127" s="63"/>
      <c r="J127" s="63"/>
      <c r="K127" s="64"/>
      <c r="L127" s="234" t="s">
        <v>66</v>
      </c>
      <c r="M127" s="188">
        <f>SUMIF(Q123:Q126,"B",M123:M126)</f>
        <v>28886.625000000004</v>
      </c>
      <c r="N127" s="69" t="s">
        <v>65</v>
      </c>
      <c r="O127" s="176"/>
      <c r="P127" s="180"/>
      <c r="Q127" s="52"/>
      <c r="R127" s="75"/>
      <c r="S127" s="145"/>
      <c r="T127" s="145"/>
      <c r="U127" s="145"/>
      <c r="V127" s="145"/>
      <c r="AB127" s="33"/>
      <c r="AC127" s="140"/>
      <c r="AD127" s="140"/>
      <c r="AE127" s="143"/>
      <c r="AF127" s="140"/>
      <c r="AG127" s="140"/>
      <c r="AH127" s="251"/>
      <c r="AI127" s="252"/>
      <c r="AJ127" s="140"/>
      <c r="AK127" s="140"/>
      <c r="AL127" s="176"/>
      <c r="AM127" s="139"/>
      <c r="AN127" s="140"/>
      <c r="AO127" s="140"/>
      <c r="AP127" s="140"/>
      <c r="AQ127" s="140"/>
      <c r="AR127" s="140"/>
      <c r="AS127" s="252"/>
    </row>
    <row r="128" spans="1:45" s="20" customFormat="1" hidden="1">
      <c r="A128" s="46" t="s">
        <v>257</v>
      </c>
      <c r="B128" s="20" t="s">
        <v>7</v>
      </c>
      <c r="C128" s="175">
        <v>15</v>
      </c>
      <c r="D128" s="100" t="s">
        <v>38</v>
      </c>
      <c r="E128" s="176">
        <v>8</v>
      </c>
      <c r="F128" s="177">
        <f t="shared" ref="F128:F136" si="90">E128*C128</f>
        <v>120</v>
      </c>
      <c r="G128" s="178">
        <v>16</v>
      </c>
      <c r="H128" s="178">
        <v>8</v>
      </c>
      <c r="I128" s="178">
        <v>0</v>
      </c>
      <c r="J128" s="178">
        <v>0</v>
      </c>
      <c r="K128" s="179">
        <v>0</v>
      </c>
      <c r="L128" s="100" t="s">
        <v>8</v>
      </c>
      <c r="M128" s="176">
        <f t="shared" ref="M128:M136" si="91">IF(R128="PD",((Shop*G128)+(M_Tech*H128)+(CMM*I128)+(ENG*J128)+(DES*K128))*N128,((Shop_RD*G128)+(MTECH_RD*H128)+(CMM_RD*I128)+(ENG_RD*J128)+(DES_RD*K128))*N128)</f>
        <v>0</v>
      </c>
      <c r="N128" s="96">
        <v>0</v>
      </c>
      <c r="O128" s="176">
        <f t="shared" ref="O128:O136" si="92">M128+(F128*N128)</f>
        <v>0</v>
      </c>
      <c r="P128" s="180"/>
      <c r="Q128" s="52" t="s">
        <v>46</v>
      </c>
      <c r="R128" s="75" t="s">
        <v>221</v>
      </c>
      <c r="S128" s="145" t="str">
        <f t="shared" ref="S128:S136" si="93">CONCATENATE(Q128,R128,AB128)</f>
        <v>BPT2009</v>
      </c>
      <c r="T128" s="145" t="str">
        <f t="shared" ref="T128:T136" si="94">CONCATENATE(Q128,U128,AB128)</f>
        <v>B1.2.3.1.12009</v>
      </c>
      <c r="U128" s="145" t="s">
        <v>407</v>
      </c>
      <c r="V128" s="145" t="str">
        <f t="shared" ref="V128:V136" si="95">LOOKUP(U128,$B$383:$B$420,$A$383:$A$420)</f>
        <v>Mechanical Sector Assemblies</v>
      </c>
      <c r="AB128" s="33">
        <v>2009</v>
      </c>
      <c r="AC128" s="140">
        <f t="shared" ref="AC128:AC136" si="96">IF($Q128="B", (G128*$N128),0)</f>
        <v>0</v>
      </c>
      <c r="AD128" s="140">
        <f t="shared" ref="AD128:AD136" si="97">IF($Q128="B", (H128*$N128),0)</f>
        <v>0</v>
      </c>
      <c r="AE128" s="140">
        <f t="shared" ref="AE128:AE136" si="98">IF($Q128="B", (I128*$N128),0)</f>
        <v>0</v>
      </c>
      <c r="AF128" s="140">
        <f t="shared" ref="AF128:AF136" si="99">IF($Q128="B", (J128*$N128),0)</f>
        <v>0</v>
      </c>
      <c r="AG128" s="140">
        <f t="shared" ref="AG128:AG136" si="100">IF($Q128="B", (K128*$N128),0)</f>
        <v>0</v>
      </c>
      <c r="AH128" s="251">
        <f t="shared" ref="AH128:AH136" si="101">IF($Q128="B", (F128*$N128),0)</f>
        <v>0</v>
      </c>
      <c r="AI128" s="252"/>
      <c r="AJ128" s="140"/>
      <c r="AK128" s="140"/>
      <c r="AL128" s="176"/>
      <c r="AM128" s="139">
        <f t="shared" ref="AM128:AM136" si="102">IF($Q128="C", (G128*$N128),0)</f>
        <v>0</v>
      </c>
      <c r="AN128" s="140">
        <f t="shared" ref="AN128:AN136" si="103">IF($Q128="C", (H128*$N128),0)</f>
        <v>0</v>
      </c>
      <c r="AO128" s="140">
        <f t="shared" ref="AO128:AO136" si="104">IF($Q128="C", (I128*$N128),0)</f>
        <v>0</v>
      </c>
      <c r="AP128" s="140">
        <f t="shared" ref="AP128:AP136" si="105">IF($Q128="C", (J128*$N128),0)</f>
        <v>0</v>
      </c>
      <c r="AQ128" s="140">
        <f t="shared" ref="AQ128:AQ136" si="106">IF($Q128="C", (K128*$N128),0)</f>
        <v>0</v>
      </c>
      <c r="AR128" s="140">
        <f t="shared" ref="AR128:AR136" si="107">IF($Q128="C", (F128*$N128),0)</f>
        <v>0</v>
      </c>
      <c r="AS128" s="252"/>
    </row>
    <row r="129" spans="1:45" s="20" customFormat="1">
      <c r="A129" s="46" t="s">
        <v>387</v>
      </c>
      <c r="B129" s="20" t="s">
        <v>33</v>
      </c>
      <c r="C129" s="175">
        <v>0</v>
      </c>
      <c r="D129" s="100" t="s">
        <v>9</v>
      </c>
      <c r="E129" s="176">
        <v>0</v>
      </c>
      <c r="F129" s="177">
        <f t="shared" si="90"/>
        <v>0</v>
      </c>
      <c r="G129" s="178">
        <v>0</v>
      </c>
      <c r="H129" s="178">
        <v>0</v>
      </c>
      <c r="I129" s="178">
        <v>0</v>
      </c>
      <c r="J129" s="178">
        <v>40</v>
      </c>
      <c r="K129" s="179">
        <v>0</v>
      </c>
      <c r="L129" s="100" t="s">
        <v>8</v>
      </c>
      <c r="M129" s="176">
        <f t="shared" si="91"/>
        <v>6000</v>
      </c>
      <c r="N129" s="96">
        <v>1</v>
      </c>
      <c r="O129" s="176">
        <f t="shared" si="92"/>
        <v>6000</v>
      </c>
      <c r="P129" s="180"/>
      <c r="Q129" s="52" t="s">
        <v>46</v>
      </c>
      <c r="R129" s="75" t="s">
        <v>221</v>
      </c>
      <c r="S129" s="145" t="str">
        <f t="shared" si="93"/>
        <v>BPT2010</v>
      </c>
      <c r="T129" s="145" t="str">
        <f t="shared" si="94"/>
        <v>B1.2.3.1.12010</v>
      </c>
      <c r="U129" s="145" t="s">
        <v>407</v>
      </c>
      <c r="V129" s="145" t="str">
        <f t="shared" si="95"/>
        <v>Mechanical Sector Assemblies</v>
      </c>
      <c r="AB129" s="433">
        <v>2010</v>
      </c>
      <c r="AC129" s="140">
        <f t="shared" si="96"/>
        <v>0</v>
      </c>
      <c r="AD129" s="140">
        <f t="shared" si="97"/>
        <v>0</v>
      </c>
      <c r="AE129" s="140">
        <f t="shared" si="98"/>
        <v>0</v>
      </c>
      <c r="AF129" s="140">
        <f t="shared" si="99"/>
        <v>40</v>
      </c>
      <c r="AG129" s="140">
        <f t="shared" si="100"/>
        <v>0</v>
      </c>
      <c r="AH129" s="251">
        <f t="shared" si="101"/>
        <v>0</v>
      </c>
      <c r="AI129" s="252"/>
      <c r="AJ129" s="140"/>
      <c r="AK129" s="140"/>
      <c r="AL129" s="176"/>
      <c r="AM129" s="139">
        <f t="shared" si="102"/>
        <v>0</v>
      </c>
      <c r="AN129" s="140">
        <f t="shared" si="103"/>
        <v>0</v>
      </c>
      <c r="AO129" s="140">
        <f t="shared" si="104"/>
        <v>0</v>
      </c>
      <c r="AP129" s="140">
        <f t="shared" si="105"/>
        <v>0</v>
      </c>
      <c r="AQ129" s="140">
        <f t="shared" si="106"/>
        <v>0</v>
      </c>
      <c r="AR129" s="140">
        <f t="shared" si="107"/>
        <v>0</v>
      </c>
      <c r="AS129" s="252"/>
    </row>
    <row r="130" spans="1:45" s="20" customFormat="1">
      <c r="A130" s="46" t="s">
        <v>258</v>
      </c>
      <c r="B130" s="20" t="s">
        <v>7</v>
      </c>
      <c r="C130" s="175">
        <v>15</v>
      </c>
      <c r="D130" s="100" t="s">
        <v>38</v>
      </c>
      <c r="E130" s="176">
        <v>8</v>
      </c>
      <c r="F130" s="177">
        <f t="shared" si="90"/>
        <v>120</v>
      </c>
      <c r="G130" s="178">
        <v>16</v>
      </c>
      <c r="H130" s="178">
        <v>8</v>
      </c>
      <c r="I130" s="178">
        <v>0</v>
      </c>
      <c r="J130" s="178">
        <v>0</v>
      </c>
      <c r="K130" s="179">
        <v>0</v>
      </c>
      <c r="L130" s="100" t="s">
        <v>8</v>
      </c>
      <c r="M130" s="176">
        <f t="shared" si="91"/>
        <v>2952</v>
      </c>
      <c r="N130" s="96">
        <v>1</v>
      </c>
      <c r="O130" s="176">
        <f t="shared" si="92"/>
        <v>3072</v>
      </c>
      <c r="P130" s="180"/>
      <c r="Q130" s="52" t="s">
        <v>46</v>
      </c>
      <c r="R130" s="75" t="s">
        <v>221</v>
      </c>
      <c r="S130" s="145" t="str">
        <f t="shared" si="93"/>
        <v>BPT2011</v>
      </c>
      <c r="T130" s="145" t="str">
        <f t="shared" si="94"/>
        <v>B1.2.3.1.12011</v>
      </c>
      <c r="U130" s="145" t="s">
        <v>407</v>
      </c>
      <c r="V130" s="145" t="str">
        <f t="shared" si="95"/>
        <v>Mechanical Sector Assemblies</v>
      </c>
      <c r="AB130" s="33">
        <v>2011</v>
      </c>
      <c r="AC130" s="140">
        <f t="shared" si="96"/>
        <v>16</v>
      </c>
      <c r="AD130" s="140">
        <f t="shared" si="97"/>
        <v>8</v>
      </c>
      <c r="AE130" s="140">
        <f t="shared" si="98"/>
        <v>0</v>
      </c>
      <c r="AF130" s="140">
        <f t="shared" si="99"/>
        <v>0</v>
      </c>
      <c r="AG130" s="140">
        <f t="shared" si="100"/>
        <v>0</v>
      </c>
      <c r="AH130" s="251">
        <f t="shared" si="101"/>
        <v>120</v>
      </c>
      <c r="AI130" s="252"/>
      <c r="AJ130" s="140"/>
      <c r="AK130" s="140"/>
      <c r="AL130" s="176"/>
      <c r="AM130" s="139">
        <f t="shared" si="102"/>
        <v>0</v>
      </c>
      <c r="AN130" s="140">
        <f t="shared" si="103"/>
        <v>0</v>
      </c>
      <c r="AO130" s="140">
        <f t="shared" si="104"/>
        <v>0</v>
      </c>
      <c r="AP130" s="140">
        <f t="shared" si="105"/>
        <v>0</v>
      </c>
      <c r="AQ130" s="140">
        <f t="shared" si="106"/>
        <v>0</v>
      </c>
      <c r="AR130" s="140">
        <f t="shared" si="107"/>
        <v>0</v>
      </c>
      <c r="AS130" s="252"/>
    </row>
    <row r="131" spans="1:45" s="20" customFormat="1">
      <c r="A131" s="46" t="s">
        <v>388</v>
      </c>
      <c r="B131" s="20" t="s">
        <v>33</v>
      </c>
      <c r="C131" s="175">
        <v>0</v>
      </c>
      <c r="D131" s="100" t="s">
        <v>9</v>
      </c>
      <c r="E131" s="176">
        <v>0</v>
      </c>
      <c r="F131" s="177">
        <f t="shared" si="90"/>
        <v>0</v>
      </c>
      <c r="G131" s="178">
        <v>16</v>
      </c>
      <c r="H131" s="178">
        <v>8</v>
      </c>
      <c r="I131" s="178">
        <v>0</v>
      </c>
      <c r="J131" s="178">
        <v>40</v>
      </c>
      <c r="K131" s="179">
        <v>0</v>
      </c>
      <c r="L131" s="100" t="s">
        <v>8</v>
      </c>
      <c r="M131" s="176">
        <f t="shared" si="91"/>
        <v>8952</v>
      </c>
      <c r="N131" s="96">
        <v>1</v>
      </c>
      <c r="O131" s="176">
        <f t="shared" si="92"/>
        <v>8952</v>
      </c>
      <c r="P131" s="180"/>
      <c r="Q131" s="52" t="s">
        <v>47</v>
      </c>
      <c r="R131" s="75" t="s">
        <v>221</v>
      </c>
      <c r="S131" s="145" t="str">
        <f t="shared" si="93"/>
        <v>CPT2011</v>
      </c>
      <c r="T131" s="145" t="str">
        <f t="shared" si="94"/>
        <v>C1.2.3.1.12011</v>
      </c>
      <c r="U131" s="145" t="s">
        <v>407</v>
      </c>
      <c r="V131" s="145" t="str">
        <f t="shared" si="95"/>
        <v>Mechanical Sector Assemblies</v>
      </c>
      <c r="AB131" s="33">
        <v>2011</v>
      </c>
      <c r="AC131" s="140">
        <f t="shared" si="96"/>
        <v>0</v>
      </c>
      <c r="AD131" s="140">
        <f t="shared" si="97"/>
        <v>0</v>
      </c>
      <c r="AE131" s="140">
        <f t="shared" si="98"/>
        <v>0</v>
      </c>
      <c r="AF131" s="140">
        <f t="shared" si="99"/>
        <v>0</v>
      </c>
      <c r="AG131" s="140">
        <f t="shared" si="100"/>
        <v>0</v>
      </c>
      <c r="AH131" s="251">
        <f t="shared" si="101"/>
        <v>0</v>
      </c>
      <c r="AI131" s="252"/>
      <c r="AJ131" s="140"/>
      <c r="AK131" s="140"/>
      <c r="AL131" s="176"/>
      <c r="AM131" s="139">
        <f t="shared" si="102"/>
        <v>16</v>
      </c>
      <c r="AN131" s="140">
        <f t="shared" si="103"/>
        <v>8</v>
      </c>
      <c r="AO131" s="140">
        <f t="shared" si="104"/>
        <v>0</v>
      </c>
      <c r="AP131" s="140">
        <f t="shared" si="105"/>
        <v>40</v>
      </c>
      <c r="AQ131" s="140">
        <f t="shared" si="106"/>
        <v>0</v>
      </c>
      <c r="AR131" s="140">
        <f t="shared" si="107"/>
        <v>0</v>
      </c>
      <c r="AS131" s="252"/>
    </row>
    <row r="132" spans="1:45" s="20" customFormat="1">
      <c r="A132" s="46" t="s">
        <v>259</v>
      </c>
      <c r="B132" s="20" t="s">
        <v>7</v>
      </c>
      <c r="C132" s="175">
        <v>15</v>
      </c>
      <c r="D132" s="100" t="s">
        <v>38</v>
      </c>
      <c r="E132" s="176">
        <v>8</v>
      </c>
      <c r="F132" s="177">
        <f t="shared" si="90"/>
        <v>120</v>
      </c>
      <c r="G132" s="178">
        <v>0</v>
      </c>
      <c r="H132" s="178">
        <v>0</v>
      </c>
      <c r="I132" s="178">
        <v>0</v>
      </c>
      <c r="J132" s="178">
        <v>20</v>
      </c>
      <c r="K132" s="179">
        <v>0</v>
      </c>
      <c r="L132" s="100" t="s">
        <v>8</v>
      </c>
      <c r="M132" s="176">
        <f t="shared" si="91"/>
        <v>3000</v>
      </c>
      <c r="N132" s="96">
        <v>1</v>
      </c>
      <c r="O132" s="176">
        <f t="shared" si="92"/>
        <v>3120</v>
      </c>
      <c r="P132" s="180"/>
      <c r="Q132" s="52" t="s">
        <v>47</v>
      </c>
      <c r="R132" s="75" t="s">
        <v>221</v>
      </c>
      <c r="S132" s="145" t="str">
        <f t="shared" si="93"/>
        <v>CPT2011</v>
      </c>
      <c r="T132" s="145" t="str">
        <f t="shared" si="94"/>
        <v>C1.2.3.1.12011</v>
      </c>
      <c r="U132" s="145" t="s">
        <v>407</v>
      </c>
      <c r="V132" s="145" t="str">
        <f t="shared" si="95"/>
        <v>Mechanical Sector Assemblies</v>
      </c>
      <c r="AB132" s="33">
        <v>2011</v>
      </c>
      <c r="AC132" s="140">
        <f t="shared" si="96"/>
        <v>0</v>
      </c>
      <c r="AD132" s="140">
        <f t="shared" si="97"/>
        <v>0</v>
      </c>
      <c r="AE132" s="140">
        <f t="shared" si="98"/>
        <v>0</v>
      </c>
      <c r="AF132" s="140">
        <f t="shared" si="99"/>
        <v>0</v>
      </c>
      <c r="AG132" s="140">
        <f t="shared" si="100"/>
        <v>0</v>
      </c>
      <c r="AH132" s="251">
        <f t="shared" si="101"/>
        <v>0</v>
      </c>
      <c r="AI132" s="252"/>
      <c r="AJ132" s="140"/>
      <c r="AK132" s="140"/>
      <c r="AL132" s="176"/>
      <c r="AM132" s="139">
        <f t="shared" si="102"/>
        <v>0</v>
      </c>
      <c r="AN132" s="140">
        <f t="shared" si="103"/>
        <v>0</v>
      </c>
      <c r="AO132" s="140">
        <f t="shared" si="104"/>
        <v>0</v>
      </c>
      <c r="AP132" s="140">
        <f t="shared" si="105"/>
        <v>20</v>
      </c>
      <c r="AQ132" s="140">
        <f t="shared" si="106"/>
        <v>0</v>
      </c>
      <c r="AR132" s="140">
        <f t="shared" si="107"/>
        <v>120</v>
      </c>
      <c r="AS132" s="252"/>
    </row>
    <row r="133" spans="1:45" s="20" customFormat="1" hidden="1">
      <c r="A133" s="46" t="s">
        <v>260</v>
      </c>
      <c r="B133" s="20" t="s">
        <v>33</v>
      </c>
      <c r="C133" s="175">
        <v>0</v>
      </c>
      <c r="D133" s="100" t="s">
        <v>9</v>
      </c>
      <c r="E133" s="176">
        <v>0</v>
      </c>
      <c r="F133" s="177">
        <f t="shared" si="90"/>
        <v>0</v>
      </c>
      <c r="G133" s="178">
        <v>0</v>
      </c>
      <c r="H133" s="178">
        <v>4</v>
      </c>
      <c r="I133" s="178">
        <v>0</v>
      </c>
      <c r="J133" s="178">
        <v>0</v>
      </c>
      <c r="K133" s="179">
        <v>0</v>
      </c>
      <c r="L133" s="100" t="s">
        <v>8</v>
      </c>
      <c r="M133" s="176">
        <f t="shared" si="91"/>
        <v>0</v>
      </c>
      <c r="N133" s="96">
        <v>0</v>
      </c>
      <c r="O133" s="176">
        <f t="shared" si="92"/>
        <v>0</v>
      </c>
      <c r="P133" s="180"/>
      <c r="Q133" s="52" t="s">
        <v>46</v>
      </c>
      <c r="R133" s="75" t="s">
        <v>221</v>
      </c>
      <c r="S133" s="145" t="str">
        <f t="shared" si="93"/>
        <v>BPT2009</v>
      </c>
      <c r="T133" s="145" t="str">
        <f t="shared" si="94"/>
        <v>B1.2.3.1.12009</v>
      </c>
      <c r="U133" s="145" t="s">
        <v>407</v>
      </c>
      <c r="V133" s="145" t="str">
        <f t="shared" si="95"/>
        <v>Mechanical Sector Assemblies</v>
      </c>
      <c r="AB133" s="33">
        <v>2009</v>
      </c>
      <c r="AC133" s="140">
        <f t="shared" si="96"/>
        <v>0</v>
      </c>
      <c r="AD133" s="140">
        <f t="shared" si="97"/>
        <v>0</v>
      </c>
      <c r="AE133" s="140">
        <f t="shared" si="98"/>
        <v>0</v>
      </c>
      <c r="AF133" s="140">
        <f t="shared" si="99"/>
        <v>0</v>
      </c>
      <c r="AG133" s="140">
        <f t="shared" si="100"/>
        <v>0</v>
      </c>
      <c r="AH133" s="251">
        <f t="shared" si="101"/>
        <v>0</v>
      </c>
      <c r="AI133" s="252"/>
      <c r="AJ133" s="140"/>
      <c r="AK133" s="140"/>
      <c r="AL133" s="176"/>
      <c r="AM133" s="139">
        <f t="shared" si="102"/>
        <v>0</v>
      </c>
      <c r="AN133" s="140">
        <f t="shared" si="103"/>
        <v>0</v>
      </c>
      <c r="AO133" s="140">
        <f t="shared" si="104"/>
        <v>0</v>
      </c>
      <c r="AP133" s="140">
        <f t="shared" si="105"/>
        <v>0</v>
      </c>
      <c r="AQ133" s="140">
        <f t="shared" si="106"/>
        <v>0</v>
      </c>
      <c r="AR133" s="140">
        <f t="shared" si="107"/>
        <v>0</v>
      </c>
      <c r="AS133" s="252"/>
    </row>
    <row r="134" spans="1:45" s="20" customFormat="1" hidden="1">
      <c r="A134" s="46" t="s">
        <v>261</v>
      </c>
      <c r="B134" s="20" t="s">
        <v>33</v>
      </c>
      <c r="C134" s="175">
        <v>0</v>
      </c>
      <c r="D134" s="100" t="s">
        <v>9</v>
      </c>
      <c r="E134" s="176">
        <v>0</v>
      </c>
      <c r="F134" s="177">
        <f t="shared" si="90"/>
        <v>0</v>
      </c>
      <c r="G134" s="178">
        <v>0</v>
      </c>
      <c r="H134" s="178">
        <v>4</v>
      </c>
      <c r="I134" s="178">
        <v>0</v>
      </c>
      <c r="J134" s="178">
        <v>0</v>
      </c>
      <c r="K134" s="179">
        <v>0</v>
      </c>
      <c r="L134" s="100" t="s">
        <v>8</v>
      </c>
      <c r="M134" s="176">
        <f t="shared" si="91"/>
        <v>0</v>
      </c>
      <c r="N134" s="96">
        <v>0</v>
      </c>
      <c r="O134" s="176">
        <f t="shared" si="92"/>
        <v>0</v>
      </c>
      <c r="P134" s="180"/>
      <c r="Q134" s="52" t="s">
        <v>46</v>
      </c>
      <c r="R134" s="75" t="s">
        <v>221</v>
      </c>
      <c r="S134" s="145" t="str">
        <f t="shared" si="93"/>
        <v>BPT2010</v>
      </c>
      <c r="T134" s="145" t="str">
        <f t="shared" si="94"/>
        <v>B1.2.3.1.12010</v>
      </c>
      <c r="U134" s="145" t="s">
        <v>407</v>
      </c>
      <c r="V134" s="145" t="str">
        <f t="shared" si="95"/>
        <v>Mechanical Sector Assemblies</v>
      </c>
      <c r="AB134" s="33">
        <v>2010</v>
      </c>
      <c r="AC134" s="140">
        <f t="shared" si="96"/>
        <v>0</v>
      </c>
      <c r="AD134" s="140">
        <f t="shared" si="97"/>
        <v>0</v>
      </c>
      <c r="AE134" s="140">
        <f t="shared" si="98"/>
        <v>0</v>
      </c>
      <c r="AF134" s="140">
        <f t="shared" si="99"/>
        <v>0</v>
      </c>
      <c r="AG134" s="140">
        <f t="shared" si="100"/>
        <v>0</v>
      </c>
      <c r="AH134" s="251">
        <f t="shared" si="101"/>
        <v>0</v>
      </c>
      <c r="AI134" s="252"/>
      <c r="AJ134" s="140"/>
      <c r="AK134" s="140"/>
      <c r="AL134" s="176"/>
      <c r="AM134" s="139">
        <f t="shared" si="102"/>
        <v>0</v>
      </c>
      <c r="AN134" s="140">
        <f t="shared" si="103"/>
        <v>0</v>
      </c>
      <c r="AO134" s="140">
        <f t="shared" si="104"/>
        <v>0</v>
      </c>
      <c r="AP134" s="140">
        <f t="shared" si="105"/>
        <v>0</v>
      </c>
      <c r="AQ134" s="140">
        <f t="shared" si="106"/>
        <v>0</v>
      </c>
      <c r="AR134" s="140">
        <f t="shared" si="107"/>
        <v>0</v>
      </c>
      <c r="AS134" s="252"/>
    </row>
    <row r="135" spans="1:45" s="20" customFormat="1">
      <c r="A135" s="46" t="s">
        <v>262</v>
      </c>
      <c r="B135" s="20" t="s">
        <v>33</v>
      </c>
      <c r="C135" s="175">
        <v>0</v>
      </c>
      <c r="D135" s="100" t="s">
        <v>9</v>
      </c>
      <c r="E135" s="176">
        <v>0</v>
      </c>
      <c r="F135" s="177">
        <f t="shared" si="90"/>
        <v>0</v>
      </c>
      <c r="G135" s="178">
        <v>0</v>
      </c>
      <c r="H135" s="178">
        <v>4</v>
      </c>
      <c r="I135" s="178">
        <v>0</v>
      </c>
      <c r="J135" s="178">
        <v>2</v>
      </c>
      <c r="K135" s="179">
        <v>0</v>
      </c>
      <c r="L135" s="100" t="s">
        <v>8</v>
      </c>
      <c r="M135" s="176">
        <f t="shared" si="91"/>
        <v>3110.4</v>
      </c>
      <c r="N135" s="96">
        <v>5</v>
      </c>
      <c r="O135" s="176">
        <f t="shared" si="92"/>
        <v>3110.4</v>
      </c>
      <c r="P135" s="180"/>
      <c r="Q135" s="52" t="s">
        <v>46</v>
      </c>
      <c r="R135" s="75" t="s">
        <v>77</v>
      </c>
      <c r="S135" s="145" t="str">
        <f t="shared" si="93"/>
        <v>BPD2011</v>
      </c>
      <c r="T135" s="145" t="str">
        <f t="shared" si="94"/>
        <v>B1.2.3.1.12011</v>
      </c>
      <c r="U135" s="145" t="s">
        <v>407</v>
      </c>
      <c r="V135" s="145" t="str">
        <f t="shared" si="95"/>
        <v>Mechanical Sector Assemblies</v>
      </c>
      <c r="AB135" s="33">
        <v>2011</v>
      </c>
      <c r="AC135" s="140">
        <f t="shared" si="96"/>
        <v>0</v>
      </c>
      <c r="AD135" s="140">
        <f t="shared" si="97"/>
        <v>20</v>
      </c>
      <c r="AE135" s="140">
        <f t="shared" si="98"/>
        <v>0</v>
      </c>
      <c r="AF135" s="140">
        <f t="shared" si="99"/>
        <v>10</v>
      </c>
      <c r="AG135" s="140">
        <f t="shared" si="100"/>
        <v>0</v>
      </c>
      <c r="AH135" s="251">
        <f t="shared" si="101"/>
        <v>0</v>
      </c>
      <c r="AI135" s="252"/>
      <c r="AJ135" s="140"/>
      <c r="AK135" s="140"/>
      <c r="AL135" s="176"/>
      <c r="AM135" s="139">
        <f t="shared" si="102"/>
        <v>0</v>
      </c>
      <c r="AN135" s="140">
        <f t="shared" si="103"/>
        <v>0</v>
      </c>
      <c r="AO135" s="140">
        <f t="shared" si="104"/>
        <v>0</v>
      </c>
      <c r="AP135" s="140">
        <f t="shared" si="105"/>
        <v>0</v>
      </c>
      <c r="AQ135" s="140">
        <f t="shared" si="106"/>
        <v>0</v>
      </c>
      <c r="AR135" s="140">
        <f t="shared" si="107"/>
        <v>0</v>
      </c>
      <c r="AS135" s="252"/>
    </row>
    <row r="136" spans="1:45" s="20" customFormat="1">
      <c r="A136" s="79" t="s">
        <v>263</v>
      </c>
      <c r="B136" s="20" t="s">
        <v>33</v>
      </c>
      <c r="C136" s="175">
        <v>0</v>
      </c>
      <c r="D136" s="100" t="s">
        <v>9</v>
      </c>
      <c r="E136" s="176">
        <v>0</v>
      </c>
      <c r="F136" s="177">
        <f t="shared" si="90"/>
        <v>0</v>
      </c>
      <c r="G136" s="178">
        <v>0</v>
      </c>
      <c r="H136" s="178">
        <v>4</v>
      </c>
      <c r="I136" s="178">
        <v>0</v>
      </c>
      <c r="J136" s="178">
        <v>1</v>
      </c>
      <c r="K136" s="179">
        <v>0</v>
      </c>
      <c r="L136" s="100" t="s">
        <v>8</v>
      </c>
      <c r="M136" s="176">
        <f t="shared" si="91"/>
        <v>3504.0600000000004</v>
      </c>
      <c r="N136" s="96">
        <v>7</v>
      </c>
      <c r="O136" s="176">
        <f t="shared" si="92"/>
        <v>3504.0600000000004</v>
      </c>
      <c r="P136" s="180"/>
      <c r="Q136" s="52" t="s">
        <v>46</v>
      </c>
      <c r="R136" s="75" t="s">
        <v>77</v>
      </c>
      <c r="S136" s="145" t="str">
        <f t="shared" si="93"/>
        <v>BPD2012</v>
      </c>
      <c r="T136" s="145" t="str">
        <f t="shared" si="94"/>
        <v>B1.2.3.1.12012</v>
      </c>
      <c r="U136" s="145" t="s">
        <v>407</v>
      </c>
      <c r="V136" s="145" t="str">
        <f t="shared" si="95"/>
        <v>Mechanical Sector Assemblies</v>
      </c>
      <c r="AB136" s="33">
        <v>2012</v>
      </c>
      <c r="AC136" s="140">
        <f t="shared" si="96"/>
        <v>0</v>
      </c>
      <c r="AD136" s="140">
        <f t="shared" si="97"/>
        <v>28</v>
      </c>
      <c r="AE136" s="140">
        <f t="shared" si="98"/>
        <v>0</v>
      </c>
      <c r="AF136" s="140">
        <f t="shared" si="99"/>
        <v>7</v>
      </c>
      <c r="AG136" s="140">
        <f t="shared" si="100"/>
        <v>0</v>
      </c>
      <c r="AH136" s="251">
        <f t="shared" si="101"/>
        <v>0</v>
      </c>
      <c r="AI136" s="252"/>
      <c r="AJ136" s="140"/>
      <c r="AK136" s="140"/>
      <c r="AL136" s="176"/>
      <c r="AM136" s="139">
        <f t="shared" si="102"/>
        <v>0</v>
      </c>
      <c r="AN136" s="140">
        <f t="shared" si="103"/>
        <v>0</v>
      </c>
      <c r="AO136" s="140">
        <f t="shared" si="104"/>
        <v>0</v>
      </c>
      <c r="AP136" s="140">
        <f t="shared" si="105"/>
        <v>0</v>
      </c>
      <c r="AQ136" s="140">
        <f t="shared" si="106"/>
        <v>0</v>
      </c>
      <c r="AR136" s="140">
        <f t="shared" si="107"/>
        <v>0</v>
      </c>
      <c r="AS136" s="252"/>
    </row>
    <row r="137" spans="1:45" s="20" customFormat="1">
      <c r="A137" s="47" t="s">
        <v>315</v>
      </c>
      <c r="C137" s="175"/>
      <c r="D137" s="100"/>
      <c r="E137" s="61"/>
      <c r="F137" s="62"/>
      <c r="G137" s="63"/>
      <c r="H137" s="63"/>
      <c r="I137" s="63"/>
      <c r="J137" s="63"/>
      <c r="K137" s="64"/>
      <c r="L137" s="234" t="s">
        <v>66</v>
      </c>
      <c r="M137" s="188">
        <f>SUMIF(Q128:Q136,"B",M128:M136)</f>
        <v>15566.46</v>
      </c>
      <c r="N137" s="69" t="s">
        <v>65</v>
      </c>
      <c r="O137" s="176"/>
      <c r="P137" s="180"/>
      <c r="Q137" s="52"/>
      <c r="R137" s="75"/>
      <c r="S137" s="145"/>
      <c r="T137" s="145"/>
      <c r="U137" s="145"/>
      <c r="V137" s="145"/>
      <c r="AB137" s="33"/>
      <c r="AC137" s="140"/>
      <c r="AD137" s="140"/>
      <c r="AE137" s="143"/>
      <c r="AF137" s="140"/>
      <c r="AG137" s="140"/>
      <c r="AH137" s="251"/>
      <c r="AI137" s="252"/>
      <c r="AJ137" s="140"/>
      <c r="AK137" s="140"/>
      <c r="AL137" s="176"/>
      <c r="AM137" s="139"/>
      <c r="AN137" s="140"/>
      <c r="AO137" s="140"/>
      <c r="AP137" s="140"/>
      <c r="AQ137" s="140"/>
      <c r="AR137" s="140"/>
      <c r="AS137" s="252"/>
    </row>
    <row r="138" spans="1:45" s="20" customFormat="1">
      <c r="A138" s="46" t="s">
        <v>264</v>
      </c>
      <c r="B138" s="20" t="s">
        <v>33</v>
      </c>
      <c r="C138" s="175">
        <v>0</v>
      </c>
      <c r="D138" s="100" t="s">
        <v>9</v>
      </c>
      <c r="E138" s="176">
        <v>0</v>
      </c>
      <c r="F138" s="177">
        <f>E138*C138</f>
        <v>0</v>
      </c>
      <c r="G138" s="178">
        <v>0</v>
      </c>
      <c r="H138" s="178">
        <v>4</v>
      </c>
      <c r="I138" s="178">
        <v>0</v>
      </c>
      <c r="J138" s="178">
        <v>1</v>
      </c>
      <c r="K138" s="179">
        <v>0</v>
      </c>
      <c r="L138" s="100" t="s">
        <v>8</v>
      </c>
      <c r="M138" s="176">
        <f>IF(R138="PD",((Shop*G138)+(M_Tech*H138)+(CMM*I138)+(ENG*J138)+(DES*K138))*N138,((Shop_RD*G138)+(MTECH_RD*H138)+(CMM_RD*I138)+(ENG_RD*J138)+(DES_RD*K138))*N138)</f>
        <v>12514.500000000002</v>
      </c>
      <c r="N138" s="96">
        <v>25</v>
      </c>
      <c r="O138" s="176">
        <f>M138+(F138*N138)</f>
        <v>12514.500000000002</v>
      </c>
      <c r="P138" s="180"/>
      <c r="Q138" s="52" t="s">
        <v>46</v>
      </c>
      <c r="R138" s="75" t="s">
        <v>77</v>
      </c>
      <c r="S138" s="145" t="str">
        <f>CONCATENATE(Q138,R138,AB138)</f>
        <v>BPD2012</v>
      </c>
      <c r="T138" s="145" t="str">
        <f>CONCATENATE(Q138,U138,AB138)</f>
        <v>B1.2.3.1.12012</v>
      </c>
      <c r="U138" s="145" t="s">
        <v>407</v>
      </c>
      <c r="V138" s="145" t="str">
        <f>LOOKUP(U138,$B$383:$B$420,$A$383:$A$420)</f>
        <v>Mechanical Sector Assemblies</v>
      </c>
      <c r="AB138" s="33">
        <v>2012</v>
      </c>
      <c r="AC138" s="140">
        <f t="shared" ref="AC138:AG140" si="108">IF($Q138="B", (G138*$N138),0)</f>
        <v>0</v>
      </c>
      <c r="AD138" s="140">
        <f t="shared" si="108"/>
        <v>100</v>
      </c>
      <c r="AE138" s="140">
        <f t="shared" si="108"/>
        <v>0</v>
      </c>
      <c r="AF138" s="140">
        <f t="shared" si="108"/>
        <v>25</v>
      </c>
      <c r="AG138" s="140">
        <f t="shared" si="108"/>
        <v>0</v>
      </c>
      <c r="AH138" s="251">
        <f>IF($Q138="B", (F138*$N138),0)</f>
        <v>0</v>
      </c>
      <c r="AI138" s="252"/>
      <c r="AJ138" s="140"/>
      <c r="AK138" s="140"/>
      <c r="AL138" s="176"/>
      <c r="AM138" s="139">
        <f t="shared" ref="AM138:AQ140" si="109">IF($Q138="C", (G138*$N138),0)</f>
        <v>0</v>
      </c>
      <c r="AN138" s="140">
        <f t="shared" si="109"/>
        <v>0</v>
      </c>
      <c r="AO138" s="140">
        <f t="shared" si="109"/>
        <v>0</v>
      </c>
      <c r="AP138" s="140">
        <f t="shared" si="109"/>
        <v>0</v>
      </c>
      <c r="AQ138" s="140">
        <f t="shared" si="109"/>
        <v>0</v>
      </c>
      <c r="AR138" s="140">
        <f>IF($Q138="C", (F138*$N138),0)</f>
        <v>0</v>
      </c>
      <c r="AS138" s="252"/>
    </row>
    <row r="139" spans="1:45" s="20" customFormat="1">
      <c r="A139" s="46" t="s">
        <v>389</v>
      </c>
      <c r="B139" s="20" t="s">
        <v>33</v>
      </c>
      <c r="C139" s="175">
        <v>0</v>
      </c>
      <c r="D139" s="100" t="s">
        <v>9</v>
      </c>
      <c r="E139" s="176">
        <v>0</v>
      </c>
      <c r="F139" s="177">
        <f>E139*C139</f>
        <v>0</v>
      </c>
      <c r="G139" s="178">
        <v>0</v>
      </c>
      <c r="H139" s="178">
        <v>4</v>
      </c>
      <c r="I139" s="178">
        <v>0</v>
      </c>
      <c r="J139" s="178">
        <v>40</v>
      </c>
      <c r="K139" s="179">
        <v>0</v>
      </c>
      <c r="L139" s="100" t="s">
        <v>8</v>
      </c>
      <c r="M139" s="176">
        <f>IF(R139="PD",((Shop*G139)+(M_Tech*H139)+(CMM*I139)+(ENG*J139)+(DES*K139))*N139,((Shop_RD*G139)+(MTECH_RD*H139)+(CMM_RD*I139)+(ENG_RD*J139)+(DES_RD*K139))*N139)</f>
        <v>5239.0800000000008</v>
      </c>
      <c r="N139" s="96">
        <v>1</v>
      </c>
      <c r="O139" s="176">
        <f>M139+(F139*N139)</f>
        <v>5239.0800000000008</v>
      </c>
      <c r="P139" s="180"/>
      <c r="Q139" s="52" t="s">
        <v>46</v>
      </c>
      <c r="R139" s="75" t="s">
        <v>77</v>
      </c>
      <c r="S139" s="145" t="str">
        <f>CONCATENATE(Q139,R139,AB139)</f>
        <v>BPD2012</v>
      </c>
      <c r="T139" s="145" t="str">
        <f>CONCATENATE(Q139,U139,AB139)</f>
        <v>B1.2.3.1.12012</v>
      </c>
      <c r="U139" s="145" t="s">
        <v>407</v>
      </c>
      <c r="V139" s="145" t="str">
        <f>LOOKUP(U139,$B$383:$B$420,$A$383:$A$420)</f>
        <v>Mechanical Sector Assemblies</v>
      </c>
      <c r="AB139" s="33">
        <v>2012</v>
      </c>
      <c r="AC139" s="140">
        <f t="shared" si="108"/>
        <v>0</v>
      </c>
      <c r="AD139" s="140">
        <f t="shared" si="108"/>
        <v>4</v>
      </c>
      <c r="AE139" s="140">
        <f t="shared" si="108"/>
        <v>0</v>
      </c>
      <c r="AF139" s="140">
        <f t="shared" si="108"/>
        <v>40</v>
      </c>
      <c r="AG139" s="140">
        <f t="shared" si="108"/>
        <v>0</v>
      </c>
      <c r="AH139" s="251">
        <f>IF($Q139="B", (F139*$N139),0)</f>
        <v>0</v>
      </c>
      <c r="AI139" s="252"/>
      <c r="AJ139" s="140"/>
      <c r="AK139" s="140"/>
      <c r="AL139" s="176"/>
      <c r="AM139" s="139">
        <f t="shared" si="109"/>
        <v>0</v>
      </c>
      <c r="AN139" s="140">
        <f t="shared" si="109"/>
        <v>0</v>
      </c>
      <c r="AO139" s="140">
        <f t="shared" si="109"/>
        <v>0</v>
      </c>
      <c r="AP139" s="140">
        <f t="shared" si="109"/>
        <v>0</v>
      </c>
      <c r="AQ139" s="140">
        <f t="shared" si="109"/>
        <v>0</v>
      </c>
      <c r="AR139" s="140">
        <f>IF($Q139="C", (F139*$N139),0)</f>
        <v>0</v>
      </c>
      <c r="AS139" s="252"/>
    </row>
    <row r="140" spans="1:45" s="20" customFormat="1">
      <c r="A140" s="46" t="s">
        <v>265</v>
      </c>
      <c r="B140" s="20" t="s">
        <v>33</v>
      </c>
      <c r="C140" s="175">
        <v>0</v>
      </c>
      <c r="D140" s="100" t="s">
        <v>9</v>
      </c>
      <c r="E140" s="176">
        <v>0</v>
      </c>
      <c r="F140" s="177">
        <f>E140*C140</f>
        <v>0</v>
      </c>
      <c r="G140" s="178">
        <v>0</v>
      </c>
      <c r="H140" s="178">
        <v>4</v>
      </c>
      <c r="I140" s="178">
        <v>0</v>
      </c>
      <c r="J140" s="178">
        <v>1</v>
      </c>
      <c r="K140" s="179">
        <v>0</v>
      </c>
      <c r="L140" s="100" t="s">
        <v>8</v>
      </c>
      <c r="M140" s="176">
        <f>IF(R140="PD",((Shop*G140)+(M_Tech*H140)+(CMM*I140)+(ENG*J140)+(DES*K140))*N140,((Shop_RD*G140)+(MTECH_RD*H140)+(CMM_RD*I140)+(ENG_RD*J140)+(DES_RD*K140))*N140)</f>
        <v>5005.8</v>
      </c>
      <c r="N140" s="96">
        <v>10</v>
      </c>
      <c r="O140" s="176">
        <f>M140+(F140*N140)</f>
        <v>5005.8</v>
      </c>
      <c r="P140" s="180"/>
      <c r="Q140" s="52" t="s">
        <v>47</v>
      </c>
      <c r="R140" s="75" t="s">
        <v>77</v>
      </c>
      <c r="S140" s="145" t="str">
        <f>CONCATENATE(Q140,R140,AB140)</f>
        <v>CPD2013</v>
      </c>
      <c r="T140" s="145" t="str">
        <f>CONCATENATE(Q140,U140,AB140)</f>
        <v>C1.2.3.1.12013</v>
      </c>
      <c r="U140" s="145" t="s">
        <v>407</v>
      </c>
      <c r="V140" s="145" t="str">
        <f>LOOKUP(U140,$B$383:$B$420,$A$383:$A$420)</f>
        <v>Mechanical Sector Assemblies</v>
      </c>
      <c r="AB140" s="33">
        <v>2013</v>
      </c>
      <c r="AC140" s="140">
        <f t="shared" si="108"/>
        <v>0</v>
      </c>
      <c r="AD140" s="140">
        <f t="shared" si="108"/>
        <v>0</v>
      </c>
      <c r="AE140" s="140">
        <f t="shared" si="108"/>
        <v>0</v>
      </c>
      <c r="AF140" s="140">
        <f t="shared" si="108"/>
        <v>0</v>
      </c>
      <c r="AG140" s="140">
        <f t="shared" si="108"/>
        <v>0</v>
      </c>
      <c r="AH140" s="251">
        <f>IF($Q140="B", (F140*$N140),0)</f>
        <v>0</v>
      </c>
      <c r="AI140" s="252"/>
      <c r="AJ140" s="140"/>
      <c r="AK140" s="140"/>
      <c r="AL140" s="176"/>
      <c r="AM140" s="139">
        <f t="shared" si="109"/>
        <v>0</v>
      </c>
      <c r="AN140" s="140">
        <f t="shared" si="109"/>
        <v>40</v>
      </c>
      <c r="AO140" s="140">
        <f t="shared" si="109"/>
        <v>0</v>
      </c>
      <c r="AP140" s="140">
        <f t="shared" si="109"/>
        <v>10</v>
      </c>
      <c r="AQ140" s="140">
        <f t="shared" si="109"/>
        <v>0</v>
      </c>
      <c r="AR140" s="140">
        <f>IF($Q140="C", (F140*$N140),0)</f>
        <v>0</v>
      </c>
      <c r="AS140" s="252"/>
    </row>
    <row r="141" spans="1:45" s="20" customFormat="1">
      <c r="A141" s="47" t="s">
        <v>464</v>
      </c>
      <c r="C141" s="175"/>
      <c r="D141" s="100"/>
      <c r="E141" s="61"/>
      <c r="F141" s="62"/>
      <c r="G141" s="63"/>
      <c r="H141" s="63"/>
      <c r="I141" s="63"/>
      <c r="J141" s="63"/>
      <c r="K141" s="64"/>
      <c r="L141" s="234" t="s">
        <v>66</v>
      </c>
      <c r="M141" s="188">
        <f>SUMIF(Q137:Q140,"B",M137:M140)</f>
        <v>17753.580000000002</v>
      </c>
      <c r="N141" s="69" t="s">
        <v>65</v>
      </c>
      <c r="O141" s="176"/>
      <c r="P141" s="180"/>
      <c r="Q141" s="52"/>
      <c r="R141" s="75"/>
      <c r="S141" s="145"/>
      <c r="T141" s="145"/>
      <c r="U141" s="145"/>
      <c r="V141" s="145"/>
      <c r="AB141" s="33"/>
      <c r="AC141" s="140"/>
      <c r="AD141" s="140"/>
      <c r="AE141" s="143"/>
      <c r="AF141" s="140"/>
      <c r="AG141" s="140"/>
      <c r="AH141" s="251"/>
      <c r="AI141" s="252"/>
      <c r="AJ141" s="140"/>
      <c r="AK141" s="140"/>
      <c r="AL141" s="176"/>
      <c r="AM141" s="139"/>
      <c r="AN141" s="140"/>
      <c r="AO141" s="140"/>
      <c r="AP141" s="140"/>
      <c r="AQ141" s="140"/>
      <c r="AR141" s="140"/>
      <c r="AS141" s="252"/>
    </row>
    <row r="142" spans="1:45" s="20" customFormat="1">
      <c r="A142" s="46" t="s">
        <v>476</v>
      </c>
      <c r="B142" s="20" t="s">
        <v>7</v>
      </c>
      <c r="C142" s="175">
        <v>15</v>
      </c>
      <c r="D142" s="100" t="s">
        <v>38</v>
      </c>
      <c r="E142" s="176">
        <v>8</v>
      </c>
      <c r="F142" s="177">
        <f t="shared" ref="F142:F154" si="110">E142*C142</f>
        <v>120</v>
      </c>
      <c r="G142" s="374">
        <v>0</v>
      </c>
      <c r="H142" s="178">
        <v>8</v>
      </c>
      <c r="I142" s="178">
        <v>0</v>
      </c>
      <c r="J142" s="178">
        <v>20</v>
      </c>
      <c r="K142" s="179">
        <v>0</v>
      </c>
      <c r="L142" s="100" t="s">
        <v>8</v>
      </c>
      <c r="M142" s="176">
        <f t="shared" ref="M142:M154" si="111">IF(R142="PD",((Shop*G142)+(M_Tech*H142)+(CMM*I142)+(ENG*J142)+(DES*K142))*N142,((Shop_RD*G142)+(MTECH_RD*H142)+(CMM_RD*I142)+(ENG_RD*J142)+(DES_RD*K142))*N142)</f>
        <v>6376.3200000000015</v>
      </c>
      <c r="N142" s="96">
        <v>2</v>
      </c>
      <c r="O142" s="176">
        <f t="shared" ref="O142:O154" si="112">M142+(F142*N142)</f>
        <v>6616.3200000000015</v>
      </c>
      <c r="P142" s="180"/>
      <c r="Q142" s="52" t="s">
        <v>46</v>
      </c>
      <c r="R142" s="75" t="s">
        <v>77</v>
      </c>
      <c r="S142" s="145" t="str">
        <f t="shared" ref="S142:S154" si="113">CONCATENATE(Q142,R142,AB142)</f>
        <v>BPD2012</v>
      </c>
      <c r="T142" s="145" t="str">
        <f t="shared" ref="T142:T154" si="114">CONCATENATE(Q142,U142,AB142)</f>
        <v>B1.2.3.32012</v>
      </c>
      <c r="U142" s="145" t="s">
        <v>410</v>
      </c>
      <c r="V142" s="145" t="str">
        <f t="shared" ref="V142:V154" si="115">LOOKUP(U142,$B$383:$B$420,$A$383:$A$420)</f>
        <v>Sector Mount And Survey</v>
      </c>
      <c r="AB142" s="33">
        <v>2012</v>
      </c>
      <c r="AC142" s="140">
        <f t="shared" ref="AC142:AC154" si="116">IF($Q142="B", (G142*$N142),0)</f>
        <v>0</v>
      </c>
      <c r="AD142" s="140">
        <f t="shared" ref="AD142:AD154" si="117">IF($Q142="B", (H142*$N142),0)</f>
        <v>16</v>
      </c>
      <c r="AE142" s="140">
        <f t="shared" ref="AE142:AE154" si="118">IF($Q142="B", (I142*$N142),0)</f>
        <v>0</v>
      </c>
      <c r="AF142" s="140">
        <f t="shared" ref="AF142:AF154" si="119">IF($Q142="B", (J142*$N142),0)</f>
        <v>40</v>
      </c>
      <c r="AG142" s="140">
        <f t="shared" ref="AG142:AG154" si="120">IF($Q142="B", (K142*$N142),0)</f>
        <v>0</v>
      </c>
      <c r="AH142" s="251">
        <f t="shared" ref="AH142:AH154" si="121">IF($Q142="B", (F142*$N142),0)</f>
        <v>240</v>
      </c>
      <c r="AI142" s="252"/>
      <c r="AJ142" s="140"/>
      <c r="AK142" s="140"/>
      <c r="AL142" s="176"/>
      <c r="AM142" s="139">
        <f t="shared" ref="AM142:AM154" si="122">IF($Q142="C", (G142*$N142),0)</f>
        <v>0</v>
      </c>
      <c r="AN142" s="140">
        <f t="shared" ref="AN142:AN154" si="123">IF($Q142="C", (H142*$N142),0)</f>
        <v>0</v>
      </c>
      <c r="AO142" s="140">
        <f t="shared" ref="AO142:AO154" si="124">IF($Q142="C", (I142*$N142),0)</f>
        <v>0</v>
      </c>
      <c r="AP142" s="140">
        <f t="shared" ref="AP142:AP154" si="125">IF($Q142="C", (J142*$N142),0)</f>
        <v>0</v>
      </c>
      <c r="AQ142" s="140">
        <f t="shared" ref="AQ142:AQ154" si="126">IF($Q142="C", (K142*$N142),0)</f>
        <v>0</v>
      </c>
      <c r="AR142" s="140">
        <f t="shared" ref="AR142:AR154" si="127">IF($Q142="C", (F142*$N142),0)</f>
        <v>0</v>
      </c>
      <c r="AS142" s="252"/>
    </row>
    <row r="143" spans="1:45" s="20" customFormat="1">
      <c r="A143" s="46" t="s">
        <v>465</v>
      </c>
      <c r="B143" s="20" t="s">
        <v>7</v>
      </c>
      <c r="C143" s="175">
        <v>15</v>
      </c>
      <c r="D143" s="100" t="s">
        <v>38</v>
      </c>
      <c r="E143" s="176">
        <v>8</v>
      </c>
      <c r="F143" s="177">
        <f t="shared" si="110"/>
        <v>120</v>
      </c>
      <c r="G143" s="178">
        <v>20</v>
      </c>
      <c r="H143" s="178">
        <v>8</v>
      </c>
      <c r="I143" s="178">
        <v>0</v>
      </c>
      <c r="J143" s="178">
        <v>0</v>
      </c>
      <c r="K143" s="179">
        <v>0</v>
      </c>
      <c r="L143" s="100" t="s">
        <v>8</v>
      </c>
      <c r="M143" s="176">
        <f t="shared" si="111"/>
        <v>5598.72</v>
      </c>
      <c r="N143" s="96">
        <v>2</v>
      </c>
      <c r="O143" s="176">
        <f t="shared" si="112"/>
        <v>5838.72</v>
      </c>
      <c r="P143" s="180"/>
      <c r="Q143" s="52" t="s">
        <v>47</v>
      </c>
      <c r="R143" s="75" t="s">
        <v>77</v>
      </c>
      <c r="S143" s="145" t="str">
        <f t="shared" si="113"/>
        <v>CPD2012</v>
      </c>
      <c r="T143" s="145" t="str">
        <f t="shared" si="114"/>
        <v>C1.2.3.32012</v>
      </c>
      <c r="U143" s="145" t="s">
        <v>410</v>
      </c>
      <c r="V143" s="145" t="str">
        <f t="shared" si="115"/>
        <v>Sector Mount And Survey</v>
      </c>
      <c r="AB143" s="33">
        <v>2012</v>
      </c>
      <c r="AC143" s="140">
        <f t="shared" si="116"/>
        <v>0</v>
      </c>
      <c r="AD143" s="140">
        <f t="shared" si="117"/>
        <v>0</v>
      </c>
      <c r="AE143" s="140">
        <f t="shared" si="118"/>
        <v>0</v>
      </c>
      <c r="AF143" s="140">
        <f t="shared" si="119"/>
        <v>0</v>
      </c>
      <c r="AG143" s="140">
        <f t="shared" si="120"/>
        <v>0</v>
      </c>
      <c r="AH143" s="251">
        <f t="shared" si="121"/>
        <v>0</v>
      </c>
      <c r="AI143" s="252"/>
      <c r="AJ143" s="140"/>
      <c r="AK143" s="140"/>
      <c r="AL143" s="176"/>
      <c r="AM143" s="139">
        <f t="shared" si="122"/>
        <v>40</v>
      </c>
      <c r="AN143" s="140">
        <f t="shared" si="123"/>
        <v>16</v>
      </c>
      <c r="AO143" s="140">
        <f t="shared" si="124"/>
        <v>0</v>
      </c>
      <c r="AP143" s="140">
        <f t="shared" si="125"/>
        <v>0</v>
      </c>
      <c r="AQ143" s="140">
        <f t="shared" si="126"/>
        <v>0</v>
      </c>
      <c r="AR143" s="140">
        <f t="shared" si="127"/>
        <v>240</v>
      </c>
      <c r="AS143" s="252"/>
    </row>
    <row r="144" spans="1:45" s="20" customFormat="1">
      <c r="A144" s="46" t="s">
        <v>466</v>
      </c>
      <c r="B144" s="20" t="s">
        <v>33</v>
      </c>
      <c r="C144" s="175">
        <v>0</v>
      </c>
      <c r="D144" s="100" t="s">
        <v>9</v>
      </c>
      <c r="E144" s="176">
        <v>0</v>
      </c>
      <c r="F144" s="177">
        <f t="shared" si="110"/>
        <v>0</v>
      </c>
      <c r="G144" s="178">
        <v>0</v>
      </c>
      <c r="H144" s="178">
        <v>2</v>
      </c>
      <c r="I144" s="178">
        <v>8</v>
      </c>
      <c r="J144" s="178">
        <v>16</v>
      </c>
      <c r="K144" s="179">
        <v>0</v>
      </c>
      <c r="L144" s="100" t="s">
        <v>8</v>
      </c>
      <c r="M144" s="176">
        <f t="shared" si="111"/>
        <v>8850.0600000000013</v>
      </c>
      <c r="N144" s="96">
        <v>3</v>
      </c>
      <c r="O144" s="176">
        <f t="shared" si="112"/>
        <v>8850.0600000000013</v>
      </c>
      <c r="P144" s="180"/>
      <c r="Q144" s="52" t="s">
        <v>46</v>
      </c>
      <c r="R144" s="75" t="s">
        <v>77</v>
      </c>
      <c r="S144" s="145" t="str">
        <f t="shared" si="113"/>
        <v>BPD2012</v>
      </c>
      <c r="T144" s="145" t="str">
        <f t="shared" si="114"/>
        <v>B1.2.3.32012</v>
      </c>
      <c r="U144" s="145" t="s">
        <v>410</v>
      </c>
      <c r="V144" s="145" t="str">
        <f t="shared" si="115"/>
        <v>Sector Mount And Survey</v>
      </c>
      <c r="AB144" s="33">
        <v>2012</v>
      </c>
      <c r="AC144" s="140">
        <f t="shared" si="116"/>
        <v>0</v>
      </c>
      <c r="AD144" s="140">
        <f t="shared" si="117"/>
        <v>6</v>
      </c>
      <c r="AE144" s="140">
        <f t="shared" si="118"/>
        <v>24</v>
      </c>
      <c r="AF144" s="140">
        <f t="shared" si="119"/>
        <v>48</v>
      </c>
      <c r="AG144" s="140">
        <f t="shared" si="120"/>
        <v>0</v>
      </c>
      <c r="AH144" s="251">
        <f t="shared" si="121"/>
        <v>0</v>
      </c>
      <c r="AI144" s="252"/>
      <c r="AJ144" s="140"/>
      <c r="AK144" s="140"/>
      <c r="AL144" s="176"/>
      <c r="AM144" s="139">
        <f t="shared" si="122"/>
        <v>0</v>
      </c>
      <c r="AN144" s="140">
        <f t="shared" si="123"/>
        <v>0</v>
      </c>
      <c r="AO144" s="140">
        <f t="shared" si="124"/>
        <v>0</v>
      </c>
      <c r="AP144" s="140">
        <f t="shared" si="125"/>
        <v>0</v>
      </c>
      <c r="AQ144" s="140">
        <f t="shared" si="126"/>
        <v>0</v>
      </c>
      <c r="AR144" s="140">
        <f t="shared" si="127"/>
        <v>0</v>
      </c>
      <c r="AS144" s="252"/>
    </row>
    <row r="145" spans="1:45" s="20" customFormat="1">
      <c r="A145" s="46" t="s">
        <v>467</v>
      </c>
      <c r="B145" s="20" t="s">
        <v>33</v>
      </c>
      <c r="C145" s="175">
        <v>0</v>
      </c>
      <c r="D145" s="100" t="s">
        <v>9</v>
      </c>
      <c r="E145" s="176">
        <v>0</v>
      </c>
      <c r="F145" s="177">
        <f t="shared" si="110"/>
        <v>0</v>
      </c>
      <c r="G145" s="178">
        <v>0</v>
      </c>
      <c r="H145" s="178">
        <v>2</v>
      </c>
      <c r="I145" s="178">
        <v>4</v>
      </c>
      <c r="J145" s="178">
        <v>2</v>
      </c>
      <c r="K145" s="179">
        <v>0</v>
      </c>
      <c r="L145" s="100" t="s">
        <v>8</v>
      </c>
      <c r="M145" s="176">
        <f t="shared" si="111"/>
        <v>5885.46</v>
      </c>
      <c r="N145" s="96">
        <v>7</v>
      </c>
      <c r="O145" s="176">
        <f t="shared" si="112"/>
        <v>5885.46</v>
      </c>
      <c r="P145" s="180"/>
      <c r="Q145" s="52" t="s">
        <v>47</v>
      </c>
      <c r="R145" s="75" t="s">
        <v>77</v>
      </c>
      <c r="S145" s="145" t="str">
        <f t="shared" si="113"/>
        <v>CPD2012</v>
      </c>
      <c r="T145" s="145" t="str">
        <f t="shared" si="114"/>
        <v>C1.2.3.32012</v>
      </c>
      <c r="U145" s="145" t="s">
        <v>410</v>
      </c>
      <c r="V145" s="145" t="str">
        <f t="shared" si="115"/>
        <v>Sector Mount And Survey</v>
      </c>
      <c r="AB145" s="33">
        <v>2012</v>
      </c>
      <c r="AC145" s="140">
        <f t="shared" si="116"/>
        <v>0</v>
      </c>
      <c r="AD145" s="140">
        <f t="shared" si="117"/>
        <v>0</v>
      </c>
      <c r="AE145" s="140">
        <f t="shared" si="118"/>
        <v>0</v>
      </c>
      <c r="AF145" s="140">
        <f t="shared" si="119"/>
        <v>0</v>
      </c>
      <c r="AG145" s="140">
        <f t="shared" si="120"/>
        <v>0</v>
      </c>
      <c r="AH145" s="251">
        <f t="shared" si="121"/>
        <v>0</v>
      </c>
      <c r="AI145" s="252"/>
      <c r="AJ145" s="140"/>
      <c r="AK145" s="140"/>
      <c r="AL145" s="176"/>
      <c r="AM145" s="139">
        <f t="shared" si="122"/>
        <v>0</v>
      </c>
      <c r="AN145" s="140">
        <f t="shared" si="123"/>
        <v>14</v>
      </c>
      <c r="AO145" s="140">
        <f t="shared" si="124"/>
        <v>28</v>
      </c>
      <c r="AP145" s="140">
        <f t="shared" si="125"/>
        <v>14</v>
      </c>
      <c r="AQ145" s="140">
        <f t="shared" si="126"/>
        <v>0</v>
      </c>
      <c r="AR145" s="140">
        <f t="shared" si="127"/>
        <v>0</v>
      </c>
      <c r="AS145" s="252"/>
    </row>
    <row r="146" spans="1:45" s="20" customFormat="1">
      <c r="A146" s="46" t="s">
        <v>468</v>
      </c>
      <c r="B146" s="20" t="s">
        <v>33</v>
      </c>
      <c r="C146" s="175">
        <v>0</v>
      </c>
      <c r="D146" s="100" t="s">
        <v>9</v>
      </c>
      <c r="E146" s="176">
        <v>0</v>
      </c>
      <c r="F146" s="177">
        <f t="shared" si="110"/>
        <v>0</v>
      </c>
      <c r="G146" s="178">
        <v>0</v>
      </c>
      <c r="H146" s="178">
        <v>2</v>
      </c>
      <c r="I146" s="178">
        <v>4</v>
      </c>
      <c r="J146" s="178">
        <v>2</v>
      </c>
      <c r="K146" s="179">
        <v>0</v>
      </c>
      <c r="L146" s="100" t="s">
        <v>8</v>
      </c>
      <c r="M146" s="176">
        <f t="shared" si="111"/>
        <v>4203.8999999999996</v>
      </c>
      <c r="N146" s="96">
        <v>5</v>
      </c>
      <c r="O146" s="176">
        <f t="shared" si="112"/>
        <v>4203.8999999999996</v>
      </c>
      <c r="P146" s="180"/>
      <c r="Q146" s="52" t="s">
        <v>46</v>
      </c>
      <c r="R146" s="75" t="s">
        <v>77</v>
      </c>
      <c r="S146" s="145" t="str">
        <f t="shared" si="113"/>
        <v>BPD2012</v>
      </c>
      <c r="T146" s="145" t="str">
        <f t="shared" si="114"/>
        <v>B1.2.3.32012</v>
      </c>
      <c r="U146" s="145" t="s">
        <v>410</v>
      </c>
      <c r="V146" s="145" t="str">
        <f t="shared" si="115"/>
        <v>Sector Mount And Survey</v>
      </c>
      <c r="AB146" s="33">
        <v>2012</v>
      </c>
      <c r="AC146" s="140">
        <f t="shared" si="116"/>
        <v>0</v>
      </c>
      <c r="AD146" s="140">
        <f t="shared" si="117"/>
        <v>10</v>
      </c>
      <c r="AE146" s="140">
        <f t="shared" si="118"/>
        <v>20</v>
      </c>
      <c r="AF146" s="140">
        <f t="shared" si="119"/>
        <v>10</v>
      </c>
      <c r="AG146" s="140">
        <f t="shared" si="120"/>
        <v>0</v>
      </c>
      <c r="AH146" s="251">
        <f t="shared" si="121"/>
        <v>0</v>
      </c>
      <c r="AI146" s="252"/>
      <c r="AJ146" s="140"/>
      <c r="AK146" s="140"/>
      <c r="AL146" s="176"/>
      <c r="AM146" s="139">
        <f t="shared" si="122"/>
        <v>0</v>
      </c>
      <c r="AN146" s="140">
        <f t="shared" si="123"/>
        <v>0</v>
      </c>
      <c r="AO146" s="140">
        <f t="shared" si="124"/>
        <v>0</v>
      </c>
      <c r="AP146" s="140">
        <f t="shared" si="125"/>
        <v>0</v>
      </c>
      <c r="AQ146" s="140">
        <f t="shared" si="126"/>
        <v>0</v>
      </c>
      <c r="AR146" s="140">
        <f t="shared" si="127"/>
        <v>0</v>
      </c>
      <c r="AS146" s="252"/>
    </row>
    <row r="147" spans="1:45" s="20" customFormat="1">
      <c r="A147" s="46" t="s">
        <v>469</v>
      </c>
      <c r="B147" s="20" t="s">
        <v>33</v>
      </c>
      <c r="C147" s="175">
        <v>0</v>
      </c>
      <c r="D147" s="100" t="s">
        <v>9</v>
      </c>
      <c r="E147" s="176">
        <v>0</v>
      </c>
      <c r="F147" s="177">
        <f t="shared" si="110"/>
        <v>0</v>
      </c>
      <c r="G147" s="178">
        <v>0</v>
      </c>
      <c r="H147" s="178">
        <v>2</v>
      </c>
      <c r="I147" s="178">
        <v>4</v>
      </c>
      <c r="J147" s="178">
        <v>2</v>
      </c>
      <c r="K147" s="179">
        <v>0</v>
      </c>
      <c r="L147" s="100" t="s">
        <v>8</v>
      </c>
      <c r="M147" s="176">
        <f t="shared" si="111"/>
        <v>8407.7999999999993</v>
      </c>
      <c r="N147" s="96">
        <v>10</v>
      </c>
      <c r="O147" s="176">
        <f t="shared" si="112"/>
        <v>8407.7999999999993</v>
      </c>
      <c r="P147" s="180"/>
      <c r="Q147" s="52" t="s">
        <v>46</v>
      </c>
      <c r="R147" s="75" t="s">
        <v>77</v>
      </c>
      <c r="S147" s="145" t="str">
        <f t="shared" si="113"/>
        <v>BPD2013</v>
      </c>
      <c r="T147" s="145" t="str">
        <f t="shared" si="114"/>
        <v>B1.2.3.32013</v>
      </c>
      <c r="U147" s="145" t="s">
        <v>410</v>
      </c>
      <c r="V147" s="145" t="str">
        <f t="shared" si="115"/>
        <v>Sector Mount And Survey</v>
      </c>
      <c r="AB147" s="33">
        <v>2013</v>
      </c>
      <c r="AC147" s="140">
        <f t="shared" si="116"/>
        <v>0</v>
      </c>
      <c r="AD147" s="140">
        <f t="shared" si="117"/>
        <v>20</v>
      </c>
      <c r="AE147" s="140">
        <f t="shared" si="118"/>
        <v>40</v>
      </c>
      <c r="AF147" s="140">
        <f t="shared" si="119"/>
        <v>20</v>
      </c>
      <c r="AG147" s="140">
        <f t="shared" si="120"/>
        <v>0</v>
      </c>
      <c r="AH147" s="251">
        <f t="shared" si="121"/>
        <v>0</v>
      </c>
      <c r="AI147" s="252"/>
      <c r="AJ147" s="140"/>
      <c r="AK147" s="140"/>
      <c r="AL147" s="176"/>
      <c r="AM147" s="139">
        <f t="shared" si="122"/>
        <v>0</v>
      </c>
      <c r="AN147" s="140">
        <f t="shared" si="123"/>
        <v>0</v>
      </c>
      <c r="AO147" s="140">
        <f t="shared" si="124"/>
        <v>0</v>
      </c>
      <c r="AP147" s="140">
        <f t="shared" si="125"/>
        <v>0</v>
      </c>
      <c r="AQ147" s="140">
        <f t="shared" si="126"/>
        <v>0</v>
      </c>
      <c r="AR147" s="140">
        <f t="shared" si="127"/>
        <v>0</v>
      </c>
      <c r="AS147" s="252"/>
    </row>
    <row r="148" spans="1:45" s="20" customFormat="1">
      <c r="A148" s="46" t="s">
        <v>469</v>
      </c>
      <c r="B148" s="20" t="s">
        <v>33</v>
      </c>
      <c r="C148" s="175">
        <v>0</v>
      </c>
      <c r="D148" s="100" t="s">
        <v>9</v>
      </c>
      <c r="E148" s="176">
        <v>0</v>
      </c>
      <c r="F148" s="177">
        <f t="shared" si="110"/>
        <v>0</v>
      </c>
      <c r="G148" s="178">
        <v>0</v>
      </c>
      <c r="H148" s="178">
        <v>2</v>
      </c>
      <c r="I148" s="178">
        <v>4</v>
      </c>
      <c r="J148" s="178">
        <v>2</v>
      </c>
      <c r="K148" s="179">
        <v>0</v>
      </c>
      <c r="L148" s="100" t="s">
        <v>8</v>
      </c>
      <c r="M148" s="176">
        <f t="shared" si="111"/>
        <v>8407.7999999999993</v>
      </c>
      <c r="N148" s="96">
        <v>10</v>
      </c>
      <c r="O148" s="176">
        <f t="shared" si="112"/>
        <v>8407.7999999999993</v>
      </c>
      <c r="P148" s="180"/>
      <c r="Q148" s="52" t="s">
        <v>46</v>
      </c>
      <c r="R148" s="75" t="s">
        <v>77</v>
      </c>
      <c r="S148" s="145" t="str">
        <f t="shared" si="113"/>
        <v>BPD2014</v>
      </c>
      <c r="T148" s="145" t="str">
        <f t="shared" si="114"/>
        <v>B1.2.3.32014</v>
      </c>
      <c r="U148" s="145" t="s">
        <v>410</v>
      </c>
      <c r="V148" s="145" t="str">
        <f t="shared" si="115"/>
        <v>Sector Mount And Survey</v>
      </c>
      <c r="AB148" s="33">
        <v>2014</v>
      </c>
      <c r="AC148" s="140">
        <f t="shared" si="116"/>
        <v>0</v>
      </c>
      <c r="AD148" s="140">
        <f t="shared" si="117"/>
        <v>20</v>
      </c>
      <c r="AE148" s="140">
        <f t="shared" si="118"/>
        <v>40</v>
      </c>
      <c r="AF148" s="140">
        <f t="shared" si="119"/>
        <v>20</v>
      </c>
      <c r="AG148" s="140">
        <f t="shared" si="120"/>
        <v>0</v>
      </c>
      <c r="AH148" s="251">
        <f t="shared" si="121"/>
        <v>0</v>
      </c>
      <c r="AI148" s="252"/>
      <c r="AJ148" s="140"/>
      <c r="AK148" s="140"/>
      <c r="AL148" s="176"/>
      <c r="AM148" s="139">
        <f t="shared" si="122"/>
        <v>0</v>
      </c>
      <c r="AN148" s="140">
        <f t="shared" si="123"/>
        <v>0</v>
      </c>
      <c r="AO148" s="140">
        <f t="shared" si="124"/>
        <v>0</v>
      </c>
      <c r="AP148" s="140">
        <f t="shared" si="125"/>
        <v>0</v>
      </c>
      <c r="AQ148" s="140">
        <f t="shared" si="126"/>
        <v>0</v>
      </c>
      <c r="AR148" s="140">
        <f t="shared" si="127"/>
        <v>0</v>
      </c>
      <c r="AS148" s="252"/>
    </row>
    <row r="149" spans="1:45" s="20" customFormat="1">
      <c r="A149" s="46" t="s">
        <v>470</v>
      </c>
      <c r="B149" s="20" t="s">
        <v>33</v>
      </c>
      <c r="C149" s="175">
        <v>0</v>
      </c>
      <c r="D149" s="100" t="s">
        <v>9</v>
      </c>
      <c r="E149" s="176">
        <v>0</v>
      </c>
      <c r="F149" s="177">
        <f t="shared" si="110"/>
        <v>0</v>
      </c>
      <c r="G149" s="178">
        <v>0</v>
      </c>
      <c r="H149" s="178">
        <v>2</v>
      </c>
      <c r="I149" s="178">
        <v>4</v>
      </c>
      <c r="J149" s="178">
        <v>2</v>
      </c>
      <c r="K149" s="179">
        <v>0</v>
      </c>
      <c r="L149" s="100" t="s">
        <v>8</v>
      </c>
      <c r="M149" s="176">
        <f t="shared" si="111"/>
        <v>4203.8999999999996</v>
      </c>
      <c r="N149" s="96">
        <v>5</v>
      </c>
      <c r="O149" s="176">
        <f t="shared" si="112"/>
        <v>4203.8999999999996</v>
      </c>
      <c r="P149" s="180"/>
      <c r="Q149" s="52" t="s">
        <v>46</v>
      </c>
      <c r="R149" s="75" t="s">
        <v>77</v>
      </c>
      <c r="S149" s="145" t="str">
        <f t="shared" si="113"/>
        <v>BPD2013</v>
      </c>
      <c r="T149" s="145" t="str">
        <f t="shared" si="114"/>
        <v>B1.2.3.32013</v>
      </c>
      <c r="U149" s="145" t="s">
        <v>410</v>
      </c>
      <c r="V149" s="145" t="str">
        <f t="shared" si="115"/>
        <v>Sector Mount And Survey</v>
      </c>
      <c r="AB149" s="33">
        <v>2013</v>
      </c>
      <c r="AC149" s="140">
        <f t="shared" si="116"/>
        <v>0</v>
      </c>
      <c r="AD149" s="140">
        <f t="shared" si="117"/>
        <v>10</v>
      </c>
      <c r="AE149" s="140">
        <f t="shared" si="118"/>
        <v>20</v>
      </c>
      <c r="AF149" s="140">
        <f t="shared" si="119"/>
        <v>10</v>
      </c>
      <c r="AG149" s="140">
        <f t="shared" si="120"/>
        <v>0</v>
      </c>
      <c r="AH149" s="251">
        <f t="shared" si="121"/>
        <v>0</v>
      </c>
      <c r="AI149" s="252"/>
      <c r="AJ149" s="140"/>
      <c r="AK149" s="140"/>
      <c r="AL149" s="176"/>
      <c r="AM149" s="139">
        <f t="shared" si="122"/>
        <v>0</v>
      </c>
      <c r="AN149" s="140">
        <f t="shared" si="123"/>
        <v>0</v>
      </c>
      <c r="AO149" s="140">
        <f t="shared" si="124"/>
        <v>0</v>
      </c>
      <c r="AP149" s="140">
        <f t="shared" si="125"/>
        <v>0</v>
      </c>
      <c r="AQ149" s="140">
        <f t="shared" si="126"/>
        <v>0</v>
      </c>
      <c r="AR149" s="140">
        <f t="shared" si="127"/>
        <v>0</v>
      </c>
      <c r="AS149" s="252"/>
    </row>
    <row r="150" spans="1:45" s="20" customFormat="1">
      <c r="A150" s="46" t="s">
        <v>471</v>
      </c>
      <c r="B150" s="20" t="s">
        <v>33</v>
      </c>
      <c r="C150" s="175">
        <v>0</v>
      </c>
      <c r="D150" s="100" t="s">
        <v>9</v>
      </c>
      <c r="E150" s="176">
        <v>0</v>
      </c>
      <c r="F150" s="177">
        <f t="shared" si="110"/>
        <v>0</v>
      </c>
      <c r="G150" s="178">
        <v>0</v>
      </c>
      <c r="H150" s="178">
        <v>24</v>
      </c>
      <c r="I150" s="178">
        <v>40</v>
      </c>
      <c r="J150" s="178">
        <v>40</v>
      </c>
      <c r="K150" s="179">
        <v>0</v>
      </c>
      <c r="L150" s="100" t="s">
        <v>8</v>
      </c>
      <c r="M150" s="176">
        <f t="shared" si="111"/>
        <v>22433.760000000002</v>
      </c>
      <c r="N150" s="96">
        <v>2</v>
      </c>
      <c r="O150" s="176">
        <f t="shared" si="112"/>
        <v>22433.760000000002</v>
      </c>
      <c r="P150" s="180"/>
      <c r="Q150" s="52" t="s">
        <v>46</v>
      </c>
      <c r="R150" s="75" t="s">
        <v>77</v>
      </c>
      <c r="S150" s="145" t="str">
        <f t="shared" si="113"/>
        <v>BPD2012</v>
      </c>
      <c r="T150" s="145" t="str">
        <f t="shared" si="114"/>
        <v>B1.2.3.32012</v>
      </c>
      <c r="U150" s="145" t="s">
        <v>410</v>
      </c>
      <c r="V150" s="145" t="str">
        <f t="shared" si="115"/>
        <v>Sector Mount And Survey</v>
      </c>
      <c r="AB150" s="33">
        <v>2012</v>
      </c>
      <c r="AC150" s="140">
        <f t="shared" si="116"/>
        <v>0</v>
      </c>
      <c r="AD150" s="140">
        <f t="shared" si="117"/>
        <v>48</v>
      </c>
      <c r="AE150" s="140">
        <f t="shared" si="118"/>
        <v>80</v>
      </c>
      <c r="AF150" s="140">
        <f t="shared" si="119"/>
        <v>80</v>
      </c>
      <c r="AG150" s="140">
        <f t="shared" si="120"/>
        <v>0</v>
      </c>
      <c r="AH150" s="251">
        <f t="shared" si="121"/>
        <v>0</v>
      </c>
      <c r="AI150" s="252"/>
      <c r="AJ150" s="140"/>
      <c r="AK150" s="140"/>
      <c r="AL150" s="176"/>
      <c r="AM150" s="139">
        <f t="shared" si="122"/>
        <v>0</v>
      </c>
      <c r="AN150" s="140">
        <f t="shared" si="123"/>
        <v>0</v>
      </c>
      <c r="AO150" s="140">
        <f t="shared" si="124"/>
        <v>0</v>
      </c>
      <c r="AP150" s="140">
        <f t="shared" si="125"/>
        <v>0</v>
      </c>
      <c r="AQ150" s="140">
        <f t="shared" si="126"/>
        <v>0</v>
      </c>
      <c r="AR150" s="140">
        <f t="shared" si="127"/>
        <v>0</v>
      </c>
      <c r="AS150" s="252"/>
    </row>
    <row r="151" spans="1:45" s="20" customFormat="1">
      <c r="A151" s="46" t="s">
        <v>472</v>
      </c>
      <c r="B151" s="20" t="s">
        <v>33</v>
      </c>
      <c r="C151" s="175">
        <v>0</v>
      </c>
      <c r="D151" s="100" t="s">
        <v>9</v>
      </c>
      <c r="E151" s="176">
        <v>0</v>
      </c>
      <c r="F151" s="177">
        <f t="shared" si="110"/>
        <v>0</v>
      </c>
      <c r="G151" s="178">
        <v>0</v>
      </c>
      <c r="H151" s="178">
        <v>24</v>
      </c>
      <c r="I151" s="178">
        <v>16</v>
      </c>
      <c r="J151" s="178">
        <v>24</v>
      </c>
      <c r="K151" s="179">
        <v>0</v>
      </c>
      <c r="L151" s="100" t="s">
        <v>8</v>
      </c>
      <c r="M151" s="176">
        <f t="shared" si="111"/>
        <v>13646.880000000001</v>
      </c>
      <c r="N151" s="96">
        <v>2</v>
      </c>
      <c r="O151" s="176">
        <f t="shared" si="112"/>
        <v>13646.880000000001</v>
      </c>
      <c r="P151" s="180"/>
      <c r="Q151" s="52" t="s">
        <v>47</v>
      </c>
      <c r="R151" s="75" t="s">
        <v>77</v>
      </c>
      <c r="S151" s="145" t="str">
        <f t="shared" si="113"/>
        <v>CPD2012</v>
      </c>
      <c r="T151" s="145" t="str">
        <f t="shared" si="114"/>
        <v>C1.2.3.32012</v>
      </c>
      <c r="U151" s="145" t="s">
        <v>410</v>
      </c>
      <c r="V151" s="145" t="str">
        <f t="shared" si="115"/>
        <v>Sector Mount And Survey</v>
      </c>
      <c r="AB151" s="33">
        <v>2012</v>
      </c>
      <c r="AC151" s="140">
        <f t="shared" si="116"/>
        <v>0</v>
      </c>
      <c r="AD151" s="140">
        <f t="shared" si="117"/>
        <v>0</v>
      </c>
      <c r="AE151" s="140">
        <f t="shared" si="118"/>
        <v>0</v>
      </c>
      <c r="AF151" s="140">
        <f t="shared" si="119"/>
        <v>0</v>
      </c>
      <c r="AG151" s="140">
        <f t="shared" si="120"/>
        <v>0</v>
      </c>
      <c r="AH151" s="251">
        <f t="shared" si="121"/>
        <v>0</v>
      </c>
      <c r="AI151" s="252"/>
      <c r="AJ151" s="140"/>
      <c r="AK151" s="140"/>
      <c r="AL151" s="176"/>
      <c r="AM151" s="139">
        <f t="shared" si="122"/>
        <v>0</v>
      </c>
      <c r="AN151" s="140">
        <f t="shared" si="123"/>
        <v>48</v>
      </c>
      <c r="AO151" s="140">
        <f t="shared" si="124"/>
        <v>32</v>
      </c>
      <c r="AP151" s="140">
        <f t="shared" si="125"/>
        <v>48</v>
      </c>
      <c r="AQ151" s="140">
        <f t="shared" si="126"/>
        <v>0</v>
      </c>
      <c r="AR151" s="140">
        <f t="shared" si="127"/>
        <v>0</v>
      </c>
      <c r="AS151" s="252"/>
    </row>
    <row r="152" spans="1:45" s="20" customFormat="1">
      <c r="A152" s="46" t="s">
        <v>473</v>
      </c>
      <c r="B152" s="20" t="s">
        <v>33</v>
      </c>
      <c r="C152" s="175">
        <v>0</v>
      </c>
      <c r="D152" s="100" t="s">
        <v>9</v>
      </c>
      <c r="E152" s="176">
        <v>0</v>
      </c>
      <c r="F152" s="177">
        <f t="shared" si="110"/>
        <v>0</v>
      </c>
      <c r="G152" s="178">
        <v>0</v>
      </c>
      <c r="H152" s="178">
        <v>24</v>
      </c>
      <c r="I152" s="178">
        <v>40</v>
      </c>
      <c r="J152" s="178">
        <v>40</v>
      </c>
      <c r="K152" s="179">
        <v>0</v>
      </c>
      <c r="L152" s="100" t="s">
        <v>8</v>
      </c>
      <c r="M152" s="176">
        <f t="shared" si="111"/>
        <v>22433.760000000002</v>
      </c>
      <c r="N152" s="96">
        <v>2</v>
      </c>
      <c r="O152" s="176">
        <f t="shared" si="112"/>
        <v>22433.760000000002</v>
      </c>
      <c r="P152" s="180"/>
      <c r="Q152" s="52" t="s">
        <v>46</v>
      </c>
      <c r="R152" s="75" t="s">
        <v>77</v>
      </c>
      <c r="S152" s="145" t="str">
        <f t="shared" si="113"/>
        <v>BPD2013</v>
      </c>
      <c r="T152" s="145" t="str">
        <f t="shared" si="114"/>
        <v>B1.2.3.32013</v>
      </c>
      <c r="U152" s="145" t="s">
        <v>410</v>
      </c>
      <c r="V152" s="145" t="str">
        <f t="shared" si="115"/>
        <v>Sector Mount And Survey</v>
      </c>
      <c r="AB152" s="33">
        <v>2013</v>
      </c>
      <c r="AC152" s="140">
        <f t="shared" si="116"/>
        <v>0</v>
      </c>
      <c r="AD152" s="140">
        <f t="shared" si="117"/>
        <v>48</v>
      </c>
      <c r="AE152" s="140">
        <f t="shared" si="118"/>
        <v>80</v>
      </c>
      <c r="AF152" s="140">
        <f t="shared" si="119"/>
        <v>80</v>
      </c>
      <c r="AG152" s="140">
        <f t="shared" si="120"/>
        <v>0</v>
      </c>
      <c r="AH152" s="251">
        <f t="shared" si="121"/>
        <v>0</v>
      </c>
      <c r="AI152" s="252"/>
      <c r="AJ152" s="140"/>
      <c r="AK152" s="140"/>
      <c r="AL152" s="176"/>
      <c r="AM152" s="139">
        <f t="shared" si="122"/>
        <v>0</v>
      </c>
      <c r="AN152" s="140">
        <f t="shared" si="123"/>
        <v>0</v>
      </c>
      <c r="AO152" s="140">
        <f t="shared" si="124"/>
        <v>0</v>
      </c>
      <c r="AP152" s="140">
        <f t="shared" si="125"/>
        <v>0</v>
      </c>
      <c r="AQ152" s="140">
        <f t="shared" si="126"/>
        <v>0</v>
      </c>
      <c r="AR152" s="140">
        <f t="shared" si="127"/>
        <v>0</v>
      </c>
      <c r="AS152" s="252"/>
    </row>
    <row r="153" spans="1:45" s="20" customFormat="1">
      <c r="A153" s="46" t="s">
        <v>474</v>
      </c>
      <c r="B153" s="20" t="s">
        <v>33</v>
      </c>
      <c r="C153" s="175">
        <v>0</v>
      </c>
      <c r="D153" s="100" t="s">
        <v>9</v>
      </c>
      <c r="E153" s="176">
        <v>0</v>
      </c>
      <c r="F153" s="177">
        <f t="shared" si="110"/>
        <v>0</v>
      </c>
      <c r="G153" s="178">
        <v>0</v>
      </c>
      <c r="H153" s="178">
        <v>24</v>
      </c>
      <c r="I153" s="178">
        <v>16</v>
      </c>
      <c r="J153" s="178">
        <v>24</v>
      </c>
      <c r="K153" s="179">
        <v>0</v>
      </c>
      <c r="L153" s="100" t="s">
        <v>8</v>
      </c>
      <c r="M153" s="176">
        <f t="shared" si="111"/>
        <v>6823.4400000000005</v>
      </c>
      <c r="N153" s="96">
        <v>1</v>
      </c>
      <c r="O153" s="176">
        <f t="shared" si="112"/>
        <v>6823.4400000000005</v>
      </c>
      <c r="P153" s="180"/>
      <c r="Q153" s="52" t="s">
        <v>47</v>
      </c>
      <c r="R153" s="75" t="s">
        <v>77</v>
      </c>
      <c r="S153" s="145" t="str">
        <f t="shared" si="113"/>
        <v>CPD2013</v>
      </c>
      <c r="T153" s="145" t="str">
        <f t="shared" si="114"/>
        <v>C1.2.3.32013</v>
      </c>
      <c r="U153" s="145" t="s">
        <v>410</v>
      </c>
      <c r="V153" s="145" t="str">
        <f t="shared" si="115"/>
        <v>Sector Mount And Survey</v>
      </c>
      <c r="AB153" s="33">
        <v>2013</v>
      </c>
      <c r="AC153" s="140">
        <f t="shared" si="116"/>
        <v>0</v>
      </c>
      <c r="AD153" s="140">
        <f t="shared" si="117"/>
        <v>0</v>
      </c>
      <c r="AE153" s="140">
        <f t="shared" si="118"/>
        <v>0</v>
      </c>
      <c r="AF153" s="140">
        <f t="shared" si="119"/>
        <v>0</v>
      </c>
      <c r="AG153" s="140">
        <f t="shared" si="120"/>
        <v>0</v>
      </c>
      <c r="AH153" s="251">
        <f t="shared" si="121"/>
        <v>0</v>
      </c>
      <c r="AI153" s="252"/>
      <c r="AJ153" s="140"/>
      <c r="AK153" s="140"/>
      <c r="AL153" s="176"/>
      <c r="AM153" s="139">
        <f t="shared" si="122"/>
        <v>0</v>
      </c>
      <c r="AN153" s="140">
        <f t="shared" si="123"/>
        <v>24</v>
      </c>
      <c r="AO153" s="140">
        <f t="shared" si="124"/>
        <v>16</v>
      </c>
      <c r="AP153" s="140">
        <f t="shared" si="125"/>
        <v>24</v>
      </c>
      <c r="AQ153" s="140">
        <f t="shared" si="126"/>
        <v>0</v>
      </c>
      <c r="AR153" s="140">
        <f t="shared" si="127"/>
        <v>0</v>
      </c>
      <c r="AS153" s="252"/>
    </row>
    <row r="154" spans="1:45" s="20" customFormat="1">
      <c r="A154" s="46" t="s">
        <v>475</v>
      </c>
      <c r="B154" s="20" t="s">
        <v>33</v>
      </c>
      <c r="C154" s="175">
        <v>0</v>
      </c>
      <c r="D154" s="100" t="s">
        <v>9</v>
      </c>
      <c r="E154" s="176">
        <v>0</v>
      </c>
      <c r="F154" s="177">
        <f t="shared" si="110"/>
        <v>0</v>
      </c>
      <c r="G154" s="178">
        <v>0</v>
      </c>
      <c r="H154" s="178">
        <v>24</v>
      </c>
      <c r="I154" s="178">
        <v>40</v>
      </c>
      <c r="J154" s="178">
        <v>40</v>
      </c>
      <c r="K154" s="179">
        <v>0</v>
      </c>
      <c r="L154" s="100" t="s">
        <v>8</v>
      </c>
      <c r="M154" s="176">
        <f t="shared" si="111"/>
        <v>22433.760000000002</v>
      </c>
      <c r="N154" s="96">
        <v>2</v>
      </c>
      <c r="O154" s="176">
        <f t="shared" si="112"/>
        <v>22433.760000000002</v>
      </c>
      <c r="P154" s="180"/>
      <c r="Q154" s="52" t="s">
        <v>46</v>
      </c>
      <c r="R154" s="75" t="s">
        <v>77</v>
      </c>
      <c r="S154" s="145" t="str">
        <f t="shared" si="113"/>
        <v>BPD2013</v>
      </c>
      <c r="T154" s="145" t="str">
        <f t="shared" si="114"/>
        <v>B1.2.3.32013</v>
      </c>
      <c r="U154" s="145" t="s">
        <v>410</v>
      </c>
      <c r="V154" s="145" t="str">
        <f t="shared" si="115"/>
        <v>Sector Mount And Survey</v>
      </c>
      <c r="AB154" s="33">
        <v>2013</v>
      </c>
      <c r="AC154" s="140">
        <f t="shared" si="116"/>
        <v>0</v>
      </c>
      <c r="AD154" s="140">
        <f t="shared" si="117"/>
        <v>48</v>
      </c>
      <c r="AE154" s="140">
        <f t="shared" si="118"/>
        <v>80</v>
      </c>
      <c r="AF154" s="140">
        <f t="shared" si="119"/>
        <v>80</v>
      </c>
      <c r="AG154" s="140">
        <f t="shared" si="120"/>
        <v>0</v>
      </c>
      <c r="AH154" s="251">
        <f t="shared" si="121"/>
        <v>0</v>
      </c>
      <c r="AI154" s="252"/>
      <c r="AJ154" s="140"/>
      <c r="AK154" s="140"/>
      <c r="AL154" s="176"/>
      <c r="AM154" s="139">
        <f t="shared" si="122"/>
        <v>0</v>
      </c>
      <c r="AN154" s="140">
        <f t="shared" si="123"/>
        <v>0</v>
      </c>
      <c r="AO154" s="140">
        <f t="shared" si="124"/>
        <v>0</v>
      </c>
      <c r="AP154" s="140">
        <f t="shared" si="125"/>
        <v>0</v>
      </c>
      <c r="AQ154" s="140">
        <f t="shared" si="126"/>
        <v>0</v>
      </c>
      <c r="AR154" s="140">
        <f t="shared" si="127"/>
        <v>0</v>
      </c>
      <c r="AS154" s="252"/>
    </row>
    <row r="155" spans="1:45" s="343" customFormat="1">
      <c r="A155" s="21" t="s">
        <v>266</v>
      </c>
      <c r="B155" s="3"/>
      <c r="C155" s="181"/>
      <c r="D155" s="380"/>
      <c r="E155" s="182"/>
      <c r="F155" s="183"/>
      <c r="G155" s="181"/>
      <c r="H155" s="181"/>
      <c r="I155" s="181"/>
      <c r="J155" s="181"/>
      <c r="K155" s="184"/>
      <c r="L155" s="380"/>
      <c r="M155" s="182">
        <f>SUMIF(Q97:Q154,"B",M97:M154)</f>
        <v>269610.76499999996</v>
      </c>
      <c r="N155" s="379" t="s">
        <v>65</v>
      </c>
      <c r="O155" s="379"/>
      <c r="P155" s="382"/>
      <c r="Q155" s="53"/>
      <c r="R155" s="78"/>
      <c r="S155" s="146"/>
      <c r="T155" s="146"/>
      <c r="U155" s="146"/>
      <c r="V155" s="146"/>
      <c r="W155" s="3"/>
      <c r="X155" s="3"/>
      <c r="Y155" s="3"/>
      <c r="Z155" s="3"/>
      <c r="AA155" s="3"/>
      <c r="AB155" s="34"/>
      <c r="AC155" s="5">
        <f>SUM(AC97:AC154)</f>
        <v>545.75</v>
      </c>
      <c r="AD155" s="5">
        <f>SUM(AD97:AD154)</f>
        <v>762</v>
      </c>
      <c r="AE155" s="5">
        <f>SUM(AE97:AE154)</f>
        <v>440</v>
      </c>
      <c r="AF155" s="5">
        <f>SUM(AF97:AF154)</f>
        <v>777</v>
      </c>
      <c r="AG155" s="5">
        <f>SUM(AG97:AG154)</f>
        <v>0</v>
      </c>
      <c r="AH155" s="182"/>
      <c r="AI155" s="183">
        <f>SUM(AH96:AH140)</f>
        <v>5010</v>
      </c>
      <c r="AJ155" s="182">
        <f>(Shop*AC155)+M_Tech*AD155+CMM*AE155+ENG*AF155+DES*AG155+AI155</f>
        <v>272235.88500000001</v>
      </c>
      <c r="AK155" s="182"/>
      <c r="AL155" s="183">
        <f>Shop*AM155+M_Tech*AN155+CMM*AO155+ENG*AP155+DES*AQ155+AS155</f>
        <v>168249.07</v>
      </c>
      <c r="AM155" s="5">
        <f>SUM(AM96:AM154)</f>
        <v>595.5</v>
      </c>
      <c r="AN155" s="5">
        <f>SUM(AN96:AN154)</f>
        <v>370</v>
      </c>
      <c r="AO155" s="5">
        <f>SUM(AO96:AO154)</f>
        <v>124</v>
      </c>
      <c r="AP155" s="5">
        <f>SUM(AP96:AP154)</f>
        <v>452</v>
      </c>
      <c r="AQ155" s="5">
        <f>SUM(AQ96:AQ154)</f>
        <v>0</v>
      </c>
      <c r="AR155" s="182"/>
      <c r="AS155" s="183">
        <f>SUM(AR96:AR140)</f>
        <v>4834</v>
      </c>
    </row>
    <row r="156" spans="1:45" s="343" customFormat="1">
      <c r="A156" s="138"/>
      <c r="B156" s="2"/>
      <c r="C156" s="168"/>
      <c r="D156" s="233"/>
      <c r="E156" s="169"/>
      <c r="F156" s="170"/>
      <c r="G156" s="168"/>
      <c r="H156" s="168"/>
      <c r="I156" s="168"/>
      <c r="J156" s="168"/>
      <c r="K156" s="185"/>
      <c r="L156" s="234" t="s">
        <v>66</v>
      </c>
      <c r="M156" s="188">
        <f>SUMIF(Q142:Q154,"B",M142:M154)</f>
        <v>107751.06000000003</v>
      </c>
      <c r="N156" s="234" t="s">
        <v>65</v>
      </c>
      <c r="O156" s="359"/>
      <c r="P156" s="145"/>
      <c r="Q156" s="349"/>
      <c r="R156" s="350"/>
      <c r="S156" s="351"/>
      <c r="T156" s="351"/>
      <c r="U156" s="351"/>
      <c r="V156" s="351"/>
      <c r="W156" s="2"/>
      <c r="X156" s="2"/>
      <c r="Y156" s="2"/>
      <c r="Z156" s="2"/>
      <c r="AA156" s="2"/>
      <c r="AB156" s="33"/>
      <c r="AC156" s="4"/>
      <c r="AD156" s="4"/>
      <c r="AE156" s="4"/>
      <c r="AF156" s="4"/>
      <c r="AG156" s="4"/>
      <c r="AH156" s="169"/>
      <c r="AI156" s="170"/>
      <c r="AJ156" s="169"/>
      <c r="AK156" s="169"/>
      <c r="AL156" s="169"/>
      <c r="AM156" s="4"/>
      <c r="AN156" s="4"/>
      <c r="AO156" s="4"/>
      <c r="AP156" s="4"/>
      <c r="AQ156" s="4"/>
      <c r="AR156" s="169"/>
      <c r="AS156" s="170"/>
    </row>
    <row r="157" spans="1:45" ht="15.75">
      <c r="A157" s="49" t="s">
        <v>187</v>
      </c>
      <c r="B157" s="378"/>
      <c r="F157" s="170"/>
      <c r="G157" s="168"/>
      <c r="H157" s="168"/>
      <c r="I157" s="168"/>
      <c r="J157" s="168"/>
      <c r="K157" s="185"/>
      <c r="M157" s="116"/>
      <c r="N157" s="7"/>
      <c r="P157" s="186"/>
      <c r="Q157" s="52"/>
      <c r="R157" s="75"/>
      <c r="S157" s="145"/>
      <c r="T157" s="145"/>
      <c r="U157" s="145"/>
      <c r="V157" s="145"/>
      <c r="W157" s="378"/>
      <c r="X157" s="378"/>
      <c r="Y157" s="378"/>
      <c r="Z157" s="378"/>
      <c r="AA157" s="378"/>
      <c r="AB157" s="33"/>
      <c r="AC157" s="4"/>
      <c r="AD157" s="4"/>
      <c r="AE157" s="4"/>
      <c r="AF157" s="4"/>
      <c r="AG157" s="4"/>
      <c r="AH157" s="169"/>
      <c r="AI157" s="256"/>
      <c r="AJ157" s="4"/>
      <c r="AK157" s="4"/>
      <c r="AM157" s="32"/>
      <c r="AN157" s="4"/>
      <c r="AO157" s="4"/>
      <c r="AP157" s="4"/>
      <c r="AQ157" s="4"/>
      <c r="AR157" s="4"/>
      <c r="AS157" s="256"/>
    </row>
    <row r="158" spans="1:45" s="19" customFormat="1">
      <c r="A158" s="47" t="s">
        <v>275</v>
      </c>
      <c r="B158" s="20"/>
      <c r="C158" s="162"/>
      <c r="D158" s="100"/>
      <c r="E158" s="116"/>
      <c r="F158" s="170"/>
      <c r="G158" s="178"/>
      <c r="H158" s="168"/>
      <c r="I158" s="168"/>
      <c r="J158" s="168"/>
      <c r="K158" s="185"/>
      <c r="L158" s="234"/>
      <c r="M158" s="188"/>
      <c r="N158" s="69"/>
      <c r="O158" s="360"/>
      <c r="P158" s="186"/>
      <c r="Q158" s="52"/>
      <c r="R158" s="75"/>
      <c r="S158" s="145"/>
      <c r="T158" s="145"/>
      <c r="U158" s="145"/>
      <c r="V158" s="145"/>
      <c r="W158" s="378"/>
      <c r="X158" s="378"/>
      <c r="Y158" s="378"/>
      <c r="Z158" s="378"/>
      <c r="AA158" s="378"/>
      <c r="AB158" s="33"/>
      <c r="AC158" s="4"/>
      <c r="AD158" s="4"/>
      <c r="AE158" s="4"/>
      <c r="AF158" s="4"/>
      <c r="AG158" s="4"/>
      <c r="AH158" s="169"/>
      <c r="AI158" s="257"/>
      <c r="AJ158" s="258"/>
      <c r="AK158" s="258"/>
      <c r="AL158" s="116"/>
      <c r="AM158" s="32"/>
      <c r="AN158" s="4"/>
      <c r="AO158" s="4"/>
      <c r="AP158" s="4"/>
      <c r="AQ158" s="4"/>
      <c r="AR158" s="4"/>
      <c r="AS158" s="257"/>
    </row>
    <row r="159" spans="1:45" s="65" customFormat="1">
      <c r="A159" s="46" t="s">
        <v>276</v>
      </c>
      <c r="C159" s="189"/>
      <c r="E159" s="191"/>
      <c r="F159" s="192"/>
      <c r="G159" s="193"/>
      <c r="H159" s="193"/>
      <c r="I159" s="193"/>
      <c r="J159" s="193"/>
      <c r="K159" s="194"/>
      <c r="M159" s="191"/>
      <c r="N159" s="190"/>
      <c r="O159" s="195"/>
      <c r="P159" s="195"/>
      <c r="Q159" s="66"/>
      <c r="R159" s="77"/>
      <c r="S159" s="145"/>
      <c r="T159" s="145"/>
      <c r="U159" s="79"/>
      <c r="V159" s="79"/>
      <c r="W159" s="378"/>
      <c r="X159" s="378"/>
      <c r="Y159" s="378"/>
      <c r="Z159" s="378"/>
      <c r="AA159" s="378"/>
      <c r="AB159" s="67"/>
      <c r="AC159" s="4"/>
      <c r="AD159" s="4"/>
      <c r="AE159" s="4"/>
      <c r="AF159" s="4"/>
      <c r="AG159" s="4"/>
      <c r="AH159" s="169"/>
      <c r="AI159" s="256"/>
      <c r="AJ159" s="4"/>
      <c r="AK159" s="4"/>
      <c r="AL159" s="116"/>
      <c r="AM159" s="32"/>
      <c r="AN159" s="4"/>
      <c r="AO159" s="4"/>
      <c r="AP159" s="4"/>
      <c r="AQ159" s="4"/>
      <c r="AR159" s="4"/>
      <c r="AS159" s="256"/>
    </row>
    <row r="160" spans="1:45" s="141" customFormat="1">
      <c r="A160" s="68" t="s">
        <v>390</v>
      </c>
      <c r="B160" s="20" t="s">
        <v>33</v>
      </c>
      <c r="C160" s="175">
        <v>0</v>
      </c>
      <c r="D160" s="100" t="s">
        <v>9</v>
      </c>
      <c r="E160" s="176">
        <v>0</v>
      </c>
      <c r="F160" s="177">
        <f t="shared" ref="F160:F166" si="128">E160*C160</f>
        <v>0</v>
      </c>
      <c r="G160" s="178">
        <v>0</v>
      </c>
      <c r="H160" s="178">
        <v>0</v>
      </c>
      <c r="I160" s="178">
        <v>0</v>
      </c>
      <c r="J160" s="377">
        <v>120</v>
      </c>
      <c r="K160" s="179">
        <v>0</v>
      </c>
      <c r="L160" s="100" t="s">
        <v>8</v>
      </c>
      <c r="M160" s="176">
        <f t="shared" ref="M160:M166" si="129">IF(R160="PD",((Shop*G160)+(M_Tech*H160)+(CMM*I160)+(ENG*J160)+(DES*K160))*N160,((Shop_RD*G160)+(MTECH_RD*H160)+(CMM_RD*I160)+(ENG_RD*J160)+(DES_RD*K160))*N160)</f>
        <v>18000</v>
      </c>
      <c r="N160" s="96">
        <v>1</v>
      </c>
      <c r="O160" s="176">
        <f t="shared" ref="O160:O166" si="130">M160+(F160*N160)</f>
        <v>18000</v>
      </c>
      <c r="P160" s="180"/>
      <c r="Q160" s="52" t="s">
        <v>46</v>
      </c>
      <c r="R160" s="75" t="s">
        <v>221</v>
      </c>
      <c r="S160" s="145" t="str">
        <f t="shared" ref="S160:S166" si="131">CONCATENATE(Q160,R160,AB160)</f>
        <v>BPT2010</v>
      </c>
      <c r="T160" s="145" t="str">
        <f t="shared" ref="T160:T166" si="132">CONCATENATE(Q160,U160,AB160)</f>
        <v>B1.2.1.2.12010</v>
      </c>
      <c r="U160" s="145" t="s">
        <v>191</v>
      </c>
      <c r="V160" s="145" t="str">
        <f t="shared" ref="V160:V166" si="133">LOOKUP(U160,$B$383:$B$420,$A$383:$A$420)</f>
        <v>Prototype D-Tube</v>
      </c>
      <c r="W160" s="20"/>
      <c r="X160" s="20"/>
      <c r="Y160" s="20"/>
      <c r="Z160" s="20"/>
      <c r="AA160" s="20"/>
      <c r="AB160" s="433">
        <v>2010</v>
      </c>
      <c r="AC160" s="140">
        <f t="shared" ref="AC160:AG166" si="134">IF($Q160="B", (G160*$N160),0)</f>
        <v>0</v>
      </c>
      <c r="AD160" s="140">
        <f t="shared" si="134"/>
        <v>0</v>
      </c>
      <c r="AE160" s="140">
        <f t="shared" si="134"/>
        <v>0</v>
      </c>
      <c r="AF160" s="140">
        <f t="shared" si="134"/>
        <v>120</v>
      </c>
      <c r="AG160" s="140">
        <f t="shared" si="134"/>
        <v>0</v>
      </c>
      <c r="AH160" s="251">
        <f t="shared" ref="AH160:AH166" si="135">IF($Q160="B", (F160*$N160),0)</f>
        <v>0</v>
      </c>
      <c r="AI160" s="253"/>
      <c r="AJ160" s="259"/>
      <c r="AK160" s="259"/>
      <c r="AL160" s="176"/>
      <c r="AM160" s="139">
        <f t="shared" ref="AM160:AQ166" si="136">IF($Q160="C", (G160*$N160),0)</f>
        <v>0</v>
      </c>
      <c r="AN160" s="140">
        <f t="shared" si="136"/>
        <v>0</v>
      </c>
      <c r="AO160" s="140">
        <f t="shared" si="136"/>
        <v>0</v>
      </c>
      <c r="AP160" s="140">
        <f t="shared" si="136"/>
        <v>0</v>
      </c>
      <c r="AQ160" s="140">
        <f t="shared" si="136"/>
        <v>0</v>
      </c>
      <c r="AR160" s="140">
        <f t="shared" ref="AR160:AR166" si="137">IF($Q160="C", (F160*$N160),0)</f>
        <v>0</v>
      </c>
      <c r="AS160" s="253"/>
    </row>
    <row r="161" spans="1:45" s="141" customFormat="1">
      <c r="A161" s="68" t="s">
        <v>269</v>
      </c>
      <c r="B161" s="20" t="s">
        <v>93</v>
      </c>
      <c r="C161" s="175">
        <v>200</v>
      </c>
      <c r="D161" s="100" t="s">
        <v>38</v>
      </c>
      <c r="E161" s="176">
        <v>4</v>
      </c>
      <c r="F161" s="177">
        <f t="shared" si="128"/>
        <v>800</v>
      </c>
      <c r="G161" s="178">
        <v>40</v>
      </c>
      <c r="H161" s="178">
        <v>0</v>
      </c>
      <c r="I161" s="178">
        <v>0</v>
      </c>
      <c r="J161" s="178">
        <v>0</v>
      </c>
      <c r="K161" s="179">
        <v>0</v>
      </c>
      <c r="L161" s="100" t="s">
        <v>8</v>
      </c>
      <c r="M161" s="176">
        <f t="shared" si="129"/>
        <v>5040</v>
      </c>
      <c r="N161" s="96">
        <v>1</v>
      </c>
      <c r="O161" s="176">
        <f t="shared" si="130"/>
        <v>5840</v>
      </c>
      <c r="P161" s="180"/>
      <c r="Q161" s="52" t="s">
        <v>46</v>
      </c>
      <c r="R161" s="75" t="s">
        <v>221</v>
      </c>
      <c r="S161" s="145" t="str">
        <f t="shared" si="131"/>
        <v>BPT2010</v>
      </c>
      <c r="T161" s="145" t="str">
        <f t="shared" si="132"/>
        <v>B1.2.1.2.12010</v>
      </c>
      <c r="U161" s="145" t="s">
        <v>191</v>
      </c>
      <c r="V161" s="145" t="str">
        <f t="shared" si="133"/>
        <v>Prototype D-Tube</v>
      </c>
      <c r="W161" s="20"/>
      <c r="X161" s="20"/>
      <c r="Y161" s="20"/>
      <c r="Z161" s="20"/>
      <c r="AA161" s="20"/>
      <c r="AB161" s="33">
        <v>2010</v>
      </c>
      <c r="AC161" s="140">
        <f t="shared" si="134"/>
        <v>40</v>
      </c>
      <c r="AD161" s="140">
        <f t="shared" si="134"/>
        <v>0</v>
      </c>
      <c r="AE161" s="140">
        <f t="shared" si="134"/>
        <v>0</v>
      </c>
      <c r="AF161" s="140">
        <f t="shared" si="134"/>
        <v>0</v>
      </c>
      <c r="AG161" s="140">
        <f t="shared" si="134"/>
        <v>0</v>
      </c>
      <c r="AH161" s="251">
        <f t="shared" si="135"/>
        <v>800</v>
      </c>
      <c r="AI161" s="253"/>
      <c r="AJ161" s="259"/>
      <c r="AK161" s="259"/>
      <c r="AL161" s="176"/>
      <c r="AM161" s="139">
        <f t="shared" si="136"/>
        <v>0</v>
      </c>
      <c r="AN161" s="140">
        <f t="shared" si="136"/>
        <v>0</v>
      </c>
      <c r="AO161" s="140">
        <f t="shared" si="136"/>
        <v>0</v>
      </c>
      <c r="AP161" s="140">
        <f t="shared" si="136"/>
        <v>0</v>
      </c>
      <c r="AQ161" s="140">
        <f t="shared" si="136"/>
        <v>0</v>
      </c>
      <c r="AR161" s="140">
        <f t="shared" si="137"/>
        <v>0</v>
      </c>
      <c r="AS161" s="253"/>
    </row>
    <row r="162" spans="1:45" s="141" customFormat="1">
      <c r="A162" s="68" t="s">
        <v>100</v>
      </c>
      <c r="B162" s="20" t="s">
        <v>33</v>
      </c>
      <c r="C162" s="175">
        <v>0</v>
      </c>
      <c r="D162" s="100" t="s">
        <v>9</v>
      </c>
      <c r="E162" s="176">
        <v>0</v>
      </c>
      <c r="F162" s="177">
        <f t="shared" si="128"/>
        <v>0</v>
      </c>
      <c r="G162" s="178">
        <v>2</v>
      </c>
      <c r="H162" s="178">
        <v>8</v>
      </c>
      <c r="I162" s="178">
        <v>0</v>
      </c>
      <c r="J162" s="178">
        <v>0</v>
      </c>
      <c r="K162" s="179">
        <v>0</v>
      </c>
      <c r="L162" s="100" t="s">
        <v>8</v>
      </c>
      <c r="M162" s="176">
        <f t="shared" si="129"/>
        <v>1188</v>
      </c>
      <c r="N162" s="96">
        <v>1</v>
      </c>
      <c r="O162" s="176">
        <f t="shared" si="130"/>
        <v>1188</v>
      </c>
      <c r="P162" s="180"/>
      <c r="Q162" s="52" t="s">
        <v>46</v>
      </c>
      <c r="R162" s="75" t="s">
        <v>221</v>
      </c>
      <c r="S162" s="145" t="str">
        <f t="shared" si="131"/>
        <v>BPT2010</v>
      </c>
      <c r="T162" s="145" t="str">
        <f t="shared" si="132"/>
        <v>B1.2.1.2.12010</v>
      </c>
      <c r="U162" s="145" t="s">
        <v>191</v>
      </c>
      <c r="V162" s="145" t="str">
        <f t="shared" si="133"/>
        <v>Prototype D-Tube</v>
      </c>
      <c r="W162" s="20"/>
      <c r="X162" s="20"/>
      <c r="Y162" s="20"/>
      <c r="Z162" s="20"/>
      <c r="AA162" s="20"/>
      <c r="AB162" s="33">
        <v>2010</v>
      </c>
      <c r="AC162" s="140">
        <f t="shared" si="134"/>
        <v>2</v>
      </c>
      <c r="AD162" s="140">
        <f t="shared" si="134"/>
        <v>8</v>
      </c>
      <c r="AE162" s="140">
        <f t="shared" si="134"/>
        <v>0</v>
      </c>
      <c r="AF162" s="140">
        <f t="shared" si="134"/>
        <v>0</v>
      </c>
      <c r="AG162" s="140">
        <f t="shared" si="134"/>
        <v>0</v>
      </c>
      <c r="AH162" s="251">
        <f t="shared" si="135"/>
        <v>0</v>
      </c>
      <c r="AI162" s="253"/>
      <c r="AJ162" s="259"/>
      <c r="AK162" s="259"/>
      <c r="AL162" s="176"/>
      <c r="AM162" s="139">
        <f t="shared" si="136"/>
        <v>0</v>
      </c>
      <c r="AN162" s="140">
        <f t="shared" si="136"/>
        <v>0</v>
      </c>
      <c r="AO162" s="140">
        <f t="shared" si="136"/>
        <v>0</v>
      </c>
      <c r="AP162" s="140">
        <f t="shared" si="136"/>
        <v>0</v>
      </c>
      <c r="AQ162" s="140">
        <f t="shared" si="136"/>
        <v>0</v>
      </c>
      <c r="AR162" s="140">
        <f t="shared" si="137"/>
        <v>0</v>
      </c>
      <c r="AS162" s="253"/>
    </row>
    <row r="163" spans="1:45" s="141" customFormat="1">
      <c r="A163" s="68" t="s">
        <v>94</v>
      </c>
      <c r="B163" s="20" t="s">
        <v>95</v>
      </c>
      <c r="C163" s="175">
        <v>1</v>
      </c>
      <c r="D163" s="100" t="s">
        <v>9</v>
      </c>
      <c r="E163" s="176">
        <v>1200</v>
      </c>
      <c r="F163" s="177">
        <f t="shared" si="128"/>
        <v>1200</v>
      </c>
      <c r="G163" s="178">
        <v>4</v>
      </c>
      <c r="H163" s="178">
        <v>0</v>
      </c>
      <c r="I163" s="178">
        <v>0</v>
      </c>
      <c r="J163" s="178">
        <v>0</v>
      </c>
      <c r="K163" s="179">
        <v>0</v>
      </c>
      <c r="L163" s="100" t="s">
        <v>8</v>
      </c>
      <c r="M163" s="176">
        <f t="shared" si="129"/>
        <v>504</v>
      </c>
      <c r="N163" s="96">
        <v>1</v>
      </c>
      <c r="O163" s="176">
        <f t="shared" si="130"/>
        <v>1704</v>
      </c>
      <c r="P163" s="180"/>
      <c r="Q163" s="52" t="s">
        <v>46</v>
      </c>
      <c r="R163" s="75" t="s">
        <v>221</v>
      </c>
      <c r="S163" s="145" t="str">
        <f t="shared" si="131"/>
        <v>BPT2010</v>
      </c>
      <c r="T163" s="145" t="str">
        <f t="shared" si="132"/>
        <v>B1.2.1.2.12010</v>
      </c>
      <c r="U163" s="145" t="s">
        <v>191</v>
      </c>
      <c r="V163" s="145" t="str">
        <f t="shared" si="133"/>
        <v>Prototype D-Tube</v>
      </c>
      <c r="W163" s="20"/>
      <c r="X163" s="20"/>
      <c r="Y163" s="20"/>
      <c r="Z163" s="20"/>
      <c r="AA163" s="20"/>
      <c r="AB163" s="33">
        <v>2010</v>
      </c>
      <c r="AC163" s="140">
        <f t="shared" si="134"/>
        <v>4</v>
      </c>
      <c r="AD163" s="140">
        <f t="shared" si="134"/>
        <v>0</v>
      </c>
      <c r="AE163" s="140">
        <f t="shared" si="134"/>
        <v>0</v>
      </c>
      <c r="AF163" s="140">
        <f t="shared" si="134"/>
        <v>0</v>
      </c>
      <c r="AG163" s="140">
        <f t="shared" si="134"/>
        <v>0</v>
      </c>
      <c r="AH163" s="251">
        <f t="shared" si="135"/>
        <v>1200</v>
      </c>
      <c r="AI163" s="253"/>
      <c r="AJ163" s="259"/>
      <c r="AK163" s="259"/>
      <c r="AL163" s="176"/>
      <c r="AM163" s="139">
        <f t="shared" si="136"/>
        <v>0</v>
      </c>
      <c r="AN163" s="140">
        <f t="shared" si="136"/>
        <v>0</v>
      </c>
      <c r="AO163" s="140">
        <f t="shared" si="136"/>
        <v>0</v>
      </c>
      <c r="AP163" s="140">
        <f t="shared" si="136"/>
        <v>0</v>
      </c>
      <c r="AQ163" s="140">
        <f t="shared" si="136"/>
        <v>0</v>
      </c>
      <c r="AR163" s="140">
        <f t="shared" si="137"/>
        <v>0</v>
      </c>
      <c r="AS163" s="253"/>
    </row>
    <row r="164" spans="1:45" s="141" customFormat="1">
      <c r="A164" s="68" t="s">
        <v>98</v>
      </c>
      <c r="B164" s="20" t="s">
        <v>33</v>
      </c>
      <c r="C164" s="175">
        <v>0</v>
      </c>
      <c r="D164" s="100" t="s">
        <v>9</v>
      </c>
      <c r="E164" s="176">
        <v>0</v>
      </c>
      <c r="F164" s="177">
        <f t="shared" si="128"/>
        <v>0</v>
      </c>
      <c r="G164" s="178">
        <v>24</v>
      </c>
      <c r="H164" s="178">
        <v>0</v>
      </c>
      <c r="I164" s="178">
        <v>0</v>
      </c>
      <c r="J164" s="178">
        <v>40</v>
      </c>
      <c r="K164" s="179">
        <v>0</v>
      </c>
      <c r="L164" s="100" t="s">
        <v>8</v>
      </c>
      <c r="M164" s="176">
        <f t="shared" si="129"/>
        <v>7309.4400000000005</v>
      </c>
      <c r="N164" s="96">
        <v>1</v>
      </c>
      <c r="O164" s="176">
        <f t="shared" si="130"/>
        <v>7309.4400000000005</v>
      </c>
      <c r="P164" s="180"/>
      <c r="Q164" s="52" t="s">
        <v>47</v>
      </c>
      <c r="R164" s="75" t="s">
        <v>77</v>
      </c>
      <c r="S164" s="145" t="str">
        <f t="shared" si="131"/>
        <v>CPD2011</v>
      </c>
      <c r="T164" s="145" t="str">
        <f t="shared" si="132"/>
        <v>C1.2.1.2.12011</v>
      </c>
      <c r="U164" s="145" t="s">
        <v>191</v>
      </c>
      <c r="V164" s="145" t="str">
        <f t="shared" si="133"/>
        <v>Prototype D-Tube</v>
      </c>
      <c r="W164" s="20"/>
      <c r="X164" s="20"/>
      <c r="Y164" s="20"/>
      <c r="Z164" s="20"/>
      <c r="AA164" s="20"/>
      <c r="AB164" s="33">
        <v>2011</v>
      </c>
      <c r="AC164" s="140">
        <f t="shared" si="134"/>
        <v>0</v>
      </c>
      <c r="AD164" s="140">
        <f t="shared" si="134"/>
        <v>0</v>
      </c>
      <c r="AE164" s="140">
        <f t="shared" si="134"/>
        <v>0</v>
      </c>
      <c r="AF164" s="140">
        <f t="shared" si="134"/>
        <v>0</v>
      </c>
      <c r="AG164" s="140">
        <f t="shared" si="134"/>
        <v>0</v>
      </c>
      <c r="AH164" s="251">
        <f t="shared" si="135"/>
        <v>0</v>
      </c>
      <c r="AI164" s="253"/>
      <c r="AJ164" s="259"/>
      <c r="AK164" s="259"/>
      <c r="AL164" s="176"/>
      <c r="AM164" s="139">
        <f t="shared" si="136"/>
        <v>24</v>
      </c>
      <c r="AN164" s="140">
        <f t="shared" si="136"/>
        <v>0</v>
      </c>
      <c r="AO164" s="140">
        <f t="shared" si="136"/>
        <v>0</v>
      </c>
      <c r="AP164" s="140">
        <f t="shared" si="136"/>
        <v>40</v>
      </c>
      <c r="AQ164" s="140">
        <f t="shared" si="136"/>
        <v>0</v>
      </c>
      <c r="AR164" s="140">
        <f t="shared" si="137"/>
        <v>0</v>
      </c>
      <c r="AS164" s="253"/>
    </row>
    <row r="165" spans="1:45" s="141" customFormat="1">
      <c r="A165" s="68" t="s">
        <v>99</v>
      </c>
      <c r="B165" s="20" t="s">
        <v>95</v>
      </c>
      <c r="C165" s="175">
        <v>1</v>
      </c>
      <c r="D165" s="100" t="s">
        <v>9</v>
      </c>
      <c r="E165" s="176">
        <v>1200</v>
      </c>
      <c r="F165" s="177">
        <f t="shared" si="128"/>
        <v>1200</v>
      </c>
      <c r="G165" s="178">
        <v>4</v>
      </c>
      <c r="H165" s="178">
        <v>0</v>
      </c>
      <c r="I165" s="178">
        <v>0</v>
      </c>
      <c r="J165" s="178">
        <v>0</v>
      </c>
      <c r="K165" s="179">
        <v>0</v>
      </c>
      <c r="L165" s="100" t="s">
        <v>8</v>
      </c>
      <c r="M165" s="176">
        <f t="shared" si="129"/>
        <v>408.24</v>
      </c>
      <c r="N165" s="96">
        <v>1</v>
      </c>
      <c r="O165" s="176">
        <f t="shared" si="130"/>
        <v>1608.24</v>
      </c>
      <c r="P165" s="180"/>
      <c r="Q165" s="52" t="s">
        <v>47</v>
      </c>
      <c r="R165" s="75" t="s">
        <v>77</v>
      </c>
      <c r="S165" s="145" t="str">
        <f t="shared" si="131"/>
        <v>CPD2011</v>
      </c>
      <c r="T165" s="145" t="str">
        <f t="shared" si="132"/>
        <v>C1.2.1.2.12011</v>
      </c>
      <c r="U165" s="145" t="s">
        <v>191</v>
      </c>
      <c r="V165" s="145" t="str">
        <f t="shared" si="133"/>
        <v>Prototype D-Tube</v>
      </c>
      <c r="W165" s="20"/>
      <c r="X165" s="20"/>
      <c r="Y165" s="20"/>
      <c r="Z165" s="20"/>
      <c r="AA165" s="20"/>
      <c r="AB165" s="33">
        <v>2011</v>
      </c>
      <c r="AC165" s="140">
        <f t="shared" si="134"/>
        <v>0</v>
      </c>
      <c r="AD165" s="140">
        <f t="shared" si="134"/>
        <v>0</v>
      </c>
      <c r="AE165" s="140">
        <f t="shared" si="134"/>
        <v>0</v>
      </c>
      <c r="AF165" s="140">
        <f t="shared" si="134"/>
        <v>0</v>
      </c>
      <c r="AG165" s="140">
        <f t="shared" si="134"/>
        <v>0</v>
      </c>
      <c r="AH165" s="251">
        <f t="shared" si="135"/>
        <v>0</v>
      </c>
      <c r="AI165" s="253"/>
      <c r="AJ165" s="259"/>
      <c r="AK165" s="259"/>
      <c r="AL165" s="176"/>
      <c r="AM165" s="139">
        <f t="shared" si="136"/>
        <v>4</v>
      </c>
      <c r="AN165" s="140">
        <f t="shared" si="136"/>
        <v>0</v>
      </c>
      <c r="AO165" s="140">
        <f t="shared" si="136"/>
        <v>0</v>
      </c>
      <c r="AP165" s="140">
        <f t="shared" si="136"/>
        <v>0</v>
      </c>
      <c r="AQ165" s="140">
        <f t="shared" si="136"/>
        <v>0</v>
      </c>
      <c r="AR165" s="140">
        <f t="shared" si="137"/>
        <v>1200</v>
      </c>
      <c r="AS165" s="253"/>
    </row>
    <row r="166" spans="1:45" s="141" customFormat="1">
      <c r="A166" s="68" t="s">
        <v>96</v>
      </c>
      <c r="B166" s="20" t="s">
        <v>7</v>
      </c>
      <c r="C166" s="175">
        <v>40</v>
      </c>
      <c r="D166" s="100" t="s">
        <v>38</v>
      </c>
      <c r="E166" s="176">
        <v>8</v>
      </c>
      <c r="F166" s="177">
        <f t="shared" si="128"/>
        <v>320</v>
      </c>
      <c r="G166" s="178">
        <v>24</v>
      </c>
      <c r="H166" s="178">
        <v>0</v>
      </c>
      <c r="I166" s="178">
        <v>0</v>
      </c>
      <c r="J166" s="178">
        <v>0</v>
      </c>
      <c r="K166" s="179">
        <v>0</v>
      </c>
      <c r="L166" s="100" t="s">
        <v>8</v>
      </c>
      <c r="M166" s="176">
        <f t="shared" si="129"/>
        <v>6048</v>
      </c>
      <c r="N166" s="96">
        <v>2</v>
      </c>
      <c r="O166" s="176">
        <f t="shared" si="130"/>
        <v>6688</v>
      </c>
      <c r="P166" s="180"/>
      <c r="Q166" s="52" t="s">
        <v>46</v>
      </c>
      <c r="R166" s="75" t="s">
        <v>221</v>
      </c>
      <c r="S166" s="145" t="str">
        <f t="shared" si="131"/>
        <v>BPT2010</v>
      </c>
      <c r="T166" s="145" t="str">
        <f t="shared" si="132"/>
        <v>B1.2.1.2.12010</v>
      </c>
      <c r="U166" s="145" t="s">
        <v>191</v>
      </c>
      <c r="V166" s="145" t="str">
        <f t="shared" si="133"/>
        <v>Prototype D-Tube</v>
      </c>
      <c r="W166" s="20"/>
      <c r="X166" s="20"/>
      <c r="Y166" s="20"/>
      <c r="Z166" s="20"/>
      <c r="AA166" s="20"/>
      <c r="AB166" s="33">
        <v>2010</v>
      </c>
      <c r="AC166" s="140">
        <f t="shared" si="134"/>
        <v>48</v>
      </c>
      <c r="AD166" s="140">
        <f t="shared" si="134"/>
        <v>0</v>
      </c>
      <c r="AE166" s="140">
        <f t="shared" si="134"/>
        <v>0</v>
      </c>
      <c r="AF166" s="140">
        <f t="shared" si="134"/>
        <v>0</v>
      </c>
      <c r="AG166" s="140">
        <f t="shared" si="134"/>
        <v>0</v>
      </c>
      <c r="AH166" s="251">
        <f t="shared" si="135"/>
        <v>640</v>
      </c>
      <c r="AI166" s="253"/>
      <c r="AJ166" s="259"/>
      <c r="AK166" s="259"/>
      <c r="AL166" s="176"/>
      <c r="AM166" s="139">
        <f t="shared" si="136"/>
        <v>0</v>
      </c>
      <c r="AN166" s="140">
        <f t="shared" si="136"/>
        <v>0</v>
      </c>
      <c r="AO166" s="140">
        <f t="shared" si="136"/>
        <v>0</v>
      </c>
      <c r="AP166" s="140">
        <f t="shared" si="136"/>
        <v>0</v>
      </c>
      <c r="AQ166" s="140">
        <f t="shared" si="136"/>
        <v>0</v>
      </c>
      <c r="AR166" s="140">
        <f t="shared" si="137"/>
        <v>0</v>
      </c>
      <c r="AS166" s="253"/>
    </row>
    <row r="167" spans="1:45" s="46" customFormat="1">
      <c r="A167" s="46" t="s">
        <v>268</v>
      </c>
      <c r="C167" s="196"/>
      <c r="E167" s="197"/>
      <c r="F167" s="198"/>
      <c r="G167" s="199"/>
      <c r="H167" s="199"/>
      <c r="I167" s="199"/>
      <c r="J167" s="199"/>
      <c r="K167" s="200"/>
      <c r="L167" s="234" t="s">
        <v>66</v>
      </c>
      <c r="M167" s="188">
        <f>SUMIF(Q160:Q166,"B",M160:M166)</f>
        <v>30780</v>
      </c>
      <c r="N167" s="69" t="s">
        <v>66</v>
      </c>
      <c r="O167" s="188">
        <f>SUMIF(Q160:Q166,"B",O160:O166)</f>
        <v>33420</v>
      </c>
      <c r="P167" s="201"/>
      <c r="Q167" s="66"/>
      <c r="R167" s="77"/>
      <c r="S167" s="145"/>
      <c r="T167" s="145"/>
      <c r="U167" s="79"/>
      <c r="V167" s="79"/>
      <c r="W167" s="20"/>
      <c r="X167" s="20"/>
      <c r="Y167" s="20"/>
      <c r="Z167" s="20"/>
      <c r="AA167" s="20"/>
      <c r="AB167" s="67"/>
      <c r="AC167" s="140"/>
      <c r="AD167" s="140"/>
      <c r="AE167" s="140"/>
      <c r="AF167" s="140"/>
      <c r="AG167" s="140"/>
      <c r="AH167" s="251"/>
      <c r="AI167" s="252"/>
      <c r="AJ167" s="140"/>
      <c r="AK167" s="140"/>
      <c r="AL167" s="176"/>
      <c r="AM167" s="139"/>
      <c r="AN167" s="140"/>
      <c r="AO167" s="140"/>
      <c r="AP167" s="140"/>
      <c r="AQ167" s="140"/>
      <c r="AR167" s="140"/>
      <c r="AS167" s="252"/>
    </row>
    <row r="168" spans="1:45" s="141" customFormat="1">
      <c r="A168" s="68" t="s">
        <v>391</v>
      </c>
      <c r="B168" s="20" t="s">
        <v>33</v>
      </c>
      <c r="C168" s="175">
        <v>0</v>
      </c>
      <c r="D168" s="100" t="s">
        <v>9</v>
      </c>
      <c r="E168" s="176">
        <v>0</v>
      </c>
      <c r="F168" s="177">
        <f>E168*C168</f>
        <v>0</v>
      </c>
      <c r="G168" s="178">
        <v>0</v>
      </c>
      <c r="H168" s="178">
        <v>0</v>
      </c>
      <c r="I168" s="178">
        <v>0</v>
      </c>
      <c r="J168" s="178">
        <v>60</v>
      </c>
      <c r="K168" s="179">
        <v>0</v>
      </c>
      <c r="L168" s="100" t="s">
        <v>8</v>
      </c>
      <c r="M168" s="176">
        <f>IF(R168="PD",((Shop*G168)+(M_Tech*H168)+(CMM*I168)+(ENG*J168)+(DES*K168))*N168,((Shop_RD*G168)+(MTECH_RD*H168)+(CMM_RD*I168)+(ENG_RD*J168)+(DES_RD*K168))*N168)</f>
        <v>9000</v>
      </c>
      <c r="N168" s="96">
        <v>1</v>
      </c>
      <c r="O168" s="176">
        <f>M168+(F168*N168)</f>
        <v>9000</v>
      </c>
      <c r="P168" s="180"/>
      <c r="Q168" s="52" t="s">
        <v>46</v>
      </c>
      <c r="R168" s="75" t="s">
        <v>221</v>
      </c>
      <c r="S168" s="145" t="str">
        <f>CONCATENATE(Q168,R168,AB168)</f>
        <v>BPT2010</v>
      </c>
      <c r="T168" s="145" t="str">
        <f>CONCATENATE(Q168,U168,AB168)</f>
        <v>B1.2.1.2.12010</v>
      </c>
      <c r="U168" s="145" t="s">
        <v>191</v>
      </c>
      <c r="V168" s="145" t="str">
        <f>LOOKUP(U168,$B$383:$B$420,$A$383:$A$420)</f>
        <v>Prototype D-Tube</v>
      </c>
      <c r="W168" s="20"/>
      <c r="X168" s="20"/>
      <c r="Y168" s="20"/>
      <c r="Z168" s="20"/>
      <c r="AA168" s="20"/>
      <c r="AB168" s="433">
        <v>2010</v>
      </c>
      <c r="AC168" s="140">
        <f t="shared" ref="AC168:AG171" si="138">IF($Q168="B", (G168*$N168),0)</f>
        <v>0</v>
      </c>
      <c r="AD168" s="140">
        <f t="shared" si="138"/>
        <v>0</v>
      </c>
      <c r="AE168" s="140">
        <f t="shared" si="138"/>
        <v>0</v>
      </c>
      <c r="AF168" s="140">
        <f t="shared" si="138"/>
        <v>60</v>
      </c>
      <c r="AG168" s="140">
        <f t="shared" si="138"/>
        <v>0</v>
      </c>
      <c r="AH168" s="251">
        <f>IF($Q168="B", (F168*$N168),0)</f>
        <v>0</v>
      </c>
      <c r="AI168" s="253"/>
      <c r="AJ168" s="259"/>
      <c r="AK168" s="259"/>
      <c r="AL168" s="176"/>
      <c r="AM168" s="139">
        <f t="shared" ref="AM168:AQ171" si="139">IF($Q168="C", (G168*$N168),0)</f>
        <v>0</v>
      </c>
      <c r="AN168" s="140">
        <f t="shared" si="139"/>
        <v>0</v>
      </c>
      <c r="AO168" s="140">
        <f t="shared" si="139"/>
        <v>0</v>
      </c>
      <c r="AP168" s="140">
        <f t="shared" si="139"/>
        <v>0</v>
      </c>
      <c r="AQ168" s="140">
        <f t="shared" si="139"/>
        <v>0</v>
      </c>
      <c r="AR168" s="140">
        <f>IF($Q168="C", (F168*$N168),0)</f>
        <v>0</v>
      </c>
      <c r="AS168" s="253"/>
    </row>
    <row r="169" spans="1:45" s="141" customFormat="1">
      <c r="A169" s="68" t="s">
        <v>97</v>
      </c>
      <c r="B169" s="20" t="s">
        <v>7</v>
      </c>
      <c r="C169" s="175">
        <v>40</v>
      </c>
      <c r="D169" s="100" t="s">
        <v>38</v>
      </c>
      <c r="E169" s="176">
        <v>8</v>
      </c>
      <c r="F169" s="177">
        <f>E169*C169</f>
        <v>320</v>
      </c>
      <c r="G169" s="178">
        <v>24</v>
      </c>
      <c r="H169" s="178">
        <v>8</v>
      </c>
      <c r="I169" s="178">
        <v>0</v>
      </c>
      <c r="J169" s="178">
        <v>0</v>
      </c>
      <c r="K169" s="179">
        <v>0</v>
      </c>
      <c r="L169" s="100" t="s">
        <v>8</v>
      </c>
      <c r="M169" s="176">
        <f>IF(R169="PD",((Shop*G169)+(M_Tech*H169)+(CMM*I169)+(ENG*J169)+(DES*K169))*N169,((Shop_RD*G169)+(MTECH_RD*H169)+(CMM_RD*I169)+(ENG_RD*J169)+(DES_RD*K169))*N169)</f>
        <v>3207.6000000000004</v>
      </c>
      <c r="N169" s="96">
        <v>1</v>
      </c>
      <c r="O169" s="176">
        <f>M169+(F169*N169)</f>
        <v>3527.6000000000004</v>
      </c>
      <c r="P169" s="180"/>
      <c r="Q169" s="52" t="s">
        <v>46</v>
      </c>
      <c r="R169" s="75" t="s">
        <v>77</v>
      </c>
      <c r="S169" s="145" t="str">
        <f>CONCATENATE(Q169,R169,AB169)</f>
        <v>BPD2010</v>
      </c>
      <c r="T169" s="145" t="str">
        <f>CONCATENATE(Q169,U169,AB169)</f>
        <v>B1.2.1.2.12010</v>
      </c>
      <c r="U169" s="145" t="s">
        <v>191</v>
      </c>
      <c r="V169" s="145" t="str">
        <f>LOOKUP(U169,$B$383:$B$420,$A$383:$A$420)</f>
        <v>Prototype D-Tube</v>
      </c>
      <c r="W169" s="20"/>
      <c r="X169" s="20"/>
      <c r="Y169" s="20"/>
      <c r="Z169" s="20"/>
      <c r="AA169" s="20"/>
      <c r="AB169" s="33">
        <v>2010</v>
      </c>
      <c r="AC169" s="140">
        <f t="shared" si="138"/>
        <v>24</v>
      </c>
      <c r="AD169" s="140">
        <f t="shared" si="138"/>
        <v>8</v>
      </c>
      <c r="AE169" s="140">
        <f t="shared" si="138"/>
        <v>0</v>
      </c>
      <c r="AF169" s="140">
        <f t="shared" si="138"/>
        <v>0</v>
      </c>
      <c r="AG169" s="140">
        <f t="shared" si="138"/>
        <v>0</v>
      </c>
      <c r="AH169" s="251">
        <f>IF($Q169="B", (F169*$N169),0)</f>
        <v>320</v>
      </c>
      <c r="AI169" s="253"/>
      <c r="AJ169" s="259"/>
      <c r="AK169" s="259"/>
      <c r="AL169" s="176"/>
      <c r="AM169" s="139">
        <f t="shared" si="139"/>
        <v>0</v>
      </c>
      <c r="AN169" s="140">
        <f t="shared" si="139"/>
        <v>0</v>
      </c>
      <c r="AO169" s="140">
        <f t="shared" si="139"/>
        <v>0</v>
      </c>
      <c r="AP169" s="140">
        <f t="shared" si="139"/>
        <v>0</v>
      </c>
      <c r="AQ169" s="140">
        <f t="shared" si="139"/>
        <v>0</v>
      </c>
      <c r="AR169" s="140">
        <f>IF($Q169="C", (F169*$N169),0)</f>
        <v>0</v>
      </c>
      <c r="AS169" s="253"/>
    </row>
    <row r="170" spans="1:45" s="141" customFormat="1">
      <c r="A170" s="68" t="s">
        <v>271</v>
      </c>
      <c r="B170" s="20" t="s">
        <v>7</v>
      </c>
      <c r="C170" s="175">
        <v>40</v>
      </c>
      <c r="D170" s="100" t="s">
        <v>38</v>
      </c>
      <c r="E170" s="176">
        <v>8</v>
      </c>
      <c r="F170" s="177">
        <f>E170*C170</f>
        <v>320</v>
      </c>
      <c r="G170" s="178">
        <v>24</v>
      </c>
      <c r="H170" s="178">
        <v>8</v>
      </c>
      <c r="I170" s="178">
        <v>0</v>
      </c>
      <c r="J170" s="178">
        <v>40</v>
      </c>
      <c r="K170" s="179">
        <v>0</v>
      </c>
      <c r="L170" s="100" t="s">
        <v>8</v>
      </c>
      <c r="M170" s="176">
        <f>IF(R170="PD",((Shop*G170)+(M_Tech*H170)+(CMM*I170)+(ENG*J170)+(DES*K170))*N170,((Shop_RD*G170)+(MTECH_RD*H170)+(CMM_RD*I170)+(ENG_RD*J170)+(DES_RD*K170))*N170)</f>
        <v>8067.6000000000013</v>
      </c>
      <c r="N170" s="96">
        <v>1</v>
      </c>
      <c r="O170" s="176">
        <f>M170+(F170*N170)</f>
        <v>8387.6000000000022</v>
      </c>
      <c r="P170" s="180"/>
      <c r="Q170" s="52" t="s">
        <v>47</v>
      </c>
      <c r="R170" s="75" t="s">
        <v>77</v>
      </c>
      <c r="S170" s="145" t="str">
        <f>CONCATENATE(Q170,R170,AB170)</f>
        <v>CPD2011</v>
      </c>
      <c r="T170" s="145" t="str">
        <f>CONCATENATE(Q170,U170,AB170)</f>
        <v>C1.2.1.2.12011</v>
      </c>
      <c r="U170" s="145" t="s">
        <v>191</v>
      </c>
      <c r="V170" s="145" t="str">
        <f>LOOKUP(U170,$B$383:$B$420,$A$383:$A$420)</f>
        <v>Prototype D-Tube</v>
      </c>
      <c r="W170" s="20"/>
      <c r="X170" s="20"/>
      <c r="Y170" s="20"/>
      <c r="Z170" s="20"/>
      <c r="AA170" s="20"/>
      <c r="AB170" s="33">
        <v>2011</v>
      </c>
      <c r="AC170" s="140">
        <f t="shared" si="138"/>
        <v>0</v>
      </c>
      <c r="AD170" s="140">
        <f t="shared" si="138"/>
        <v>0</v>
      </c>
      <c r="AE170" s="140">
        <f t="shared" si="138"/>
        <v>0</v>
      </c>
      <c r="AF170" s="140">
        <f t="shared" si="138"/>
        <v>0</v>
      </c>
      <c r="AG170" s="140">
        <f t="shared" si="138"/>
        <v>0</v>
      </c>
      <c r="AH170" s="251">
        <f>IF($Q170="B", (F170*$N170),0)</f>
        <v>0</v>
      </c>
      <c r="AI170" s="253"/>
      <c r="AJ170" s="259"/>
      <c r="AK170" s="259"/>
      <c r="AL170" s="176"/>
      <c r="AM170" s="139">
        <f t="shared" si="139"/>
        <v>24</v>
      </c>
      <c r="AN170" s="140">
        <f t="shared" si="139"/>
        <v>8</v>
      </c>
      <c r="AO170" s="140">
        <f t="shared" si="139"/>
        <v>0</v>
      </c>
      <c r="AP170" s="140">
        <f t="shared" si="139"/>
        <v>40</v>
      </c>
      <c r="AQ170" s="140">
        <f t="shared" si="139"/>
        <v>0</v>
      </c>
      <c r="AR170" s="140">
        <f>IF($Q170="C", (F170*$N170),0)</f>
        <v>320</v>
      </c>
      <c r="AS170" s="253"/>
    </row>
    <row r="171" spans="1:45" s="141" customFormat="1">
      <c r="A171" s="68" t="s">
        <v>270</v>
      </c>
      <c r="B171" s="20" t="s">
        <v>7</v>
      </c>
      <c r="C171" s="175">
        <v>40</v>
      </c>
      <c r="D171" s="100" t="s">
        <v>38</v>
      </c>
      <c r="E171" s="176">
        <v>8</v>
      </c>
      <c r="F171" s="177">
        <f>E171*C171</f>
        <v>320</v>
      </c>
      <c r="G171" s="178">
        <v>16</v>
      </c>
      <c r="H171" s="178">
        <v>0</v>
      </c>
      <c r="I171" s="178">
        <v>0</v>
      </c>
      <c r="J171" s="178">
        <v>0</v>
      </c>
      <c r="K171" s="179">
        <v>0</v>
      </c>
      <c r="L171" s="100" t="s">
        <v>8</v>
      </c>
      <c r="M171" s="176">
        <f>IF(R171="PD",((Shop*G171)+(M_Tech*H171)+(CMM*I171)+(ENG*J171)+(DES*K171))*N171,((Shop_RD*G171)+(MTECH_RD*H171)+(CMM_RD*I171)+(ENG_RD*J171)+(DES_RD*K171))*N171)</f>
        <v>1632.96</v>
      </c>
      <c r="N171" s="96">
        <v>1</v>
      </c>
      <c r="O171" s="176">
        <f>M171+(F171*N171)</f>
        <v>1952.96</v>
      </c>
      <c r="P171" s="180"/>
      <c r="Q171" s="52" t="s">
        <v>46</v>
      </c>
      <c r="R171" s="75" t="s">
        <v>77</v>
      </c>
      <c r="S171" s="145" t="str">
        <f>CONCATENATE(Q171,R171,AB171)</f>
        <v>BPD2011</v>
      </c>
      <c r="T171" s="145" t="str">
        <f>CONCATENATE(Q171,U171,AB171)</f>
        <v>B1.2.1.2.12011</v>
      </c>
      <c r="U171" s="145" t="s">
        <v>191</v>
      </c>
      <c r="V171" s="145" t="str">
        <f>LOOKUP(U171,$B$383:$B$420,$A$383:$A$420)</f>
        <v>Prototype D-Tube</v>
      </c>
      <c r="W171" s="20"/>
      <c r="X171" s="20"/>
      <c r="Y171" s="20"/>
      <c r="Z171" s="20"/>
      <c r="AA171" s="20"/>
      <c r="AB171" s="33">
        <v>2011</v>
      </c>
      <c r="AC171" s="140">
        <f t="shared" si="138"/>
        <v>16</v>
      </c>
      <c r="AD171" s="140">
        <f t="shared" si="138"/>
        <v>0</v>
      </c>
      <c r="AE171" s="140">
        <f t="shared" si="138"/>
        <v>0</v>
      </c>
      <c r="AF171" s="140">
        <f t="shared" si="138"/>
        <v>0</v>
      </c>
      <c r="AG171" s="140">
        <f t="shared" si="138"/>
        <v>0</v>
      </c>
      <c r="AH171" s="251">
        <f>IF($Q171="B", (F171*$N171),0)</f>
        <v>320</v>
      </c>
      <c r="AI171" s="253"/>
      <c r="AJ171" s="259"/>
      <c r="AK171" s="259"/>
      <c r="AL171" s="176"/>
      <c r="AM171" s="139">
        <f t="shared" si="139"/>
        <v>0</v>
      </c>
      <c r="AN171" s="140">
        <f t="shared" si="139"/>
        <v>0</v>
      </c>
      <c r="AO171" s="140">
        <f t="shared" si="139"/>
        <v>0</v>
      </c>
      <c r="AP171" s="140">
        <f t="shared" si="139"/>
        <v>0</v>
      </c>
      <c r="AQ171" s="140">
        <f t="shared" si="139"/>
        <v>0</v>
      </c>
      <c r="AR171" s="140">
        <f>IF($Q171="C", (F171*$N171),0)</f>
        <v>0</v>
      </c>
      <c r="AS171" s="253"/>
    </row>
    <row r="172" spans="1:45" s="65" customFormat="1">
      <c r="A172" s="46" t="s">
        <v>277</v>
      </c>
      <c r="C172" s="189"/>
      <c r="E172" s="191"/>
      <c r="F172" s="192"/>
      <c r="G172" s="193"/>
      <c r="H172" s="193"/>
      <c r="I172" s="193"/>
      <c r="J172" s="193"/>
      <c r="K172" s="194"/>
      <c r="L172" s="234" t="s">
        <v>66</v>
      </c>
      <c r="M172" s="188">
        <f>SUMIF(Q168:Q171,"B",M168:M171)</f>
        <v>13840.560000000001</v>
      </c>
      <c r="N172" s="69" t="s">
        <v>66</v>
      </c>
      <c r="O172" s="188">
        <f>SUMIF(Q168:Q171,"B",O168:O171)</f>
        <v>14480.560000000001</v>
      </c>
      <c r="P172" s="195"/>
      <c r="Q172" s="66"/>
      <c r="R172" s="77"/>
      <c r="S172" s="145"/>
      <c r="T172" s="145"/>
      <c r="U172" s="79"/>
      <c r="V172" s="79"/>
      <c r="W172" s="378"/>
      <c r="X172" s="378"/>
      <c r="Y172" s="378"/>
      <c r="Z172" s="378"/>
      <c r="AA172" s="378"/>
      <c r="AB172" s="67"/>
      <c r="AC172" s="4"/>
      <c r="AD172" s="4"/>
      <c r="AE172" s="4"/>
      <c r="AF172" s="4"/>
      <c r="AG172" s="4"/>
      <c r="AH172" s="169"/>
      <c r="AI172" s="256"/>
      <c r="AJ172" s="4"/>
      <c r="AK172" s="4"/>
      <c r="AL172" s="116"/>
      <c r="AM172" s="32"/>
      <c r="AN172" s="4"/>
      <c r="AO172" s="4"/>
      <c r="AP172" s="4"/>
      <c r="AQ172" s="4"/>
      <c r="AR172" s="4"/>
      <c r="AS172" s="256"/>
    </row>
    <row r="173" spans="1:45" s="141" customFormat="1">
      <c r="A173" s="68" t="s">
        <v>273</v>
      </c>
      <c r="B173" s="20" t="s">
        <v>7</v>
      </c>
      <c r="C173" s="175">
        <v>80</v>
      </c>
      <c r="D173" s="100" t="s">
        <v>38</v>
      </c>
      <c r="E173" s="176">
        <v>8</v>
      </c>
      <c r="F173" s="177">
        <f>E173*C173</f>
        <v>640</v>
      </c>
      <c r="G173" s="374">
        <v>8</v>
      </c>
      <c r="H173" s="178">
        <v>8</v>
      </c>
      <c r="I173" s="178">
        <v>0</v>
      </c>
      <c r="J173" s="178">
        <v>0</v>
      </c>
      <c r="K173" s="179">
        <v>0</v>
      </c>
      <c r="L173" s="100" t="s">
        <v>8</v>
      </c>
      <c r="M173" s="176">
        <f>IF(R173="PD",((Shop*G173)+(M_Tech*H173)+(CMM*I173)+(ENG*J173)+(DES*K173))*N173,((Shop_RD*G173)+(MTECH_RD*H173)+(CMM_RD*I173)+(ENG_RD*J173)+(DES_RD*K173))*N173)</f>
        <v>1944</v>
      </c>
      <c r="N173" s="96">
        <v>1</v>
      </c>
      <c r="O173" s="176">
        <f>M173+(F173*N173)</f>
        <v>2584</v>
      </c>
      <c r="P173" s="180"/>
      <c r="Q173" s="52" t="s">
        <v>46</v>
      </c>
      <c r="R173" s="75" t="s">
        <v>221</v>
      </c>
      <c r="S173" s="145" t="str">
        <f>CONCATENATE(Q173,R173,AB173)</f>
        <v>BPT2010</v>
      </c>
      <c r="T173" s="145" t="str">
        <f>CONCATENATE(Q173,U173,AB173)</f>
        <v>B1.2.1.2.12010</v>
      </c>
      <c r="U173" s="145" t="s">
        <v>191</v>
      </c>
      <c r="V173" s="145" t="str">
        <f>LOOKUP(U173,$B$383:$B$420,$A$383:$A$420)</f>
        <v>Prototype D-Tube</v>
      </c>
      <c r="W173" s="20"/>
      <c r="X173" s="20"/>
      <c r="Y173" s="20"/>
      <c r="Z173" s="20"/>
      <c r="AA173" s="20"/>
      <c r="AB173" s="33">
        <v>2010</v>
      </c>
      <c r="AC173" s="140">
        <f t="shared" ref="AC173:AG175" si="140">IF($Q173="B", (G173*$N173),0)</f>
        <v>8</v>
      </c>
      <c r="AD173" s="140">
        <f t="shared" si="140"/>
        <v>8</v>
      </c>
      <c r="AE173" s="140">
        <f t="shared" si="140"/>
        <v>0</v>
      </c>
      <c r="AF173" s="140">
        <f t="shared" si="140"/>
        <v>0</v>
      </c>
      <c r="AG173" s="140">
        <f t="shared" si="140"/>
        <v>0</v>
      </c>
      <c r="AH173" s="251">
        <f>IF($Q173="B", (F173*$N173),0)</f>
        <v>640</v>
      </c>
      <c r="AI173" s="253"/>
      <c r="AJ173" s="259"/>
      <c r="AK173" s="259"/>
      <c r="AL173" s="176"/>
      <c r="AM173" s="139">
        <f t="shared" ref="AM173:AQ175" si="141">IF($Q173="C", (G173*$N173),0)</f>
        <v>0</v>
      </c>
      <c r="AN173" s="140">
        <f t="shared" si="141"/>
        <v>0</v>
      </c>
      <c r="AO173" s="140">
        <f t="shared" si="141"/>
        <v>0</v>
      </c>
      <c r="AP173" s="140">
        <f t="shared" si="141"/>
        <v>0</v>
      </c>
      <c r="AQ173" s="140">
        <f t="shared" si="141"/>
        <v>0</v>
      </c>
      <c r="AR173" s="140">
        <f>IF($Q173="C", (F173*$N173),0)</f>
        <v>0</v>
      </c>
      <c r="AS173" s="253"/>
    </row>
    <row r="174" spans="1:45" s="141" customFormat="1">
      <c r="A174" s="68" t="s">
        <v>517</v>
      </c>
      <c r="B174" s="20" t="s">
        <v>33</v>
      </c>
      <c r="C174" s="175">
        <v>0</v>
      </c>
      <c r="D174" s="100" t="s">
        <v>9</v>
      </c>
      <c r="E174" s="176">
        <v>0</v>
      </c>
      <c r="F174" s="177">
        <f>E174*C174</f>
        <v>0</v>
      </c>
      <c r="G174" s="178">
        <v>0</v>
      </c>
      <c r="H174" s="178">
        <v>0</v>
      </c>
      <c r="I174" s="178">
        <v>0</v>
      </c>
      <c r="J174" s="178">
        <v>32</v>
      </c>
      <c r="K174" s="179">
        <v>0</v>
      </c>
      <c r="L174" s="100" t="s">
        <v>8</v>
      </c>
      <c r="M174" s="176">
        <f>IF(R174="PD",((Shop*G174)+(M_Tech*H174)+(CMM*I174)+(ENG*J174)+(DES*K174))*N174,((Shop_RD*G174)+(MTECH_RD*H174)+(CMM_RD*I174)+(ENG_RD*J174)+(DES_RD*K174))*N174)</f>
        <v>4800</v>
      </c>
      <c r="N174" s="96">
        <v>1</v>
      </c>
      <c r="O174" s="176">
        <f>M174+(F174*N174)</f>
        <v>4800</v>
      </c>
      <c r="P174" s="180"/>
      <c r="Q174" s="52" t="s">
        <v>46</v>
      </c>
      <c r="R174" s="75" t="s">
        <v>221</v>
      </c>
      <c r="S174" s="145" t="str">
        <f>CONCATENATE(Q174,R174,AB174)</f>
        <v>BPT2010</v>
      </c>
      <c r="T174" s="145" t="str">
        <f>CONCATENATE(Q174,U174,AB174)</f>
        <v>B1.2.1.2.12010</v>
      </c>
      <c r="U174" s="145" t="s">
        <v>191</v>
      </c>
      <c r="V174" s="145" t="str">
        <f>LOOKUP(U174,$B$383:$B$420,$A$383:$A$420)</f>
        <v>Prototype D-Tube</v>
      </c>
      <c r="W174" s="20"/>
      <c r="X174" s="20"/>
      <c r="Y174" s="20"/>
      <c r="Z174" s="20"/>
      <c r="AA174" s="20"/>
      <c r="AB174" s="433">
        <v>2010</v>
      </c>
      <c r="AC174" s="140">
        <f t="shared" si="140"/>
        <v>0</v>
      </c>
      <c r="AD174" s="140">
        <f t="shared" si="140"/>
        <v>0</v>
      </c>
      <c r="AE174" s="140">
        <f t="shared" si="140"/>
        <v>0</v>
      </c>
      <c r="AF174" s="140">
        <f t="shared" si="140"/>
        <v>32</v>
      </c>
      <c r="AG174" s="140">
        <f t="shared" si="140"/>
        <v>0</v>
      </c>
      <c r="AH174" s="251">
        <f>IF($Q174="B", (F174*$N174),0)</f>
        <v>0</v>
      </c>
      <c r="AI174" s="253"/>
      <c r="AJ174" s="259"/>
      <c r="AK174" s="259"/>
      <c r="AL174" s="176"/>
      <c r="AM174" s="139">
        <f t="shared" si="141"/>
        <v>0</v>
      </c>
      <c r="AN174" s="140">
        <f t="shared" si="141"/>
        <v>0</v>
      </c>
      <c r="AO174" s="140">
        <f t="shared" si="141"/>
        <v>0</v>
      </c>
      <c r="AP174" s="140">
        <f t="shared" si="141"/>
        <v>0</v>
      </c>
      <c r="AQ174" s="140">
        <f t="shared" si="141"/>
        <v>0</v>
      </c>
      <c r="AR174" s="140">
        <f>IF($Q174="C", (F174*$N174),0)</f>
        <v>0</v>
      </c>
      <c r="AS174" s="253"/>
    </row>
    <row r="175" spans="1:45" s="141" customFormat="1">
      <c r="A175" s="68" t="s">
        <v>274</v>
      </c>
      <c r="B175" s="20" t="s">
        <v>7</v>
      </c>
      <c r="C175" s="175">
        <v>20</v>
      </c>
      <c r="D175" s="100" t="s">
        <v>38</v>
      </c>
      <c r="E175" s="176">
        <v>8</v>
      </c>
      <c r="F175" s="177">
        <f>E175*C175</f>
        <v>160</v>
      </c>
      <c r="G175" s="374">
        <v>8</v>
      </c>
      <c r="H175" s="178">
        <v>16</v>
      </c>
      <c r="I175" s="178">
        <v>0</v>
      </c>
      <c r="J175" s="178">
        <v>32</v>
      </c>
      <c r="K175" s="179">
        <v>0</v>
      </c>
      <c r="L175" s="100" t="s">
        <v>8</v>
      </c>
      <c r="M175" s="176">
        <f>IF(R175="PD",((Shop*G175)+(M_Tech*H175)+(CMM*I175)+(ENG*J175)+(DES*K175))*N175,((Shop_RD*G175)+(MTECH_RD*H175)+(CMM_RD*I175)+(ENG_RD*J175)+(DES_RD*K175))*N175)</f>
        <v>7680</v>
      </c>
      <c r="N175" s="96">
        <v>1</v>
      </c>
      <c r="O175" s="176">
        <f>M175+(F175*N175)</f>
        <v>7840</v>
      </c>
      <c r="P175" s="180"/>
      <c r="Q175" s="52" t="s">
        <v>46</v>
      </c>
      <c r="R175" s="75" t="s">
        <v>221</v>
      </c>
      <c r="S175" s="145" t="str">
        <f>CONCATENATE(Q175,R175,AB175)</f>
        <v>BPT2011</v>
      </c>
      <c r="T175" s="145" t="str">
        <f>CONCATENATE(Q175,U175,AB175)</f>
        <v>B1.2.1.2.12011</v>
      </c>
      <c r="U175" s="145" t="s">
        <v>191</v>
      </c>
      <c r="V175" s="145" t="str">
        <f>LOOKUP(U175,$B$383:$B$420,$A$383:$A$420)</f>
        <v>Prototype D-Tube</v>
      </c>
      <c r="W175" s="20"/>
      <c r="X175" s="20"/>
      <c r="Y175" s="20"/>
      <c r="Z175" s="20"/>
      <c r="AA175" s="20"/>
      <c r="AB175" s="33">
        <v>2011</v>
      </c>
      <c r="AC175" s="140">
        <f t="shared" si="140"/>
        <v>8</v>
      </c>
      <c r="AD175" s="140">
        <f t="shared" si="140"/>
        <v>16</v>
      </c>
      <c r="AE175" s="140">
        <f t="shared" si="140"/>
        <v>0</v>
      </c>
      <c r="AF175" s="140">
        <f t="shared" si="140"/>
        <v>32</v>
      </c>
      <c r="AG175" s="140">
        <f t="shared" si="140"/>
        <v>0</v>
      </c>
      <c r="AH175" s="251">
        <f>IF($Q175="B", (F175*$N175),0)</f>
        <v>160</v>
      </c>
      <c r="AI175" s="253"/>
      <c r="AJ175" s="259"/>
      <c r="AK175" s="259"/>
      <c r="AL175" s="176"/>
      <c r="AM175" s="139">
        <f t="shared" si="141"/>
        <v>0</v>
      </c>
      <c r="AN175" s="140">
        <f t="shared" si="141"/>
        <v>0</v>
      </c>
      <c r="AO175" s="140">
        <f t="shared" si="141"/>
        <v>0</v>
      </c>
      <c r="AP175" s="140">
        <f t="shared" si="141"/>
        <v>0</v>
      </c>
      <c r="AQ175" s="140">
        <f t="shared" si="141"/>
        <v>0</v>
      </c>
      <c r="AR175" s="140">
        <f>IF($Q175="C", (F175*$N175),0)</f>
        <v>0</v>
      </c>
      <c r="AS175" s="253"/>
    </row>
    <row r="176" spans="1:45" s="20" customFormat="1">
      <c r="A176" s="47" t="s">
        <v>278</v>
      </c>
      <c r="C176" s="175"/>
      <c r="D176" s="100"/>
      <c r="E176" s="61"/>
      <c r="F176" s="62"/>
      <c r="G176" s="63"/>
      <c r="H176" s="63"/>
      <c r="I176" s="63"/>
      <c r="J176" s="63"/>
      <c r="K176" s="64"/>
      <c r="L176" s="234" t="s">
        <v>66</v>
      </c>
      <c r="M176" s="188">
        <f>SUMIF(Q173:Q175,"B",M173:M175)</f>
        <v>14424</v>
      </c>
      <c r="N176" s="69" t="s">
        <v>66</v>
      </c>
      <c r="O176" s="176"/>
      <c r="P176" s="180"/>
      <c r="Q176" s="52"/>
      <c r="R176" s="75"/>
      <c r="S176" s="145"/>
      <c r="T176" s="145"/>
      <c r="U176" s="145"/>
      <c r="V176" s="145"/>
      <c r="AB176" s="33"/>
      <c r="AC176" s="140"/>
      <c r="AD176" s="140"/>
      <c r="AE176" s="143"/>
      <c r="AF176" s="140"/>
      <c r="AG176" s="140"/>
      <c r="AH176" s="251"/>
      <c r="AI176" s="252"/>
      <c r="AJ176" s="140"/>
      <c r="AK176" s="140"/>
      <c r="AL176" s="176"/>
      <c r="AM176" s="139"/>
      <c r="AN176" s="140"/>
      <c r="AO176" s="140"/>
      <c r="AP176" s="140"/>
      <c r="AQ176" s="140"/>
      <c r="AR176" s="140"/>
      <c r="AS176" s="252"/>
    </row>
    <row r="177" spans="1:45" s="20" customFormat="1" hidden="1">
      <c r="A177" s="46" t="s">
        <v>279</v>
      </c>
      <c r="B177" s="20" t="s">
        <v>95</v>
      </c>
      <c r="C177" s="175">
        <v>2</v>
      </c>
      <c r="D177" s="100" t="s">
        <v>2</v>
      </c>
      <c r="E177" s="176">
        <v>600</v>
      </c>
      <c r="F177" s="177">
        <f t="shared" ref="F177:F185" si="142">E177*C177</f>
        <v>1200</v>
      </c>
      <c r="G177" s="178">
        <v>0</v>
      </c>
      <c r="H177" s="178">
        <v>0</v>
      </c>
      <c r="I177" s="178">
        <v>0</v>
      </c>
      <c r="J177" s="178">
        <v>0</v>
      </c>
      <c r="K177" s="179">
        <v>0</v>
      </c>
      <c r="L177" s="100" t="s">
        <v>8</v>
      </c>
      <c r="M177" s="176">
        <f t="shared" ref="M177:M185" si="143">IF(R177="PD",((Shop*G177)+(M_Tech*H177)+(CMM*I177)+(ENG*J177)+(DES*K177))*N177,((Shop_RD*G177)+(MTECH_RD*H177)+(CMM_RD*I177)+(ENG_RD*J177)+(DES_RD*K177))*N177)</f>
        <v>0</v>
      </c>
      <c r="N177" s="96">
        <v>0</v>
      </c>
      <c r="O177" s="176">
        <f t="shared" ref="O177:O185" si="144">M177+(F177*N177)</f>
        <v>0</v>
      </c>
      <c r="P177" s="180"/>
      <c r="Q177" s="52" t="s">
        <v>46</v>
      </c>
      <c r="R177" s="75" t="s">
        <v>221</v>
      </c>
      <c r="S177" s="145" t="str">
        <f t="shared" ref="S177:S185" si="145">CONCATENATE(Q177,R177,AB177)</f>
        <v>BPT2009</v>
      </c>
      <c r="T177" s="145" t="str">
        <f t="shared" ref="T177:T185" si="146">CONCATENATE(Q177,U177,AB177)</f>
        <v>B1.2.1.2.12009</v>
      </c>
      <c r="U177" s="145" t="s">
        <v>191</v>
      </c>
      <c r="V177" s="145" t="str">
        <f t="shared" ref="V177:V185" si="147">LOOKUP(U177,$B$383:$B$420,$A$383:$A$420)</f>
        <v>Prototype D-Tube</v>
      </c>
      <c r="AB177" s="33">
        <v>2009</v>
      </c>
      <c r="AC177" s="140">
        <f t="shared" ref="AC177:AC185" si="148">IF($Q177="B", (G177*$N177),0)</f>
        <v>0</v>
      </c>
      <c r="AD177" s="140">
        <f t="shared" ref="AD177:AD185" si="149">IF($Q177="B", (H177*$N177),0)</f>
        <v>0</v>
      </c>
      <c r="AE177" s="140">
        <f t="shared" ref="AE177:AE185" si="150">IF($Q177="B", (I177*$N177),0)</f>
        <v>0</v>
      </c>
      <c r="AF177" s="140">
        <f t="shared" ref="AF177:AF185" si="151">IF($Q177="B", (J177*$N177),0)</f>
        <v>0</v>
      </c>
      <c r="AG177" s="140">
        <f t="shared" ref="AG177:AG185" si="152">IF($Q177="B", (K177*$N177),0)</f>
        <v>0</v>
      </c>
      <c r="AH177" s="251">
        <f t="shared" ref="AH177:AH185" si="153">IF($Q177="B", (F177*$N177),0)</f>
        <v>0</v>
      </c>
      <c r="AI177" s="252"/>
      <c r="AJ177" s="140"/>
      <c r="AK177" s="140"/>
      <c r="AL177" s="176"/>
      <c r="AM177" s="139">
        <f t="shared" ref="AM177:AM185" si="154">IF($Q177="C", (G177*$N177),0)</f>
        <v>0</v>
      </c>
      <c r="AN177" s="140">
        <f t="shared" ref="AN177:AN185" si="155">IF($Q177="C", (H177*$N177),0)</f>
        <v>0</v>
      </c>
      <c r="AO177" s="140">
        <f t="shared" ref="AO177:AO185" si="156">IF($Q177="C", (I177*$N177),0)</f>
        <v>0</v>
      </c>
      <c r="AP177" s="140">
        <f t="shared" ref="AP177:AP185" si="157">IF($Q177="C", (J177*$N177),0)</f>
        <v>0</v>
      </c>
      <c r="AQ177" s="140">
        <f t="shared" ref="AQ177:AQ185" si="158">IF($Q177="C", (K177*$N177),0)</f>
        <v>0</v>
      </c>
      <c r="AR177" s="140">
        <f t="shared" ref="AR177:AR185" si="159">IF($Q177="C", (F177*$N177),0)</f>
        <v>0</v>
      </c>
      <c r="AS177" s="252"/>
    </row>
    <row r="178" spans="1:45" s="20" customFormat="1">
      <c r="A178" s="46" t="s">
        <v>280</v>
      </c>
      <c r="B178" s="20" t="s">
        <v>95</v>
      </c>
      <c r="C178" s="175">
        <v>2</v>
      </c>
      <c r="D178" s="100" t="s">
        <v>2</v>
      </c>
      <c r="E178" s="176">
        <v>600</v>
      </c>
      <c r="F178" s="177">
        <f t="shared" si="142"/>
        <v>1200</v>
      </c>
      <c r="G178" s="178">
        <v>0</v>
      </c>
      <c r="H178" s="178">
        <v>0</v>
      </c>
      <c r="I178" s="178">
        <v>0</v>
      </c>
      <c r="J178" s="374">
        <v>0</v>
      </c>
      <c r="K178" s="179">
        <v>0</v>
      </c>
      <c r="L178" s="100" t="s">
        <v>8</v>
      </c>
      <c r="M178" s="176">
        <f t="shared" si="143"/>
        <v>0</v>
      </c>
      <c r="N178" s="96">
        <v>1</v>
      </c>
      <c r="O178" s="176">
        <f t="shared" si="144"/>
        <v>1200</v>
      </c>
      <c r="P178" s="180"/>
      <c r="Q178" s="52" t="s">
        <v>46</v>
      </c>
      <c r="R178" s="75" t="s">
        <v>221</v>
      </c>
      <c r="S178" s="145" t="str">
        <f t="shared" si="145"/>
        <v>BPT2010</v>
      </c>
      <c r="T178" s="145" t="str">
        <f t="shared" si="146"/>
        <v>B1.2.1.2.12010</v>
      </c>
      <c r="U178" s="145" t="s">
        <v>191</v>
      </c>
      <c r="V178" s="145" t="str">
        <f t="shared" si="147"/>
        <v>Prototype D-Tube</v>
      </c>
      <c r="AB178" s="33">
        <v>2010</v>
      </c>
      <c r="AC178" s="140">
        <f t="shared" si="148"/>
        <v>0</v>
      </c>
      <c r="AD178" s="140">
        <f t="shared" si="149"/>
        <v>0</v>
      </c>
      <c r="AE178" s="140">
        <f t="shared" si="150"/>
        <v>0</v>
      </c>
      <c r="AF178" s="140">
        <f t="shared" si="151"/>
        <v>0</v>
      </c>
      <c r="AG178" s="140">
        <f t="shared" si="152"/>
        <v>0</v>
      </c>
      <c r="AH178" s="251">
        <f t="shared" si="153"/>
        <v>1200</v>
      </c>
      <c r="AI178" s="252"/>
      <c r="AJ178" s="140"/>
      <c r="AK178" s="140"/>
      <c r="AL178" s="176"/>
      <c r="AM178" s="139">
        <f t="shared" si="154"/>
        <v>0</v>
      </c>
      <c r="AN178" s="140">
        <f t="shared" si="155"/>
        <v>0</v>
      </c>
      <c r="AO178" s="140">
        <f t="shared" si="156"/>
        <v>0</v>
      </c>
      <c r="AP178" s="140">
        <f t="shared" si="157"/>
        <v>0</v>
      </c>
      <c r="AQ178" s="140">
        <f t="shared" si="158"/>
        <v>0</v>
      </c>
      <c r="AR178" s="140">
        <f t="shared" si="159"/>
        <v>0</v>
      </c>
      <c r="AS178" s="252"/>
    </row>
    <row r="179" spans="1:45" s="20" customFormat="1">
      <c r="A179" s="46" t="s">
        <v>281</v>
      </c>
      <c r="B179" s="20" t="s">
        <v>95</v>
      </c>
      <c r="C179" s="175">
        <v>2</v>
      </c>
      <c r="D179" s="100" t="s">
        <v>2</v>
      </c>
      <c r="E179" s="176">
        <v>600</v>
      </c>
      <c r="F179" s="177">
        <f t="shared" si="142"/>
        <v>1200</v>
      </c>
      <c r="G179" s="178">
        <v>0</v>
      </c>
      <c r="H179" s="178">
        <v>0</v>
      </c>
      <c r="I179" s="178">
        <v>0</v>
      </c>
      <c r="J179" s="374">
        <v>0</v>
      </c>
      <c r="K179" s="179">
        <v>0</v>
      </c>
      <c r="L179" s="100" t="s">
        <v>8</v>
      </c>
      <c r="M179" s="176">
        <f t="shared" si="143"/>
        <v>0</v>
      </c>
      <c r="N179" s="96">
        <v>1</v>
      </c>
      <c r="O179" s="176">
        <f t="shared" si="144"/>
        <v>1200</v>
      </c>
      <c r="P179" s="180"/>
      <c r="Q179" s="52" t="s">
        <v>46</v>
      </c>
      <c r="R179" s="75" t="s">
        <v>77</v>
      </c>
      <c r="S179" s="145" t="str">
        <f t="shared" si="145"/>
        <v>BPD2011</v>
      </c>
      <c r="T179" s="145" t="str">
        <f t="shared" si="146"/>
        <v>B1.2.1.2.12011</v>
      </c>
      <c r="U179" s="145" t="s">
        <v>191</v>
      </c>
      <c r="V179" s="145" t="str">
        <f t="shared" si="147"/>
        <v>Prototype D-Tube</v>
      </c>
      <c r="AB179" s="33">
        <v>2011</v>
      </c>
      <c r="AC179" s="140">
        <f t="shared" si="148"/>
        <v>0</v>
      </c>
      <c r="AD179" s="140">
        <f t="shared" si="149"/>
        <v>0</v>
      </c>
      <c r="AE179" s="140">
        <f t="shared" si="150"/>
        <v>0</v>
      </c>
      <c r="AF179" s="140">
        <f t="shared" si="151"/>
        <v>0</v>
      </c>
      <c r="AG179" s="140">
        <f t="shared" si="152"/>
        <v>0</v>
      </c>
      <c r="AH179" s="251">
        <f t="shared" si="153"/>
        <v>1200</v>
      </c>
      <c r="AI179" s="252"/>
      <c r="AJ179" s="140"/>
      <c r="AK179" s="140"/>
      <c r="AL179" s="176"/>
      <c r="AM179" s="139">
        <f t="shared" si="154"/>
        <v>0</v>
      </c>
      <c r="AN179" s="140">
        <f t="shared" si="155"/>
        <v>0</v>
      </c>
      <c r="AO179" s="140">
        <f t="shared" si="156"/>
        <v>0</v>
      </c>
      <c r="AP179" s="140">
        <f t="shared" si="157"/>
        <v>0</v>
      </c>
      <c r="AQ179" s="140">
        <f t="shared" si="158"/>
        <v>0</v>
      </c>
      <c r="AR179" s="140">
        <f t="shared" si="159"/>
        <v>0</v>
      </c>
      <c r="AS179" s="252"/>
    </row>
    <row r="180" spans="1:45" s="20" customFormat="1" hidden="1">
      <c r="A180" s="46" t="s">
        <v>282</v>
      </c>
      <c r="B180" s="20" t="s">
        <v>7</v>
      </c>
      <c r="C180" s="175">
        <v>5</v>
      </c>
      <c r="D180" s="100" t="s">
        <v>38</v>
      </c>
      <c r="E180" s="176">
        <v>8</v>
      </c>
      <c r="F180" s="177">
        <f t="shared" si="142"/>
        <v>40</v>
      </c>
      <c r="G180" s="178">
        <v>8</v>
      </c>
      <c r="H180" s="178">
        <v>0</v>
      </c>
      <c r="I180" s="178">
        <v>0</v>
      </c>
      <c r="J180" s="178">
        <v>2</v>
      </c>
      <c r="K180" s="179">
        <v>0</v>
      </c>
      <c r="L180" s="100" t="s">
        <v>8</v>
      </c>
      <c r="M180" s="176">
        <f t="shared" si="143"/>
        <v>0</v>
      </c>
      <c r="N180" s="96">
        <v>0</v>
      </c>
      <c r="O180" s="176">
        <f t="shared" si="144"/>
        <v>0</v>
      </c>
      <c r="P180" s="180"/>
      <c r="Q180" s="52" t="s">
        <v>46</v>
      </c>
      <c r="R180" s="75" t="s">
        <v>221</v>
      </c>
      <c r="S180" s="145" t="str">
        <f t="shared" si="145"/>
        <v>BPT2009</v>
      </c>
      <c r="T180" s="145" t="str">
        <f t="shared" si="146"/>
        <v>B1.2.1.2.12009</v>
      </c>
      <c r="U180" s="145" t="s">
        <v>191</v>
      </c>
      <c r="V180" s="145" t="str">
        <f t="shared" si="147"/>
        <v>Prototype D-Tube</v>
      </c>
      <c r="AB180" s="33">
        <v>2009</v>
      </c>
      <c r="AC180" s="140">
        <f t="shared" si="148"/>
        <v>0</v>
      </c>
      <c r="AD180" s="140">
        <f t="shared" si="149"/>
        <v>0</v>
      </c>
      <c r="AE180" s="140">
        <f t="shared" si="150"/>
        <v>0</v>
      </c>
      <c r="AF180" s="140">
        <f t="shared" si="151"/>
        <v>0</v>
      </c>
      <c r="AG180" s="140">
        <f t="shared" si="152"/>
        <v>0</v>
      </c>
      <c r="AH180" s="251">
        <f t="shared" si="153"/>
        <v>0</v>
      </c>
      <c r="AI180" s="252"/>
      <c r="AJ180" s="140"/>
      <c r="AK180" s="140"/>
      <c r="AL180" s="176"/>
      <c r="AM180" s="139">
        <f t="shared" si="154"/>
        <v>0</v>
      </c>
      <c r="AN180" s="140">
        <f t="shared" si="155"/>
        <v>0</v>
      </c>
      <c r="AO180" s="140">
        <f t="shared" si="156"/>
        <v>0</v>
      </c>
      <c r="AP180" s="140">
        <f t="shared" si="157"/>
        <v>0</v>
      </c>
      <c r="AQ180" s="140">
        <f t="shared" si="158"/>
        <v>0</v>
      </c>
      <c r="AR180" s="140">
        <f t="shared" si="159"/>
        <v>0</v>
      </c>
      <c r="AS180" s="252"/>
    </row>
    <row r="181" spans="1:45" s="20" customFormat="1">
      <c r="A181" s="46" t="s">
        <v>283</v>
      </c>
      <c r="B181" s="20" t="s">
        <v>7</v>
      </c>
      <c r="C181" s="175">
        <v>5</v>
      </c>
      <c r="D181" s="100" t="s">
        <v>38</v>
      </c>
      <c r="E181" s="176">
        <v>8</v>
      </c>
      <c r="F181" s="177">
        <f t="shared" si="142"/>
        <v>40</v>
      </c>
      <c r="G181" s="178">
        <v>8</v>
      </c>
      <c r="H181" s="178">
        <v>0</v>
      </c>
      <c r="I181" s="178">
        <v>0</v>
      </c>
      <c r="J181" s="178">
        <v>2</v>
      </c>
      <c r="K181" s="179">
        <v>0</v>
      </c>
      <c r="L181" s="100" t="s">
        <v>8</v>
      </c>
      <c r="M181" s="176">
        <f t="shared" si="143"/>
        <v>2118.96</v>
      </c>
      <c r="N181" s="96">
        <v>2</v>
      </c>
      <c r="O181" s="176">
        <f t="shared" si="144"/>
        <v>2198.96</v>
      </c>
      <c r="P181" s="180"/>
      <c r="Q181" s="52" t="s">
        <v>46</v>
      </c>
      <c r="R181" s="75" t="s">
        <v>77</v>
      </c>
      <c r="S181" s="145" t="str">
        <f t="shared" si="145"/>
        <v>BPD2011</v>
      </c>
      <c r="T181" s="145" t="str">
        <f t="shared" si="146"/>
        <v>B1.2.1.2.12011</v>
      </c>
      <c r="U181" s="145" t="s">
        <v>191</v>
      </c>
      <c r="V181" s="145" t="str">
        <f t="shared" si="147"/>
        <v>Prototype D-Tube</v>
      </c>
      <c r="AB181" s="33">
        <v>2011</v>
      </c>
      <c r="AC181" s="140">
        <f t="shared" si="148"/>
        <v>16</v>
      </c>
      <c r="AD181" s="140">
        <f t="shared" si="149"/>
        <v>0</v>
      </c>
      <c r="AE181" s="140">
        <f t="shared" si="150"/>
        <v>0</v>
      </c>
      <c r="AF181" s="140">
        <f t="shared" si="151"/>
        <v>4</v>
      </c>
      <c r="AG181" s="140">
        <f t="shared" si="152"/>
        <v>0</v>
      </c>
      <c r="AH181" s="251">
        <f t="shared" si="153"/>
        <v>80</v>
      </c>
      <c r="AI181" s="252"/>
      <c r="AJ181" s="140"/>
      <c r="AK181" s="140"/>
      <c r="AL181" s="176"/>
      <c r="AM181" s="139">
        <f t="shared" si="154"/>
        <v>0</v>
      </c>
      <c r="AN181" s="140">
        <f t="shared" si="155"/>
        <v>0</v>
      </c>
      <c r="AO181" s="140">
        <f t="shared" si="156"/>
        <v>0</v>
      </c>
      <c r="AP181" s="140">
        <f t="shared" si="157"/>
        <v>0</v>
      </c>
      <c r="AQ181" s="140">
        <f t="shared" si="158"/>
        <v>0</v>
      </c>
      <c r="AR181" s="140">
        <f t="shared" si="159"/>
        <v>0</v>
      </c>
      <c r="AS181" s="252"/>
    </row>
    <row r="182" spans="1:45" s="20" customFormat="1">
      <c r="A182" s="46" t="s">
        <v>286</v>
      </c>
      <c r="B182" s="20" t="s">
        <v>95</v>
      </c>
      <c r="C182" s="175">
        <v>2</v>
      </c>
      <c r="D182" s="100" t="s">
        <v>2</v>
      </c>
      <c r="E182" s="176">
        <v>600</v>
      </c>
      <c r="F182" s="177">
        <f t="shared" si="142"/>
        <v>1200</v>
      </c>
      <c r="G182" s="178">
        <v>0</v>
      </c>
      <c r="H182" s="178">
        <v>0</v>
      </c>
      <c r="I182" s="178">
        <v>0</v>
      </c>
      <c r="J182" s="178">
        <v>2</v>
      </c>
      <c r="K182" s="179">
        <v>0</v>
      </c>
      <c r="L182" s="100" t="s">
        <v>8</v>
      </c>
      <c r="M182" s="176">
        <f t="shared" si="143"/>
        <v>486.00000000000006</v>
      </c>
      <c r="N182" s="96">
        <v>2</v>
      </c>
      <c r="O182" s="176">
        <f t="shared" si="144"/>
        <v>2886</v>
      </c>
      <c r="P182" s="180"/>
      <c r="Q182" s="52" t="s">
        <v>46</v>
      </c>
      <c r="R182" s="75" t="s">
        <v>77</v>
      </c>
      <c r="S182" s="145" t="str">
        <f t="shared" si="145"/>
        <v>BPD2012</v>
      </c>
      <c r="T182" s="145" t="str">
        <f t="shared" si="146"/>
        <v>B1.2.1.2.32012</v>
      </c>
      <c r="U182" s="145" t="s">
        <v>195</v>
      </c>
      <c r="V182" s="145" t="str">
        <f t="shared" si="147"/>
        <v>Production D-Tube and Kinematic Mounts</v>
      </c>
      <c r="AB182" s="33">
        <v>2012</v>
      </c>
      <c r="AC182" s="140">
        <f t="shared" si="148"/>
        <v>0</v>
      </c>
      <c r="AD182" s="140">
        <f t="shared" si="149"/>
        <v>0</v>
      </c>
      <c r="AE182" s="140">
        <f t="shared" si="150"/>
        <v>0</v>
      </c>
      <c r="AF182" s="140">
        <f t="shared" si="151"/>
        <v>4</v>
      </c>
      <c r="AG182" s="140">
        <f t="shared" si="152"/>
        <v>0</v>
      </c>
      <c r="AH182" s="251">
        <f t="shared" si="153"/>
        <v>2400</v>
      </c>
      <c r="AI182" s="252"/>
      <c r="AJ182" s="140"/>
      <c r="AK182" s="140"/>
      <c r="AL182" s="176"/>
      <c r="AM182" s="139">
        <f t="shared" si="154"/>
        <v>0</v>
      </c>
      <c r="AN182" s="140">
        <f t="shared" si="155"/>
        <v>0</v>
      </c>
      <c r="AO182" s="140">
        <f t="shared" si="156"/>
        <v>0</v>
      </c>
      <c r="AP182" s="140">
        <f t="shared" si="157"/>
        <v>0</v>
      </c>
      <c r="AQ182" s="140">
        <f t="shared" si="158"/>
        <v>0</v>
      </c>
      <c r="AR182" s="140">
        <f t="shared" si="159"/>
        <v>0</v>
      </c>
      <c r="AS182" s="252"/>
    </row>
    <row r="183" spans="1:45" s="20" customFormat="1">
      <c r="A183" s="46" t="s">
        <v>285</v>
      </c>
      <c r="B183" s="20" t="s">
        <v>7</v>
      </c>
      <c r="C183" s="175">
        <v>5</v>
      </c>
      <c r="D183" s="100" t="s">
        <v>38</v>
      </c>
      <c r="E183" s="176">
        <v>8</v>
      </c>
      <c r="F183" s="177">
        <f t="shared" si="142"/>
        <v>40</v>
      </c>
      <c r="G183" s="178">
        <v>8</v>
      </c>
      <c r="H183" s="178">
        <v>0</v>
      </c>
      <c r="I183" s="178">
        <v>0</v>
      </c>
      <c r="J183" s="178">
        <v>2</v>
      </c>
      <c r="K183" s="179">
        <v>0</v>
      </c>
      <c r="L183" s="100" t="s">
        <v>8</v>
      </c>
      <c r="M183" s="176">
        <f t="shared" si="143"/>
        <v>4237.92</v>
      </c>
      <c r="N183" s="96">
        <v>4</v>
      </c>
      <c r="O183" s="176">
        <f t="shared" si="144"/>
        <v>4397.92</v>
      </c>
      <c r="P183" s="180"/>
      <c r="Q183" s="52" t="s">
        <v>46</v>
      </c>
      <c r="R183" s="75" t="s">
        <v>77</v>
      </c>
      <c r="S183" s="145" t="str">
        <f t="shared" si="145"/>
        <v>BPD2012</v>
      </c>
      <c r="T183" s="145" t="str">
        <f t="shared" si="146"/>
        <v>B1.2.1.2.32012</v>
      </c>
      <c r="U183" s="145" t="s">
        <v>195</v>
      </c>
      <c r="V183" s="145" t="str">
        <f t="shared" si="147"/>
        <v>Production D-Tube and Kinematic Mounts</v>
      </c>
      <c r="AB183" s="33">
        <v>2012</v>
      </c>
      <c r="AC183" s="140">
        <f t="shared" si="148"/>
        <v>32</v>
      </c>
      <c r="AD183" s="140">
        <f t="shared" si="149"/>
        <v>0</v>
      </c>
      <c r="AE183" s="140">
        <f t="shared" si="150"/>
        <v>0</v>
      </c>
      <c r="AF183" s="140">
        <f t="shared" si="151"/>
        <v>8</v>
      </c>
      <c r="AG183" s="140">
        <f t="shared" si="152"/>
        <v>0</v>
      </c>
      <c r="AH183" s="251">
        <f t="shared" si="153"/>
        <v>160</v>
      </c>
      <c r="AI183" s="252"/>
      <c r="AJ183" s="140"/>
      <c r="AK183" s="140"/>
      <c r="AL183" s="176"/>
      <c r="AM183" s="139">
        <f t="shared" si="154"/>
        <v>0</v>
      </c>
      <c r="AN183" s="140">
        <f t="shared" si="155"/>
        <v>0</v>
      </c>
      <c r="AO183" s="140">
        <f t="shared" si="156"/>
        <v>0</v>
      </c>
      <c r="AP183" s="140">
        <f t="shared" si="157"/>
        <v>0</v>
      </c>
      <c r="AQ183" s="140">
        <f t="shared" si="158"/>
        <v>0</v>
      </c>
      <c r="AR183" s="140">
        <f t="shared" si="159"/>
        <v>0</v>
      </c>
      <c r="AS183" s="252"/>
    </row>
    <row r="184" spans="1:45" s="20" customFormat="1">
      <c r="A184" s="46" t="s">
        <v>284</v>
      </c>
      <c r="B184" s="20" t="s">
        <v>95</v>
      </c>
      <c r="C184" s="175">
        <v>2</v>
      </c>
      <c r="D184" s="100" t="s">
        <v>2</v>
      </c>
      <c r="E184" s="176">
        <v>600</v>
      </c>
      <c r="F184" s="177">
        <f t="shared" si="142"/>
        <v>1200</v>
      </c>
      <c r="G184" s="178">
        <v>0</v>
      </c>
      <c r="H184" s="178">
        <v>0</v>
      </c>
      <c r="I184" s="178">
        <v>0</v>
      </c>
      <c r="J184" s="178">
        <v>24</v>
      </c>
      <c r="K184" s="179">
        <v>0</v>
      </c>
      <c r="L184" s="100" t="s">
        <v>8</v>
      </c>
      <c r="M184" s="176">
        <f t="shared" si="143"/>
        <v>2916.0000000000005</v>
      </c>
      <c r="N184" s="96">
        <v>1</v>
      </c>
      <c r="O184" s="176">
        <f t="shared" si="144"/>
        <v>4116</v>
      </c>
      <c r="P184" s="180"/>
      <c r="Q184" s="52" t="s">
        <v>47</v>
      </c>
      <c r="R184" s="75" t="s">
        <v>77</v>
      </c>
      <c r="S184" s="145" t="str">
        <f t="shared" si="145"/>
        <v>CPD2013</v>
      </c>
      <c r="T184" s="145" t="str">
        <f t="shared" si="146"/>
        <v>C1.2.1.2.32013</v>
      </c>
      <c r="U184" s="145" t="s">
        <v>195</v>
      </c>
      <c r="V184" s="145" t="str">
        <f t="shared" si="147"/>
        <v>Production D-Tube and Kinematic Mounts</v>
      </c>
      <c r="AB184" s="33">
        <v>2013</v>
      </c>
      <c r="AC184" s="140">
        <f t="shared" si="148"/>
        <v>0</v>
      </c>
      <c r="AD184" s="140">
        <f t="shared" si="149"/>
        <v>0</v>
      </c>
      <c r="AE184" s="140">
        <f t="shared" si="150"/>
        <v>0</v>
      </c>
      <c r="AF184" s="140">
        <f t="shared" si="151"/>
        <v>0</v>
      </c>
      <c r="AG184" s="140">
        <f t="shared" si="152"/>
        <v>0</v>
      </c>
      <c r="AH184" s="251">
        <f t="shared" si="153"/>
        <v>0</v>
      </c>
      <c r="AI184" s="252"/>
      <c r="AJ184" s="140"/>
      <c r="AK184" s="140"/>
      <c r="AL184" s="176"/>
      <c r="AM184" s="139">
        <f t="shared" si="154"/>
        <v>0</v>
      </c>
      <c r="AN184" s="140">
        <f t="shared" si="155"/>
        <v>0</v>
      </c>
      <c r="AO184" s="140">
        <f t="shared" si="156"/>
        <v>0</v>
      </c>
      <c r="AP184" s="140">
        <f t="shared" si="157"/>
        <v>24</v>
      </c>
      <c r="AQ184" s="140">
        <f t="shared" si="158"/>
        <v>0</v>
      </c>
      <c r="AR184" s="140">
        <f t="shared" si="159"/>
        <v>1200</v>
      </c>
      <c r="AS184" s="252"/>
    </row>
    <row r="185" spans="1:45" s="20" customFormat="1">
      <c r="A185" s="46" t="s">
        <v>287</v>
      </c>
      <c r="B185" s="20" t="s">
        <v>7</v>
      </c>
      <c r="C185" s="175">
        <v>5</v>
      </c>
      <c r="D185" s="100" t="s">
        <v>38</v>
      </c>
      <c r="E185" s="176">
        <v>8</v>
      </c>
      <c r="F185" s="177">
        <f t="shared" si="142"/>
        <v>40</v>
      </c>
      <c r="G185" s="178">
        <v>8</v>
      </c>
      <c r="H185" s="178">
        <v>0</v>
      </c>
      <c r="I185" s="178">
        <v>0</v>
      </c>
      <c r="J185" s="178">
        <v>12</v>
      </c>
      <c r="K185" s="179">
        <v>0</v>
      </c>
      <c r="L185" s="100" t="s">
        <v>8</v>
      </c>
      <c r="M185" s="176">
        <f t="shared" si="143"/>
        <v>4548.9600000000009</v>
      </c>
      <c r="N185" s="96">
        <v>2</v>
      </c>
      <c r="O185" s="176">
        <f t="shared" si="144"/>
        <v>4628.9600000000009</v>
      </c>
      <c r="P185" s="180"/>
      <c r="Q185" s="52" t="s">
        <v>47</v>
      </c>
      <c r="R185" s="75" t="s">
        <v>77</v>
      </c>
      <c r="S185" s="145" t="str">
        <f t="shared" si="145"/>
        <v>CPD2013</v>
      </c>
      <c r="T185" s="145" t="str">
        <f t="shared" si="146"/>
        <v>C1.2.1.2.32013</v>
      </c>
      <c r="U185" s="145" t="s">
        <v>195</v>
      </c>
      <c r="V185" s="145" t="str">
        <f t="shared" si="147"/>
        <v>Production D-Tube and Kinematic Mounts</v>
      </c>
      <c r="AB185" s="33">
        <v>2013</v>
      </c>
      <c r="AC185" s="140">
        <f t="shared" si="148"/>
        <v>0</v>
      </c>
      <c r="AD185" s="140">
        <f t="shared" si="149"/>
        <v>0</v>
      </c>
      <c r="AE185" s="140">
        <f t="shared" si="150"/>
        <v>0</v>
      </c>
      <c r="AF185" s="140">
        <f t="shared" si="151"/>
        <v>0</v>
      </c>
      <c r="AG185" s="140">
        <f t="shared" si="152"/>
        <v>0</v>
      </c>
      <c r="AH185" s="251">
        <f t="shared" si="153"/>
        <v>0</v>
      </c>
      <c r="AI185" s="252"/>
      <c r="AJ185" s="140"/>
      <c r="AK185" s="140"/>
      <c r="AL185" s="176"/>
      <c r="AM185" s="139">
        <f t="shared" si="154"/>
        <v>16</v>
      </c>
      <c r="AN185" s="140">
        <f t="shared" si="155"/>
        <v>0</v>
      </c>
      <c r="AO185" s="140">
        <f t="shared" si="156"/>
        <v>0</v>
      </c>
      <c r="AP185" s="140">
        <f t="shared" si="157"/>
        <v>24</v>
      </c>
      <c r="AQ185" s="140">
        <f t="shared" si="158"/>
        <v>0</v>
      </c>
      <c r="AR185" s="140">
        <f t="shared" si="159"/>
        <v>80</v>
      </c>
      <c r="AS185" s="252"/>
    </row>
    <row r="186" spans="1:45" s="50" customFormat="1">
      <c r="A186" s="47" t="s">
        <v>292</v>
      </c>
      <c r="C186" s="202"/>
      <c r="D186" s="115"/>
      <c r="E186" s="61"/>
      <c r="F186" s="62"/>
      <c r="G186" s="63"/>
      <c r="H186" s="63"/>
      <c r="I186" s="63"/>
      <c r="J186" s="63"/>
      <c r="K186" s="64"/>
      <c r="L186" s="234" t="s">
        <v>66</v>
      </c>
      <c r="M186" s="188">
        <f>SUMIF(Q177:Q185,"B",M177:M185)</f>
        <v>6842.88</v>
      </c>
      <c r="N186" s="69" t="s">
        <v>66</v>
      </c>
      <c r="O186" s="61"/>
      <c r="P186" s="203"/>
      <c r="Q186" s="52"/>
      <c r="R186" s="75"/>
      <c r="S186" s="145"/>
      <c r="T186" s="145"/>
      <c r="U186" s="145"/>
      <c r="V186" s="145"/>
      <c r="W186" s="20"/>
      <c r="X186" s="20"/>
      <c r="Y186" s="20"/>
      <c r="Z186" s="20"/>
      <c r="AA186" s="20"/>
      <c r="AB186" s="55"/>
      <c r="AC186" s="56"/>
      <c r="AD186" s="56"/>
      <c r="AE186" s="57"/>
      <c r="AF186" s="56"/>
      <c r="AG186" s="56"/>
      <c r="AH186" s="39"/>
      <c r="AI186" s="260"/>
      <c r="AJ186" s="56"/>
      <c r="AK186" s="56"/>
      <c r="AL186" s="176"/>
      <c r="AM186" s="58"/>
      <c r="AN186" s="56"/>
      <c r="AO186" s="56"/>
      <c r="AP186" s="56"/>
      <c r="AQ186" s="56"/>
      <c r="AR186" s="56"/>
      <c r="AS186" s="260"/>
    </row>
    <row r="187" spans="1:45" s="20" customFormat="1">
      <c r="A187" s="46" t="s">
        <v>101</v>
      </c>
      <c r="B187" s="20" t="s">
        <v>33</v>
      </c>
      <c r="C187" s="175">
        <v>0</v>
      </c>
      <c r="D187" s="100" t="s">
        <v>9</v>
      </c>
      <c r="E187" s="176">
        <v>0</v>
      </c>
      <c r="F187" s="177">
        <f t="shared" ref="F187:F197" si="160">E187*C187</f>
        <v>0</v>
      </c>
      <c r="G187" s="178">
        <v>0</v>
      </c>
      <c r="H187" s="178">
        <v>8</v>
      </c>
      <c r="I187" s="178">
        <v>0</v>
      </c>
      <c r="J187" s="374">
        <v>0</v>
      </c>
      <c r="K187" s="179">
        <v>0</v>
      </c>
      <c r="L187" s="100" t="s">
        <v>8</v>
      </c>
      <c r="M187" s="176">
        <f t="shared" ref="M187:M197" si="161">IF(R187="PD",((Shop*G187)+(M_Tech*H187)+(CMM*I187)+(ENG*J187)+(DES*K187))*N187,((Shop_RD*G187)+(MTECH_RD*H187)+(CMM_RD*I187)+(ENG_RD*J187)+(DES_RD*K187))*N187)</f>
        <v>936</v>
      </c>
      <c r="N187" s="96">
        <v>1</v>
      </c>
      <c r="O187" s="176">
        <f t="shared" ref="O187:O197" si="162">M187+(F187*N187)</f>
        <v>936</v>
      </c>
      <c r="P187" s="180"/>
      <c r="Q187" s="52" t="s">
        <v>46</v>
      </c>
      <c r="R187" s="75" t="s">
        <v>221</v>
      </c>
      <c r="S187" s="145" t="str">
        <f t="shared" ref="S187:S197" si="163">CONCATENATE(Q187,R187,AB187)</f>
        <v>BPT2010</v>
      </c>
      <c r="T187" s="145" t="str">
        <f t="shared" ref="T187:T197" si="164">CONCATENATE(Q187,U187,AB187)</f>
        <v>B1.2.1.2.12010</v>
      </c>
      <c r="U187" s="145" t="s">
        <v>191</v>
      </c>
      <c r="V187" s="145" t="str">
        <f t="shared" ref="V187:V197" si="165">LOOKUP(U187,$B$383:$B$420,$A$383:$A$420)</f>
        <v>Prototype D-Tube</v>
      </c>
      <c r="AB187" s="33">
        <v>2010</v>
      </c>
      <c r="AC187" s="140">
        <f t="shared" ref="AC187:AC197" si="166">IF($Q187="B", (G187*$N187),0)</f>
        <v>0</v>
      </c>
      <c r="AD187" s="140">
        <f t="shared" ref="AD187:AD197" si="167">IF($Q187="B", (H187*$N187),0)</f>
        <v>8</v>
      </c>
      <c r="AE187" s="140">
        <f t="shared" ref="AE187:AE197" si="168">IF($Q187="B", (I187*$N187),0)</f>
        <v>0</v>
      </c>
      <c r="AF187" s="140">
        <f t="shared" ref="AF187:AF197" si="169">IF($Q187="B", (J187*$N187),0)</f>
        <v>0</v>
      </c>
      <c r="AG187" s="140">
        <f t="shared" ref="AG187:AG197" si="170">IF($Q187="B", (K187*$N187),0)</f>
        <v>0</v>
      </c>
      <c r="AH187" s="251">
        <f t="shared" ref="AH187:AH197" si="171">IF($Q187="B", (F187*$N187),0)</f>
        <v>0</v>
      </c>
      <c r="AI187" s="252"/>
      <c r="AJ187" s="140"/>
      <c r="AK187" s="140"/>
      <c r="AL187" s="176"/>
      <c r="AM187" s="139">
        <f t="shared" ref="AM187:AM197" si="172">IF($Q187="C", (G187*$N187),0)</f>
        <v>0</v>
      </c>
      <c r="AN187" s="140">
        <f t="shared" ref="AN187:AN197" si="173">IF($Q187="C", (H187*$N187),0)</f>
        <v>0</v>
      </c>
      <c r="AO187" s="140">
        <f t="shared" ref="AO187:AO197" si="174">IF($Q187="C", (I187*$N187),0)</f>
        <v>0</v>
      </c>
      <c r="AP187" s="140">
        <f t="shared" ref="AP187:AP197" si="175">IF($Q187="C", (J187*$N187),0)</f>
        <v>0</v>
      </c>
      <c r="AQ187" s="140">
        <f t="shared" ref="AQ187:AQ197" si="176">IF($Q187="C", (K187*$N187),0)</f>
        <v>0</v>
      </c>
      <c r="AR187" s="140">
        <f t="shared" ref="AR187:AR197" si="177">IF($Q187="C", (F187*$N187),0)</f>
        <v>0</v>
      </c>
      <c r="AS187" s="252"/>
    </row>
    <row r="188" spans="1:45" s="20" customFormat="1">
      <c r="A188" s="46" t="s">
        <v>392</v>
      </c>
      <c r="B188" s="20" t="s">
        <v>33</v>
      </c>
      <c r="C188" s="175">
        <v>0</v>
      </c>
      <c r="D188" s="100" t="s">
        <v>9</v>
      </c>
      <c r="E188" s="176">
        <v>0</v>
      </c>
      <c r="F188" s="177">
        <f t="shared" si="160"/>
        <v>0</v>
      </c>
      <c r="G188" s="178">
        <v>0</v>
      </c>
      <c r="H188" s="178">
        <v>0</v>
      </c>
      <c r="I188" s="178">
        <v>0</v>
      </c>
      <c r="J188" s="178">
        <v>40</v>
      </c>
      <c r="K188" s="179">
        <v>0</v>
      </c>
      <c r="L188" s="100" t="s">
        <v>8</v>
      </c>
      <c r="M188" s="176">
        <f t="shared" si="161"/>
        <v>6000</v>
      </c>
      <c r="N188" s="96">
        <v>1</v>
      </c>
      <c r="O188" s="176">
        <f t="shared" si="162"/>
        <v>6000</v>
      </c>
      <c r="P188" s="180"/>
      <c r="Q188" s="52" t="s">
        <v>46</v>
      </c>
      <c r="R188" s="75" t="s">
        <v>221</v>
      </c>
      <c r="S188" s="145" t="str">
        <f t="shared" si="163"/>
        <v>BPT2010</v>
      </c>
      <c r="T188" s="145" t="str">
        <f t="shared" si="164"/>
        <v>B1.2.1.2.12010</v>
      </c>
      <c r="U188" s="145" t="s">
        <v>191</v>
      </c>
      <c r="V188" s="145" t="str">
        <f t="shared" si="165"/>
        <v>Prototype D-Tube</v>
      </c>
      <c r="AB188" s="433">
        <v>2010</v>
      </c>
      <c r="AC188" s="140">
        <f t="shared" si="166"/>
        <v>0</v>
      </c>
      <c r="AD188" s="140">
        <f t="shared" si="167"/>
        <v>0</v>
      </c>
      <c r="AE188" s="140">
        <f t="shared" si="168"/>
        <v>0</v>
      </c>
      <c r="AF188" s="140">
        <f t="shared" si="169"/>
        <v>40</v>
      </c>
      <c r="AG188" s="140">
        <f t="shared" si="170"/>
        <v>0</v>
      </c>
      <c r="AH188" s="251">
        <f t="shared" si="171"/>
        <v>0</v>
      </c>
      <c r="AI188" s="252"/>
      <c r="AJ188" s="140"/>
      <c r="AK188" s="140"/>
      <c r="AL188" s="176"/>
      <c r="AM188" s="139">
        <f t="shared" si="172"/>
        <v>0</v>
      </c>
      <c r="AN188" s="140">
        <f t="shared" si="173"/>
        <v>0</v>
      </c>
      <c r="AO188" s="140">
        <f t="shared" si="174"/>
        <v>0</v>
      </c>
      <c r="AP188" s="140">
        <f t="shared" si="175"/>
        <v>0</v>
      </c>
      <c r="AQ188" s="140">
        <f t="shared" si="176"/>
        <v>0</v>
      </c>
      <c r="AR188" s="140">
        <f t="shared" si="177"/>
        <v>0</v>
      </c>
      <c r="AS188" s="252"/>
    </row>
    <row r="189" spans="1:45" s="20" customFormat="1">
      <c r="A189" s="46" t="s">
        <v>168</v>
      </c>
      <c r="B189" s="20" t="s">
        <v>33</v>
      </c>
      <c r="C189" s="175">
        <v>0</v>
      </c>
      <c r="D189" s="100" t="s">
        <v>9</v>
      </c>
      <c r="E189" s="176">
        <v>0</v>
      </c>
      <c r="F189" s="177">
        <f t="shared" si="160"/>
        <v>0</v>
      </c>
      <c r="G189" s="178">
        <v>0</v>
      </c>
      <c r="H189" s="178">
        <v>32</v>
      </c>
      <c r="I189" s="178">
        <v>0</v>
      </c>
      <c r="J189" s="178">
        <v>0</v>
      </c>
      <c r="K189" s="179">
        <v>0</v>
      </c>
      <c r="L189" s="100" t="s">
        <v>8</v>
      </c>
      <c r="M189" s="176">
        <f t="shared" si="161"/>
        <v>3744</v>
      </c>
      <c r="N189" s="96">
        <v>1</v>
      </c>
      <c r="O189" s="176">
        <f t="shared" si="162"/>
        <v>3744</v>
      </c>
      <c r="P189" s="180"/>
      <c r="Q189" s="52" t="s">
        <v>46</v>
      </c>
      <c r="R189" s="75" t="s">
        <v>221</v>
      </c>
      <c r="S189" s="145" t="str">
        <f t="shared" si="163"/>
        <v>BPT2010</v>
      </c>
      <c r="T189" s="145" t="str">
        <f t="shared" si="164"/>
        <v>B1.2.1.2.12010</v>
      </c>
      <c r="U189" s="145" t="s">
        <v>191</v>
      </c>
      <c r="V189" s="145" t="str">
        <f t="shared" si="165"/>
        <v>Prototype D-Tube</v>
      </c>
      <c r="AB189" s="33">
        <v>2010</v>
      </c>
      <c r="AC189" s="140">
        <f t="shared" si="166"/>
        <v>0</v>
      </c>
      <c r="AD189" s="140">
        <f t="shared" si="167"/>
        <v>32</v>
      </c>
      <c r="AE189" s="140">
        <f t="shared" si="168"/>
        <v>0</v>
      </c>
      <c r="AF189" s="140">
        <f t="shared" si="169"/>
        <v>0</v>
      </c>
      <c r="AG189" s="140">
        <f t="shared" si="170"/>
        <v>0</v>
      </c>
      <c r="AH189" s="251">
        <f t="shared" si="171"/>
        <v>0</v>
      </c>
      <c r="AI189" s="252"/>
      <c r="AJ189" s="140"/>
      <c r="AK189" s="140"/>
      <c r="AL189" s="176"/>
      <c r="AM189" s="139">
        <f t="shared" si="172"/>
        <v>0</v>
      </c>
      <c r="AN189" s="140">
        <f t="shared" si="173"/>
        <v>0</v>
      </c>
      <c r="AO189" s="140">
        <f t="shared" si="174"/>
        <v>0</v>
      </c>
      <c r="AP189" s="140">
        <f t="shared" si="175"/>
        <v>0</v>
      </c>
      <c r="AQ189" s="140">
        <f t="shared" si="176"/>
        <v>0</v>
      </c>
      <c r="AR189" s="140">
        <f t="shared" si="177"/>
        <v>0</v>
      </c>
      <c r="AS189" s="252"/>
    </row>
    <row r="190" spans="1:45" s="20" customFormat="1">
      <c r="A190" s="46" t="s">
        <v>392</v>
      </c>
      <c r="B190" s="20" t="s">
        <v>33</v>
      </c>
      <c r="C190" s="175">
        <v>0</v>
      </c>
      <c r="D190" s="100" t="s">
        <v>9</v>
      </c>
      <c r="E190" s="176">
        <v>0</v>
      </c>
      <c r="F190" s="177">
        <f t="shared" si="160"/>
        <v>0</v>
      </c>
      <c r="G190" s="178">
        <v>0</v>
      </c>
      <c r="H190" s="178">
        <v>0</v>
      </c>
      <c r="I190" s="178">
        <v>0</v>
      </c>
      <c r="J190" s="178">
        <v>40</v>
      </c>
      <c r="K190" s="179">
        <v>0</v>
      </c>
      <c r="L190" s="100" t="s">
        <v>8</v>
      </c>
      <c r="M190" s="176">
        <f t="shared" si="161"/>
        <v>4860.0000000000009</v>
      </c>
      <c r="N190" s="96">
        <v>1</v>
      </c>
      <c r="O190" s="176">
        <f t="shared" si="162"/>
        <v>4860.0000000000009</v>
      </c>
      <c r="P190" s="180"/>
      <c r="Q190" s="52" t="s">
        <v>47</v>
      </c>
      <c r="R190" s="75" t="s">
        <v>77</v>
      </c>
      <c r="S190" s="145" t="str">
        <f t="shared" si="163"/>
        <v>CPD2012</v>
      </c>
      <c r="T190" s="145" t="str">
        <f t="shared" si="164"/>
        <v>C1.2.1.2.12012</v>
      </c>
      <c r="U190" s="145" t="s">
        <v>191</v>
      </c>
      <c r="V190" s="145" t="str">
        <f t="shared" si="165"/>
        <v>Prototype D-Tube</v>
      </c>
      <c r="AB190" s="33">
        <v>2012</v>
      </c>
      <c r="AC190" s="140">
        <f t="shared" si="166"/>
        <v>0</v>
      </c>
      <c r="AD190" s="140">
        <f t="shared" si="167"/>
        <v>0</v>
      </c>
      <c r="AE190" s="140">
        <f t="shared" si="168"/>
        <v>0</v>
      </c>
      <c r="AF190" s="140">
        <f t="shared" si="169"/>
        <v>0</v>
      </c>
      <c r="AG190" s="140">
        <f t="shared" si="170"/>
        <v>0</v>
      </c>
      <c r="AH190" s="251">
        <f t="shared" si="171"/>
        <v>0</v>
      </c>
      <c r="AI190" s="252"/>
      <c r="AJ190" s="140"/>
      <c r="AK190" s="140"/>
      <c r="AL190" s="176"/>
      <c r="AM190" s="139">
        <f t="shared" si="172"/>
        <v>0</v>
      </c>
      <c r="AN190" s="140">
        <f t="shared" si="173"/>
        <v>0</v>
      </c>
      <c r="AO190" s="140">
        <f t="shared" si="174"/>
        <v>0</v>
      </c>
      <c r="AP190" s="140">
        <f t="shared" si="175"/>
        <v>40</v>
      </c>
      <c r="AQ190" s="140">
        <f t="shared" si="176"/>
        <v>0</v>
      </c>
      <c r="AR190" s="140">
        <f t="shared" si="177"/>
        <v>0</v>
      </c>
      <c r="AS190" s="252"/>
    </row>
    <row r="191" spans="1:45" s="20" customFormat="1">
      <c r="A191" s="46" t="s">
        <v>288</v>
      </c>
      <c r="B191" s="20" t="s">
        <v>58</v>
      </c>
      <c r="C191" s="175">
        <v>1</v>
      </c>
      <c r="D191" s="100" t="s">
        <v>59</v>
      </c>
      <c r="E191" s="176">
        <v>105</v>
      </c>
      <c r="F191" s="177">
        <f t="shared" si="160"/>
        <v>105</v>
      </c>
      <c r="G191" s="178">
        <v>0</v>
      </c>
      <c r="H191" s="178">
        <v>32</v>
      </c>
      <c r="I191" s="178">
        <v>0</v>
      </c>
      <c r="J191" s="178">
        <v>0</v>
      </c>
      <c r="K191" s="179">
        <v>0</v>
      </c>
      <c r="L191" s="100" t="s">
        <v>8</v>
      </c>
      <c r="M191" s="176">
        <f t="shared" si="161"/>
        <v>3744</v>
      </c>
      <c r="N191" s="96">
        <v>1</v>
      </c>
      <c r="O191" s="176">
        <f t="shared" si="162"/>
        <v>3849</v>
      </c>
      <c r="P191" s="180"/>
      <c r="Q191" s="52" t="s">
        <v>47</v>
      </c>
      <c r="R191" s="75" t="s">
        <v>221</v>
      </c>
      <c r="S191" s="145" t="str">
        <f t="shared" si="163"/>
        <v>CPT2010</v>
      </c>
      <c r="T191" s="145" t="str">
        <f t="shared" si="164"/>
        <v>C1.2.1.2.12010</v>
      </c>
      <c r="U191" s="145" t="s">
        <v>191</v>
      </c>
      <c r="V191" s="145" t="str">
        <f t="shared" si="165"/>
        <v>Prototype D-Tube</v>
      </c>
      <c r="AB191" s="33">
        <v>2010</v>
      </c>
      <c r="AC191" s="140">
        <f t="shared" si="166"/>
        <v>0</v>
      </c>
      <c r="AD191" s="140">
        <f t="shared" si="167"/>
        <v>0</v>
      </c>
      <c r="AE191" s="140">
        <f t="shared" si="168"/>
        <v>0</v>
      </c>
      <c r="AF191" s="140">
        <f t="shared" si="169"/>
        <v>0</v>
      </c>
      <c r="AG191" s="140">
        <f t="shared" si="170"/>
        <v>0</v>
      </c>
      <c r="AH191" s="251">
        <f t="shared" si="171"/>
        <v>0</v>
      </c>
      <c r="AI191" s="252"/>
      <c r="AJ191" s="140"/>
      <c r="AK191" s="140"/>
      <c r="AL191" s="176"/>
      <c r="AM191" s="139">
        <f t="shared" si="172"/>
        <v>0</v>
      </c>
      <c r="AN191" s="140">
        <f t="shared" si="173"/>
        <v>32</v>
      </c>
      <c r="AO191" s="140">
        <f t="shared" si="174"/>
        <v>0</v>
      </c>
      <c r="AP191" s="140">
        <f t="shared" si="175"/>
        <v>0</v>
      </c>
      <c r="AQ191" s="140">
        <f t="shared" si="176"/>
        <v>0</v>
      </c>
      <c r="AR191" s="140">
        <f t="shared" si="177"/>
        <v>105</v>
      </c>
      <c r="AS191" s="252"/>
    </row>
    <row r="192" spans="1:45" s="20" customFormat="1">
      <c r="A192" s="46" t="s">
        <v>289</v>
      </c>
      <c r="B192" s="20" t="s">
        <v>58</v>
      </c>
      <c r="C192" s="175">
        <v>1</v>
      </c>
      <c r="D192" s="100" t="s">
        <v>59</v>
      </c>
      <c r="E192" s="176">
        <v>105</v>
      </c>
      <c r="F192" s="177">
        <f t="shared" si="160"/>
        <v>105</v>
      </c>
      <c r="G192" s="178">
        <v>0</v>
      </c>
      <c r="H192" s="178">
        <v>24</v>
      </c>
      <c r="I192" s="178">
        <v>0</v>
      </c>
      <c r="J192" s="374">
        <v>0</v>
      </c>
      <c r="K192" s="179">
        <v>0</v>
      </c>
      <c r="L192" s="100" t="s">
        <v>8</v>
      </c>
      <c r="M192" s="176">
        <f t="shared" si="161"/>
        <v>5616</v>
      </c>
      <c r="N192" s="96">
        <v>2</v>
      </c>
      <c r="O192" s="176">
        <f t="shared" si="162"/>
        <v>5826</v>
      </c>
      <c r="P192" s="180"/>
      <c r="Q192" s="52" t="s">
        <v>46</v>
      </c>
      <c r="R192" s="75" t="s">
        <v>221</v>
      </c>
      <c r="S192" s="145" t="str">
        <f t="shared" si="163"/>
        <v>BPT2010</v>
      </c>
      <c r="T192" s="145" t="str">
        <f t="shared" si="164"/>
        <v>B1.2.1.2.12010</v>
      </c>
      <c r="U192" s="145" t="s">
        <v>191</v>
      </c>
      <c r="V192" s="145" t="str">
        <f t="shared" si="165"/>
        <v>Prototype D-Tube</v>
      </c>
      <c r="AB192" s="33">
        <v>2010</v>
      </c>
      <c r="AC192" s="140">
        <f t="shared" si="166"/>
        <v>0</v>
      </c>
      <c r="AD192" s="140">
        <f t="shared" si="167"/>
        <v>48</v>
      </c>
      <c r="AE192" s="140">
        <f t="shared" si="168"/>
        <v>0</v>
      </c>
      <c r="AF192" s="140">
        <f t="shared" si="169"/>
        <v>0</v>
      </c>
      <c r="AG192" s="140">
        <f t="shared" si="170"/>
        <v>0</v>
      </c>
      <c r="AH192" s="251">
        <f t="shared" si="171"/>
        <v>210</v>
      </c>
      <c r="AI192" s="252"/>
      <c r="AJ192" s="140"/>
      <c r="AK192" s="140"/>
      <c r="AL192" s="176"/>
      <c r="AM192" s="139">
        <f t="shared" si="172"/>
        <v>0</v>
      </c>
      <c r="AN192" s="140">
        <f t="shared" si="173"/>
        <v>0</v>
      </c>
      <c r="AO192" s="140">
        <f t="shared" si="174"/>
        <v>0</v>
      </c>
      <c r="AP192" s="140">
        <f t="shared" si="175"/>
        <v>0</v>
      </c>
      <c r="AQ192" s="140">
        <f t="shared" si="176"/>
        <v>0</v>
      </c>
      <c r="AR192" s="140">
        <f t="shared" si="177"/>
        <v>0</v>
      </c>
      <c r="AS192" s="252"/>
    </row>
    <row r="193" spans="1:45" s="20" customFormat="1">
      <c r="A193" s="46" t="s">
        <v>291</v>
      </c>
      <c r="B193" s="20" t="s">
        <v>33</v>
      </c>
      <c r="C193" s="175">
        <v>0</v>
      </c>
      <c r="D193" s="100" t="s">
        <v>9</v>
      </c>
      <c r="E193" s="176">
        <v>0</v>
      </c>
      <c r="F193" s="177">
        <f t="shared" si="160"/>
        <v>0</v>
      </c>
      <c r="G193" s="178">
        <v>0</v>
      </c>
      <c r="H193" s="178">
        <v>8</v>
      </c>
      <c r="I193" s="178">
        <v>0</v>
      </c>
      <c r="J193" s="178">
        <v>2</v>
      </c>
      <c r="K193" s="179">
        <v>0</v>
      </c>
      <c r="L193" s="100" t="s">
        <v>8</v>
      </c>
      <c r="M193" s="176">
        <f t="shared" si="161"/>
        <v>1001.1600000000001</v>
      </c>
      <c r="N193" s="96">
        <v>1</v>
      </c>
      <c r="O193" s="176">
        <f t="shared" si="162"/>
        <v>1001.1600000000001</v>
      </c>
      <c r="P193" s="180"/>
      <c r="Q193" s="52" t="s">
        <v>47</v>
      </c>
      <c r="R193" s="75" t="s">
        <v>77</v>
      </c>
      <c r="S193" s="145" t="str">
        <f t="shared" si="163"/>
        <v>CPD2012</v>
      </c>
      <c r="T193" s="145" t="str">
        <f t="shared" si="164"/>
        <v>C1.2.1.2.12012</v>
      </c>
      <c r="U193" s="145" t="s">
        <v>191</v>
      </c>
      <c r="V193" s="145" t="str">
        <f t="shared" si="165"/>
        <v>Prototype D-Tube</v>
      </c>
      <c r="AB193" s="33">
        <v>2012</v>
      </c>
      <c r="AC193" s="140">
        <f t="shared" si="166"/>
        <v>0</v>
      </c>
      <c r="AD193" s="140">
        <f t="shared" si="167"/>
        <v>0</v>
      </c>
      <c r="AE193" s="140">
        <f t="shared" si="168"/>
        <v>0</v>
      </c>
      <c r="AF193" s="140">
        <f t="shared" si="169"/>
        <v>0</v>
      </c>
      <c r="AG193" s="140">
        <f t="shared" si="170"/>
        <v>0</v>
      </c>
      <c r="AH193" s="251">
        <f t="shared" si="171"/>
        <v>0</v>
      </c>
      <c r="AI193" s="252"/>
      <c r="AJ193" s="140"/>
      <c r="AK193" s="140"/>
      <c r="AL193" s="176"/>
      <c r="AM193" s="139">
        <f t="shared" si="172"/>
        <v>0</v>
      </c>
      <c r="AN193" s="140">
        <f t="shared" si="173"/>
        <v>8</v>
      </c>
      <c r="AO193" s="140">
        <f t="shared" si="174"/>
        <v>0</v>
      </c>
      <c r="AP193" s="140">
        <f t="shared" si="175"/>
        <v>2</v>
      </c>
      <c r="AQ193" s="140">
        <f t="shared" si="176"/>
        <v>0</v>
      </c>
      <c r="AR193" s="140">
        <f t="shared" si="177"/>
        <v>0</v>
      </c>
      <c r="AS193" s="252"/>
    </row>
    <row r="194" spans="1:45" s="20" customFormat="1">
      <c r="A194" s="46" t="s">
        <v>290</v>
      </c>
      <c r="B194" s="20" t="s">
        <v>58</v>
      </c>
      <c r="C194" s="175">
        <v>1</v>
      </c>
      <c r="D194" s="100" t="s">
        <v>59</v>
      </c>
      <c r="E194" s="176">
        <v>105</v>
      </c>
      <c r="F194" s="177">
        <f t="shared" si="160"/>
        <v>105</v>
      </c>
      <c r="G194" s="178">
        <v>0</v>
      </c>
      <c r="H194" s="178">
        <v>24</v>
      </c>
      <c r="I194" s="178">
        <v>0</v>
      </c>
      <c r="J194" s="178">
        <v>8</v>
      </c>
      <c r="K194" s="179">
        <v>0</v>
      </c>
      <c r="L194" s="100" t="s">
        <v>8</v>
      </c>
      <c r="M194" s="176">
        <f t="shared" si="161"/>
        <v>6492.9600000000009</v>
      </c>
      <c r="N194" s="96">
        <v>2</v>
      </c>
      <c r="O194" s="176">
        <f t="shared" si="162"/>
        <v>6702.9600000000009</v>
      </c>
      <c r="P194" s="180"/>
      <c r="Q194" s="52" t="s">
        <v>47</v>
      </c>
      <c r="R194" s="75" t="s">
        <v>77</v>
      </c>
      <c r="S194" s="145" t="str">
        <f t="shared" si="163"/>
        <v>CPD2012</v>
      </c>
      <c r="T194" s="145" t="str">
        <f t="shared" si="164"/>
        <v>C1.2.1.2.12012</v>
      </c>
      <c r="U194" s="145" t="s">
        <v>191</v>
      </c>
      <c r="V194" s="145" t="str">
        <f t="shared" si="165"/>
        <v>Prototype D-Tube</v>
      </c>
      <c r="AB194" s="33">
        <v>2012</v>
      </c>
      <c r="AC194" s="140">
        <f t="shared" si="166"/>
        <v>0</v>
      </c>
      <c r="AD194" s="140">
        <f t="shared" si="167"/>
        <v>0</v>
      </c>
      <c r="AE194" s="140">
        <f t="shared" si="168"/>
        <v>0</v>
      </c>
      <c r="AF194" s="140">
        <f t="shared" si="169"/>
        <v>0</v>
      </c>
      <c r="AG194" s="140">
        <f t="shared" si="170"/>
        <v>0</v>
      </c>
      <c r="AH194" s="251">
        <f t="shared" si="171"/>
        <v>0</v>
      </c>
      <c r="AI194" s="252"/>
      <c r="AJ194" s="140"/>
      <c r="AK194" s="140"/>
      <c r="AL194" s="176"/>
      <c r="AM194" s="139">
        <f t="shared" si="172"/>
        <v>0</v>
      </c>
      <c r="AN194" s="140">
        <f t="shared" si="173"/>
        <v>48</v>
      </c>
      <c r="AO194" s="140">
        <f t="shared" si="174"/>
        <v>0</v>
      </c>
      <c r="AP194" s="140">
        <f t="shared" si="175"/>
        <v>16</v>
      </c>
      <c r="AQ194" s="140">
        <f t="shared" si="176"/>
        <v>0</v>
      </c>
      <c r="AR194" s="140">
        <f t="shared" si="177"/>
        <v>210</v>
      </c>
      <c r="AS194" s="252"/>
    </row>
    <row r="195" spans="1:45" s="20" customFormat="1">
      <c r="A195" s="46" t="s">
        <v>293</v>
      </c>
      <c r="B195" s="20" t="s">
        <v>33</v>
      </c>
      <c r="C195" s="175">
        <v>0</v>
      </c>
      <c r="D195" s="100" t="s">
        <v>9</v>
      </c>
      <c r="E195" s="176">
        <v>0</v>
      </c>
      <c r="F195" s="177">
        <f t="shared" si="160"/>
        <v>0</v>
      </c>
      <c r="G195" s="178">
        <v>0</v>
      </c>
      <c r="H195" s="178">
        <v>8</v>
      </c>
      <c r="I195" s="178">
        <v>0</v>
      </c>
      <c r="J195" s="178">
        <v>2</v>
      </c>
      <c r="K195" s="179">
        <v>0</v>
      </c>
      <c r="L195" s="100" t="s">
        <v>8</v>
      </c>
      <c r="M195" s="176">
        <f t="shared" si="161"/>
        <v>1001.1600000000001</v>
      </c>
      <c r="N195" s="96">
        <v>1</v>
      </c>
      <c r="O195" s="176">
        <f t="shared" si="162"/>
        <v>1001.1600000000001</v>
      </c>
      <c r="P195" s="180"/>
      <c r="Q195" s="52" t="s">
        <v>46</v>
      </c>
      <c r="R195" s="75" t="s">
        <v>77</v>
      </c>
      <c r="S195" s="145" t="str">
        <f t="shared" si="163"/>
        <v>BPD2012</v>
      </c>
      <c r="T195" s="145" t="str">
        <f t="shared" si="164"/>
        <v>B1.2.1.2.32012</v>
      </c>
      <c r="U195" s="145" t="s">
        <v>195</v>
      </c>
      <c r="V195" s="145" t="str">
        <f t="shared" si="165"/>
        <v>Production D-Tube and Kinematic Mounts</v>
      </c>
      <c r="AB195" s="33">
        <v>2012</v>
      </c>
      <c r="AC195" s="140">
        <f t="shared" si="166"/>
        <v>0</v>
      </c>
      <c r="AD195" s="140">
        <f t="shared" si="167"/>
        <v>8</v>
      </c>
      <c r="AE195" s="140">
        <f t="shared" si="168"/>
        <v>0</v>
      </c>
      <c r="AF195" s="140">
        <f t="shared" si="169"/>
        <v>2</v>
      </c>
      <c r="AG195" s="140">
        <f t="shared" si="170"/>
        <v>0</v>
      </c>
      <c r="AH195" s="251">
        <f t="shared" si="171"/>
        <v>0</v>
      </c>
      <c r="AI195" s="252"/>
      <c r="AJ195" s="140"/>
      <c r="AK195" s="140"/>
      <c r="AL195" s="176"/>
      <c r="AM195" s="139">
        <f t="shared" si="172"/>
        <v>0</v>
      </c>
      <c r="AN195" s="140">
        <f t="shared" si="173"/>
        <v>0</v>
      </c>
      <c r="AO195" s="140">
        <f t="shared" si="174"/>
        <v>0</v>
      </c>
      <c r="AP195" s="140">
        <f t="shared" si="175"/>
        <v>0</v>
      </c>
      <c r="AQ195" s="140">
        <f t="shared" si="176"/>
        <v>0</v>
      </c>
      <c r="AR195" s="140">
        <f t="shared" si="177"/>
        <v>0</v>
      </c>
      <c r="AS195" s="252"/>
    </row>
    <row r="196" spans="1:45" s="20" customFormat="1">
      <c r="A196" s="46" t="s">
        <v>169</v>
      </c>
      <c r="B196" s="20" t="s">
        <v>58</v>
      </c>
      <c r="C196" s="175">
        <v>1</v>
      </c>
      <c r="D196" s="100" t="s">
        <v>59</v>
      </c>
      <c r="E196" s="176">
        <v>105</v>
      </c>
      <c r="F196" s="177">
        <f t="shared" si="160"/>
        <v>105</v>
      </c>
      <c r="G196" s="178">
        <v>0</v>
      </c>
      <c r="H196" s="178">
        <v>24</v>
      </c>
      <c r="I196" s="178">
        <v>0</v>
      </c>
      <c r="J196" s="178">
        <v>8</v>
      </c>
      <c r="K196" s="179">
        <v>0</v>
      </c>
      <c r="L196" s="100" t="s">
        <v>8</v>
      </c>
      <c r="M196" s="176">
        <f t="shared" si="161"/>
        <v>12985.920000000002</v>
      </c>
      <c r="N196" s="96">
        <v>4</v>
      </c>
      <c r="O196" s="176">
        <f t="shared" si="162"/>
        <v>13405.920000000002</v>
      </c>
      <c r="P196" s="180"/>
      <c r="Q196" s="52" t="s">
        <v>46</v>
      </c>
      <c r="R196" s="75" t="s">
        <v>77</v>
      </c>
      <c r="S196" s="145" t="str">
        <f t="shared" si="163"/>
        <v>BPD2012</v>
      </c>
      <c r="T196" s="145" t="str">
        <f t="shared" si="164"/>
        <v>B1.2.1.2.32012</v>
      </c>
      <c r="U196" s="145" t="s">
        <v>195</v>
      </c>
      <c r="V196" s="145" t="str">
        <f t="shared" si="165"/>
        <v>Production D-Tube and Kinematic Mounts</v>
      </c>
      <c r="AB196" s="33">
        <v>2012</v>
      </c>
      <c r="AC196" s="140">
        <f t="shared" si="166"/>
        <v>0</v>
      </c>
      <c r="AD196" s="140">
        <f t="shared" si="167"/>
        <v>96</v>
      </c>
      <c r="AE196" s="140">
        <f t="shared" si="168"/>
        <v>0</v>
      </c>
      <c r="AF196" s="140">
        <f t="shared" si="169"/>
        <v>32</v>
      </c>
      <c r="AG196" s="140">
        <f t="shared" si="170"/>
        <v>0</v>
      </c>
      <c r="AH196" s="251">
        <f t="shared" si="171"/>
        <v>420</v>
      </c>
      <c r="AI196" s="252"/>
      <c r="AJ196" s="140"/>
      <c r="AK196" s="140"/>
      <c r="AL196" s="176"/>
      <c r="AM196" s="139">
        <f t="shared" si="172"/>
        <v>0</v>
      </c>
      <c r="AN196" s="140">
        <f t="shared" si="173"/>
        <v>0</v>
      </c>
      <c r="AO196" s="140">
        <f t="shared" si="174"/>
        <v>0</v>
      </c>
      <c r="AP196" s="140">
        <f t="shared" si="175"/>
        <v>0</v>
      </c>
      <c r="AQ196" s="140">
        <f t="shared" si="176"/>
        <v>0</v>
      </c>
      <c r="AR196" s="140">
        <f t="shared" si="177"/>
        <v>0</v>
      </c>
      <c r="AS196" s="252"/>
    </row>
    <row r="197" spans="1:45" s="20" customFormat="1">
      <c r="A197" s="46" t="s">
        <v>170</v>
      </c>
      <c r="B197" s="20" t="s">
        <v>58</v>
      </c>
      <c r="C197" s="175">
        <v>1</v>
      </c>
      <c r="D197" s="100" t="s">
        <v>59</v>
      </c>
      <c r="E197" s="176">
        <v>105</v>
      </c>
      <c r="F197" s="177">
        <f t="shared" si="160"/>
        <v>105</v>
      </c>
      <c r="G197" s="178">
        <v>0</v>
      </c>
      <c r="H197" s="178">
        <v>24</v>
      </c>
      <c r="I197" s="178">
        <v>0</v>
      </c>
      <c r="J197" s="178">
        <v>8</v>
      </c>
      <c r="K197" s="179">
        <v>0</v>
      </c>
      <c r="L197" s="100" t="s">
        <v>8</v>
      </c>
      <c r="M197" s="176">
        <f t="shared" si="161"/>
        <v>6492.9600000000009</v>
      </c>
      <c r="N197" s="96">
        <v>2</v>
      </c>
      <c r="O197" s="176">
        <f t="shared" si="162"/>
        <v>6702.9600000000009</v>
      </c>
      <c r="P197" s="180"/>
      <c r="Q197" s="52" t="s">
        <v>47</v>
      </c>
      <c r="R197" s="75" t="s">
        <v>77</v>
      </c>
      <c r="S197" s="145" t="str">
        <f t="shared" si="163"/>
        <v>CPD2012</v>
      </c>
      <c r="T197" s="145" t="str">
        <f t="shared" si="164"/>
        <v>C1.2.1.2.32012</v>
      </c>
      <c r="U197" s="145" t="s">
        <v>195</v>
      </c>
      <c r="V197" s="145" t="str">
        <f t="shared" si="165"/>
        <v>Production D-Tube and Kinematic Mounts</v>
      </c>
      <c r="AB197" s="33">
        <v>2012</v>
      </c>
      <c r="AC197" s="140">
        <f t="shared" si="166"/>
        <v>0</v>
      </c>
      <c r="AD197" s="140">
        <f t="shared" si="167"/>
        <v>0</v>
      </c>
      <c r="AE197" s="140">
        <f t="shared" si="168"/>
        <v>0</v>
      </c>
      <c r="AF197" s="140">
        <f t="shared" si="169"/>
        <v>0</v>
      </c>
      <c r="AG197" s="140">
        <f t="shared" si="170"/>
        <v>0</v>
      </c>
      <c r="AH197" s="251">
        <f t="shared" si="171"/>
        <v>0</v>
      </c>
      <c r="AI197" s="252"/>
      <c r="AJ197" s="140"/>
      <c r="AK197" s="140"/>
      <c r="AL197" s="176"/>
      <c r="AM197" s="139">
        <f t="shared" si="172"/>
        <v>0</v>
      </c>
      <c r="AN197" s="140">
        <f t="shared" si="173"/>
        <v>48</v>
      </c>
      <c r="AO197" s="140">
        <f t="shared" si="174"/>
        <v>0</v>
      </c>
      <c r="AP197" s="140">
        <f t="shared" si="175"/>
        <v>16</v>
      </c>
      <c r="AQ197" s="140">
        <f t="shared" si="176"/>
        <v>0</v>
      </c>
      <c r="AR197" s="140">
        <f t="shared" si="177"/>
        <v>210</v>
      </c>
      <c r="AS197" s="252"/>
    </row>
    <row r="198" spans="1:45" s="50" customFormat="1">
      <c r="A198" s="47" t="s">
        <v>300</v>
      </c>
      <c r="C198" s="202"/>
      <c r="D198" s="115"/>
      <c r="E198" s="61"/>
      <c r="F198" s="62"/>
      <c r="G198" s="63"/>
      <c r="H198" s="63"/>
      <c r="I198" s="63"/>
      <c r="J198" s="63"/>
      <c r="K198" s="64"/>
      <c r="L198" s="234" t="s">
        <v>66</v>
      </c>
      <c r="M198" s="188">
        <f>SUMIF(Q187:Q197,"B",M187:M197)</f>
        <v>30283.08</v>
      </c>
      <c r="N198" s="69" t="s">
        <v>66</v>
      </c>
      <c r="O198" s="61"/>
      <c r="P198" s="203"/>
      <c r="Q198" s="52"/>
      <c r="R198" s="75"/>
      <c r="S198" s="145"/>
      <c r="T198" s="145"/>
      <c r="U198" s="145"/>
      <c r="V198" s="145"/>
      <c r="W198" s="378"/>
      <c r="X198" s="378"/>
      <c r="Y198" s="378"/>
      <c r="Z198" s="378"/>
      <c r="AA198" s="378"/>
      <c r="AB198" s="55"/>
      <c r="AC198" s="56"/>
      <c r="AD198" s="56"/>
      <c r="AE198" s="57"/>
      <c r="AF198" s="56"/>
      <c r="AG198" s="56"/>
      <c r="AH198" s="39"/>
      <c r="AI198" s="260"/>
      <c r="AJ198" s="56"/>
      <c r="AK198" s="56"/>
      <c r="AL198" s="116"/>
      <c r="AM198" s="58"/>
      <c r="AN198" s="56"/>
      <c r="AO198" s="56"/>
      <c r="AP198" s="56"/>
      <c r="AQ198" s="56"/>
      <c r="AR198" s="56"/>
      <c r="AS198" s="260"/>
    </row>
    <row r="199" spans="1:45" s="20" customFormat="1">
      <c r="A199" s="46" t="s">
        <v>393</v>
      </c>
      <c r="B199" s="20" t="s">
        <v>33</v>
      </c>
      <c r="C199" s="175">
        <v>0</v>
      </c>
      <c r="D199" s="100" t="s">
        <v>9</v>
      </c>
      <c r="E199" s="176">
        <v>0</v>
      </c>
      <c r="F199" s="177">
        <f t="shared" ref="F199:F205" si="178">E199*C199</f>
        <v>0</v>
      </c>
      <c r="G199" s="178">
        <v>0</v>
      </c>
      <c r="H199" s="178">
        <v>0</v>
      </c>
      <c r="I199" s="178">
        <v>0</v>
      </c>
      <c r="J199" s="178">
        <v>48</v>
      </c>
      <c r="K199" s="179">
        <v>0</v>
      </c>
      <c r="L199" s="100" t="s">
        <v>8</v>
      </c>
      <c r="M199" s="176">
        <f t="shared" ref="M199:M205" si="179">IF(R199="PD",((Shop*G199)+(M_Tech*H199)+(CMM*I199)+(ENG*J199)+(DES*K199))*N199,((Shop_RD*G199)+(MTECH_RD*H199)+(CMM_RD*I199)+(ENG_RD*J199)+(DES_RD*K199))*N199)</f>
        <v>5832.0000000000009</v>
      </c>
      <c r="N199" s="96">
        <v>1</v>
      </c>
      <c r="O199" s="176">
        <f t="shared" ref="O199:O205" si="180">M199+(F199*N199)</f>
        <v>5832.0000000000009</v>
      </c>
      <c r="P199" s="180"/>
      <c r="Q199" s="52" t="s">
        <v>46</v>
      </c>
      <c r="R199" s="75" t="s">
        <v>77</v>
      </c>
      <c r="S199" s="145" t="str">
        <f t="shared" ref="S199:S205" si="181">CONCATENATE(Q199,R199,AB199)</f>
        <v>BPD2010</v>
      </c>
      <c r="T199" s="145" t="str">
        <f t="shared" ref="T199:T205" si="182">CONCATENATE(Q199,U199,AB199)</f>
        <v>B1.2.1.2.12010</v>
      </c>
      <c r="U199" s="145" t="s">
        <v>191</v>
      </c>
      <c r="V199" s="145" t="str">
        <f t="shared" ref="V199:V205" si="183">LOOKUP(U199,$B$383:$B$420,$A$383:$A$420)</f>
        <v>Prototype D-Tube</v>
      </c>
      <c r="AB199" s="433">
        <v>2010</v>
      </c>
      <c r="AC199" s="140">
        <f t="shared" ref="AC199:AG205" si="184">IF($Q199="B", (G199*$N199),0)</f>
        <v>0</v>
      </c>
      <c r="AD199" s="140">
        <f t="shared" si="184"/>
        <v>0</v>
      </c>
      <c r="AE199" s="140">
        <f t="shared" si="184"/>
        <v>0</v>
      </c>
      <c r="AF199" s="140">
        <f t="shared" si="184"/>
        <v>48</v>
      </c>
      <c r="AG199" s="140">
        <f t="shared" si="184"/>
        <v>0</v>
      </c>
      <c r="AH199" s="251">
        <f t="shared" ref="AH199:AH205" si="185">IF($Q199="B", (F199*$N199),0)</f>
        <v>0</v>
      </c>
      <c r="AI199" s="252"/>
      <c r="AJ199" s="140"/>
      <c r="AK199" s="140"/>
      <c r="AL199" s="176"/>
      <c r="AM199" s="139">
        <f t="shared" ref="AM199:AQ205" si="186">IF($Q199="C", (G199*$N199),0)</f>
        <v>0</v>
      </c>
      <c r="AN199" s="140">
        <f t="shared" si="186"/>
        <v>0</v>
      </c>
      <c r="AO199" s="140">
        <f t="shared" si="186"/>
        <v>0</v>
      </c>
      <c r="AP199" s="140">
        <f t="shared" si="186"/>
        <v>0</v>
      </c>
      <c r="AQ199" s="140">
        <f t="shared" si="186"/>
        <v>0</v>
      </c>
      <c r="AR199" s="140">
        <f t="shared" ref="AR199:AR205" si="187">IF($Q199="C", (F199*$N199),0)</f>
        <v>0</v>
      </c>
      <c r="AS199" s="252"/>
    </row>
    <row r="200" spans="1:45" s="20" customFormat="1">
      <c r="A200" s="46" t="s">
        <v>294</v>
      </c>
      <c r="B200" s="20" t="s">
        <v>58</v>
      </c>
      <c r="C200" s="175">
        <v>0.5</v>
      </c>
      <c r="D200" s="100" t="s">
        <v>59</v>
      </c>
      <c r="E200" s="176">
        <v>105</v>
      </c>
      <c r="F200" s="177">
        <f t="shared" si="178"/>
        <v>52.5</v>
      </c>
      <c r="G200" s="178">
        <v>0</v>
      </c>
      <c r="H200" s="178">
        <v>24</v>
      </c>
      <c r="I200" s="178">
        <v>0</v>
      </c>
      <c r="J200" s="178">
        <v>0</v>
      </c>
      <c r="K200" s="179">
        <v>0</v>
      </c>
      <c r="L200" s="100" t="s">
        <v>8</v>
      </c>
      <c r="M200" s="176">
        <f t="shared" si="179"/>
        <v>2274.4800000000005</v>
      </c>
      <c r="N200" s="96">
        <v>1</v>
      </c>
      <c r="O200" s="176">
        <f t="shared" si="180"/>
        <v>2326.9800000000005</v>
      </c>
      <c r="P200" s="180"/>
      <c r="Q200" s="52" t="s">
        <v>46</v>
      </c>
      <c r="R200" s="75" t="s">
        <v>77</v>
      </c>
      <c r="S200" s="145" t="str">
        <f t="shared" si="181"/>
        <v>BPD2010</v>
      </c>
      <c r="T200" s="145" t="str">
        <f t="shared" si="182"/>
        <v>B1.2.1.2.12010</v>
      </c>
      <c r="U200" s="145" t="s">
        <v>191</v>
      </c>
      <c r="V200" s="145" t="str">
        <f t="shared" si="183"/>
        <v>Prototype D-Tube</v>
      </c>
      <c r="AB200" s="33">
        <v>2010</v>
      </c>
      <c r="AC200" s="140">
        <f t="shared" si="184"/>
        <v>0</v>
      </c>
      <c r="AD200" s="140">
        <f t="shared" si="184"/>
        <v>24</v>
      </c>
      <c r="AE200" s="140">
        <f t="shared" si="184"/>
        <v>0</v>
      </c>
      <c r="AF200" s="140">
        <f t="shared" si="184"/>
        <v>0</v>
      </c>
      <c r="AG200" s="140">
        <f t="shared" si="184"/>
        <v>0</v>
      </c>
      <c r="AH200" s="251">
        <f t="shared" si="185"/>
        <v>52.5</v>
      </c>
      <c r="AI200" s="252"/>
      <c r="AJ200" s="140"/>
      <c r="AK200" s="140"/>
      <c r="AL200" s="176"/>
      <c r="AM200" s="139">
        <f t="shared" si="186"/>
        <v>0</v>
      </c>
      <c r="AN200" s="140">
        <f t="shared" si="186"/>
        <v>0</v>
      </c>
      <c r="AO200" s="140">
        <f t="shared" si="186"/>
        <v>0</v>
      </c>
      <c r="AP200" s="140">
        <f t="shared" si="186"/>
        <v>0</v>
      </c>
      <c r="AQ200" s="140">
        <f t="shared" si="186"/>
        <v>0</v>
      </c>
      <c r="AR200" s="140">
        <f t="shared" si="187"/>
        <v>0</v>
      </c>
      <c r="AS200" s="252"/>
    </row>
    <row r="201" spans="1:45" s="20" customFormat="1">
      <c r="A201" s="46" t="s">
        <v>295</v>
      </c>
      <c r="B201" s="20" t="s">
        <v>58</v>
      </c>
      <c r="C201" s="175">
        <v>0.5</v>
      </c>
      <c r="D201" s="100" t="s">
        <v>59</v>
      </c>
      <c r="E201" s="176">
        <v>105</v>
      </c>
      <c r="F201" s="177">
        <f t="shared" si="178"/>
        <v>52.5</v>
      </c>
      <c r="G201" s="178">
        <v>0</v>
      </c>
      <c r="H201" s="178">
        <v>24</v>
      </c>
      <c r="I201" s="178">
        <v>0</v>
      </c>
      <c r="J201" s="178">
        <v>0</v>
      </c>
      <c r="K201" s="179">
        <v>0</v>
      </c>
      <c r="L201" s="100" t="s">
        <v>8</v>
      </c>
      <c r="M201" s="176">
        <f t="shared" si="179"/>
        <v>2274.4800000000005</v>
      </c>
      <c r="N201" s="96">
        <v>1</v>
      </c>
      <c r="O201" s="176">
        <f t="shared" si="180"/>
        <v>2326.9800000000005</v>
      </c>
      <c r="P201" s="180"/>
      <c r="Q201" s="52" t="s">
        <v>46</v>
      </c>
      <c r="R201" s="75" t="s">
        <v>77</v>
      </c>
      <c r="S201" s="145" t="str">
        <f t="shared" si="181"/>
        <v>BPD2010</v>
      </c>
      <c r="T201" s="145" t="str">
        <f t="shared" si="182"/>
        <v>B1.2.1.2.12010</v>
      </c>
      <c r="U201" s="145" t="s">
        <v>191</v>
      </c>
      <c r="V201" s="145" t="str">
        <f t="shared" si="183"/>
        <v>Prototype D-Tube</v>
      </c>
      <c r="AB201" s="33">
        <v>2010</v>
      </c>
      <c r="AC201" s="140">
        <f t="shared" si="184"/>
        <v>0</v>
      </c>
      <c r="AD201" s="140">
        <f t="shared" si="184"/>
        <v>24</v>
      </c>
      <c r="AE201" s="140">
        <f t="shared" si="184"/>
        <v>0</v>
      </c>
      <c r="AF201" s="140">
        <f t="shared" si="184"/>
        <v>0</v>
      </c>
      <c r="AG201" s="140">
        <f t="shared" si="184"/>
        <v>0</v>
      </c>
      <c r="AH201" s="251">
        <f t="shared" si="185"/>
        <v>52.5</v>
      </c>
      <c r="AI201" s="252"/>
      <c r="AJ201" s="140"/>
      <c r="AK201" s="140"/>
      <c r="AL201" s="176"/>
      <c r="AM201" s="139">
        <f t="shared" si="186"/>
        <v>0</v>
      </c>
      <c r="AN201" s="140">
        <f t="shared" si="186"/>
        <v>0</v>
      </c>
      <c r="AO201" s="140">
        <f t="shared" si="186"/>
        <v>0</v>
      </c>
      <c r="AP201" s="140">
        <f t="shared" si="186"/>
        <v>0</v>
      </c>
      <c r="AQ201" s="140">
        <f t="shared" si="186"/>
        <v>0</v>
      </c>
      <c r="AR201" s="140">
        <f t="shared" si="187"/>
        <v>0</v>
      </c>
      <c r="AS201" s="252"/>
    </row>
    <row r="202" spans="1:45" s="20" customFormat="1">
      <c r="A202" s="46" t="s">
        <v>296</v>
      </c>
      <c r="B202" s="20" t="s">
        <v>58</v>
      </c>
      <c r="C202" s="175">
        <v>0.5</v>
      </c>
      <c r="D202" s="100" t="s">
        <v>59</v>
      </c>
      <c r="E202" s="176">
        <v>105</v>
      </c>
      <c r="F202" s="177">
        <f t="shared" si="178"/>
        <v>52.5</v>
      </c>
      <c r="G202" s="178">
        <v>0</v>
      </c>
      <c r="H202" s="178">
        <v>8</v>
      </c>
      <c r="I202" s="178">
        <v>0</v>
      </c>
      <c r="J202" s="178">
        <v>2</v>
      </c>
      <c r="K202" s="179">
        <v>0</v>
      </c>
      <c r="L202" s="100" t="s">
        <v>8</v>
      </c>
      <c r="M202" s="176">
        <f t="shared" si="179"/>
        <v>2002.3200000000002</v>
      </c>
      <c r="N202" s="96">
        <v>2</v>
      </c>
      <c r="O202" s="176">
        <f t="shared" si="180"/>
        <v>2107.3200000000002</v>
      </c>
      <c r="P202" s="180"/>
      <c r="Q202" s="52" t="s">
        <v>46</v>
      </c>
      <c r="R202" s="75" t="s">
        <v>77</v>
      </c>
      <c r="S202" s="145" t="str">
        <f t="shared" si="181"/>
        <v>BPD2010</v>
      </c>
      <c r="T202" s="145" t="str">
        <f t="shared" si="182"/>
        <v>B1.2.1.2.12010</v>
      </c>
      <c r="U202" s="145" t="s">
        <v>191</v>
      </c>
      <c r="V202" s="145" t="str">
        <f t="shared" si="183"/>
        <v>Prototype D-Tube</v>
      </c>
      <c r="AB202" s="33">
        <v>2010</v>
      </c>
      <c r="AC202" s="140">
        <f t="shared" si="184"/>
        <v>0</v>
      </c>
      <c r="AD202" s="140">
        <f t="shared" si="184"/>
        <v>16</v>
      </c>
      <c r="AE202" s="140">
        <f t="shared" si="184"/>
        <v>0</v>
      </c>
      <c r="AF202" s="140">
        <f t="shared" si="184"/>
        <v>4</v>
      </c>
      <c r="AG202" s="140">
        <f t="shared" si="184"/>
        <v>0</v>
      </c>
      <c r="AH202" s="251">
        <f t="shared" si="185"/>
        <v>105</v>
      </c>
      <c r="AI202" s="252"/>
      <c r="AJ202" s="140"/>
      <c r="AK202" s="140"/>
      <c r="AL202" s="176"/>
      <c r="AM202" s="139">
        <f t="shared" si="186"/>
        <v>0</v>
      </c>
      <c r="AN202" s="140">
        <f t="shared" si="186"/>
        <v>0</v>
      </c>
      <c r="AO202" s="140">
        <f t="shared" si="186"/>
        <v>0</v>
      </c>
      <c r="AP202" s="140">
        <f t="shared" si="186"/>
        <v>0</v>
      </c>
      <c r="AQ202" s="140">
        <f t="shared" si="186"/>
        <v>0</v>
      </c>
      <c r="AR202" s="140">
        <f t="shared" si="187"/>
        <v>0</v>
      </c>
      <c r="AS202" s="252"/>
    </row>
    <row r="203" spans="1:45" s="20" customFormat="1">
      <c r="A203" s="46" t="s">
        <v>297</v>
      </c>
      <c r="B203" s="20" t="s">
        <v>58</v>
      </c>
      <c r="C203" s="175">
        <v>0.5</v>
      </c>
      <c r="D203" s="100" t="s">
        <v>59</v>
      </c>
      <c r="E203" s="176">
        <v>105</v>
      </c>
      <c r="F203" s="177">
        <f t="shared" si="178"/>
        <v>52.5</v>
      </c>
      <c r="G203" s="178">
        <v>0</v>
      </c>
      <c r="H203" s="178">
        <v>8</v>
      </c>
      <c r="I203" s="178">
        <v>0</v>
      </c>
      <c r="J203" s="178">
        <v>2</v>
      </c>
      <c r="K203" s="179">
        <v>0</v>
      </c>
      <c r="L203" s="100" t="s">
        <v>8</v>
      </c>
      <c r="M203" s="176">
        <f t="shared" si="179"/>
        <v>2002.3200000000002</v>
      </c>
      <c r="N203" s="96">
        <v>2</v>
      </c>
      <c r="O203" s="176">
        <f t="shared" si="180"/>
        <v>2107.3200000000002</v>
      </c>
      <c r="P203" s="180"/>
      <c r="Q203" s="52" t="s">
        <v>47</v>
      </c>
      <c r="R203" s="75" t="s">
        <v>77</v>
      </c>
      <c r="S203" s="145" t="str">
        <f t="shared" si="181"/>
        <v>CPD2013</v>
      </c>
      <c r="T203" s="145" t="str">
        <f t="shared" si="182"/>
        <v>C1.2.1.2.12013</v>
      </c>
      <c r="U203" s="145" t="s">
        <v>191</v>
      </c>
      <c r="V203" s="145" t="str">
        <f t="shared" si="183"/>
        <v>Prototype D-Tube</v>
      </c>
      <c r="AB203" s="33">
        <v>2013</v>
      </c>
      <c r="AC203" s="140">
        <f t="shared" si="184"/>
        <v>0</v>
      </c>
      <c r="AD203" s="140">
        <f t="shared" si="184"/>
        <v>0</v>
      </c>
      <c r="AE203" s="140">
        <f t="shared" si="184"/>
        <v>0</v>
      </c>
      <c r="AF203" s="140">
        <f t="shared" si="184"/>
        <v>0</v>
      </c>
      <c r="AG203" s="140">
        <f t="shared" si="184"/>
        <v>0</v>
      </c>
      <c r="AH203" s="251">
        <f t="shared" si="185"/>
        <v>0</v>
      </c>
      <c r="AI203" s="252"/>
      <c r="AJ203" s="140"/>
      <c r="AK203" s="140"/>
      <c r="AL203" s="176"/>
      <c r="AM203" s="139">
        <f t="shared" si="186"/>
        <v>0</v>
      </c>
      <c r="AN203" s="140">
        <f t="shared" si="186"/>
        <v>16</v>
      </c>
      <c r="AO203" s="140">
        <f t="shared" si="186"/>
        <v>0</v>
      </c>
      <c r="AP203" s="140">
        <f t="shared" si="186"/>
        <v>4</v>
      </c>
      <c r="AQ203" s="140">
        <f t="shared" si="186"/>
        <v>0</v>
      </c>
      <c r="AR203" s="140">
        <f t="shared" si="187"/>
        <v>105</v>
      </c>
      <c r="AS203" s="252"/>
    </row>
    <row r="204" spans="1:45" s="20" customFormat="1">
      <c r="A204" s="46" t="s">
        <v>298</v>
      </c>
      <c r="B204" s="20" t="s">
        <v>58</v>
      </c>
      <c r="C204" s="175">
        <v>0.5</v>
      </c>
      <c r="D204" s="100" t="s">
        <v>59</v>
      </c>
      <c r="E204" s="176">
        <v>105</v>
      </c>
      <c r="F204" s="177">
        <f t="shared" si="178"/>
        <v>52.5</v>
      </c>
      <c r="G204" s="178">
        <v>0</v>
      </c>
      <c r="H204" s="178">
        <v>16</v>
      </c>
      <c r="I204" s="178">
        <v>0</v>
      </c>
      <c r="J204" s="178">
        <v>4</v>
      </c>
      <c r="K204" s="179">
        <v>0</v>
      </c>
      <c r="L204" s="100" t="s">
        <v>8</v>
      </c>
      <c r="M204" s="176">
        <f t="shared" si="179"/>
        <v>8009.2800000000007</v>
      </c>
      <c r="N204" s="96">
        <v>4</v>
      </c>
      <c r="O204" s="176">
        <f t="shared" si="180"/>
        <v>8219.2800000000007</v>
      </c>
      <c r="P204" s="180"/>
      <c r="Q204" s="52" t="s">
        <v>46</v>
      </c>
      <c r="R204" s="75" t="s">
        <v>77</v>
      </c>
      <c r="S204" s="145" t="str">
        <f t="shared" si="181"/>
        <v>BPD2013</v>
      </c>
      <c r="T204" s="145" t="str">
        <f t="shared" si="182"/>
        <v>B1.2.1.2.32013</v>
      </c>
      <c r="U204" s="145" t="s">
        <v>195</v>
      </c>
      <c r="V204" s="145" t="str">
        <f t="shared" si="183"/>
        <v>Production D-Tube and Kinematic Mounts</v>
      </c>
      <c r="AB204" s="33">
        <v>2013</v>
      </c>
      <c r="AC204" s="140">
        <f t="shared" si="184"/>
        <v>0</v>
      </c>
      <c r="AD204" s="140">
        <f t="shared" si="184"/>
        <v>64</v>
      </c>
      <c r="AE204" s="140">
        <f t="shared" si="184"/>
        <v>0</v>
      </c>
      <c r="AF204" s="140">
        <f t="shared" si="184"/>
        <v>16</v>
      </c>
      <c r="AG204" s="140">
        <f t="shared" si="184"/>
        <v>0</v>
      </c>
      <c r="AH204" s="251">
        <f t="shared" si="185"/>
        <v>210</v>
      </c>
      <c r="AI204" s="252"/>
      <c r="AJ204" s="140"/>
      <c r="AK204" s="140"/>
      <c r="AL204" s="176"/>
      <c r="AM204" s="139">
        <f t="shared" si="186"/>
        <v>0</v>
      </c>
      <c r="AN204" s="140">
        <f t="shared" si="186"/>
        <v>0</v>
      </c>
      <c r="AO204" s="140">
        <f t="shared" si="186"/>
        <v>0</v>
      </c>
      <c r="AP204" s="140">
        <f t="shared" si="186"/>
        <v>0</v>
      </c>
      <c r="AQ204" s="140">
        <f t="shared" si="186"/>
        <v>0</v>
      </c>
      <c r="AR204" s="140">
        <f t="shared" si="187"/>
        <v>0</v>
      </c>
      <c r="AS204" s="252"/>
    </row>
    <row r="205" spans="1:45" s="20" customFormat="1">
      <c r="A205" s="46" t="s">
        <v>299</v>
      </c>
      <c r="B205" s="20" t="s">
        <v>58</v>
      </c>
      <c r="C205" s="175">
        <v>0.5</v>
      </c>
      <c r="D205" s="100" t="s">
        <v>59</v>
      </c>
      <c r="E205" s="176">
        <v>105</v>
      </c>
      <c r="F205" s="177">
        <f t="shared" si="178"/>
        <v>52.5</v>
      </c>
      <c r="G205" s="178">
        <v>0</v>
      </c>
      <c r="H205" s="178">
        <v>20</v>
      </c>
      <c r="I205" s="178">
        <v>0</v>
      </c>
      <c r="J205" s="178">
        <v>8</v>
      </c>
      <c r="K205" s="179">
        <v>0</v>
      </c>
      <c r="L205" s="100" t="s">
        <v>8</v>
      </c>
      <c r="M205" s="176">
        <f t="shared" si="179"/>
        <v>11469.6</v>
      </c>
      <c r="N205" s="96">
        <v>4</v>
      </c>
      <c r="O205" s="176">
        <f t="shared" si="180"/>
        <v>11679.6</v>
      </c>
      <c r="P205" s="180"/>
      <c r="Q205" s="52" t="s">
        <v>47</v>
      </c>
      <c r="R205" s="75" t="s">
        <v>77</v>
      </c>
      <c r="S205" s="145" t="str">
        <f t="shared" si="181"/>
        <v>CPD2013</v>
      </c>
      <c r="T205" s="145" t="str">
        <f t="shared" si="182"/>
        <v>C1.2.1.2.32013</v>
      </c>
      <c r="U205" s="145" t="s">
        <v>195</v>
      </c>
      <c r="V205" s="145" t="str">
        <f t="shared" si="183"/>
        <v>Production D-Tube and Kinematic Mounts</v>
      </c>
      <c r="AB205" s="33">
        <v>2013</v>
      </c>
      <c r="AC205" s="140">
        <f t="shared" si="184"/>
        <v>0</v>
      </c>
      <c r="AD205" s="140">
        <f t="shared" si="184"/>
        <v>0</v>
      </c>
      <c r="AE205" s="140">
        <f t="shared" si="184"/>
        <v>0</v>
      </c>
      <c r="AF205" s="140">
        <f t="shared" si="184"/>
        <v>0</v>
      </c>
      <c r="AG205" s="140">
        <f t="shared" si="184"/>
        <v>0</v>
      </c>
      <c r="AH205" s="251">
        <f t="shared" si="185"/>
        <v>0</v>
      </c>
      <c r="AI205" s="252"/>
      <c r="AJ205" s="140"/>
      <c r="AK205" s="140"/>
      <c r="AL205" s="176"/>
      <c r="AM205" s="139">
        <f t="shared" si="186"/>
        <v>0</v>
      </c>
      <c r="AN205" s="140">
        <f t="shared" si="186"/>
        <v>80</v>
      </c>
      <c r="AO205" s="140">
        <f t="shared" si="186"/>
        <v>0</v>
      </c>
      <c r="AP205" s="140">
        <f t="shared" si="186"/>
        <v>32</v>
      </c>
      <c r="AQ205" s="140">
        <f t="shared" si="186"/>
        <v>0</v>
      </c>
      <c r="AR205" s="140">
        <f t="shared" si="187"/>
        <v>210</v>
      </c>
      <c r="AS205" s="252"/>
    </row>
    <row r="206" spans="1:45" s="50" customFormat="1">
      <c r="A206" s="47" t="s">
        <v>301</v>
      </c>
      <c r="C206" s="202"/>
      <c r="D206" s="115"/>
      <c r="E206" s="61"/>
      <c r="F206" s="62"/>
      <c r="G206" s="63"/>
      <c r="H206" s="63"/>
      <c r="I206" s="63"/>
      <c r="J206" s="63"/>
      <c r="K206" s="64"/>
      <c r="L206" s="234" t="s">
        <v>66</v>
      </c>
      <c r="M206" s="188">
        <f>SUMIF(Q199:Q205,"B",M199:M205)</f>
        <v>20392.560000000005</v>
      </c>
      <c r="N206" s="69" t="s">
        <v>66</v>
      </c>
      <c r="O206" s="61"/>
      <c r="P206" s="203"/>
      <c r="Q206" s="52"/>
      <c r="R206" s="75"/>
      <c r="S206" s="145"/>
      <c r="T206" s="145"/>
      <c r="U206" s="145"/>
      <c r="V206" s="145"/>
      <c r="W206" s="20"/>
      <c r="X206" s="20"/>
      <c r="Y206" s="20"/>
      <c r="Z206" s="20"/>
      <c r="AA206" s="20"/>
      <c r="AB206" s="55"/>
      <c r="AC206" s="56"/>
      <c r="AD206" s="56"/>
      <c r="AE206" s="57"/>
      <c r="AF206" s="56"/>
      <c r="AG206" s="56"/>
      <c r="AH206" s="39"/>
      <c r="AI206" s="260"/>
      <c r="AJ206" s="56"/>
      <c r="AK206" s="56"/>
      <c r="AL206" s="176"/>
      <c r="AM206" s="58"/>
      <c r="AN206" s="56"/>
      <c r="AO206" s="56"/>
      <c r="AP206" s="56"/>
      <c r="AQ206" s="56"/>
      <c r="AR206" s="56"/>
      <c r="AS206" s="260"/>
    </row>
    <row r="207" spans="1:45" s="20" customFormat="1">
      <c r="A207" s="46" t="s">
        <v>394</v>
      </c>
      <c r="B207" s="20" t="s">
        <v>33</v>
      </c>
      <c r="C207" s="175">
        <v>0</v>
      </c>
      <c r="D207" s="100" t="s">
        <v>9</v>
      </c>
      <c r="E207" s="176">
        <v>0</v>
      </c>
      <c r="F207" s="177">
        <f t="shared" ref="F207:F213" si="188">E207*C207</f>
        <v>0</v>
      </c>
      <c r="G207" s="178">
        <v>0</v>
      </c>
      <c r="H207" s="178">
        <v>0</v>
      </c>
      <c r="I207" s="178">
        <v>0</v>
      </c>
      <c r="J207" s="178">
        <v>40</v>
      </c>
      <c r="K207" s="179">
        <v>0</v>
      </c>
      <c r="L207" s="100" t="s">
        <v>8</v>
      </c>
      <c r="M207" s="176">
        <f t="shared" ref="M207:M213" si="189">IF(R207="PD",((Shop*G207)+(M_Tech*H207)+(CMM*I207)+(ENG*J207)+(DES*K207))*N207,((Shop_RD*G207)+(MTECH_RD*H207)+(CMM_RD*I207)+(ENG_RD*J207)+(DES_RD*K207))*N207)</f>
        <v>6000</v>
      </c>
      <c r="N207" s="96">
        <v>1</v>
      </c>
      <c r="O207" s="176">
        <f t="shared" ref="O207:O213" si="190">M207+(F207*N207)</f>
        <v>6000</v>
      </c>
      <c r="P207" s="180"/>
      <c r="Q207" s="52" t="s">
        <v>46</v>
      </c>
      <c r="R207" s="75" t="s">
        <v>221</v>
      </c>
      <c r="S207" s="145" t="str">
        <f t="shared" ref="S207:S213" si="191">CONCATENATE(Q207,R207,AB207)</f>
        <v>BPT2010</v>
      </c>
      <c r="T207" s="145" t="str">
        <f t="shared" ref="T207:T213" si="192">CONCATENATE(Q207,U207,AB207)</f>
        <v>B1.2.1.2.12010</v>
      </c>
      <c r="U207" s="145" t="s">
        <v>191</v>
      </c>
      <c r="V207" s="145" t="str">
        <f t="shared" ref="V207:V213" si="193">LOOKUP(U207,$B$383:$B$420,$A$383:$A$420)</f>
        <v>Prototype D-Tube</v>
      </c>
      <c r="AB207" s="433">
        <v>2010</v>
      </c>
      <c r="AC207" s="140">
        <f t="shared" ref="AC207:AG213" si="194">IF($Q207="B", (G207*$N207),0)</f>
        <v>0</v>
      </c>
      <c r="AD207" s="140">
        <f t="shared" si="194"/>
        <v>0</v>
      </c>
      <c r="AE207" s="140">
        <f t="shared" si="194"/>
        <v>0</v>
      </c>
      <c r="AF207" s="140">
        <f t="shared" si="194"/>
        <v>40</v>
      </c>
      <c r="AG207" s="140">
        <f t="shared" si="194"/>
        <v>0</v>
      </c>
      <c r="AH207" s="251">
        <f t="shared" ref="AH207:AH213" si="195">IF($Q207="B", (F207*$N207),0)</f>
        <v>0</v>
      </c>
      <c r="AI207" s="252"/>
      <c r="AJ207" s="140"/>
      <c r="AK207" s="140"/>
      <c r="AL207" s="176"/>
      <c r="AM207" s="139">
        <f t="shared" ref="AM207:AQ213" si="196">IF($Q207="C", (G207*$N207),0)</f>
        <v>0</v>
      </c>
      <c r="AN207" s="140">
        <f t="shared" si="196"/>
        <v>0</v>
      </c>
      <c r="AO207" s="140">
        <f t="shared" si="196"/>
        <v>0</v>
      </c>
      <c r="AP207" s="140">
        <f t="shared" si="196"/>
        <v>0</v>
      </c>
      <c r="AQ207" s="140">
        <f t="shared" si="196"/>
        <v>0</v>
      </c>
      <c r="AR207" s="140">
        <f t="shared" ref="AR207:AR213" si="197">IF($Q207="C", (F207*$N207),0)</f>
        <v>0</v>
      </c>
      <c r="AS207" s="252"/>
    </row>
    <row r="208" spans="1:45" s="20" customFormat="1">
      <c r="A208" s="46" t="s">
        <v>302</v>
      </c>
      <c r="B208" s="20" t="s">
        <v>33</v>
      </c>
      <c r="C208" s="175">
        <v>0</v>
      </c>
      <c r="D208" s="100" t="s">
        <v>9</v>
      </c>
      <c r="E208" s="176">
        <v>0</v>
      </c>
      <c r="F208" s="177">
        <f t="shared" si="188"/>
        <v>0</v>
      </c>
      <c r="G208" s="178">
        <v>0</v>
      </c>
      <c r="H208" s="178">
        <v>16</v>
      </c>
      <c r="I208" s="178">
        <v>4</v>
      </c>
      <c r="J208" s="178">
        <v>0</v>
      </c>
      <c r="K208" s="179">
        <v>0</v>
      </c>
      <c r="L208" s="100" t="s">
        <v>8</v>
      </c>
      <c r="M208" s="176">
        <f t="shared" si="189"/>
        <v>2376</v>
      </c>
      <c r="N208" s="96">
        <v>1</v>
      </c>
      <c r="O208" s="176">
        <f t="shared" si="190"/>
        <v>2376</v>
      </c>
      <c r="P208" s="180"/>
      <c r="Q208" s="52" t="s">
        <v>46</v>
      </c>
      <c r="R208" s="75" t="s">
        <v>221</v>
      </c>
      <c r="S208" s="145" t="str">
        <f t="shared" si="191"/>
        <v>BPT2010</v>
      </c>
      <c r="T208" s="145" t="str">
        <f t="shared" si="192"/>
        <v>B1.2.1.2.12010</v>
      </c>
      <c r="U208" s="145" t="s">
        <v>191</v>
      </c>
      <c r="V208" s="145" t="str">
        <f t="shared" si="193"/>
        <v>Prototype D-Tube</v>
      </c>
      <c r="AB208" s="33">
        <v>2010</v>
      </c>
      <c r="AC208" s="140">
        <f t="shared" si="194"/>
        <v>0</v>
      </c>
      <c r="AD208" s="140">
        <f t="shared" si="194"/>
        <v>16</v>
      </c>
      <c r="AE208" s="140">
        <f t="shared" si="194"/>
        <v>4</v>
      </c>
      <c r="AF208" s="140">
        <f t="shared" si="194"/>
        <v>0</v>
      </c>
      <c r="AG208" s="140">
        <f t="shared" si="194"/>
        <v>0</v>
      </c>
      <c r="AH208" s="251">
        <f t="shared" si="195"/>
        <v>0</v>
      </c>
      <c r="AI208" s="252"/>
      <c r="AJ208" s="140"/>
      <c r="AK208" s="140"/>
      <c r="AL208" s="176"/>
      <c r="AM208" s="139">
        <f t="shared" si="196"/>
        <v>0</v>
      </c>
      <c r="AN208" s="140">
        <f t="shared" si="196"/>
        <v>0</v>
      </c>
      <c r="AO208" s="140">
        <f t="shared" si="196"/>
        <v>0</v>
      </c>
      <c r="AP208" s="140">
        <f t="shared" si="196"/>
        <v>0</v>
      </c>
      <c r="AQ208" s="140">
        <f t="shared" si="196"/>
        <v>0</v>
      </c>
      <c r="AR208" s="140">
        <f t="shared" si="197"/>
        <v>0</v>
      </c>
      <c r="AS208" s="252"/>
    </row>
    <row r="209" spans="1:45" s="20" customFormat="1">
      <c r="A209" s="46" t="s">
        <v>303</v>
      </c>
      <c r="B209" s="20" t="s">
        <v>33</v>
      </c>
      <c r="C209" s="175">
        <v>0</v>
      </c>
      <c r="D209" s="100" t="s">
        <v>9</v>
      </c>
      <c r="E209" s="176">
        <v>0</v>
      </c>
      <c r="F209" s="177">
        <f t="shared" si="188"/>
        <v>0</v>
      </c>
      <c r="G209" s="178">
        <v>0</v>
      </c>
      <c r="H209" s="178">
        <v>24</v>
      </c>
      <c r="I209" s="178">
        <v>0</v>
      </c>
      <c r="J209" s="178">
        <v>0</v>
      </c>
      <c r="K209" s="179">
        <v>0</v>
      </c>
      <c r="L209" s="100" t="s">
        <v>8</v>
      </c>
      <c r="M209" s="176">
        <f t="shared" si="189"/>
        <v>5616</v>
      </c>
      <c r="N209" s="96">
        <v>2</v>
      </c>
      <c r="O209" s="176">
        <f t="shared" si="190"/>
        <v>5616</v>
      </c>
      <c r="P209" s="180"/>
      <c r="Q209" s="52" t="s">
        <v>46</v>
      </c>
      <c r="R209" s="75" t="s">
        <v>221</v>
      </c>
      <c r="S209" s="145" t="str">
        <f t="shared" si="191"/>
        <v>BPT2010</v>
      </c>
      <c r="T209" s="145" t="str">
        <f t="shared" si="192"/>
        <v>B1.2.1.2.12010</v>
      </c>
      <c r="U209" s="145" t="s">
        <v>191</v>
      </c>
      <c r="V209" s="145" t="str">
        <f t="shared" si="193"/>
        <v>Prototype D-Tube</v>
      </c>
      <c r="AB209" s="33">
        <v>2010</v>
      </c>
      <c r="AC209" s="140">
        <f t="shared" si="194"/>
        <v>0</v>
      </c>
      <c r="AD209" s="140">
        <f t="shared" si="194"/>
        <v>48</v>
      </c>
      <c r="AE209" s="140">
        <f t="shared" si="194"/>
        <v>0</v>
      </c>
      <c r="AF209" s="140">
        <f t="shared" si="194"/>
        <v>0</v>
      </c>
      <c r="AG209" s="140">
        <f t="shared" si="194"/>
        <v>0</v>
      </c>
      <c r="AH209" s="251">
        <f t="shared" si="195"/>
        <v>0</v>
      </c>
      <c r="AI209" s="252"/>
      <c r="AJ209" s="140"/>
      <c r="AK209" s="140"/>
      <c r="AL209" s="176"/>
      <c r="AM209" s="139">
        <f t="shared" si="196"/>
        <v>0</v>
      </c>
      <c r="AN209" s="140">
        <f t="shared" si="196"/>
        <v>0</v>
      </c>
      <c r="AO209" s="140">
        <f t="shared" si="196"/>
        <v>0</v>
      </c>
      <c r="AP209" s="140">
        <f t="shared" si="196"/>
        <v>0</v>
      </c>
      <c r="AQ209" s="140">
        <f t="shared" si="196"/>
        <v>0</v>
      </c>
      <c r="AR209" s="140">
        <f t="shared" si="197"/>
        <v>0</v>
      </c>
      <c r="AS209" s="252"/>
    </row>
    <row r="210" spans="1:45" s="20" customFormat="1">
      <c r="A210" s="46" t="s">
        <v>304</v>
      </c>
      <c r="B210" s="20" t="s">
        <v>33</v>
      </c>
      <c r="C210" s="175">
        <v>0</v>
      </c>
      <c r="D210" s="100" t="s">
        <v>9</v>
      </c>
      <c r="E210" s="176">
        <v>0</v>
      </c>
      <c r="F210" s="177">
        <f t="shared" si="188"/>
        <v>0</v>
      </c>
      <c r="G210" s="178">
        <v>0</v>
      </c>
      <c r="H210" s="178">
        <v>16</v>
      </c>
      <c r="I210" s="178">
        <v>0</v>
      </c>
      <c r="J210" s="178">
        <v>0</v>
      </c>
      <c r="K210" s="179">
        <v>0</v>
      </c>
      <c r="L210" s="100" t="s">
        <v>8</v>
      </c>
      <c r="M210" s="176">
        <f t="shared" si="189"/>
        <v>1872</v>
      </c>
      <c r="N210" s="96">
        <v>1</v>
      </c>
      <c r="O210" s="176">
        <f t="shared" si="190"/>
        <v>1872</v>
      </c>
      <c r="P210" s="180"/>
      <c r="Q210" s="52" t="s">
        <v>46</v>
      </c>
      <c r="R210" s="75" t="s">
        <v>221</v>
      </c>
      <c r="S210" s="145" t="str">
        <f t="shared" si="191"/>
        <v>BPT2010</v>
      </c>
      <c r="T210" s="145" t="str">
        <f t="shared" si="192"/>
        <v>B1.2.1.2.12010</v>
      </c>
      <c r="U210" s="145" t="s">
        <v>191</v>
      </c>
      <c r="V210" s="145" t="str">
        <f t="shared" si="193"/>
        <v>Prototype D-Tube</v>
      </c>
      <c r="AB210" s="33">
        <v>2010</v>
      </c>
      <c r="AC210" s="140">
        <f t="shared" si="194"/>
        <v>0</v>
      </c>
      <c r="AD210" s="140">
        <f t="shared" si="194"/>
        <v>16</v>
      </c>
      <c r="AE210" s="140">
        <f t="shared" si="194"/>
        <v>0</v>
      </c>
      <c r="AF210" s="140">
        <f t="shared" si="194"/>
        <v>0</v>
      </c>
      <c r="AG210" s="140">
        <f t="shared" si="194"/>
        <v>0</v>
      </c>
      <c r="AH210" s="251">
        <f t="shared" si="195"/>
        <v>0</v>
      </c>
      <c r="AI210" s="252"/>
      <c r="AJ210" s="140"/>
      <c r="AK210" s="140"/>
      <c r="AL210" s="176"/>
      <c r="AM210" s="139">
        <f t="shared" si="196"/>
        <v>0</v>
      </c>
      <c r="AN210" s="140">
        <f t="shared" si="196"/>
        <v>0</v>
      </c>
      <c r="AO210" s="140">
        <f t="shared" si="196"/>
        <v>0</v>
      </c>
      <c r="AP210" s="140">
        <f t="shared" si="196"/>
        <v>0</v>
      </c>
      <c r="AQ210" s="140">
        <f t="shared" si="196"/>
        <v>0</v>
      </c>
      <c r="AR210" s="140">
        <f t="shared" si="197"/>
        <v>0</v>
      </c>
      <c r="AS210" s="252"/>
    </row>
    <row r="211" spans="1:45" s="20" customFormat="1">
      <c r="A211" s="46" t="s">
        <v>305</v>
      </c>
      <c r="B211" s="20" t="s">
        <v>33</v>
      </c>
      <c r="C211" s="175">
        <v>0</v>
      </c>
      <c r="D211" s="100" t="s">
        <v>9</v>
      </c>
      <c r="E211" s="176">
        <v>0</v>
      </c>
      <c r="F211" s="177">
        <f t="shared" si="188"/>
        <v>0</v>
      </c>
      <c r="G211" s="178">
        <v>0</v>
      </c>
      <c r="H211" s="178">
        <v>24</v>
      </c>
      <c r="I211" s="178">
        <v>0</v>
      </c>
      <c r="J211" s="178">
        <v>4</v>
      </c>
      <c r="K211" s="179">
        <v>0</v>
      </c>
      <c r="L211" s="100" t="s">
        <v>8</v>
      </c>
      <c r="M211" s="176">
        <f t="shared" si="189"/>
        <v>5520.9600000000009</v>
      </c>
      <c r="N211" s="96">
        <v>2</v>
      </c>
      <c r="O211" s="176">
        <f t="shared" si="190"/>
        <v>5520.9600000000009</v>
      </c>
      <c r="P211" s="180"/>
      <c r="Q211" s="52" t="s">
        <v>47</v>
      </c>
      <c r="R211" s="75" t="s">
        <v>77</v>
      </c>
      <c r="S211" s="145" t="str">
        <f t="shared" si="191"/>
        <v>CPD2012</v>
      </c>
      <c r="T211" s="145" t="str">
        <f t="shared" si="192"/>
        <v>C1.2.1.2.12012</v>
      </c>
      <c r="U211" s="145" t="s">
        <v>191</v>
      </c>
      <c r="V211" s="145" t="str">
        <f t="shared" si="193"/>
        <v>Prototype D-Tube</v>
      </c>
      <c r="AB211" s="33">
        <v>2012</v>
      </c>
      <c r="AC211" s="140">
        <f t="shared" si="194"/>
        <v>0</v>
      </c>
      <c r="AD211" s="140">
        <f t="shared" si="194"/>
        <v>0</v>
      </c>
      <c r="AE211" s="140">
        <f t="shared" si="194"/>
        <v>0</v>
      </c>
      <c r="AF211" s="140">
        <f t="shared" si="194"/>
        <v>0</v>
      </c>
      <c r="AG211" s="140">
        <f t="shared" si="194"/>
        <v>0</v>
      </c>
      <c r="AH211" s="251">
        <f t="shared" si="195"/>
        <v>0</v>
      </c>
      <c r="AI211" s="252"/>
      <c r="AJ211" s="140"/>
      <c r="AK211" s="140"/>
      <c r="AL211" s="176"/>
      <c r="AM211" s="139">
        <f t="shared" si="196"/>
        <v>0</v>
      </c>
      <c r="AN211" s="140">
        <f t="shared" si="196"/>
        <v>48</v>
      </c>
      <c r="AO211" s="140">
        <f t="shared" si="196"/>
        <v>0</v>
      </c>
      <c r="AP211" s="140">
        <f t="shared" si="196"/>
        <v>8</v>
      </c>
      <c r="AQ211" s="140">
        <f t="shared" si="196"/>
        <v>0</v>
      </c>
      <c r="AR211" s="140">
        <f t="shared" si="197"/>
        <v>0</v>
      </c>
      <c r="AS211" s="252"/>
    </row>
    <row r="212" spans="1:45" s="20" customFormat="1">
      <c r="A212" s="46" t="s">
        <v>306</v>
      </c>
      <c r="B212" s="20" t="s">
        <v>33</v>
      </c>
      <c r="C212" s="175">
        <v>0</v>
      </c>
      <c r="D212" s="100" t="s">
        <v>9</v>
      </c>
      <c r="E212" s="176">
        <v>0</v>
      </c>
      <c r="F212" s="177">
        <f t="shared" si="188"/>
        <v>0</v>
      </c>
      <c r="G212" s="178">
        <v>0</v>
      </c>
      <c r="H212" s="178">
        <v>24</v>
      </c>
      <c r="I212" s="178">
        <v>0</v>
      </c>
      <c r="J212" s="178">
        <v>4</v>
      </c>
      <c r="K212" s="179">
        <v>0</v>
      </c>
      <c r="L212" s="100" t="s">
        <v>8</v>
      </c>
      <c r="M212" s="176">
        <f t="shared" si="189"/>
        <v>11041.920000000002</v>
      </c>
      <c r="N212" s="96">
        <v>4</v>
      </c>
      <c r="O212" s="176">
        <f t="shared" si="190"/>
        <v>11041.920000000002</v>
      </c>
      <c r="P212" s="180"/>
      <c r="Q212" s="52" t="s">
        <v>46</v>
      </c>
      <c r="R212" s="75" t="s">
        <v>77</v>
      </c>
      <c r="S212" s="145" t="str">
        <f t="shared" si="191"/>
        <v>BPD2013</v>
      </c>
      <c r="T212" s="145" t="str">
        <f t="shared" si="192"/>
        <v>B1.2.1.2.12013</v>
      </c>
      <c r="U212" s="145" t="s">
        <v>191</v>
      </c>
      <c r="V212" s="145" t="str">
        <f t="shared" si="193"/>
        <v>Prototype D-Tube</v>
      </c>
      <c r="AB212" s="33">
        <v>2013</v>
      </c>
      <c r="AC212" s="140">
        <f t="shared" si="194"/>
        <v>0</v>
      </c>
      <c r="AD212" s="140">
        <f t="shared" si="194"/>
        <v>96</v>
      </c>
      <c r="AE212" s="140">
        <f t="shared" si="194"/>
        <v>0</v>
      </c>
      <c r="AF212" s="140">
        <f t="shared" si="194"/>
        <v>16</v>
      </c>
      <c r="AG212" s="140">
        <f t="shared" si="194"/>
        <v>0</v>
      </c>
      <c r="AH212" s="251">
        <f t="shared" si="195"/>
        <v>0</v>
      </c>
      <c r="AI212" s="252"/>
      <c r="AJ212" s="140"/>
      <c r="AK212" s="140"/>
      <c r="AL212" s="176"/>
      <c r="AM212" s="139">
        <f t="shared" si="196"/>
        <v>0</v>
      </c>
      <c r="AN212" s="140">
        <f t="shared" si="196"/>
        <v>0</v>
      </c>
      <c r="AO212" s="140">
        <f t="shared" si="196"/>
        <v>0</v>
      </c>
      <c r="AP212" s="140">
        <f t="shared" si="196"/>
        <v>0</v>
      </c>
      <c r="AQ212" s="140">
        <f t="shared" si="196"/>
        <v>0</v>
      </c>
      <c r="AR212" s="140">
        <f t="shared" si="197"/>
        <v>0</v>
      </c>
      <c r="AS212" s="252"/>
    </row>
    <row r="213" spans="1:45" s="20" customFormat="1">
      <c r="A213" s="46" t="s">
        <v>307</v>
      </c>
      <c r="B213" s="20" t="s">
        <v>33</v>
      </c>
      <c r="C213" s="175">
        <v>0</v>
      </c>
      <c r="D213" s="100" t="s">
        <v>9</v>
      </c>
      <c r="E213" s="176">
        <v>0</v>
      </c>
      <c r="F213" s="177">
        <f t="shared" si="188"/>
        <v>0</v>
      </c>
      <c r="G213" s="178">
        <v>0</v>
      </c>
      <c r="H213" s="178">
        <v>24</v>
      </c>
      <c r="I213" s="178">
        <v>0</v>
      </c>
      <c r="J213" s="178">
        <v>4</v>
      </c>
      <c r="K213" s="179">
        <v>0</v>
      </c>
      <c r="L213" s="100" t="s">
        <v>8</v>
      </c>
      <c r="M213" s="176">
        <f t="shared" si="189"/>
        <v>11041.920000000002</v>
      </c>
      <c r="N213" s="96">
        <v>4</v>
      </c>
      <c r="O213" s="176">
        <f t="shared" si="190"/>
        <v>11041.920000000002</v>
      </c>
      <c r="P213" s="180"/>
      <c r="Q213" s="52" t="s">
        <v>47</v>
      </c>
      <c r="R213" s="75" t="s">
        <v>77</v>
      </c>
      <c r="S213" s="145" t="str">
        <f t="shared" si="191"/>
        <v>CPD2013</v>
      </c>
      <c r="T213" s="145" t="str">
        <f t="shared" si="192"/>
        <v>C1.2.1.2.12013</v>
      </c>
      <c r="U213" s="145" t="s">
        <v>191</v>
      </c>
      <c r="V213" s="145" t="str">
        <f t="shared" si="193"/>
        <v>Prototype D-Tube</v>
      </c>
      <c r="AB213" s="33">
        <v>2013</v>
      </c>
      <c r="AC213" s="140">
        <f t="shared" si="194"/>
        <v>0</v>
      </c>
      <c r="AD213" s="140">
        <f t="shared" si="194"/>
        <v>0</v>
      </c>
      <c r="AE213" s="140">
        <f t="shared" si="194"/>
        <v>0</v>
      </c>
      <c r="AF213" s="140">
        <f t="shared" si="194"/>
        <v>0</v>
      </c>
      <c r="AG213" s="140">
        <f t="shared" si="194"/>
        <v>0</v>
      </c>
      <c r="AH213" s="251">
        <f t="shared" si="195"/>
        <v>0</v>
      </c>
      <c r="AI213" s="252"/>
      <c r="AJ213" s="140"/>
      <c r="AK213" s="140"/>
      <c r="AL213" s="176"/>
      <c r="AM213" s="139">
        <f t="shared" si="196"/>
        <v>0</v>
      </c>
      <c r="AN213" s="140">
        <f t="shared" si="196"/>
        <v>96</v>
      </c>
      <c r="AO213" s="140">
        <f t="shared" si="196"/>
        <v>0</v>
      </c>
      <c r="AP213" s="140">
        <f t="shared" si="196"/>
        <v>16</v>
      </c>
      <c r="AQ213" s="140">
        <f t="shared" si="196"/>
        <v>0</v>
      </c>
      <c r="AR213" s="140">
        <f t="shared" si="197"/>
        <v>0</v>
      </c>
      <c r="AS213" s="252"/>
    </row>
    <row r="214" spans="1:45" s="20" customFormat="1">
      <c r="A214" s="47" t="s">
        <v>308</v>
      </c>
      <c r="C214" s="175"/>
      <c r="D214" s="100"/>
      <c r="E214" s="61"/>
      <c r="F214" s="62"/>
      <c r="G214" s="63"/>
      <c r="H214" s="63"/>
      <c r="I214" s="63"/>
      <c r="J214" s="63"/>
      <c r="K214" s="64"/>
      <c r="L214" s="234" t="s">
        <v>66</v>
      </c>
      <c r="M214" s="188">
        <f>SUMIF(Q207:Q213,"B",M207:M213)</f>
        <v>26905.920000000002</v>
      </c>
      <c r="N214" s="69" t="s">
        <v>66</v>
      </c>
      <c r="O214" s="176"/>
      <c r="P214" s="180"/>
      <c r="Q214" s="52"/>
      <c r="R214" s="75"/>
      <c r="S214" s="145"/>
      <c r="T214" s="145"/>
      <c r="U214" s="145"/>
      <c r="V214" s="145"/>
      <c r="AB214" s="33"/>
      <c r="AC214" s="140"/>
      <c r="AD214" s="140"/>
      <c r="AE214" s="143"/>
      <c r="AF214" s="140"/>
      <c r="AG214" s="140"/>
      <c r="AH214" s="251"/>
      <c r="AI214" s="252"/>
      <c r="AJ214" s="140"/>
      <c r="AK214" s="140"/>
      <c r="AL214" s="176"/>
      <c r="AM214" s="139"/>
      <c r="AN214" s="140"/>
      <c r="AO214" s="140"/>
      <c r="AP214" s="140"/>
      <c r="AQ214" s="140"/>
      <c r="AR214" s="140"/>
      <c r="AS214" s="252"/>
    </row>
    <row r="215" spans="1:45" s="20" customFormat="1">
      <c r="A215" s="46" t="s">
        <v>396</v>
      </c>
      <c r="B215" s="20" t="s">
        <v>33</v>
      </c>
      <c r="C215" s="175">
        <v>0</v>
      </c>
      <c r="D215" s="100" t="s">
        <v>9</v>
      </c>
      <c r="E215" s="176">
        <v>0</v>
      </c>
      <c r="F215" s="177">
        <f t="shared" ref="F215:F222" si="198">E215*C215</f>
        <v>0</v>
      </c>
      <c r="G215" s="178">
        <v>0</v>
      </c>
      <c r="H215" s="178">
        <v>0</v>
      </c>
      <c r="I215" s="178">
        <v>0</v>
      </c>
      <c r="J215" s="178">
        <v>120</v>
      </c>
      <c r="K215" s="179">
        <v>0</v>
      </c>
      <c r="L215" s="100" t="s">
        <v>8</v>
      </c>
      <c r="M215" s="176">
        <f t="shared" ref="M215:M222" si="199">IF(R215="PD",((Shop*G215)+(M_Tech*H215)+(CMM*I215)+(ENG*J215)+(DES*K215))*N215,((Shop_RD*G215)+(MTECH_RD*H215)+(CMM_RD*I215)+(ENG_RD*J215)+(DES_RD*K215))*N215)</f>
        <v>18000</v>
      </c>
      <c r="N215" s="96">
        <v>1</v>
      </c>
      <c r="O215" s="176">
        <f t="shared" ref="O215:O222" si="200">M215+(F215*N215)</f>
        <v>18000</v>
      </c>
      <c r="P215" s="180"/>
      <c r="Q215" s="52" t="s">
        <v>46</v>
      </c>
      <c r="R215" s="75" t="s">
        <v>221</v>
      </c>
      <c r="S215" s="145" t="str">
        <f t="shared" ref="S215:S222" si="201">CONCATENATE(Q215,R215,AB215)</f>
        <v>BPT2010</v>
      </c>
      <c r="T215" s="145" t="str">
        <f t="shared" ref="T215:T222" si="202">CONCATENATE(Q215,U215,AB215)</f>
        <v>B1.2.1.2.22010</v>
      </c>
      <c r="U215" s="145" t="s">
        <v>193</v>
      </c>
      <c r="V215" s="145" t="str">
        <f t="shared" ref="V215:V222" si="203">LOOKUP(U215,$B$383:$B$420,$A$383:$A$420)</f>
        <v>Prototype Kinematic Mounts</v>
      </c>
      <c r="AB215" s="433">
        <v>2010</v>
      </c>
      <c r="AC215" s="140">
        <f t="shared" ref="AC215:AG222" si="204">IF($Q215="B", (G215*$N215),0)</f>
        <v>0</v>
      </c>
      <c r="AD215" s="140">
        <f t="shared" si="204"/>
        <v>0</v>
      </c>
      <c r="AE215" s="140">
        <f t="shared" si="204"/>
        <v>0</v>
      </c>
      <c r="AF215" s="140">
        <f t="shared" si="204"/>
        <v>120</v>
      </c>
      <c r="AG215" s="140">
        <f t="shared" si="204"/>
        <v>0</v>
      </c>
      <c r="AH215" s="251">
        <f t="shared" ref="AH215:AH222" si="205">IF($Q215="B", (F215*$N215),0)</f>
        <v>0</v>
      </c>
      <c r="AI215" s="252"/>
      <c r="AJ215" s="140"/>
      <c r="AK215" s="140"/>
      <c r="AL215" s="176"/>
      <c r="AM215" s="139">
        <f t="shared" ref="AM215:AQ222" si="206">IF($Q215="C", (G215*$N215),0)</f>
        <v>0</v>
      </c>
      <c r="AN215" s="140">
        <f t="shared" si="206"/>
        <v>0</v>
      </c>
      <c r="AO215" s="140">
        <f t="shared" si="206"/>
        <v>0</v>
      </c>
      <c r="AP215" s="140">
        <f t="shared" si="206"/>
        <v>0</v>
      </c>
      <c r="AQ215" s="140">
        <f t="shared" si="206"/>
        <v>0</v>
      </c>
      <c r="AR215" s="140">
        <f t="shared" ref="AR215:AR222" si="207">IF($Q215="C", (F215*$N215),0)</f>
        <v>0</v>
      </c>
      <c r="AS215" s="252"/>
    </row>
    <row r="216" spans="1:45" s="20" customFormat="1">
      <c r="A216" s="46" t="s">
        <v>395</v>
      </c>
      <c r="B216" s="20" t="s">
        <v>33</v>
      </c>
      <c r="C216" s="175">
        <v>0</v>
      </c>
      <c r="D216" s="100" t="s">
        <v>9</v>
      </c>
      <c r="E216" s="176">
        <v>0</v>
      </c>
      <c r="F216" s="177">
        <f t="shared" si="198"/>
        <v>0</v>
      </c>
      <c r="G216" s="178">
        <v>0</v>
      </c>
      <c r="H216" s="178">
        <v>0</v>
      </c>
      <c r="I216" s="178">
        <v>0</v>
      </c>
      <c r="J216" s="178">
        <v>80</v>
      </c>
      <c r="K216" s="179">
        <v>0</v>
      </c>
      <c r="L216" s="100" t="s">
        <v>8</v>
      </c>
      <c r="M216" s="176">
        <f t="shared" si="199"/>
        <v>12000</v>
      </c>
      <c r="N216" s="96">
        <v>1</v>
      </c>
      <c r="O216" s="176">
        <f t="shared" si="200"/>
        <v>12000</v>
      </c>
      <c r="P216" s="180"/>
      <c r="Q216" s="52" t="s">
        <v>46</v>
      </c>
      <c r="R216" s="75" t="s">
        <v>221</v>
      </c>
      <c r="S216" s="145" t="str">
        <f t="shared" si="201"/>
        <v>BPT2010</v>
      </c>
      <c r="T216" s="145" t="str">
        <f t="shared" si="202"/>
        <v>B1.2.1.2.22010</v>
      </c>
      <c r="U216" s="145" t="s">
        <v>193</v>
      </c>
      <c r="V216" s="145" t="str">
        <f t="shared" si="203"/>
        <v>Prototype Kinematic Mounts</v>
      </c>
      <c r="AB216" s="433">
        <v>2010</v>
      </c>
      <c r="AC216" s="140">
        <f t="shared" si="204"/>
        <v>0</v>
      </c>
      <c r="AD216" s="140">
        <f t="shared" si="204"/>
        <v>0</v>
      </c>
      <c r="AE216" s="140">
        <f t="shared" si="204"/>
        <v>0</v>
      </c>
      <c r="AF216" s="140">
        <f t="shared" si="204"/>
        <v>80</v>
      </c>
      <c r="AG216" s="140">
        <f t="shared" si="204"/>
        <v>0</v>
      </c>
      <c r="AH216" s="251">
        <f t="shared" si="205"/>
        <v>0</v>
      </c>
      <c r="AI216" s="252"/>
      <c r="AJ216" s="140"/>
      <c r="AK216" s="140"/>
      <c r="AL216" s="176"/>
      <c r="AM216" s="139">
        <f t="shared" si="206"/>
        <v>0</v>
      </c>
      <c r="AN216" s="140">
        <f t="shared" si="206"/>
        <v>0</v>
      </c>
      <c r="AO216" s="140">
        <f t="shared" si="206"/>
        <v>0</v>
      </c>
      <c r="AP216" s="140">
        <f t="shared" si="206"/>
        <v>0</v>
      </c>
      <c r="AQ216" s="140">
        <f t="shared" si="206"/>
        <v>0</v>
      </c>
      <c r="AR216" s="140">
        <f t="shared" si="207"/>
        <v>0</v>
      </c>
      <c r="AS216" s="252"/>
    </row>
    <row r="217" spans="1:45" s="20" customFormat="1">
      <c r="A217" s="46" t="s">
        <v>309</v>
      </c>
      <c r="B217" s="20" t="s">
        <v>7</v>
      </c>
      <c r="C217" s="175">
        <v>2</v>
      </c>
      <c r="D217" s="100" t="s">
        <v>38</v>
      </c>
      <c r="E217" s="176">
        <v>8</v>
      </c>
      <c r="F217" s="177">
        <f t="shared" si="198"/>
        <v>16</v>
      </c>
      <c r="G217" s="374">
        <v>4</v>
      </c>
      <c r="H217" s="178">
        <v>0</v>
      </c>
      <c r="I217" s="178">
        <v>0</v>
      </c>
      <c r="J217" s="178">
        <v>0</v>
      </c>
      <c r="K217" s="179">
        <v>0</v>
      </c>
      <c r="L217" s="100" t="s">
        <v>8</v>
      </c>
      <c r="M217" s="176">
        <f t="shared" si="199"/>
        <v>1512</v>
      </c>
      <c r="N217" s="96">
        <v>3</v>
      </c>
      <c r="O217" s="176">
        <f t="shared" si="200"/>
        <v>1560</v>
      </c>
      <c r="P217" s="180"/>
      <c r="Q217" s="52" t="s">
        <v>46</v>
      </c>
      <c r="R217" s="75" t="s">
        <v>221</v>
      </c>
      <c r="S217" s="145" t="str">
        <f t="shared" si="201"/>
        <v>BPT2010</v>
      </c>
      <c r="T217" s="145" t="str">
        <f t="shared" si="202"/>
        <v>B1.2.1.2.22010</v>
      </c>
      <c r="U217" s="145" t="s">
        <v>193</v>
      </c>
      <c r="V217" s="145" t="str">
        <f t="shared" si="203"/>
        <v>Prototype Kinematic Mounts</v>
      </c>
      <c r="AB217" s="33">
        <v>2010</v>
      </c>
      <c r="AC217" s="140">
        <f t="shared" si="204"/>
        <v>12</v>
      </c>
      <c r="AD217" s="140">
        <f t="shared" si="204"/>
        <v>0</v>
      </c>
      <c r="AE217" s="140">
        <f t="shared" si="204"/>
        <v>0</v>
      </c>
      <c r="AF217" s="140">
        <f t="shared" si="204"/>
        <v>0</v>
      </c>
      <c r="AG217" s="140">
        <f t="shared" si="204"/>
        <v>0</v>
      </c>
      <c r="AH217" s="251">
        <f t="shared" si="205"/>
        <v>48</v>
      </c>
      <c r="AI217" s="252"/>
      <c r="AJ217" s="140"/>
      <c r="AK217" s="140"/>
      <c r="AL217" s="176"/>
      <c r="AM217" s="139">
        <f t="shared" si="206"/>
        <v>0</v>
      </c>
      <c r="AN217" s="140">
        <f t="shared" si="206"/>
        <v>0</v>
      </c>
      <c r="AO217" s="140">
        <f t="shared" si="206"/>
        <v>0</v>
      </c>
      <c r="AP217" s="140">
        <f t="shared" si="206"/>
        <v>0</v>
      </c>
      <c r="AQ217" s="140">
        <f t="shared" si="206"/>
        <v>0</v>
      </c>
      <c r="AR217" s="140">
        <f t="shared" si="207"/>
        <v>0</v>
      </c>
      <c r="AS217" s="252"/>
    </row>
    <row r="218" spans="1:45" s="20" customFormat="1">
      <c r="A218" s="46" t="s">
        <v>310</v>
      </c>
      <c r="B218" s="20" t="s">
        <v>7</v>
      </c>
      <c r="C218" s="175">
        <v>2</v>
      </c>
      <c r="D218" s="100" t="s">
        <v>38</v>
      </c>
      <c r="E218" s="176">
        <v>8</v>
      </c>
      <c r="F218" s="177">
        <f t="shared" si="198"/>
        <v>16</v>
      </c>
      <c r="G218" s="178">
        <v>16</v>
      </c>
      <c r="H218" s="178">
        <v>0</v>
      </c>
      <c r="I218" s="178">
        <v>0</v>
      </c>
      <c r="J218" s="178">
        <v>4</v>
      </c>
      <c r="K218" s="179">
        <v>0</v>
      </c>
      <c r="L218" s="100" t="s">
        <v>8</v>
      </c>
      <c r="M218" s="176">
        <f t="shared" si="199"/>
        <v>7848</v>
      </c>
      <c r="N218" s="96">
        <v>3</v>
      </c>
      <c r="O218" s="176">
        <f t="shared" si="200"/>
        <v>7896</v>
      </c>
      <c r="P218" s="180"/>
      <c r="Q218" s="52" t="s">
        <v>47</v>
      </c>
      <c r="R218" s="75" t="s">
        <v>221</v>
      </c>
      <c r="S218" s="145" t="str">
        <f t="shared" si="201"/>
        <v>CPT2010</v>
      </c>
      <c r="T218" s="145" t="str">
        <f t="shared" si="202"/>
        <v>C1.2.1.2.22010</v>
      </c>
      <c r="U218" s="145" t="s">
        <v>193</v>
      </c>
      <c r="V218" s="145" t="str">
        <f t="shared" si="203"/>
        <v>Prototype Kinematic Mounts</v>
      </c>
      <c r="AB218" s="33">
        <v>2010</v>
      </c>
      <c r="AC218" s="140">
        <f t="shared" si="204"/>
        <v>0</v>
      </c>
      <c r="AD218" s="140">
        <f t="shared" si="204"/>
        <v>0</v>
      </c>
      <c r="AE218" s="140">
        <f t="shared" si="204"/>
        <v>0</v>
      </c>
      <c r="AF218" s="140">
        <f t="shared" si="204"/>
        <v>0</v>
      </c>
      <c r="AG218" s="140">
        <f t="shared" si="204"/>
        <v>0</v>
      </c>
      <c r="AH218" s="251">
        <f t="shared" si="205"/>
        <v>0</v>
      </c>
      <c r="AI218" s="252"/>
      <c r="AJ218" s="140"/>
      <c r="AK218" s="140"/>
      <c r="AL218" s="176"/>
      <c r="AM218" s="139">
        <f t="shared" si="206"/>
        <v>48</v>
      </c>
      <c r="AN218" s="140">
        <f t="shared" si="206"/>
        <v>0</v>
      </c>
      <c r="AO218" s="140">
        <f t="shared" si="206"/>
        <v>0</v>
      </c>
      <c r="AP218" s="140">
        <f t="shared" si="206"/>
        <v>12</v>
      </c>
      <c r="AQ218" s="140">
        <f t="shared" si="206"/>
        <v>0</v>
      </c>
      <c r="AR218" s="140">
        <f t="shared" si="207"/>
        <v>48</v>
      </c>
      <c r="AS218" s="252"/>
    </row>
    <row r="219" spans="1:45" s="20" customFormat="1">
      <c r="A219" s="46" t="s">
        <v>311</v>
      </c>
      <c r="B219" s="20" t="s">
        <v>7</v>
      </c>
      <c r="C219" s="175">
        <v>2</v>
      </c>
      <c r="D219" s="100" t="s">
        <v>38</v>
      </c>
      <c r="E219" s="176">
        <v>8</v>
      </c>
      <c r="F219" s="177">
        <f t="shared" si="198"/>
        <v>16</v>
      </c>
      <c r="G219" s="374">
        <v>4</v>
      </c>
      <c r="H219" s="178">
        <v>0</v>
      </c>
      <c r="I219" s="178">
        <v>0</v>
      </c>
      <c r="J219" s="178">
        <v>4</v>
      </c>
      <c r="K219" s="179">
        <v>0</v>
      </c>
      <c r="L219" s="100" t="s">
        <v>8</v>
      </c>
      <c r="M219" s="176">
        <f t="shared" si="199"/>
        <v>6624</v>
      </c>
      <c r="N219" s="96">
        <v>6</v>
      </c>
      <c r="O219" s="176">
        <f t="shared" si="200"/>
        <v>6720</v>
      </c>
      <c r="P219" s="180"/>
      <c r="Q219" s="52" t="s">
        <v>46</v>
      </c>
      <c r="R219" s="75" t="s">
        <v>221</v>
      </c>
      <c r="S219" s="145" t="str">
        <f t="shared" si="201"/>
        <v>BPT2010</v>
      </c>
      <c r="T219" s="145" t="str">
        <f t="shared" si="202"/>
        <v>B1.2.1.2.22010</v>
      </c>
      <c r="U219" s="145" t="s">
        <v>193</v>
      </c>
      <c r="V219" s="145" t="str">
        <f t="shared" si="203"/>
        <v>Prototype Kinematic Mounts</v>
      </c>
      <c r="AB219" s="33">
        <v>2010</v>
      </c>
      <c r="AC219" s="140">
        <f t="shared" si="204"/>
        <v>24</v>
      </c>
      <c r="AD219" s="140">
        <f t="shared" si="204"/>
        <v>0</v>
      </c>
      <c r="AE219" s="140">
        <f t="shared" si="204"/>
        <v>0</v>
      </c>
      <c r="AF219" s="140">
        <f t="shared" si="204"/>
        <v>24</v>
      </c>
      <c r="AG219" s="140">
        <f t="shared" si="204"/>
        <v>0</v>
      </c>
      <c r="AH219" s="251">
        <f t="shared" si="205"/>
        <v>96</v>
      </c>
      <c r="AI219" s="252"/>
      <c r="AJ219" s="140"/>
      <c r="AK219" s="140"/>
      <c r="AL219" s="176"/>
      <c r="AM219" s="139">
        <f t="shared" si="206"/>
        <v>0</v>
      </c>
      <c r="AN219" s="140">
        <f t="shared" si="206"/>
        <v>0</v>
      </c>
      <c r="AO219" s="140">
        <f t="shared" si="206"/>
        <v>0</v>
      </c>
      <c r="AP219" s="140">
        <f t="shared" si="206"/>
        <v>0</v>
      </c>
      <c r="AQ219" s="140">
        <f t="shared" si="206"/>
        <v>0</v>
      </c>
      <c r="AR219" s="140">
        <f t="shared" si="207"/>
        <v>0</v>
      </c>
      <c r="AS219" s="252"/>
    </row>
    <row r="220" spans="1:45" s="20" customFormat="1">
      <c r="A220" s="46" t="s">
        <v>312</v>
      </c>
      <c r="B220" s="20" t="s">
        <v>7</v>
      </c>
      <c r="C220" s="175">
        <v>2</v>
      </c>
      <c r="D220" s="100" t="s">
        <v>38</v>
      </c>
      <c r="E220" s="176">
        <v>8</v>
      </c>
      <c r="F220" s="177">
        <f t="shared" si="198"/>
        <v>16</v>
      </c>
      <c r="G220" s="178">
        <v>16</v>
      </c>
      <c r="H220" s="178">
        <v>0</v>
      </c>
      <c r="I220" s="178">
        <v>0</v>
      </c>
      <c r="J220" s="178">
        <v>1</v>
      </c>
      <c r="K220" s="179">
        <v>0</v>
      </c>
      <c r="L220" s="100" t="s">
        <v>8</v>
      </c>
      <c r="M220" s="176">
        <f t="shared" si="199"/>
        <v>10526.76</v>
      </c>
      <c r="N220" s="96">
        <v>6</v>
      </c>
      <c r="O220" s="176">
        <f t="shared" si="200"/>
        <v>10622.76</v>
      </c>
      <c r="P220" s="180"/>
      <c r="Q220" s="52" t="s">
        <v>46</v>
      </c>
      <c r="R220" s="75" t="s">
        <v>77</v>
      </c>
      <c r="S220" s="145" t="str">
        <f t="shared" si="201"/>
        <v>BPD2012</v>
      </c>
      <c r="T220" s="145" t="str">
        <f t="shared" si="202"/>
        <v>B1.2.1.2.22012</v>
      </c>
      <c r="U220" s="145" t="s">
        <v>193</v>
      </c>
      <c r="V220" s="145" t="str">
        <f t="shared" si="203"/>
        <v>Prototype Kinematic Mounts</v>
      </c>
      <c r="AB220" s="33">
        <v>2012</v>
      </c>
      <c r="AC220" s="140">
        <f t="shared" si="204"/>
        <v>96</v>
      </c>
      <c r="AD220" s="140">
        <f t="shared" si="204"/>
        <v>0</v>
      </c>
      <c r="AE220" s="140">
        <f t="shared" si="204"/>
        <v>0</v>
      </c>
      <c r="AF220" s="140">
        <f t="shared" si="204"/>
        <v>6</v>
      </c>
      <c r="AG220" s="140">
        <f t="shared" si="204"/>
        <v>0</v>
      </c>
      <c r="AH220" s="251">
        <f t="shared" si="205"/>
        <v>96</v>
      </c>
      <c r="AI220" s="252"/>
      <c r="AJ220" s="140"/>
      <c r="AK220" s="140"/>
      <c r="AL220" s="176"/>
      <c r="AM220" s="139">
        <f t="shared" si="206"/>
        <v>0</v>
      </c>
      <c r="AN220" s="140">
        <f t="shared" si="206"/>
        <v>0</v>
      </c>
      <c r="AO220" s="140">
        <f t="shared" si="206"/>
        <v>0</v>
      </c>
      <c r="AP220" s="140">
        <f t="shared" si="206"/>
        <v>0</v>
      </c>
      <c r="AQ220" s="140">
        <f t="shared" si="206"/>
        <v>0</v>
      </c>
      <c r="AR220" s="140">
        <f t="shared" si="207"/>
        <v>0</v>
      </c>
      <c r="AS220" s="252"/>
    </row>
    <row r="221" spans="1:45" s="20" customFormat="1">
      <c r="A221" s="46" t="s">
        <v>313</v>
      </c>
      <c r="B221" s="20" t="s">
        <v>7</v>
      </c>
      <c r="C221" s="175">
        <v>2</v>
      </c>
      <c r="D221" s="100" t="s">
        <v>38</v>
      </c>
      <c r="E221" s="176">
        <v>8</v>
      </c>
      <c r="F221" s="177">
        <f t="shared" si="198"/>
        <v>16</v>
      </c>
      <c r="G221" s="374">
        <v>4</v>
      </c>
      <c r="H221" s="178">
        <v>0</v>
      </c>
      <c r="I221" s="178">
        <v>0</v>
      </c>
      <c r="J221" s="178">
        <v>1</v>
      </c>
      <c r="K221" s="179">
        <v>0</v>
      </c>
      <c r="L221" s="100" t="s">
        <v>8</v>
      </c>
      <c r="M221" s="176">
        <f t="shared" si="199"/>
        <v>6356.88</v>
      </c>
      <c r="N221" s="96">
        <v>12</v>
      </c>
      <c r="O221" s="176">
        <f t="shared" si="200"/>
        <v>6548.88</v>
      </c>
      <c r="P221" s="180"/>
      <c r="Q221" s="52" t="s">
        <v>46</v>
      </c>
      <c r="R221" s="75" t="s">
        <v>77</v>
      </c>
      <c r="S221" s="145" t="str">
        <f t="shared" si="201"/>
        <v>BPD2013</v>
      </c>
      <c r="T221" s="145" t="str">
        <f t="shared" si="202"/>
        <v>B1.2.1.2.32013</v>
      </c>
      <c r="U221" s="145" t="s">
        <v>195</v>
      </c>
      <c r="V221" s="145" t="str">
        <f t="shared" si="203"/>
        <v>Production D-Tube and Kinematic Mounts</v>
      </c>
      <c r="AB221" s="33">
        <v>2013</v>
      </c>
      <c r="AC221" s="140">
        <f t="shared" si="204"/>
        <v>48</v>
      </c>
      <c r="AD221" s="140">
        <f t="shared" si="204"/>
        <v>0</v>
      </c>
      <c r="AE221" s="140">
        <f t="shared" si="204"/>
        <v>0</v>
      </c>
      <c r="AF221" s="140">
        <f t="shared" si="204"/>
        <v>12</v>
      </c>
      <c r="AG221" s="140">
        <f t="shared" si="204"/>
        <v>0</v>
      </c>
      <c r="AH221" s="251">
        <f t="shared" si="205"/>
        <v>192</v>
      </c>
      <c r="AI221" s="252"/>
      <c r="AJ221" s="140"/>
      <c r="AK221" s="140"/>
      <c r="AL221" s="176"/>
      <c r="AM221" s="139">
        <f t="shared" si="206"/>
        <v>0</v>
      </c>
      <c r="AN221" s="140">
        <f t="shared" si="206"/>
        <v>0</v>
      </c>
      <c r="AO221" s="140">
        <f t="shared" si="206"/>
        <v>0</v>
      </c>
      <c r="AP221" s="140">
        <f t="shared" si="206"/>
        <v>0</v>
      </c>
      <c r="AQ221" s="140">
        <f t="shared" si="206"/>
        <v>0</v>
      </c>
      <c r="AR221" s="140">
        <f t="shared" si="207"/>
        <v>0</v>
      </c>
      <c r="AS221" s="252"/>
    </row>
    <row r="222" spans="1:45" s="20" customFormat="1">
      <c r="A222" s="46" t="s">
        <v>314</v>
      </c>
      <c r="B222" s="20" t="s">
        <v>7</v>
      </c>
      <c r="C222" s="175">
        <v>2</v>
      </c>
      <c r="D222" s="100" t="s">
        <v>38</v>
      </c>
      <c r="E222" s="176">
        <v>8</v>
      </c>
      <c r="F222" s="177">
        <f t="shared" si="198"/>
        <v>16</v>
      </c>
      <c r="G222" s="178">
        <v>16</v>
      </c>
      <c r="H222" s="178">
        <v>0</v>
      </c>
      <c r="I222" s="178">
        <v>0</v>
      </c>
      <c r="J222" s="178">
        <v>1</v>
      </c>
      <c r="K222" s="179">
        <v>0</v>
      </c>
      <c r="L222" s="100" t="s">
        <v>8</v>
      </c>
      <c r="M222" s="176">
        <f t="shared" si="199"/>
        <v>10526.76</v>
      </c>
      <c r="N222" s="96">
        <v>6</v>
      </c>
      <c r="O222" s="176">
        <f t="shared" si="200"/>
        <v>10622.76</v>
      </c>
      <c r="P222" s="180"/>
      <c r="Q222" s="52" t="s">
        <v>47</v>
      </c>
      <c r="R222" s="75" t="s">
        <v>77</v>
      </c>
      <c r="S222" s="145" t="str">
        <f t="shared" si="201"/>
        <v>CPD2013</v>
      </c>
      <c r="T222" s="145" t="str">
        <f t="shared" si="202"/>
        <v>C1.2.1.2.32013</v>
      </c>
      <c r="U222" s="145" t="s">
        <v>195</v>
      </c>
      <c r="V222" s="145" t="str">
        <f t="shared" si="203"/>
        <v>Production D-Tube and Kinematic Mounts</v>
      </c>
      <c r="AB222" s="33">
        <v>2013</v>
      </c>
      <c r="AC222" s="140">
        <f t="shared" si="204"/>
        <v>0</v>
      </c>
      <c r="AD222" s="140">
        <f t="shared" si="204"/>
        <v>0</v>
      </c>
      <c r="AE222" s="140">
        <f t="shared" si="204"/>
        <v>0</v>
      </c>
      <c r="AF222" s="140">
        <f t="shared" si="204"/>
        <v>0</v>
      </c>
      <c r="AG222" s="140">
        <f t="shared" si="204"/>
        <v>0</v>
      </c>
      <c r="AH222" s="251">
        <f t="shared" si="205"/>
        <v>0</v>
      </c>
      <c r="AI222" s="252"/>
      <c r="AJ222" s="140"/>
      <c r="AK222" s="140"/>
      <c r="AL222" s="176"/>
      <c r="AM222" s="139">
        <f t="shared" si="206"/>
        <v>96</v>
      </c>
      <c r="AN222" s="140">
        <f t="shared" si="206"/>
        <v>0</v>
      </c>
      <c r="AO222" s="140">
        <f t="shared" si="206"/>
        <v>0</v>
      </c>
      <c r="AP222" s="140">
        <f t="shared" si="206"/>
        <v>6</v>
      </c>
      <c r="AQ222" s="140">
        <f t="shared" si="206"/>
        <v>0</v>
      </c>
      <c r="AR222" s="140">
        <f t="shared" si="207"/>
        <v>96</v>
      </c>
      <c r="AS222" s="252"/>
    </row>
    <row r="223" spans="1:45" s="50" customFormat="1">
      <c r="A223" s="47" t="s">
        <v>319</v>
      </c>
      <c r="C223" s="202"/>
      <c r="D223" s="115"/>
      <c r="E223" s="61"/>
      <c r="F223" s="62"/>
      <c r="G223" s="63"/>
      <c r="H223" s="63"/>
      <c r="I223" s="63"/>
      <c r="J223" s="63"/>
      <c r="K223" s="64"/>
      <c r="L223" s="234" t="s">
        <v>66</v>
      </c>
      <c r="M223" s="188">
        <f>SUMIF(Q215:Q222,"B",M215:M222)</f>
        <v>55019.64</v>
      </c>
      <c r="N223" s="69" t="s">
        <v>66</v>
      </c>
      <c r="O223" s="61"/>
      <c r="P223" s="203"/>
      <c r="Q223" s="52"/>
      <c r="R223" s="75"/>
      <c r="S223" s="145"/>
      <c r="T223" s="145"/>
      <c r="U223" s="145"/>
      <c r="V223" s="145"/>
      <c r="W223" s="20"/>
      <c r="X223" s="20"/>
      <c r="Y223" s="20"/>
      <c r="Z223" s="20"/>
      <c r="AA223" s="20"/>
      <c r="AB223" s="55"/>
      <c r="AC223" s="56"/>
      <c r="AD223" s="56"/>
      <c r="AE223" s="57"/>
      <c r="AF223" s="56"/>
      <c r="AG223" s="56"/>
      <c r="AH223" s="39"/>
      <c r="AI223" s="260"/>
      <c r="AJ223" s="56"/>
      <c r="AK223" s="56"/>
      <c r="AL223" s="176"/>
      <c r="AM223" s="58"/>
      <c r="AN223" s="56"/>
      <c r="AO223" s="56"/>
      <c r="AP223" s="56"/>
      <c r="AQ223" s="56"/>
      <c r="AR223" s="56"/>
      <c r="AS223" s="260"/>
    </row>
    <row r="224" spans="1:45" s="20" customFormat="1">
      <c r="A224" s="79" t="s">
        <v>397</v>
      </c>
      <c r="B224" s="20" t="s">
        <v>33</v>
      </c>
      <c r="C224" s="175">
        <v>0</v>
      </c>
      <c r="D224" s="100" t="s">
        <v>9</v>
      </c>
      <c r="E224" s="176">
        <v>0</v>
      </c>
      <c r="F224" s="177">
        <f>E224*C224</f>
        <v>0</v>
      </c>
      <c r="G224" s="178">
        <v>0</v>
      </c>
      <c r="H224" s="178">
        <v>0</v>
      </c>
      <c r="I224" s="178">
        <v>0</v>
      </c>
      <c r="J224" s="178">
        <v>40</v>
      </c>
      <c r="K224" s="179">
        <v>0</v>
      </c>
      <c r="L224" s="100" t="s">
        <v>8</v>
      </c>
      <c r="M224" s="176">
        <f t="shared" ref="M224:M232" si="208">IF(R224="PD",((Shop*G224)+(M_Tech*H224)+(CMM*I224)+(ENG*J224)+(DES*K224))*N224,((Shop_RD*G224)+(MTECH_RD*H224)+(CMM_RD*I224)+(ENG_RD*J224)+(DES_RD*K224))*N224)</f>
        <v>4860.0000000000009</v>
      </c>
      <c r="N224" s="96">
        <v>1</v>
      </c>
      <c r="O224" s="176">
        <f t="shared" ref="O224:O232" si="209">M224+(F224*N224)</f>
        <v>4860.0000000000009</v>
      </c>
      <c r="P224" s="180"/>
      <c r="Q224" s="52" t="s">
        <v>46</v>
      </c>
      <c r="R224" s="75" t="s">
        <v>77</v>
      </c>
      <c r="S224" s="145" t="str">
        <f t="shared" ref="S224:S232" si="210">CONCATENATE(Q224,R224,AB224)</f>
        <v>BPD2011</v>
      </c>
      <c r="T224" s="145" t="str">
        <f t="shared" ref="T224:T232" si="211">CONCATENATE(Q224,U224,AB224)</f>
        <v>B1.2.3.22011</v>
      </c>
      <c r="U224" s="145" t="s">
        <v>409</v>
      </c>
      <c r="V224" s="145" t="str">
        <f t="shared" ref="V224:V232" si="212">LOOKUP(U224,$B$383:$B$420,$A$383:$A$420)</f>
        <v>D-Tube Assembly and Survey Tool</v>
      </c>
      <c r="AB224" s="33">
        <v>2011</v>
      </c>
      <c r="AC224" s="140">
        <f t="shared" ref="AC224:AC232" si="213">IF($Q224="B", (G224*$N224),0)</f>
        <v>0</v>
      </c>
      <c r="AD224" s="140">
        <f t="shared" ref="AD224:AD232" si="214">IF($Q224="B", (H224*$N224),0)</f>
        <v>0</v>
      </c>
      <c r="AE224" s="140">
        <f t="shared" ref="AE224:AE232" si="215">IF($Q224="B", (I224*$N224),0)</f>
        <v>0</v>
      </c>
      <c r="AF224" s="140">
        <f t="shared" ref="AF224:AF232" si="216">IF($Q224="B", (J224*$N224),0)</f>
        <v>40</v>
      </c>
      <c r="AG224" s="140">
        <f t="shared" ref="AG224:AG232" si="217">IF($Q224="B", (K224*$N224),0)</f>
        <v>0</v>
      </c>
      <c r="AH224" s="251">
        <f t="shared" ref="AH224:AH232" si="218">IF($Q224="B", (F224*$N224),0)</f>
        <v>0</v>
      </c>
      <c r="AI224" s="252"/>
      <c r="AJ224" s="140"/>
      <c r="AK224" s="140"/>
      <c r="AL224" s="176"/>
      <c r="AM224" s="139">
        <f t="shared" ref="AM224:AM232" si="219">IF($Q224="C", (G224*$N224),0)</f>
        <v>0</v>
      </c>
      <c r="AN224" s="140">
        <f t="shared" ref="AN224:AN232" si="220">IF($Q224="C", (H224*$N224),0)</f>
        <v>0</v>
      </c>
      <c r="AO224" s="140">
        <f t="shared" ref="AO224:AO232" si="221">IF($Q224="C", (I224*$N224),0)</f>
        <v>0</v>
      </c>
      <c r="AP224" s="140">
        <f t="shared" ref="AP224:AP232" si="222">IF($Q224="C", (J224*$N224),0)</f>
        <v>0</v>
      </c>
      <c r="AQ224" s="140">
        <f t="shared" ref="AQ224:AQ232" si="223">IF($Q224="C", (K224*$N224),0)</f>
        <v>0</v>
      </c>
      <c r="AR224" s="140">
        <f t="shared" ref="AR224:AR232" si="224">IF($Q224="C", (F224*$N224),0)</f>
        <v>0</v>
      </c>
      <c r="AS224" s="252"/>
    </row>
    <row r="225" spans="1:45" s="20" customFormat="1">
      <c r="A225" s="46" t="s">
        <v>320</v>
      </c>
      <c r="B225" s="20" t="s">
        <v>33</v>
      </c>
      <c r="C225" s="175">
        <v>0</v>
      </c>
      <c r="D225" s="100" t="s">
        <v>9</v>
      </c>
      <c r="E225" s="176">
        <v>0</v>
      </c>
      <c r="F225" s="177">
        <f>E225*C225</f>
        <v>0</v>
      </c>
      <c r="G225" s="178">
        <v>0</v>
      </c>
      <c r="H225" s="178">
        <v>16</v>
      </c>
      <c r="I225" s="178">
        <v>8</v>
      </c>
      <c r="J225" s="178">
        <v>8</v>
      </c>
      <c r="K225" s="179">
        <v>0</v>
      </c>
      <c r="L225" s="100" t="s">
        <v>8</v>
      </c>
      <c r="M225" s="176">
        <f t="shared" si="208"/>
        <v>3304.8</v>
      </c>
      <c r="N225" s="96">
        <v>1</v>
      </c>
      <c r="O225" s="176">
        <f t="shared" si="209"/>
        <v>3304.8</v>
      </c>
      <c r="P225" s="180"/>
      <c r="Q225" s="52" t="s">
        <v>46</v>
      </c>
      <c r="R225" s="75" t="s">
        <v>77</v>
      </c>
      <c r="S225" s="145" t="str">
        <f t="shared" si="210"/>
        <v>BPD2011</v>
      </c>
      <c r="T225" s="145" t="str">
        <f t="shared" si="211"/>
        <v>B1.2.3.22011</v>
      </c>
      <c r="U225" s="145" t="s">
        <v>409</v>
      </c>
      <c r="V225" s="145" t="str">
        <f t="shared" si="212"/>
        <v>D-Tube Assembly and Survey Tool</v>
      </c>
      <c r="AB225" s="33">
        <v>2011</v>
      </c>
      <c r="AC225" s="140">
        <f t="shared" si="213"/>
        <v>0</v>
      </c>
      <c r="AD225" s="140">
        <f t="shared" si="214"/>
        <v>16</v>
      </c>
      <c r="AE225" s="140">
        <f t="shared" si="215"/>
        <v>8</v>
      </c>
      <c r="AF225" s="140">
        <f t="shared" si="216"/>
        <v>8</v>
      </c>
      <c r="AG225" s="140">
        <f t="shared" si="217"/>
        <v>0</v>
      </c>
      <c r="AH225" s="251">
        <f t="shared" si="218"/>
        <v>0</v>
      </c>
      <c r="AI225" s="252"/>
      <c r="AJ225" s="140"/>
      <c r="AK225" s="140"/>
      <c r="AL225" s="176"/>
      <c r="AM225" s="139">
        <f t="shared" si="219"/>
        <v>0</v>
      </c>
      <c r="AN225" s="140">
        <f t="shared" si="220"/>
        <v>0</v>
      </c>
      <c r="AO225" s="140">
        <f t="shared" si="221"/>
        <v>0</v>
      </c>
      <c r="AP225" s="140">
        <f t="shared" si="222"/>
        <v>0</v>
      </c>
      <c r="AQ225" s="140">
        <f t="shared" si="223"/>
        <v>0</v>
      </c>
      <c r="AR225" s="140">
        <f t="shared" si="224"/>
        <v>0</v>
      </c>
      <c r="AS225" s="252"/>
    </row>
    <row r="226" spans="1:45" s="20" customFormat="1">
      <c r="A226" s="46" t="s">
        <v>321</v>
      </c>
      <c r="B226" s="20" t="s">
        <v>33</v>
      </c>
      <c r="C226" s="175">
        <v>0</v>
      </c>
      <c r="D226" s="100" t="s">
        <v>9</v>
      </c>
      <c r="E226" s="176">
        <v>0</v>
      </c>
      <c r="F226" s="177">
        <f>E226*C226</f>
        <v>0</v>
      </c>
      <c r="G226" s="178">
        <v>0</v>
      </c>
      <c r="H226" s="178">
        <v>16</v>
      </c>
      <c r="I226" s="178">
        <v>8</v>
      </c>
      <c r="J226" s="178">
        <v>8</v>
      </c>
      <c r="K226" s="179">
        <v>0</v>
      </c>
      <c r="L226" s="100" t="s">
        <v>8</v>
      </c>
      <c r="M226" s="176">
        <f t="shared" si="208"/>
        <v>3304.8</v>
      </c>
      <c r="N226" s="96">
        <v>1</v>
      </c>
      <c r="O226" s="176">
        <f t="shared" si="209"/>
        <v>3304.8</v>
      </c>
      <c r="P226" s="180"/>
      <c r="Q226" s="52" t="s">
        <v>46</v>
      </c>
      <c r="R226" s="75" t="s">
        <v>77</v>
      </c>
      <c r="S226" s="145" t="str">
        <f t="shared" si="210"/>
        <v>BPD2011</v>
      </c>
      <c r="T226" s="145" t="str">
        <f t="shared" si="211"/>
        <v>B1.2.3.22011</v>
      </c>
      <c r="U226" s="145" t="s">
        <v>409</v>
      </c>
      <c r="V226" s="145" t="str">
        <f t="shared" si="212"/>
        <v>D-Tube Assembly and Survey Tool</v>
      </c>
      <c r="AB226" s="33">
        <v>2011</v>
      </c>
      <c r="AC226" s="140">
        <f t="shared" si="213"/>
        <v>0</v>
      </c>
      <c r="AD226" s="140">
        <f t="shared" si="214"/>
        <v>16</v>
      </c>
      <c r="AE226" s="140">
        <f t="shared" si="215"/>
        <v>8</v>
      </c>
      <c r="AF226" s="140">
        <f t="shared" si="216"/>
        <v>8</v>
      </c>
      <c r="AG226" s="140">
        <f t="shared" si="217"/>
        <v>0</v>
      </c>
      <c r="AH226" s="251">
        <f t="shared" si="218"/>
        <v>0</v>
      </c>
      <c r="AI226" s="252"/>
      <c r="AJ226" s="140"/>
      <c r="AK226" s="140"/>
      <c r="AL226" s="176"/>
      <c r="AM226" s="139">
        <f t="shared" si="219"/>
        <v>0</v>
      </c>
      <c r="AN226" s="140">
        <f t="shared" si="220"/>
        <v>0</v>
      </c>
      <c r="AO226" s="140">
        <f t="shared" si="221"/>
        <v>0</v>
      </c>
      <c r="AP226" s="140">
        <f t="shared" si="222"/>
        <v>0</v>
      </c>
      <c r="AQ226" s="140">
        <f t="shared" si="223"/>
        <v>0</v>
      </c>
      <c r="AR226" s="140">
        <f t="shared" si="224"/>
        <v>0</v>
      </c>
      <c r="AS226" s="252"/>
    </row>
    <row r="227" spans="1:45" s="20" customFormat="1">
      <c r="A227" s="385" t="s">
        <v>322</v>
      </c>
      <c r="B227" s="20" t="s">
        <v>33</v>
      </c>
      <c r="C227" s="175">
        <v>0</v>
      </c>
      <c r="D227" s="100" t="s">
        <v>9</v>
      </c>
      <c r="E227" s="176">
        <v>0</v>
      </c>
      <c r="F227" s="177">
        <f>E227*C227</f>
        <v>0</v>
      </c>
      <c r="G227" s="178">
        <v>0</v>
      </c>
      <c r="H227" s="178">
        <v>16</v>
      </c>
      <c r="I227" s="178">
        <v>8</v>
      </c>
      <c r="J227" s="178">
        <v>4</v>
      </c>
      <c r="K227" s="179">
        <v>0</v>
      </c>
      <c r="L227" s="100" t="s">
        <v>8</v>
      </c>
      <c r="M227" s="176">
        <f t="shared" si="208"/>
        <v>5637.6</v>
      </c>
      <c r="N227" s="96">
        <v>2</v>
      </c>
      <c r="O227" s="176">
        <f t="shared" si="209"/>
        <v>5637.6</v>
      </c>
      <c r="P227" s="180"/>
      <c r="Q227" s="52" t="s">
        <v>46</v>
      </c>
      <c r="R227" s="75" t="s">
        <v>77</v>
      </c>
      <c r="S227" s="145" t="str">
        <f t="shared" si="210"/>
        <v>BPD2011</v>
      </c>
      <c r="T227" s="145" t="str">
        <f t="shared" si="211"/>
        <v>B1.2.3.22011</v>
      </c>
      <c r="U227" s="145" t="s">
        <v>409</v>
      </c>
      <c r="V227" s="145" t="str">
        <f t="shared" si="212"/>
        <v>D-Tube Assembly and Survey Tool</v>
      </c>
      <c r="AB227" s="33">
        <v>2011</v>
      </c>
      <c r="AC227" s="140">
        <f t="shared" si="213"/>
        <v>0</v>
      </c>
      <c r="AD227" s="140">
        <f t="shared" si="214"/>
        <v>32</v>
      </c>
      <c r="AE227" s="140">
        <f t="shared" si="215"/>
        <v>16</v>
      </c>
      <c r="AF227" s="140">
        <f t="shared" si="216"/>
        <v>8</v>
      </c>
      <c r="AG227" s="140">
        <f t="shared" si="217"/>
        <v>0</v>
      </c>
      <c r="AH227" s="251">
        <f t="shared" si="218"/>
        <v>0</v>
      </c>
      <c r="AI227" s="252"/>
      <c r="AJ227" s="140"/>
      <c r="AK227" s="140"/>
      <c r="AL227" s="176"/>
      <c r="AM227" s="139">
        <f t="shared" si="219"/>
        <v>0</v>
      </c>
      <c r="AN227" s="140">
        <f t="shared" si="220"/>
        <v>0</v>
      </c>
      <c r="AO227" s="140">
        <f t="shared" si="221"/>
        <v>0</v>
      </c>
      <c r="AP227" s="140">
        <f t="shared" si="222"/>
        <v>0</v>
      </c>
      <c r="AQ227" s="140">
        <f t="shared" si="223"/>
        <v>0</v>
      </c>
      <c r="AR227" s="140">
        <f t="shared" si="224"/>
        <v>0</v>
      </c>
      <c r="AS227" s="252"/>
    </row>
    <row r="228" spans="1:45" s="20" customFormat="1">
      <c r="A228" s="79" t="s">
        <v>323</v>
      </c>
      <c r="B228" s="20" t="s">
        <v>33</v>
      </c>
      <c r="C228" s="175">
        <v>1</v>
      </c>
      <c r="D228" s="100" t="s">
        <v>9</v>
      </c>
      <c r="E228" s="176">
        <v>0</v>
      </c>
      <c r="F228" s="177">
        <v>0</v>
      </c>
      <c r="G228" s="178">
        <v>0</v>
      </c>
      <c r="H228" s="178">
        <v>24</v>
      </c>
      <c r="I228" s="178">
        <v>8</v>
      </c>
      <c r="J228" s="178">
        <v>8</v>
      </c>
      <c r="K228" s="179">
        <v>0</v>
      </c>
      <c r="L228" s="100" t="s">
        <v>8</v>
      </c>
      <c r="M228" s="176">
        <f t="shared" si="208"/>
        <v>4062.9600000000005</v>
      </c>
      <c r="N228" s="96">
        <v>1</v>
      </c>
      <c r="O228" s="176">
        <f t="shared" si="209"/>
        <v>4062.9600000000005</v>
      </c>
      <c r="P228" s="180"/>
      <c r="Q228" s="52" t="s">
        <v>46</v>
      </c>
      <c r="R228" s="75" t="s">
        <v>77</v>
      </c>
      <c r="S228" s="145" t="str">
        <f t="shared" si="210"/>
        <v>BPD2011</v>
      </c>
      <c r="T228" s="145" t="str">
        <f t="shared" si="211"/>
        <v>B1.2.3.22011</v>
      </c>
      <c r="U228" s="145" t="s">
        <v>409</v>
      </c>
      <c r="V228" s="145" t="str">
        <f t="shared" si="212"/>
        <v>D-Tube Assembly and Survey Tool</v>
      </c>
      <c r="AB228" s="33">
        <v>2011</v>
      </c>
      <c r="AC228" s="140">
        <f t="shared" si="213"/>
        <v>0</v>
      </c>
      <c r="AD228" s="140">
        <f t="shared" si="214"/>
        <v>24</v>
      </c>
      <c r="AE228" s="140">
        <f t="shared" si="215"/>
        <v>8</v>
      </c>
      <c r="AF228" s="140">
        <f t="shared" si="216"/>
        <v>8</v>
      </c>
      <c r="AG228" s="140">
        <f t="shared" si="217"/>
        <v>0</v>
      </c>
      <c r="AH228" s="251">
        <f t="shared" si="218"/>
        <v>0</v>
      </c>
      <c r="AI228" s="252"/>
      <c r="AJ228" s="140"/>
      <c r="AK228" s="140"/>
      <c r="AL228" s="176"/>
      <c r="AM228" s="139">
        <f t="shared" si="219"/>
        <v>0</v>
      </c>
      <c r="AN228" s="140">
        <f t="shared" si="220"/>
        <v>0</v>
      </c>
      <c r="AO228" s="140">
        <f t="shared" si="221"/>
        <v>0</v>
      </c>
      <c r="AP228" s="140">
        <f t="shared" si="222"/>
        <v>0</v>
      </c>
      <c r="AQ228" s="140">
        <f t="shared" si="223"/>
        <v>0</v>
      </c>
      <c r="AR228" s="140">
        <f t="shared" si="224"/>
        <v>0</v>
      </c>
      <c r="AS228" s="252"/>
    </row>
    <row r="229" spans="1:45" s="20" customFormat="1">
      <c r="A229" s="46" t="s">
        <v>324</v>
      </c>
      <c r="B229" s="20" t="s">
        <v>33</v>
      </c>
      <c r="C229" s="175">
        <v>1</v>
      </c>
      <c r="D229" s="100" t="s">
        <v>9</v>
      </c>
      <c r="E229" s="176">
        <v>0</v>
      </c>
      <c r="F229" s="177">
        <v>0</v>
      </c>
      <c r="G229" s="178">
        <v>0</v>
      </c>
      <c r="H229" s="178">
        <v>24</v>
      </c>
      <c r="I229" s="178">
        <v>8</v>
      </c>
      <c r="J229" s="178">
        <v>8</v>
      </c>
      <c r="K229" s="179">
        <v>0</v>
      </c>
      <c r="L229" s="100" t="s">
        <v>8</v>
      </c>
      <c r="M229" s="176">
        <f t="shared" si="208"/>
        <v>4062.9600000000005</v>
      </c>
      <c r="N229" s="96">
        <v>1</v>
      </c>
      <c r="O229" s="176">
        <f t="shared" si="209"/>
        <v>4062.9600000000005</v>
      </c>
      <c r="P229" s="180"/>
      <c r="Q229" s="52" t="s">
        <v>46</v>
      </c>
      <c r="R229" s="75" t="s">
        <v>77</v>
      </c>
      <c r="S229" s="145" t="str">
        <f t="shared" si="210"/>
        <v>BPD2011</v>
      </c>
      <c r="T229" s="145" t="str">
        <f t="shared" si="211"/>
        <v>B1.2.3.22011</v>
      </c>
      <c r="U229" s="145" t="s">
        <v>409</v>
      </c>
      <c r="V229" s="145" t="str">
        <f t="shared" si="212"/>
        <v>D-Tube Assembly and Survey Tool</v>
      </c>
      <c r="AB229" s="33">
        <v>2011</v>
      </c>
      <c r="AC229" s="140">
        <f t="shared" si="213"/>
        <v>0</v>
      </c>
      <c r="AD229" s="140">
        <f t="shared" si="214"/>
        <v>24</v>
      </c>
      <c r="AE229" s="140">
        <f t="shared" si="215"/>
        <v>8</v>
      </c>
      <c r="AF229" s="140">
        <f t="shared" si="216"/>
        <v>8</v>
      </c>
      <c r="AG229" s="140">
        <f t="shared" si="217"/>
        <v>0</v>
      </c>
      <c r="AH229" s="251">
        <f t="shared" si="218"/>
        <v>0</v>
      </c>
      <c r="AI229" s="252"/>
      <c r="AJ229" s="140"/>
      <c r="AK229" s="140"/>
      <c r="AL229" s="176"/>
      <c r="AM229" s="139">
        <f t="shared" si="219"/>
        <v>0</v>
      </c>
      <c r="AN229" s="140">
        <f t="shared" si="220"/>
        <v>0</v>
      </c>
      <c r="AO229" s="140">
        <f t="shared" si="221"/>
        <v>0</v>
      </c>
      <c r="AP229" s="140">
        <f t="shared" si="222"/>
        <v>0</v>
      </c>
      <c r="AQ229" s="140">
        <f t="shared" si="223"/>
        <v>0</v>
      </c>
      <c r="AR229" s="140">
        <f t="shared" si="224"/>
        <v>0</v>
      </c>
      <c r="AS229" s="252"/>
    </row>
    <row r="230" spans="1:45" s="20" customFormat="1">
      <c r="A230" s="46" t="s">
        <v>325</v>
      </c>
      <c r="B230" s="20" t="s">
        <v>33</v>
      </c>
      <c r="C230" s="175">
        <v>1</v>
      </c>
      <c r="D230" s="100" t="s">
        <v>9</v>
      </c>
      <c r="E230" s="176">
        <v>0</v>
      </c>
      <c r="F230" s="177">
        <v>0</v>
      </c>
      <c r="G230" s="178">
        <v>0</v>
      </c>
      <c r="H230" s="178">
        <v>24</v>
      </c>
      <c r="I230" s="178">
        <v>8</v>
      </c>
      <c r="J230" s="178">
        <v>4</v>
      </c>
      <c r="K230" s="179">
        <v>0</v>
      </c>
      <c r="L230" s="100" t="s">
        <v>8</v>
      </c>
      <c r="M230" s="176">
        <f t="shared" si="208"/>
        <v>7153.920000000001</v>
      </c>
      <c r="N230" s="96">
        <v>2</v>
      </c>
      <c r="O230" s="176">
        <f t="shared" si="209"/>
        <v>7153.920000000001</v>
      </c>
      <c r="P230" s="180"/>
      <c r="Q230" s="52" t="s">
        <v>46</v>
      </c>
      <c r="R230" s="75" t="s">
        <v>77</v>
      </c>
      <c r="S230" s="145" t="str">
        <f t="shared" si="210"/>
        <v>BPD2011</v>
      </c>
      <c r="T230" s="145" t="str">
        <f t="shared" si="211"/>
        <v>B1.2.3.22011</v>
      </c>
      <c r="U230" s="145" t="s">
        <v>409</v>
      </c>
      <c r="V230" s="145" t="str">
        <f t="shared" si="212"/>
        <v>D-Tube Assembly and Survey Tool</v>
      </c>
      <c r="AB230" s="33">
        <v>2011</v>
      </c>
      <c r="AC230" s="140">
        <f t="shared" si="213"/>
        <v>0</v>
      </c>
      <c r="AD230" s="140">
        <f t="shared" si="214"/>
        <v>48</v>
      </c>
      <c r="AE230" s="140">
        <f t="shared" si="215"/>
        <v>16</v>
      </c>
      <c r="AF230" s="140">
        <f t="shared" si="216"/>
        <v>8</v>
      </c>
      <c r="AG230" s="140">
        <f t="shared" si="217"/>
        <v>0</v>
      </c>
      <c r="AH230" s="251">
        <f t="shared" si="218"/>
        <v>0</v>
      </c>
      <c r="AI230" s="252"/>
      <c r="AJ230" s="140"/>
      <c r="AK230" s="140"/>
      <c r="AL230" s="176"/>
      <c r="AM230" s="139">
        <f t="shared" si="219"/>
        <v>0</v>
      </c>
      <c r="AN230" s="140">
        <f t="shared" si="220"/>
        <v>0</v>
      </c>
      <c r="AO230" s="140">
        <f t="shared" si="221"/>
        <v>0</v>
      </c>
      <c r="AP230" s="140">
        <f t="shared" si="222"/>
        <v>0</v>
      </c>
      <c r="AQ230" s="140">
        <f t="shared" si="223"/>
        <v>0</v>
      </c>
      <c r="AR230" s="140">
        <f t="shared" si="224"/>
        <v>0</v>
      </c>
      <c r="AS230" s="252"/>
    </row>
    <row r="231" spans="1:45" s="20" customFormat="1">
      <c r="A231" s="46" t="s">
        <v>326</v>
      </c>
      <c r="B231" s="20" t="s">
        <v>33</v>
      </c>
      <c r="C231" s="175">
        <v>1</v>
      </c>
      <c r="D231" s="100" t="s">
        <v>9</v>
      </c>
      <c r="E231" s="176">
        <v>0</v>
      </c>
      <c r="F231" s="177">
        <v>0</v>
      </c>
      <c r="G231" s="178">
        <v>0</v>
      </c>
      <c r="H231" s="178">
        <v>24</v>
      </c>
      <c r="I231" s="178">
        <v>8</v>
      </c>
      <c r="J231" s="178">
        <v>8</v>
      </c>
      <c r="K231" s="179">
        <v>0</v>
      </c>
      <c r="L231" s="100" t="s">
        <v>8</v>
      </c>
      <c r="M231" s="176">
        <f t="shared" si="208"/>
        <v>16251.840000000002</v>
      </c>
      <c r="N231" s="96">
        <v>4</v>
      </c>
      <c r="O231" s="176">
        <f t="shared" si="209"/>
        <v>16251.840000000002</v>
      </c>
      <c r="P231" s="180"/>
      <c r="Q231" s="52" t="s">
        <v>46</v>
      </c>
      <c r="R231" s="75" t="s">
        <v>77</v>
      </c>
      <c r="S231" s="145" t="str">
        <f t="shared" si="210"/>
        <v>BPD2013</v>
      </c>
      <c r="T231" s="145" t="str">
        <f t="shared" si="211"/>
        <v>B1.2.3.22013</v>
      </c>
      <c r="U231" s="145" t="s">
        <v>409</v>
      </c>
      <c r="V231" s="145" t="str">
        <f t="shared" si="212"/>
        <v>D-Tube Assembly and Survey Tool</v>
      </c>
      <c r="AB231" s="33">
        <v>2013</v>
      </c>
      <c r="AC231" s="140">
        <f t="shared" si="213"/>
        <v>0</v>
      </c>
      <c r="AD231" s="140">
        <f t="shared" si="214"/>
        <v>96</v>
      </c>
      <c r="AE231" s="140">
        <f t="shared" si="215"/>
        <v>32</v>
      </c>
      <c r="AF231" s="140">
        <f t="shared" si="216"/>
        <v>32</v>
      </c>
      <c r="AG231" s="140">
        <f t="shared" si="217"/>
        <v>0</v>
      </c>
      <c r="AH231" s="251">
        <f t="shared" si="218"/>
        <v>0</v>
      </c>
      <c r="AI231" s="252"/>
      <c r="AJ231" s="140"/>
      <c r="AK231" s="140"/>
      <c r="AL231" s="176"/>
      <c r="AM231" s="139">
        <f t="shared" si="219"/>
        <v>0</v>
      </c>
      <c r="AN231" s="140">
        <f t="shared" si="220"/>
        <v>0</v>
      </c>
      <c r="AO231" s="140">
        <f t="shared" si="221"/>
        <v>0</v>
      </c>
      <c r="AP231" s="140">
        <f t="shared" si="222"/>
        <v>0</v>
      </c>
      <c r="AQ231" s="140">
        <f t="shared" si="223"/>
        <v>0</v>
      </c>
      <c r="AR231" s="140">
        <f t="shared" si="224"/>
        <v>0</v>
      </c>
      <c r="AS231" s="252"/>
    </row>
    <row r="232" spans="1:45" s="20" customFormat="1">
      <c r="A232" s="46" t="s">
        <v>327</v>
      </c>
      <c r="B232" s="20" t="s">
        <v>33</v>
      </c>
      <c r="C232" s="175">
        <v>1</v>
      </c>
      <c r="D232" s="100" t="s">
        <v>9</v>
      </c>
      <c r="E232" s="176">
        <v>0</v>
      </c>
      <c r="F232" s="177">
        <v>0</v>
      </c>
      <c r="G232" s="178">
        <v>0</v>
      </c>
      <c r="H232" s="178">
        <v>24</v>
      </c>
      <c r="I232" s="178">
        <v>8</v>
      </c>
      <c r="J232" s="178">
        <v>4</v>
      </c>
      <c r="K232" s="179">
        <v>0</v>
      </c>
      <c r="L232" s="100" t="s">
        <v>8</v>
      </c>
      <c r="M232" s="176">
        <f t="shared" si="208"/>
        <v>7153.920000000001</v>
      </c>
      <c r="N232" s="96">
        <v>2</v>
      </c>
      <c r="O232" s="176">
        <f t="shared" si="209"/>
        <v>7153.920000000001</v>
      </c>
      <c r="P232" s="180"/>
      <c r="Q232" s="52" t="s">
        <v>47</v>
      </c>
      <c r="R232" s="75" t="s">
        <v>77</v>
      </c>
      <c r="S232" s="145" t="str">
        <f t="shared" si="210"/>
        <v>CPD2013</v>
      </c>
      <c r="T232" s="145" t="str">
        <f t="shared" si="211"/>
        <v>C1.2.3.22013</v>
      </c>
      <c r="U232" s="145" t="s">
        <v>409</v>
      </c>
      <c r="V232" s="145" t="str">
        <f t="shared" si="212"/>
        <v>D-Tube Assembly and Survey Tool</v>
      </c>
      <c r="AB232" s="33">
        <v>2013</v>
      </c>
      <c r="AC232" s="140">
        <f t="shared" si="213"/>
        <v>0</v>
      </c>
      <c r="AD232" s="140">
        <f t="shared" si="214"/>
        <v>0</v>
      </c>
      <c r="AE232" s="140">
        <f t="shared" si="215"/>
        <v>0</v>
      </c>
      <c r="AF232" s="140">
        <f t="shared" si="216"/>
        <v>0</v>
      </c>
      <c r="AG232" s="140">
        <f t="shared" si="217"/>
        <v>0</v>
      </c>
      <c r="AH232" s="251">
        <f t="shared" si="218"/>
        <v>0</v>
      </c>
      <c r="AI232" s="252"/>
      <c r="AJ232" s="140"/>
      <c r="AK232" s="140"/>
      <c r="AL232" s="176"/>
      <c r="AM232" s="139">
        <f t="shared" si="219"/>
        <v>0</v>
      </c>
      <c r="AN232" s="140">
        <f t="shared" si="220"/>
        <v>48</v>
      </c>
      <c r="AO232" s="140">
        <f t="shared" si="221"/>
        <v>16</v>
      </c>
      <c r="AP232" s="140">
        <f t="shared" si="222"/>
        <v>8</v>
      </c>
      <c r="AQ232" s="140">
        <f t="shared" si="223"/>
        <v>0</v>
      </c>
      <c r="AR232" s="140">
        <f t="shared" si="224"/>
        <v>0</v>
      </c>
      <c r="AS232" s="252"/>
    </row>
    <row r="233" spans="1:45">
      <c r="A233" s="21" t="s">
        <v>328</v>
      </c>
      <c r="B233" s="3"/>
      <c r="C233" s="181"/>
      <c r="D233" s="380"/>
      <c r="E233" s="182"/>
      <c r="F233" s="183"/>
      <c r="G233" s="181"/>
      <c r="H233" s="181"/>
      <c r="I233" s="181"/>
      <c r="J233" s="181"/>
      <c r="K233" s="184"/>
      <c r="L233" s="380"/>
      <c r="M233" s="182">
        <f>SUMIF(Q160:Q232,"B",M160:M232)</f>
        <v>247127.52000000002</v>
      </c>
      <c r="N233" s="379" t="s">
        <v>65</v>
      </c>
      <c r="O233" s="380"/>
      <c r="P233" s="381"/>
      <c r="Q233" s="53"/>
      <c r="R233" s="78"/>
      <c r="S233" s="146"/>
      <c r="T233" s="146"/>
      <c r="U233" s="146"/>
      <c r="V233" s="146"/>
      <c r="W233" s="3"/>
      <c r="X233" s="3"/>
      <c r="Y233" s="3"/>
      <c r="Z233" s="3"/>
      <c r="AA233" s="3"/>
      <c r="AB233" s="34"/>
      <c r="AC233" s="5">
        <f>SUM(AC160:AC232)</f>
        <v>378</v>
      </c>
      <c r="AD233" s="5">
        <f>SUM(AD160:AD232)</f>
        <v>792</v>
      </c>
      <c r="AE233" s="5">
        <f>SUM(AE160:AE232)</f>
        <v>100</v>
      </c>
      <c r="AF233" s="5">
        <f>SUM(AF160:AF232)</f>
        <v>820</v>
      </c>
      <c r="AG233" s="5">
        <f>SUM(AG160:AG232)</f>
        <v>0</v>
      </c>
      <c r="AH233" s="182"/>
      <c r="AI233" s="183">
        <f>SUM(AH160:AH232)</f>
        <v>10602</v>
      </c>
      <c r="AJ233" s="182">
        <f>(Shop*AC233)+M_Tech*AD233+CMM*AE233+ENG*AF233+DES*AG233+AI233</f>
        <v>234074.52000000002</v>
      </c>
      <c r="AK233" s="182"/>
      <c r="AL233" s="183">
        <f>Shop*AM233+M_Tech*AN233+CMM*AO233+ENG*AP233+DES*AQ233+AS233</f>
        <v>102986.32</v>
      </c>
      <c r="AM233" s="5">
        <f>SUM(AM160:AM232)</f>
        <v>212</v>
      </c>
      <c r="AN233" s="5">
        <f>SUM(AN160:AN232)</f>
        <v>432</v>
      </c>
      <c r="AO233" s="5">
        <f>SUM(AO160:AO232)</f>
        <v>16</v>
      </c>
      <c r="AP233" s="5">
        <f>SUM(AP160:AP232)</f>
        <v>288</v>
      </c>
      <c r="AQ233" s="5">
        <f>SUM(AQ160:AQ232)</f>
        <v>0</v>
      </c>
      <c r="AR233" s="182"/>
      <c r="AS233" s="183">
        <f>SUM(AR160:AR232)</f>
        <v>3784</v>
      </c>
    </row>
    <row r="234" spans="1:45">
      <c r="A234" s="378"/>
      <c r="B234" s="378"/>
      <c r="F234" s="170"/>
      <c r="G234" s="168"/>
      <c r="H234" s="168"/>
      <c r="I234" s="168"/>
      <c r="J234" s="168"/>
      <c r="K234" s="185"/>
      <c r="L234" s="234" t="s">
        <v>66</v>
      </c>
      <c r="M234" s="188">
        <f>SUMIF(Q224:Q232,"B",M224:M232)</f>
        <v>48638.880000000005</v>
      </c>
      <c r="N234" s="69" t="s">
        <v>66</v>
      </c>
      <c r="O234" s="360"/>
      <c r="P234" s="186"/>
      <c r="Q234" s="52"/>
      <c r="R234" s="75"/>
      <c r="S234" s="145"/>
      <c r="T234" s="145"/>
      <c r="U234" s="145"/>
      <c r="V234" s="145"/>
      <c r="W234" s="378"/>
      <c r="X234" s="378"/>
      <c r="Y234" s="378"/>
      <c r="Z234" s="378"/>
      <c r="AA234" s="378"/>
      <c r="AB234" s="33"/>
      <c r="AC234" s="4"/>
      <c r="AD234" s="4"/>
      <c r="AE234" s="4"/>
      <c r="AF234" s="4"/>
      <c r="AG234" s="4"/>
      <c r="AH234" s="169"/>
      <c r="AI234" s="256"/>
      <c r="AJ234" s="4"/>
      <c r="AK234" s="4"/>
      <c r="AM234" s="32"/>
      <c r="AN234" s="4"/>
      <c r="AO234" s="4"/>
      <c r="AP234" s="4"/>
      <c r="AQ234" s="4"/>
      <c r="AR234" s="4"/>
      <c r="AS234" s="256"/>
    </row>
    <row r="235" spans="1:45">
      <c r="A235" s="378"/>
      <c r="B235" s="378"/>
      <c r="F235" s="170"/>
      <c r="G235" s="168"/>
      <c r="H235" s="168"/>
      <c r="I235" s="168"/>
      <c r="J235" s="168"/>
      <c r="K235" s="185"/>
      <c r="M235" s="116"/>
      <c r="N235" s="7"/>
      <c r="P235" s="186"/>
      <c r="Q235" s="35"/>
      <c r="R235" s="76"/>
      <c r="S235" s="147"/>
      <c r="T235" s="147"/>
      <c r="U235" s="147"/>
      <c r="V235" s="147"/>
      <c r="W235" s="378"/>
      <c r="X235" s="378"/>
      <c r="Y235" s="378"/>
      <c r="Z235" s="378"/>
      <c r="AA235" s="378"/>
      <c r="AB235" s="36"/>
      <c r="AC235" s="31"/>
      <c r="AD235" s="31"/>
      <c r="AE235" s="31"/>
      <c r="AF235" s="31"/>
      <c r="AG235" s="31"/>
      <c r="AH235" s="254"/>
      <c r="AI235" s="255"/>
      <c r="AJ235" s="6"/>
      <c r="AK235" s="6"/>
      <c r="AM235" s="32"/>
      <c r="AN235" s="4"/>
      <c r="AO235" s="4"/>
      <c r="AP235" s="4"/>
      <c r="AQ235" s="4"/>
      <c r="AR235" s="4"/>
      <c r="AS235" s="256"/>
    </row>
    <row r="236" spans="1:45" ht="15.75">
      <c r="A236" s="49" t="s">
        <v>368</v>
      </c>
      <c r="B236" s="378"/>
      <c r="F236" s="170"/>
      <c r="G236" s="168"/>
      <c r="H236" s="168"/>
      <c r="I236" s="168"/>
      <c r="J236" s="168"/>
      <c r="K236" s="185"/>
      <c r="M236" s="116"/>
      <c r="N236" s="7"/>
      <c r="P236" s="186"/>
      <c r="Q236" s="52"/>
      <c r="R236" s="75"/>
      <c r="S236" s="145"/>
      <c r="T236" s="145"/>
      <c r="U236" s="145"/>
      <c r="V236" s="145"/>
      <c r="W236" s="378"/>
      <c r="X236" s="378"/>
      <c r="Y236" s="378"/>
      <c r="Z236" s="378"/>
      <c r="AA236" s="378"/>
      <c r="AB236" s="33"/>
      <c r="AC236" s="4"/>
      <c r="AD236" s="4"/>
      <c r="AE236" s="4"/>
      <c r="AF236" s="4"/>
      <c r="AG236" s="4"/>
      <c r="AH236" s="169"/>
      <c r="AI236" s="256"/>
      <c r="AJ236" s="4"/>
      <c r="AK236" s="4"/>
      <c r="AM236" s="32"/>
      <c r="AN236" s="4"/>
      <c r="AO236" s="4"/>
      <c r="AP236" s="4"/>
      <c r="AQ236" s="4"/>
      <c r="AR236" s="4"/>
      <c r="AS236" s="256"/>
    </row>
    <row r="237" spans="1:45" s="65" customFormat="1">
      <c r="A237" s="47" t="s">
        <v>202</v>
      </c>
      <c r="C237" s="189"/>
      <c r="E237" s="191"/>
      <c r="F237" s="192"/>
      <c r="G237" s="193"/>
      <c r="H237" s="193"/>
      <c r="I237" s="193"/>
      <c r="J237" s="193"/>
      <c r="K237" s="194"/>
      <c r="L237" s="234"/>
      <c r="M237" s="188"/>
      <c r="N237" s="69">
        <v>1</v>
      </c>
      <c r="O237" s="360"/>
      <c r="P237" s="195"/>
      <c r="Q237" s="66"/>
      <c r="R237" s="77"/>
      <c r="S237" s="145"/>
      <c r="T237" s="145"/>
      <c r="U237" s="79"/>
      <c r="V237" s="79"/>
      <c r="W237" s="378"/>
      <c r="X237" s="378"/>
      <c r="Y237" s="378"/>
      <c r="Z237" s="378"/>
      <c r="AA237" s="378"/>
      <c r="AB237" s="67"/>
      <c r="AC237" s="4"/>
      <c r="AD237" s="4"/>
      <c r="AE237" s="4"/>
      <c r="AF237" s="4"/>
      <c r="AG237" s="4"/>
      <c r="AH237" s="169"/>
      <c r="AI237" s="256"/>
      <c r="AJ237" s="4"/>
      <c r="AK237" s="4"/>
      <c r="AL237" s="116"/>
      <c r="AM237" s="32"/>
      <c r="AN237" s="4"/>
      <c r="AO237" s="4"/>
      <c r="AP237" s="4"/>
      <c r="AQ237" s="4"/>
      <c r="AR237" s="4"/>
      <c r="AS237" s="256"/>
    </row>
    <row r="238" spans="1:45" s="141" customFormat="1" hidden="1">
      <c r="A238" s="46" t="s">
        <v>333</v>
      </c>
      <c r="B238" s="20" t="s">
        <v>95</v>
      </c>
      <c r="C238" s="175">
        <v>1</v>
      </c>
      <c r="D238" s="100" t="s">
        <v>2</v>
      </c>
      <c r="E238" s="176">
        <v>2800</v>
      </c>
      <c r="F238" s="177">
        <f t="shared" ref="F238:F244" si="225">E238*C238</f>
        <v>2800</v>
      </c>
      <c r="G238" s="178">
        <v>0</v>
      </c>
      <c r="H238" s="178">
        <v>32</v>
      </c>
      <c r="I238" s="178">
        <v>0</v>
      </c>
      <c r="J238" s="178">
        <v>8</v>
      </c>
      <c r="K238" s="179">
        <v>0</v>
      </c>
      <c r="L238" s="100" t="s">
        <v>8</v>
      </c>
      <c r="M238" s="176">
        <f t="shared" ref="M238:M244" si="226">IF(R238="PD",((Shop*G238)+(M_Tech*H238)+(CMM*I238)+(ENG*J238)+(DES*K238))*N238,((Shop_RD*G238)+(MTECH_RD*H238)+(CMM_RD*I238)+(ENG_RD*J238)+(DES_RD*K238))*N238)</f>
        <v>0</v>
      </c>
      <c r="N238" s="96">
        <v>0</v>
      </c>
      <c r="O238" s="176">
        <f t="shared" ref="O238:O244" si="227">M238+(F238*N238)</f>
        <v>0</v>
      </c>
      <c r="P238" s="180"/>
      <c r="Q238" s="52" t="s">
        <v>46</v>
      </c>
      <c r="R238" s="75" t="s">
        <v>221</v>
      </c>
      <c r="S238" s="145" t="str">
        <f t="shared" ref="S238:S244" si="228">CONCATENATE(Q238,R238,AB238)</f>
        <v>BPT2009</v>
      </c>
      <c r="T238" s="145" t="str">
        <f t="shared" ref="T238:T244" si="229">CONCATENATE(Q238,U238,AB238)</f>
        <v>B1.2.1.3.12009</v>
      </c>
      <c r="U238" s="145" t="s">
        <v>198</v>
      </c>
      <c r="V238" s="145" t="str">
        <f t="shared" ref="V238:V244" si="230">LOOKUP(U238,$B$383:$B$420,$A$383:$A$420)</f>
        <v>Thermal Prototype</v>
      </c>
      <c r="W238" s="20"/>
      <c r="X238" s="20"/>
      <c r="Y238" s="20"/>
      <c r="Z238" s="20"/>
      <c r="AA238" s="20"/>
      <c r="AB238" s="33">
        <v>2009</v>
      </c>
      <c r="AC238" s="140">
        <f t="shared" ref="AC238:AG244" si="231">IF($Q238="B", (G238*$N238),0)</f>
        <v>0</v>
      </c>
      <c r="AD238" s="140">
        <f t="shared" si="231"/>
        <v>0</v>
      </c>
      <c r="AE238" s="140">
        <f t="shared" si="231"/>
        <v>0</v>
      </c>
      <c r="AF238" s="140">
        <f t="shared" si="231"/>
        <v>0</v>
      </c>
      <c r="AG238" s="140">
        <f t="shared" si="231"/>
        <v>0</v>
      </c>
      <c r="AH238" s="251">
        <f t="shared" ref="AH238:AH244" si="232">IF($Q238="B", (F238*$N238),0)</f>
        <v>0</v>
      </c>
      <c r="AI238" s="253"/>
      <c r="AJ238" s="259"/>
      <c r="AK238" s="259"/>
      <c r="AL238" s="176"/>
      <c r="AM238" s="139">
        <f t="shared" ref="AM238:AQ244" si="233">IF($Q238="C", (G238*$N238),0)</f>
        <v>0</v>
      </c>
      <c r="AN238" s="140">
        <f t="shared" si="233"/>
        <v>0</v>
      </c>
      <c r="AO238" s="140">
        <f t="shared" si="233"/>
        <v>0</v>
      </c>
      <c r="AP238" s="140">
        <f t="shared" si="233"/>
        <v>0</v>
      </c>
      <c r="AQ238" s="140">
        <f t="shared" si="233"/>
        <v>0</v>
      </c>
      <c r="AR238" s="140">
        <f t="shared" ref="AR238:AR244" si="234">IF($Q238="C", (F238*$N238),0)</f>
        <v>0</v>
      </c>
      <c r="AS238" s="253"/>
    </row>
    <row r="239" spans="1:45" s="141" customFormat="1" hidden="1">
      <c r="A239" s="46" t="s">
        <v>334</v>
      </c>
      <c r="B239" s="20" t="s">
        <v>95</v>
      </c>
      <c r="C239" s="175">
        <v>1</v>
      </c>
      <c r="D239" s="100" t="s">
        <v>2</v>
      </c>
      <c r="E239" s="176">
        <v>2800</v>
      </c>
      <c r="F239" s="177">
        <f t="shared" si="225"/>
        <v>2800</v>
      </c>
      <c r="G239" s="178">
        <v>0</v>
      </c>
      <c r="H239" s="178">
        <v>32</v>
      </c>
      <c r="I239" s="178">
        <v>0</v>
      </c>
      <c r="J239" s="178">
        <v>8</v>
      </c>
      <c r="K239" s="179">
        <v>0</v>
      </c>
      <c r="L239" s="100" t="s">
        <v>8</v>
      </c>
      <c r="M239" s="176">
        <f t="shared" si="226"/>
        <v>0</v>
      </c>
      <c r="N239" s="96">
        <v>0</v>
      </c>
      <c r="O239" s="176">
        <f t="shared" si="227"/>
        <v>0</v>
      </c>
      <c r="P239" s="180"/>
      <c r="Q239" s="52" t="s">
        <v>46</v>
      </c>
      <c r="R239" s="75" t="s">
        <v>221</v>
      </c>
      <c r="S239" s="145" t="str">
        <f t="shared" si="228"/>
        <v>BPT2009</v>
      </c>
      <c r="T239" s="145" t="str">
        <f t="shared" si="229"/>
        <v>B1.2.1.3.12009</v>
      </c>
      <c r="U239" s="145" t="s">
        <v>198</v>
      </c>
      <c r="V239" s="145" t="str">
        <f t="shared" si="230"/>
        <v>Thermal Prototype</v>
      </c>
      <c r="W239" s="20"/>
      <c r="X239" s="20"/>
      <c r="Y239" s="20"/>
      <c r="Z239" s="20"/>
      <c r="AA239" s="20"/>
      <c r="AB239" s="33">
        <v>2009</v>
      </c>
      <c r="AC239" s="140">
        <f t="shared" si="231"/>
        <v>0</v>
      </c>
      <c r="AD239" s="140">
        <f t="shared" si="231"/>
        <v>0</v>
      </c>
      <c r="AE239" s="140">
        <f t="shared" si="231"/>
        <v>0</v>
      </c>
      <c r="AF239" s="140">
        <f t="shared" si="231"/>
        <v>0</v>
      </c>
      <c r="AG239" s="140">
        <f t="shared" si="231"/>
        <v>0</v>
      </c>
      <c r="AH239" s="251">
        <f t="shared" si="232"/>
        <v>0</v>
      </c>
      <c r="AI239" s="253"/>
      <c r="AJ239" s="259"/>
      <c r="AK239" s="259"/>
      <c r="AL239" s="176"/>
      <c r="AM239" s="139">
        <f t="shared" si="233"/>
        <v>0</v>
      </c>
      <c r="AN239" s="140">
        <f t="shared" si="233"/>
        <v>0</v>
      </c>
      <c r="AO239" s="140">
        <f t="shared" si="233"/>
        <v>0</v>
      </c>
      <c r="AP239" s="140">
        <f t="shared" si="233"/>
        <v>0</v>
      </c>
      <c r="AQ239" s="140">
        <f t="shared" si="233"/>
        <v>0</v>
      </c>
      <c r="AR239" s="140">
        <f t="shared" si="234"/>
        <v>0</v>
      </c>
      <c r="AS239" s="253"/>
    </row>
    <row r="240" spans="1:45" s="141" customFormat="1" hidden="1">
      <c r="A240" s="46" t="s">
        <v>336</v>
      </c>
      <c r="B240" s="20" t="s">
        <v>338</v>
      </c>
      <c r="C240" s="175">
        <v>40</v>
      </c>
      <c r="D240" s="100" t="s">
        <v>38</v>
      </c>
      <c r="E240" s="176">
        <v>20</v>
      </c>
      <c r="F240" s="177">
        <f t="shared" si="225"/>
        <v>800</v>
      </c>
      <c r="G240" s="178">
        <v>0</v>
      </c>
      <c r="H240" s="178">
        <v>40</v>
      </c>
      <c r="I240" s="178">
        <v>0</v>
      </c>
      <c r="J240" s="178">
        <v>8</v>
      </c>
      <c r="K240" s="179">
        <v>0</v>
      </c>
      <c r="L240" s="100" t="s">
        <v>8</v>
      </c>
      <c r="M240" s="176">
        <f t="shared" si="226"/>
        <v>0</v>
      </c>
      <c r="N240" s="96">
        <v>0</v>
      </c>
      <c r="O240" s="176">
        <f t="shared" si="227"/>
        <v>0</v>
      </c>
      <c r="P240" s="180"/>
      <c r="Q240" s="52" t="s">
        <v>46</v>
      </c>
      <c r="R240" s="75" t="s">
        <v>221</v>
      </c>
      <c r="S240" s="145" t="str">
        <f t="shared" si="228"/>
        <v>BPT2009</v>
      </c>
      <c r="T240" s="145" t="str">
        <f t="shared" si="229"/>
        <v>B1.2.1.3.12009</v>
      </c>
      <c r="U240" s="145" t="s">
        <v>198</v>
      </c>
      <c r="V240" s="145" t="str">
        <f t="shared" si="230"/>
        <v>Thermal Prototype</v>
      </c>
      <c r="W240" s="20"/>
      <c r="X240" s="20"/>
      <c r="Y240" s="20"/>
      <c r="Z240" s="20"/>
      <c r="AA240" s="20"/>
      <c r="AB240" s="33">
        <v>2009</v>
      </c>
      <c r="AC240" s="140">
        <f t="shared" si="231"/>
        <v>0</v>
      </c>
      <c r="AD240" s="140">
        <f t="shared" si="231"/>
        <v>0</v>
      </c>
      <c r="AE240" s="140">
        <f t="shared" si="231"/>
        <v>0</v>
      </c>
      <c r="AF240" s="140">
        <f t="shared" si="231"/>
        <v>0</v>
      </c>
      <c r="AG240" s="140">
        <f t="shared" si="231"/>
        <v>0</v>
      </c>
      <c r="AH240" s="251">
        <f t="shared" si="232"/>
        <v>0</v>
      </c>
      <c r="AI240" s="253"/>
      <c r="AJ240" s="259"/>
      <c r="AK240" s="259"/>
      <c r="AL240" s="176"/>
      <c r="AM240" s="139">
        <f t="shared" si="233"/>
        <v>0</v>
      </c>
      <c r="AN240" s="140">
        <f t="shared" si="233"/>
        <v>0</v>
      </c>
      <c r="AO240" s="140">
        <f t="shared" si="233"/>
        <v>0</v>
      </c>
      <c r="AP240" s="140">
        <f t="shared" si="233"/>
        <v>0</v>
      </c>
      <c r="AQ240" s="140">
        <f t="shared" si="233"/>
        <v>0</v>
      </c>
      <c r="AR240" s="140">
        <f t="shared" si="234"/>
        <v>0</v>
      </c>
      <c r="AS240" s="253"/>
    </row>
    <row r="241" spans="1:45" s="141" customFormat="1" hidden="1">
      <c r="A241" s="46" t="s">
        <v>337</v>
      </c>
      <c r="B241" s="20" t="s">
        <v>33</v>
      </c>
      <c r="C241" s="175">
        <v>0</v>
      </c>
      <c r="D241" s="100" t="s">
        <v>9</v>
      </c>
      <c r="E241" s="176">
        <v>0</v>
      </c>
      <c r="F241" s="177">
        <f t="shared" si="225"/>
        <v>0</v>
      </c>
      <c r="G241" s="178">
        <v>0</v>
      </c>
      <c r="H241" s="178">
        <v>80</v>
      </c>
      <c r="I241" s="178">
        <v>0</v>
      </c>
      <c r="J241" s="178">
        <v>24</v>
      </c>
      <c r="K241" s="179">
        <v>0</v>
      </c>
      <c r="L241" s="100" t="s">
        <v>8</v>
      </c>
      <c r="M241" s="176">
        <f t="shared" si="226"/>
        <v>0</v>
      </c>
      <c r="N241" s="96">
        <v>0</v>
      </c>
      <c r="O241" s="176">
        <f t="shared" si="227"/>
        <v>0</v>
      </c>
      <c r="P241" s="180"/>
      <c r="Q241" s="52" t="s">
        <v>46</v>
      </c>
      <c r="R241" s="75" t="s">
        <v>221</v>
      </c>
      <c r="S241" s="145" t="str">
        <f t="shared" si="228"/>
        <v>BPT2009</v>
      </c>
      <c r="T241" s="145" t="str">
        <f t="shared" si="229"/>
        <v>B1.2.1.3.12009</v>
      </c>
      <c r="U241" s="145" t="s">
        <v>198</v>
      </c>
      <c r="V241" s="145" t="str">
        <f t="shared" si="230"/>
        <v>Thermal Prototype</v>
      </c>
      <c r="W241" s="20"/>
      <c r="X241" s="20"/>
      <c r="Y241" s="20"/>
      <c r="Z241" s="20"/>
      <c r="AA241" s="20"/>
      <c r="AB241" s="33">
        <v>2009</v>
      </c>
      <c r="AC241" s="140">
        <f t="shared" si="231"/>
        <v>0</v>
      </c>
      <c r="AD241" s="140">
        <f t="shared" si="231"/>
        <v>0</v>
      </c>
      <c r="AE241" s="140">
        <f t="shared" si="231"/>
        <v>0</v>
      </c>
      <c r="AF241" s="140">
        <f t="shared" si="231"/>
        <v>0</v>
      </c>
      <c r="AG241" s="140">
        <f t="shared" si="231"/>
        <v>0</v>
      </c>
      <c r="AH241" s="251">
        <f t="shared" si="232"/>
        <v>0</v>
      </c>
      <c r="AI241" s="253"/>
      <c r="AJ241" s="259"/>
      <c r="AK241" s="259"/>
      <c r="AL241" s="176"/>
      <c r="AM241" s="139">
        <f t="shared" si="233"/>
        <v>0</v>
      </c>
      <c r="AN241" s="140">
        <f t="shared" si="233"/>
        <v>0</v>
      </c>
      <c r="AO241" s="140">
        <f t="shared" si="233"/>
        <v>0</v>
      </c>
      <c r="AP241" s="140">
        <f t="shared" si="233"/>
        <v>0</v>
      </c>
      <c r="AQ241" s="140">
        <f t="shared" si="233"/>
        <v>0</v>
      </c>
      <c r="AR241" s="140">
        <f t="shared" si="234"/>
        <v>0</v>
      </c>
      <c r="AS241" s="253"/>
    </row>
    <row r="242" spans="1:45" s="141" customFormat="1">
      <c r="A242" s="46" t="s">
        <v>399</v>
      </c>
      <c r="B242" s="20" t="s">
        <v>33</v>
      </c>
      <c r="C242" s="175">
        <v>0</v>
      </c>
      <c r="D242" s="100" t="s">
        <v>9</v>
      </c>
      <c r="E242" s="176">
        <v>0</v>
      </c>
      <c r="F242" s="177">
        <f t="shared" si="225"/>
        <v>0</v>
      </c>
      <c r="G242" s="178">
        <v>0</v>
      </c>
      <c r="H242" s="178">
        <v>80</v>
      </c>
      <c r="I242" s="178">
        <v>0</v>
      </c>
      <c r="J242" s="178">
        <v>0</v>
      </c>
      <c r="K242" s="179">
        <v>0</v>
      </c>
      <c r="L242" s="100" t="s">
        <v>8</v>
      </c>
      <c r="M242" s="176">
        <f t="shared" si="226"/>
        <v>9360</v>
      </c>
      <c r="N242" s="96">
        <v>1</v>
      </c>
      <c r="O242" s="176">
        <f t="shared" si="227"/>
        <v>9360</v>
      </c>
      <c r="P242" s="180"/>
      <c r="Q242" s="52" t="s">
        <v>46</v>
      </c>
      <c r="R242" s="75" t="s">
        <v>221</v>
      </c>
      <c r="S242" s="145" t="str">
        <f t="shared" si="228"/>
        <v>BPT2010</v>
      </c>
      <c r="T242" s="145" t="str">
        <f t="shared" si="229"/>
        <v>B1.2.1.3.12010</v>
      </c>
      <c r="U242" s="145" t="s">
        <v>198</v>
      </c>
      <c r="V242" s="145" t="str">
        <f t="shared" si="230"/>
        <v>Thermal Prototype</v>
      </c>
      <c r="W242" s="20"/>
      <c r="X242" s="20"/>
      <c r="Y242" s="20"/>
      <c r="Z242" s="20"/>
      <c r="AA242" s="20"/>
      <c r="AB242" s="33">
        <v>2010</v>
      </c>
      <c r="AC242" s="140">
        <f t="shared" si="231"/>
        <v>0</v>
      </c>
      <c r="AD242" s="140">
        <f t="shared" si="231"/>
        <v>80</v>
      </c>
      <c r="AE242" s="140">
        <f t="shared" si="231"/>
        <v>0</v>
      </c>
      <c r="AF242" s="140">
        <f t="shared" si="231"/>
        <v>0</v>
      </c>
      <c r="AG242" s="140">
        <f t="shared" si="231"/>
        <v>0</v>
      </c>
      <c r="AH242" s="251">
        <f t="shared" si="232"/>
        <v>0</v>
      </c>
      <c r="AI242" s="253"/>
      <c r="AJ242" s="259"/>
      <c r="AK242" s="259"/>
      <c r="AL242" s="176"/>
      <c r="AM242" s="139">
        <f t="shared" si="233"/>
        <v>0</v>
      </c>
      <c r="AN242" s="140">
        <f t="shared" si="233"/>
        <v>0</v>
      </c>
      <c r="AO242" s="140">
        <f t="shared" si="233"/>
        <v>0</v>
      </c>
      <c r="AP242" s="140">
        <f t="shared" si="233"/>
        <v>0</v>
      </c>
      <c r="AQ242" s="140">
        <f t="shared" si="233"/>
        <v>0</v>
      </c>
      <c r="AR242" s="140">
        <f t="shared" si="234"/>
        <v>0</v>
      </c>
      <c r="AS242" s="253"/>
    </row>
    <row r="243" spans="1:45" s="141" customFormat="1" hidden="1">
      <c r="A243" s="65" t="s">
        <v>447</v>
      </c>
      <c r="B243" s="20" t="s">
        <v>33</v>
      </c>
      <c r="C243" s="175">
        <v>0</v>
      </c>
      <c r="D243" s="100" t="s">
        <v>9</v>
      </c>
      <c r="E243" s="176">
        <v>0</v>
      </c>
      <c r="F243" s="177">
        <f t="shared" si="225"/>
        <v>0</v>
      </c>
      <c r="G243" s="178">
        <v>0</v>
      </c>
      <c r="H243" s="178">
        <v>0</v>
      </c>
      <c r="I243" s="178">
        <v>0</v>
      </c>
      <c r="J243" s="178">
        <v>60</v>
      </c>
      <c r="K243" s="179">
        <v>0</v>
      </c>
      <c r="L243" s="100" t="s">
        <v>8</v>
      </c>
      <c r="M243" s="176">
        <f t="shared" si="226"/>
        <v>0</v>
      </c>
      <c r="N243" s="96">
        <v>0</v>
      </c>
      <c r="O243" s="176">
        <f t="shared" si="227"/>
        <v>0</v>
      </c>
      <c r="P243" s="180"/>
      <c r="Q243" s="52" t="s">
        <v>46</v>
      </c>
      <c r="R243" s="75" t="s">
        <v>221</v>
      </c>
      <c r="S243" s="145" t="str">
        <f t="shared" si="228"/>
        <v>BPT2011</v>
      </c>
      <c r="T243" s="145" t="str">
        <f t="shared" si="229"/>
        <v>B1.2.1.3.12011</v>
      </c>
      <c r="U243" s="145" t="s">
        <v>198</v>
      </c>
      <c r="V243" s="145" t="str">
        <f t="shared" si="230"/>
        <v>Thermal Prototype</v>
      </c>
      <c r="W243" s="20"/>
      <c r="X243" s="20"/>
      <c r="Y243" s="20"/>
      <c r="Z243" s="20"/>
      <c r="AA243" s="20"/>
      <c r="AB243" s="33">
        <v>2011</v>
      </c>
      <c r="AC243" s="140">
        <f t="shared" si="231"/>
        <v>0</v>
      </c>
      <c r="AD243" s="140">
        <f t="shared" si="231"/>
        <v>0</v>
      </c>
      <c r="AE243" s="140">
        <f t="shared" si="231"/>
        <v>0</v>
      </c>
      <c r="AF243" s="140">
        <f t="shared" si="231"/>
        <v>0</v>
      </c>
      <c r="AG243" s="140">
        <f t="shared" si="231"/>
        <v>0</v>
      </c>
      <c r="AH243" s="251">
        <f t="shared" si="232"/>
        <v>0</v>
      </c>
      <c r="AI243" s="253"/>
      <c r="AJ243" s="259"/>
      <c r="AK243" s="259"/>
      <c r="AL243" s="176"/>
      <c r="AM243" s="139">
        <f t="shared" si="233"/>
        <v>0</v>
      </c>
      <c r="AN243" s="140">
        <f t="shared" si="233"/>
        <v>0</v>
      </c>
      <c r="AO243" s="140">
        <f t="shared" si="233"/>
        <v>0</v>
      </c>
      <c r="AP243" s="140">
        <f t="shared" si="233"/>
        <v>0</v>
      </c>
      <c r="AQ243" s="140">
        <f t="shared" si="233"/>
        <v>0</v>
      </c>
      <c r="AR243" s="140">
        <f t="shared" si="234"/>
        <v>0</v>
      </c>
      <c r="AS243" s="253"/>
    </row>
    <row r="244" spans="1:45" s="141" customFormat="1" hidden="1">
      <c r="A244" s="384" t="s">
        <v>335</v>
      </c>
      <c r="B244" s="20" t="s">
        <v>33</v>
      </c>
      <c r="C244" s="175">
        <v>0</v>
      </c>
      <c r="D244" s="100" t="s">
        <v>9</v>
      </c>
      <c r="E244" s="176">
        <v>0</v>
      </c>
      <c r="F244" s="177">
        <f t="shared" si="225"/>
        <v>0</v>
      </c>
      <c r="G244" s="178">
        <v>0</v>
      </c>
      <c r="H244" s="178">
        <v>0</v>
      </c>
      <c r="I244" s="178">
        <v>0</v>
      </c>
      <c r="J244" s="178">
        <v>60</v>
      </c>
      <c r="K244" s="179">
        <v>0</v>
      </c>
      <c r="L244" s="100" t="s">
        <v>8</v>
      </c>
      <c r="M244" s="176">
        <f t="shared" si="226"/>
        <v>0</v>
      </c>
      <c r="N244" s="96">
        <v>0</v>
      </c>
      <c r="O244" s="176">
        <f t="shared" si="227"/>
        <v>0</v>
      </c>
      <c r="P244" s="180"/>
      <c r="Q244" s="52" t="s">
        <v>46</v>
      </c>
      <c r="R244" s="75" t="s">
        <v>221</v>
      </c>
      <c r="S244" s="145" t="str">
        <f t="shared" si="228"/>
        <v>BPTCONT</v>
      </c>
      <c r="T244" s="145" t="str">
        <f t="shared" si="229"/>
        <v>B1.2.1.3.1CONT</v>
      </c>
      <c r="U244" s="145" t="s">
        <v>198</v>
      </c>
      <c r="V244" s="145" t="str">
        <f t="shared" si="230"/>
        <v>Thermal Prototype</v>
      </c>
      <c r="W244" s="20"/>
      <c r="X244" s="20"/>
      <c r="Y244" s="20"/>
      <c r="Z244" s="20"/>
      <c r="AA244" s="20"/>
      <c r="AB244" s="33" t="s">
        <v>177</v>
      </c>
      <c r="AC244" s="140">
        <f t="shared" si="231"/>
        <v>0</v>
      </c>
      <c r="AD244" s="140">
        <f t="shared" si="231"/>
        <v>0</v>
      </c>
      <c r="AE244" s="140">
        <f t="shared" si="231"/>
        <v>0</v>
      </c>
      <c r="AF244" s="140">
        <f t="shared" si="231"/>
        <v>0</v>
      </c>
      <c r="AG244" s="140">
        <f t="shared" si="231"/>
        <v>0</v>
      </c>
      <c r="AH244" s="251">
        <f t="shared" si="232"/>
        <v>0</v>
      </c>
      <c r="AI244" s="253"/>
      <c r="AJ244" s="259"/>
      <c r="AK244" s="259"/>
      <c r="AL244" s="176"/>
      <c r="AM244" s="139">
        <f t="shared" si="233"/>
        <v>0</v>
      </c>
      <c r="AN244" s="140">
        <f t="shared" si="233"/>
        <v>0</v>
      </c>
      <c r="AO244" s="140">
        <f t="shared" si="233"/>
        <v>0</v>
      </c>
      <c r="AP244" s="140">
        <f t="shared" si="233"/>
        <v>0</v>
      </c>
      <c r="AQ244" s="140">
        <f t="shared" si="233"/>
        <v>0</v>
      </c>
      <c r="AR244" s="140">
        <f t="shared" si="234"/>
        <v>0</v>
      </c>
      <c r="AS244" s="253"/>
    </row>
    <row r="245" spans="1:45" s="46" customFormat="1">
      <c r="A245" s="47" t="s">
        <v>203</v>
      </c>
      <c r="C245" s="196"/>
      <c r="E245" s="197"/>
      <c r="F245" s="198"/>
      <c r="G245" s="199"/>
      <c r="H245" s="199"/>
      <c r="I245" s="199"/>
      <c r="J245" s="199"/>
      <c r="K245" s="200"/>
      <c r="L245" s="234" t="s">
        <v>66</v>
      </c>
      <c r="M245" s="188">
        <f>SUMIF(Q238:Q244,"B",M238:M244)</f>
        <v>9360</v>
      </c>
      <c r="N245" s="69" t="s">
        <v>66</v>
      </c>
      <c r="O245" s="188"/>
      <c r="P245" s="201"/>
      <c r="Q245" s="66"/>
      <c r="R245" s="77"/>
      <c r="S245" s="145"/>
      <c r="T245" s="145"/>
      <c r="U245" s="79"/>
      <c r="V245" s="79"/>
      <c r="W245" s="20"/>
      <c r="X245" s="20"/>
      <c r="Y245" s="20"/>
      <c r="Z245" s="20"/>
      <c r="AA245" s="20"/>
      <c r="AB245" s="33"/>
      <c r="AC245" s="140"/>
      <c r="AD245" s="140"/>
      <c r="AE245" s="140"/>
      <c r="AF245" s="140"/>
      <c r="AG245" s="140"/>
      <c r="AH245" s="251"/>
      <c r="AI245" s="252"/>
      <c r="AJ245" s="140"/>
      <c r="AK245" s="140"/>
      <c r="AL245" s="176"/>
      <c r="AM245" s="139"/>
      <c r="AN245" s="140"/>
      <c r="AO245" s="140"/>
      <c r="AP245" s="140"/>
      <c r="AQ245" s="140"/>
      <c r="AR245" s="140"/>
      <c r="AS245" s="252"/>
    </row>
    <row r="246" spans="1:45" s="141" customFormat="1">
      <c r="A246" s="46" t="s">
        <v>339</v>
      </c>
      <c r="B246" s="20" t="s">
        <v>33</v>
      </c>
      <c r="C246" s="175">
        <v>0</v>
      </c>
      <c r="D246" s="100" t="s">
        <v>9</v>
      </c>
      <c r="E246" s="176">
        <v>0</v>
      </c>
      <c r="F246" s="177">
        <f t="shared" ref="F246:F251" si="235">E246*C246</f>
        <v>0</v>
      </c>
      <c r="G246" s="178">
        <v>0</v>
      </c>
      <c r="H246" s="178">
        <v>40</v>
      </c>
      <c r="I246" s="178">
        <v>0</v>
      </c>
      <c r="J246" s="374">
        <v>60</v>
      </c>
      <c r="K246" s="179">
        <v>0</v>
      </c>
      <c r="L246" s="100" t="s">
        <v>8</v>
      </c>
      <c r="M246" s="176">
        <f t="shared" ref="M246:M251" si="236">IF(R246="PD",((Shop*G246)+(M_Tech*H246)+(CMM*I246)+(ENG*J246)+(DES*K246))*N246,((Shop_RD*G246)+(MTECH_RD*H246)+(CMM_RD*I246)+(ENG_RD*J246)+(DES_RD*K246))*N246)</f>
        <v>13680</v>
      </c>
      <c r="N246" s="96">
        <v>1</v>
      </c>
      <c r="O246" s="176">
        <f t="shared" ref="O246:O251" si="237">M246+(F246*N246)</f>
        <v>13680</v>
      </c>
      <c r="P246" s="180"/>
      <c r="Q246" s="52" t="s">
        <v>46</v>
      </c>
      <c r="R246" s="75" t="s">
        <v>221</v>
      </c>
      <c r="S246" s="145" t="str">
        <f t="shared" ref="S246:S251" si="238">CONCATENATE(Q246,R246,AB246)</f>
        <v>BPT2010</v>
      </c>
      <c r="T246" s="145" t="str">
        <f t="shared" ref="T246:T251" si="239">CONCATENATE(Q246,U246,AB246)</f>
        <v>B1.2.1.3.22010</v>
      </c>
      <c r="U246" s="145" t="s">
        <v>199</v>
      </c>
      <c r="V246" s="145" t="str">
        <f t="shared" ref="V246:V251" si="240">LOOKUP(U246,$B$383:$B$420,$A$383:$A$420)</f>
        <v>Insertion Test Bed</v>
      </c>
      <c r="W246" s="20"/>
      <c r="X246" s="20"/>
      <c r="Y246" s="20"/>
      <c r="Z246" s="20"/>
      <c r="AA246" s="20"/>
      <c r="AB246" s="33">
        <v>2010</v>
      </c>
      <c r="AC246" s="140">
        <f t="shared" ref="AC246:AG251" si="241">IF($Q246="B", (G246*$N246),0)</f>
        <v>0</v>
      </c>
      <c r="AD246" s="140">
        <f t="shared" si="241"/>
        <v>40</v>
      </c>
      <c r="AE246" s="140">
        <f t="shared" si="241"/>
        <v>0</v>
      </c>
      <c r="AF246" s="140">
        <f t="shared" si="241"/>
        <v>60</v>
      </c>
      <c r="AG246" s="140">
        <f t="shared" si="241"/>
        <v>0</v>
      </c>
      <c r="AH246" s="251">
        <f t="shared" ref="AH246:AH251" si="242">IF($Q246="B", (F246*$N246),0)</f>
        <v>0</v>
      </c>
      <c r="AI246" s="253"/>
      <c r="AJ246" s="259"/>
      <c r="AK246" s="259"/>
      <c r="AL246" s="176"/>
      <c r="AM246" s="139">
        <f t="shared" ref="AM246:AQ251" si="243">IF($Q246="C", (G246*$N246),0)</f>
        <v>0</v>
      </c>
      <c r="AN246" s="140">
        <f t="shared" si="243"/>
        <v>0</v>
      </c>
      <c r="AO246" s="140">
        <f t="shared" si="243"/>
        <v>0</v>
      </c>
      <c r="AP246" s="140">
        <f t="shared" si="243"/>
        <v>0</v>
      </c>
      <c r="AQ246" s="140">
        <f t="shared" si="243"/>
        <v>0</v>
      </c>
      <c r="AR246" s="140">
        <f t="shared" ref="AR246:AR251" si="244">IF($Q246="C", (F246*$N246),0)</f>
        <v>0</v>
      </c>
      <c r="AS246" s="253"/>
    </row>
    <row r="247" spans="1:45" s="141" customFormat="1">
      <c r="A247" s="46" t="s">
        <v>340</v>
      </c>
      <c r="B247" s="20" t="s">
        <v>7</v>
      </c>
      <c r="C247" s="175">
        <v>850</v>
      </c>
      <c r="D247" s="100" t="s">
        <v>38</v>
      </c>
      <c r="E247" s="176">
        <v>8</v>
      </c>
      <c r="F247" s="177">
        <f t="shared" si="235"/>
        <v>6800</v>
      </c>
      <c r="G247" s="374">
        <v>40</v>
      </c>
      <c r="H247" s="178">
        <v>160</v>
      </c>
      <c r="I247" s="178">
        <v>24</v>
      </c>
      <c r="J247" s="374">
        <v>30</v>
      </c>
      <c r="K247" s="179">
        <v>0</v>
      </c>
      <c r="L247" s="100" t="s">
        <v>8</v>
      </c>
      <c r="M247" s="176">
        <f t="shared" si="236"/>
        <v>31284</v>
      </c>
      <c r="N247" s="96">
        <v>1</v>
      </c>
      <c r="O247" s="176">
        <f t="shared" si="237"/>
        <v>38084</v>
      </c>
      <c r="P247" s="180"/>
      <c r="Q247" s="52" t="s">
        <v>46</v>
      </c>
      <c r="R247" s="75" t="s">
        <v>221</v>
      </c>
      <c r="S247" s="145" t="str">
        <f t="shared" si="238"/>
        <v>BPT2010</v>
      </c>
      <c r="T247" s="145" t="str">
        <f t="shared" si="239"/>
        <v>B1.2.1.3.22010</v>
      </c>
      <c r="U247" s="145" t="s">
        <v>199</v>
      </c>
      <c r="V247" s="145" t="str">
        <f t="shared" si="240"/>
        <v>Insertion Test Bed</v>
      </c>
      <c r="W247" s="20"/>
      <c r="X247" s="20"/>
      <c r="Y247" s="20"/>
      <c r="Z247" s="20"/>
      <c r="AA247" s="20"/>
      <c r="AB247" s="33">
        <v>2010</v>
      </c>
      <c r="AC247" s="140">
        <f t="shared" si="241"/>
        <v>40</v>
      </c>
      <c r="AD247" s="140">
        <f t="shared" si="241"/>
        <v>160</v>
      </c>
      <c r="AE247" s="140">
        <f t="shared" si="241"/>
        <v>24</v>
      </c>
      <c r="AF247" s="140">
        <f t="shared" si="241"/>
        <v>30</v>
      </c>
      <c r="AG247" s="140">
        <f t="shared" si="241"/>
        <v>0</v>
      </c>
      <c r="AH247" s="251">
        <f t="shared" si="242"/>
        <v>6800</v>
      </c>
      <c r="AI247" s="253"/>
      <c r="AJ247" s="259"/>
      <c r="AK247" s="259"/>
      <c r="AL247" s="176"/>
      <c r="AM247" s="139">
        <f t="shared" si="243"/>
        <v>0</v>
      </c>
      <c r="AN247" s="140">
        <f t="shared" si="243"/>
        <v>0</v>
      </c>
      <c r="AO247" s="140">
        <f t="shared" si="243"/>
        <v>0</v>
      </c>
      <c r="AP247" s="140">
        <f t="shared" si="243"/>
        <v>0</v>
      </c>
      <c r="AQ247" s="140">
        <f t="shared" si="243"/>
        <v>0</v>
      </c>
      <c r="AR247" s="140">
        <f t="shared" si="244"/>
        <v>0</v>
      </c>
      <c r="AS247" s="253"/>
    </row>
    <row r="248" spans="1:45" s="141" customFormat="1">
      <c r="A248" s="46" t="s">
        <v>342</v>
      </c>
      <c r="B248" s="20" t="s">
        <v>33</v>
      </c>
      <c r="C248" s="175">
        <v>0</v>
      </c>
      <c r="D248" s="100" t="s">
        <v>9</v>
      </c>
      <c r="E248" s="176">
        <v>0</v>
      </c>
      <c r="F248" s="177">
        <f t="shared" si="235"/>
        <v>0</v>
      </c>
      <c r="G248" s="374">
        <v>8</v>
      </c>
      <c r="H248" s="178">
        <v>80</v>
      </c>
      <c r="I248" s="178">
        <v>24</v>
      </c>
      <c r="J248" s="374">
        <v>30</v>
      </c>
      <c r="K248" s="179">
        <v>0</v>
      </c>
      <c r="L248" s="100" t="s">
        <v>8</v>
      </c>
      <c r="M248" s="176">
        <f t="shared" si="236"/>
        <v>17892</v>
      </c>
      <c r="N248" s="96">
        <v>1</v>
      </c>
      <c r="O248" s="176">
        <f t="shared" si="237"/>
        <v>17892</v>
      </c>
      <c r="P248" s="180"/>
      <c r="Q248" s="52" t="s">
        <v>46</v>
      </c>
      <c r="R248" s="75" t="s">
        <v>221</v>
      </c>
      <c r="S248" s="145" t="str">
        <f t="shared" si="238"/>
        <v>BPT2010</v>
      </c>
      <c r="T248" s="145" t="str">
        <f t="shared" si="239"/>
        <v>B1.2.1.3.22010</v>
      </c>
      <c r="U248" s="145" t="s">
        <v>199</v>
      </c>
      <c r="V248" s="145" t="str">
        <f t="shared" si="240"/>
        <v>Insertion Test Bed</v>
      </c>
      <c r="W248" s="20"/>
      <c r="X248" s="20"/>
      <c r="Y248" s="20"/>
      <c r="Z248" s="20"/>
      <c r="AA248" s="20"/>
      <c r="AB248" s="33">
        <v>2010</v>
      </c>
      <c r="AC248" s="140">
        <f t="shared" si="241"/>
        <v>8</v>
      </c>
      <c r="AD248" s="140">
        <f t="shared" si="241"/>
        <v>80</v>
      </c>
      <c r="AE248" s="140">
        <f t="shared" si="241"/>
        <v>24</v>
      </c>
      <c r="AF248" s="140">
        <f t="shared" si="241"/>
        <v>30</v>
      </c>
      <c r="AG248" s="140">
        <f t="shared" si="241"/>
        <v>0</v>
      </c>
      <c r="AH248" s="251">
        <f t="shared" si="242"/>
        <v>0</v>
      </c>
      <c r="AI248" s="253"/>
      <c r="AJ248" s="259"/>
      <c r="AK248" s="259"/>
      <c r="AL248" s="176"/>
      <c r="AM248" s="139">
        <f t="shared" si="243"/>
        <v>0</v>
      </c>
      <c r="AN248" s="140">
        <f t="shared" si="243"/>
        <v>0</v>
      </c>
      <c r="AO248" s="140">
        <f t="shared" si="243"/>
        <v>0</v>
      </c>
      <c r="AP248" s="140">
        <f t="shared" si="243"/>
        <v>0</v>
      </c>
      <c r="AQ248" s="140">
        <f t="shared" si="243"/>
        <v>0</v>
      </c>
      <c r="AR248" s="140">
        <f t="shared" si="244"/>
        <v>0</v>
      </c>
      <c r="AS248" s="253"/>
    </row>
    <row r="249" spans="1:45" s="141" customFormat="1">
      <c r="A249" s="384" t="s">
        <v>341</v>
      </c>
      <c r="B249" s="20" t="s">
        <v>33</v>
      </c>
      <c r="C249" s="175">
        <v>120</v>
      </c>
      <c r="D249" s="100" t="s">
        <v>38</v>
      </c>
      <c r="E249" s="176">
        <v>8</v>
      </c>
      <c r="F249" s="177">
        <f t="shared" si="235"/>
        <v>960</v>
      </c>
      <c r="G249" s="374">
        <v>12</v>
      </c>
      <c r="H249" s="178">
        <v>80</v>
      </c>
      <c r="I249" s="178">
        <v>16</v>
      </c>
      <c r="J249" s="178">
        <v>60</v>
      </c>
      <c r="K249" s="179">
        <v>0</v>
      </c>
      <c r="L249" s="100" t="s">
        <v>8</v>
      </c>
      <c r="M249" s="176">
        <f t="shared" si="236"/>
        <v>21888</v>
      </c>
      <c r="N249" s="96">
        <v>1</v>
      </c>
      <c r="O249" s="176">
        <f t="shared" si="237"/>
        <v>22848</v>
      </c>
      <c r="P249" s="180"/>
      <c r="Q249" s="52" t="s">
        <v>46</v>
      </c>
      <c r="R249" s="75" t="s">
        <v>221</v>
      </c>
      <c r="S249" s="145" t="str">
        <f t="shared" si="238"/>
        <v>BPT2011</v>
      </c>
      <c r="T249" s="145" t="str">
        <f t="shared" si="239"/>
        <v>B1.2.1.3.22011</v>
      </c>
      <c r="U249" s="145" t="s">
        <v>199</v>
      </c>
      <c r="V249" s="145" t="str">
        <f t="shared" si="240"/>
        <v>Insertion Test Bed</v>
      </c>
      <c r="W249" s="20"/>
      <c r="X249" s="20"/>
      <c r="Y249" s="20"/>
      <c r="Z249" s="20"/>
      <c r="AA249" s="20"/>
      <c r="AB249" s="33">
        <v>2011</v>
      </c>
      <c r="AC249" s="140">
        <f t="shared" si="241"/>
        <v>12</v>
      </c>
      <c r="AD249" s="140">
        <f t="shared" si="241"/>
        <v>80</v>
      </c>
      <c r="AE249" s="140">
        <f t="shared" si="241"/>
        <v>16</v>
      </c>
      <c r="AF249" s="140">
        <f t="shared" si="241"/>
        <v>60</v>
      </c>
      <c r="AG249" s="140">
        <f t="shared" si="241"/>
        <v>0</v>
      </c>
      <c r="AH249" s="251">
        <f t="shared" si="242"/>
        <v>960</v>
      </c>
      <c r="AI249" s="253"/>
      <c r="AJ249" s="259"/>
      <c r="AK249" s="259"/>
      <c r="AL249" s="176"/>
      <c r="AM249" s="139">
        <f t="shared" si="243"/>
        <v>0</v>
      </c>
      <c r="AN249" s="140">
        <f t="shared" si="243"/>
        <v>0</v>
      </c>
      <c r="AO249" s="140">
        <f t="shared" si="243"/>
        <v>0</v>
      </c>
      <c r="AP249" s="140">
        <f t="shared" si="243"/>
        <v>0</v>
      </c>
      <c r="AQ249" s="140">
        <f t="shared" si="243"/>
        <v>0</v>
      </c>
      <c r="AR249" s="140">
        <f t="shared" si="244"/>
        <v>0</v>
      </c>
      <c r="AS249" s="253"/>
    </row>
    <row r="250" spans="1:45" s="141" customFormat="1">
      <c r="A250" s="384" t="s">
        <v>341</v>
      </c>
      <c r="B250" s="20" t="s">
        <v>33</v>
      </c>
      <c r="C250" s="175">
        <v>120</v>
      </c>
      <c r="D250" s="100" t="s">
        <v>38</v>
      </c>
      <c r="E250" s="176">
        <v>8</v>
      </c>
      <c r="F250" s="177">
        <f t="shared" si="235"/>
        <v>960</v>
      </c>
      <c r="G250" s="178">
        <v>60</v>
      </c>
      <c r="H250" s="178">
        <v>80</v>
      </c>
      <c r="I250" s="178">
        <v>16</v>
      </c>
      <c r="J250" s="178">
        <v>60</v>
      </c>
      <c r="K250" s="179">
        <v>0</v>
      </c>
      <c r="L250" s="100" t="s">
        <v>8</v>
      </c>
      <c r="M250" s="176">
        <f t="shared" si="236"/>
        <v>27936</v>
      </c>
      <c r="N250" s="96">
        <v>1</v>
      </c>
      <c r="O250" s="176">
        <f t="shared" si="237"/>
        <v>28896</v>
      </c>
      <c r="P250" s="180"/>
      <c r="Q250" s="52" t="s">
        <v>47</v>
      </c>
      <c r="R250" s="75" t="s">
        <v>221</v>
      </c>
      <c r="S250" s="145" t="str">
        <f t="shared" si="238"/>
        <v>CPT2011</v>
      </c>
      <c r="T250" s="145" t="str">
        <f t="shared" si="239"/>
        <v>C1.2.1.3.22011</v>
      </c>
      <c r="U250" s="145" t="s">
        <v>199</v>
      </c>
      <c r="V250" s="145" t="str">
        <f t="shared" si="240"/>
        <v>Insertion Test Bed</v>
      </c>
      <c r="W250" s="20"/>
      <c r="X250" s="20"/>
      <c r="Y250" s="20"/>
      <c r="Z250" s="20"/>
      <c r="AA250" s="20"/>
      <c r="AB250" s="33">
        <v>2011</v>
      </c>
      <c r="AC250" s="140">
        <f t="shared" si="241"/>
        <v>0</v>
      </c>
      <c r="AD250" s="140">
        <f t="shared" si="241"/>
        <v>0</v>
      </c>
      <c r="AE250" s="140">
        <f t="shared" si="241"/>
        <v>0</v>
      </c>
      <c r="AF250" s="140">
        <f t="shared" si="241"/>
        <v>0</v>
      </c>
      <c r="AG250" s="140">
        <f t="shared" si="241"/>
        <v>0</v>
      </c>
      <c r="AH250" s="251">
        <f t="shared" si="242"/>
        <v>0</v>
      </c>
      <c r="AI250" s="253"/>
      <c r="AJ250" s="259"/>
      <c r="AK250" s="259"/>
      <c r="AL250" s="176"/>
      <c r="AM250" s="139">
        <f t="shared" si="243"/>
        <v>60</v>
      </c>
      <c r="AN250" s="140">
        <f t="shared" si="243"/>
        <v>80</v>
      </c>
      <c r="AO250" s="140">
        <f t="shared" si="243"/>
        <v>16</v>
      </c>
      <c r="AP250" s="140">
        <f t="shared" si="243"/>
        <v>60</v>
      </c>
      <c r="AQ250" s="140">
        <f t="shared" si="243"/>
        <v>0</v>
      </c>
      <c r="AR250" s="140">
        <f t="shared" si="244"/>
        <v>960</v>
      </c>
      <c r="AS250" s="253"/>
    </row>
    <row r="251" spans="1:45" s="141" customFormat="1">
      <c r="A251" s="46" t="s">
        <v>349</v>
      </c>
      <c r="B251" s="20" t="s">
        <v>33</v>
      </c>
      <c r="C251" s="175">
        <v>0</v>
      </c>
      <c r="D251" s="100" t="s">
        <v>9</v>
      </c>
      <c r="E251" s="176">
        <v>0</v>
      </c>
      <c r="F251" s="177">
        <f t="shared" si="235"/>
        <v>0</v>
      </c>
      <c r="G251" s="178">
        <v>0</v>
      </c>
      <c r="H251" s="178">
        <v>80</v>
      </c>
      <c r="I251" s="178">
        <v>0</v>
      </c>
      <c r="J251" s="178">
        <v>80</v>
      </c>
      <c r="K251" s="179">
        <v>0</v>
      </c>
      <c r="L251" s="100" t="s">
        <v>8</v>
      </c>
      <c r="M251" s="176">
        <f t="shared" si="236"/>
        <v>21360</v>
      </c>
      <c r="N251" s="96">
        <v>1</v>
      </c>
      <c r="O251" s="176">
        <f t="shared" si="237"/>
        <v>21360</v>
      </c>
      <c r="P251" s="180"/>
      <c r="Q251" s="52" t="s">
        <v>46</v>
      </c>
      <c r="R251" s="75" t="s">
        <v>221</v>
      </c>
      <c r="S251" s="145" t="str">
        <f t="shared" si="238"/>
        <v>BPT2011</v>
      </c>
      <c r="T251" s="145" t="str">
        <f t="shared" si="239"/>
        <v>B1.2.1.3.22011</v>
      </c>
      <c r="U251" s="145" t="s">
        <v>199</v>
      </c>
      <c r="V251" s="145" t="str">
        <f t="shared" si="240"/>
        <v>Insertion Test Bed</v>
      </c>
      <c r="W251" s="20"/>
      <c r="X251" s="20"/>
      <c r="Y251" s="20"/>
      <c r="Z251" s="20"/>
      <c r="AA251" s="20"/>
      <c r="AB251" s="33">
        <v>2011</v>
      </c>
      <c r="AC251" s="140">
        <f t="shared" si="241"/>
        <v>0</v>
      </c>
      <c r="AD251" s="140">
        <f t="shared" si="241"/>
        <v>80</v>
      </c>
      <c r="AE251" s="140">
        <f t="shared" si="241"/>
        <v>0</v>
      </c>
      <c r="AF251" s="140">
        <f t="shared" si="241"/>
        <v>80</v>
      </c>
      <c r="AG251" s="140">
        <f t="shared" si="241"/>
        <v>0</v>
      </c>
      <c r="AH251" s="251">
        <f t="shared" si="242"/>
        <v>0</v>
      </c>
      <c r="AI251" s="253"/>
      <c r="AJ251" s="259"/>
      <c r="AK251" s="259"/>
      <c r="AL251" s="176"/>
      <c r="AM251" s="139">
        <f t="shared" si="243"/>
        <v>0</v>
      </c>
      <c r="AN251" s="140">
        <f t="shared" si="243"/>
        <v>0</v>
      </c>
      <c r="AO251" s="140">
        <f t="shared" si="243"/>
        <v>0</v>
      </c>
      <c r="AP251" s="140">
        <f t="shared" si="243"/>
        <v>0</v>
      </c>
      <c r="AQ251" s="140">
        <f t="shared" si="243"/>
        <v>0</v>
      </c>
      <c r="AR251" s="140">
        <f t="shared" si="244"/>
        <v>0</v>
      </c>
      <c r="AS251" s="253"/>
    </row>
    <row r="252" spans="1:45" s="46" customFormat="1">
      <c r="A252" s="47" t="s">
        <v>204</v>
      </c>
      <c r="C252" s="196"/>
      <c r="E252" s="197"/>
      <c r="F252" s="198"/>
      <c r="G252" s="199"/>
      <c r="H252" s="199"/>
      <c r="I252" s="199"/>
      <c r="J252" s="199"/>
      <c r="K252" s="200"/>
      <c r="L252" s="234" t="s">
        <v>66</v>
      </c>
      <c r="M252" s="188">
        <f>SUMIF(Q246:Q251,"B",M246:M251)</f>
        <v>106104</v>
      </c>
      <c r="N252" s="69" t="s">
        <v>66</v>
      </c>
      <c r="O252" s="188"/>
      <c r="P252" s="201"/>
      <c r="Q252" s="66"/>
      <c r="R252" s="77"/>
      <c r="S252" s="145"/>
      <c r="T252" s="145"/>
      <c r="U252" s="79"/>
      <c r="V252" s="79"/>
      <c r="W252" s="20"/>
      <c r="X252" s="20"/>
      <c r="Y252" s="20"/>
      <c r="Z252" s="20"/>
      <c r="AA252" s="20"/>
      <c r="AB252" s="33"/>
      <c r="AC252" s="140"/>
      <c r="AD252" s="140"/>
      <c r="AE252" s="140"/>
      <c r="AF252" s="140"/>
      <c r="AG252" s="140"/>
      <c r="AH252" s="251"/>
      <c r="AI252" s="252"/>
      <c r="AJ252" s="140"/>
      <c r="AK252" s="140"/>
      <c r="AL252" s="176"/>
      <c r="AM252" s="139"/>
      <c r="AN252" s="140"/>
      <c r="AO252" s="140"/>
      <c r="AP252" s="140"/>
      <c r="AQ252" s="140"/>
      <c r="AR252" s="140"/>
      <c r="AS252" s="252"/>
    </row>
    <row r="253" spans="1:45" s="141" customFormat="1">
      <c r="A253" s="384" t="s">
        <v>398</v>
      </c>
      <c r="B253" s="20" t="s">
        <v>33</v>
      </c>
      <c r="C253" s="175">
        <v>0</v>
      </c>
      <c r="D253" s="100" t="s">
        <v>9</v>
      </c>
      <c r="E253" s="176">
        <v>0</v>
      </c>
      <c r="F253" s="177">
        <f t="shared" ref="F253:F260" si="245">E253*C253</f>
        <v>0</v>
      </c>
      <c r="G253" s="178">
        <v>0</v>
      </c>
      <c r="H253" s="178">
        <v>0</v>
      </c>
      <c r="I253" s="178">
        <v>0</v>
      </c>
      <c r="J253" s="178">
        <v>160</v>
      </c>
      <c r="K253" s="179">
        <v>0</v>
      </c>
      <c r="L253" s="100" t="s">
        <v>8</v>
      </c>
      <c r="M253" s="176">
        <f t="shared" ref="M253:M260" si="246">IF(R253="PD",((Shop*G253)+(M_Tech*H253)+(CMM*I253)+(ENG*J253)+(DES*K253))*N253,((Shop_RD*G253)+(MTECH_RD*H253)+(CMM_RD*I253)+(ENG_RD*J253)+(DES_RD*K253))*N253)</f>
        <v>24000</v>
      </c>
      <c r="N253" s="96">
        <v>1</v>
      </c>
      <c r="O253" s="176">
        <f t="shared" ref="O253:O260" si="247">M253+(F253*N253)</f>
        <v>24000</v>
      </c>
      <c r="P253" s="180"/>
      <c r="Q253" s="52" t="s">
        <v>46</v>
      </c>
      <c r="R253" s="75" t="s">
        <v>221</v>
      </c>
      <c r="S253" s="145" t="str">
        <f t="shared" ref="S253:S260" si="248">CONCATENATE(Q253,R253,AB253)</f>
        <v>BPT2011</v>
      </c>
      <c r="T253" s="145" t="str">
        <f t="shared" ref="T253:T260" si="249">CONCATENATE(Q253,U253,AB253)</f>
        <v>B1.2.1.3.22011</v>
      </c>
      <c r="U253" s="145" t="s">
        <v>199</v>
      </c>
      <c r="V253" s="145" t="str">
        <f t="shared" ref="V253:V260" si="250">LOOKUP(U253,$B$383:$B$420,$A$383:$A$420)</f>
        <v>Insertion Test Bed</v>
      </c>
      <c r="W253" s="20"/>
      <c r="X253" s="20"/>
      <c r="Y253" s="20"/>
      <c r="Z253" s="20"/>
      <c r="AA253" s="20"/>
      <c r="AB253" s="433">
        <v>2011</v>
      </c>
      <c r="AC253" s="140">
        <f t="shared" ref="AC253:AG260" si="251">IF($Q253="B", (G253*$N253),0)</f>
        <v>0</v>
      </c>
      <c r="AD253" s="140">
        <f t="shared" si="251"/>
        <v>0</v>
      </c>
      <c r="AE253" s="140">
        <f t="shared" si="251"/>
        <v>0</v>
      </c>
      <c r="AF253" s="140">
        <f t="shared" si="251"/>
        <v>160</v>
      </c>
      <c r="AG253" s="140">
        <f t="shared" si="251"/>
        <v>0</v>
      </c>
      <c r="AH253" s="251">
        <f t="shared" ref="AH253:AH260" si="252">IF($Q253="B", (F253*$N253),0)</f>
        <v>0</v>
      </c>
      <c r="AI253" s="253"/>
      <c r="AJ253" s="259"/>
      <c r="AK253" s="259"/>
      <c r="AL253" s="176"/>
      <c r="AM253" s="139">
        <f t="shared" ref="AM253:AQ260" si="253">IF($Q253="C", (G253*$N253),0)</f>
        <v>0</v>
      </c>
      <c r="AN253" s="140">
        <f t="shared" si="253"/>
        <v>0</v>
      </c>
      <c r="AO253" s="140">
        <f t="shared" si="253"/>
        <v>0</v>
      </c>
      <c r="AP253" s="140">
        <f t="shared" si="253"/>
        <v>0</v>
      </c>
      <c r="AQ253" s="140">
        <f t="shared" si="253"/>
        <v>0</v>
      </c>
      <c r="AR253" s="140">
        <f t="shared" ref="AR253:AR260" si="254">IF($Q253="C", (F253*$N253),0)</f>
        <v>0</v>
      </c>
      <c r="AS253" s="253"/>
    </row>
    <row r="254" spans="1:45" s="141" customFormat="1">
      <c r="A254" s="384" t="s">
        <v>448</v>
      </c>
      <c r="B254" s="20" t="s">
        <v>33</v>
      </c>
      <c r="C254" s="175">
        <v>0</v>
      </c>
      <c r="D254" s="100" t="s">
        <v>9</v>
      </c>
      <c r="E254" s="176">
        <v>0</v>
      </c>
      <c r="F254" s="177">
        <f t="shared" si="245"/>
        <v>0</v>
      </c>
      <c r="G254" s="178">
        <v>0</v>
      </c>
      <c r="H254" s="178">
        <v>0</v>
      </c>
      <c r="I254" s="178">
        <v>0</v>
      </c>
      <c r="J254" s="178">
        <v>160</v>
      </c>
      <c r="K254" s="179">
        <v>0</v>
      </c>
      <c r="L254" s="100" t="s">
        <v>8</v>
      </c>
      <c r="M254" s="176">
        <f t="shared" si="246"/>
        <v>24000</v>
      </c>
      <c r="N254" s="96">
        <v>1</v>
      </c>
      <c r="O254" s="176">
        <f t="shared" si="247"/>
        <v>24000</v>
      </c>
      <c r="P254" s="180"/>
      <c r="Q254" s="52" t="s">
        <v>46</v>
      </c>
      <c r="R254" s="75" t="s">
        <v>221</v>
      </c>
      <c r="S254" s="145" t="str">
        <f t="shared" si="248"/>
        <v>BPT2011</v>
      </c>
      <c r="T254" s="145" t="str">
        <f t="shared" si="249"/>
        <v>B1.2.1.3.22011</v>
      </c>
      <c r="U254" s="145" t="s">
        <v>199</v>
      </c>
      <c r="V254" s="145" t="str">
        <f t="shared" si="250"/>
        <v>Insertion Test Bed</v>
      </c>
      <c r="W254" s="20"/>
      <c r="X254" s="20"/>
      <c r="Y254" s="20"/>
      <c r="Z254" s="20"/>
      <c r="AA254" s="20"/>
      <c r="AB254" s="33">
        <v>2011</v>
      </c>
      <c r="AC254" s="140">
        <f t="shared" si="251"/>
        <v>0</v>
      </c>
      <c r="AD254" s="140">
        <f t="shared" si="251"/>
        <v>0</v>
      </c>
      <c r="AE254" s="140">
        <f t="shared" si="251"/>
        <v>0</v>
      </c>
      <c r="AF254" s="140">
        <f t="shared" si="251"/>
        <v>160</v>
      </c>
      <c r="AG254" s="140">
        <f t="shared" si="251"/>
        <v>0</v>
      </c>
      <c r="AH254" s="251">
        <f t="shared" si="252"/>
        <v>0</v>
      </c>
      <c r="AI254" s="253"/>
      <c r="AJ254" s="259"/>
      <c r="AK254" s="259"/>
      <c r="AL254" s="176"/>
      <c r="AM254" s="139">
        <f t="shared" si="253"/>
        <v>0</v>
      </c>
      <c r="AN254" s="140">
        <f t="shared" si="253"/>
        <v>0</v>
      </c>
      <c r="AO254" s="140">
        <f t="shared" si="253"/>
        <v>0</v>
      </c>
      <c r="AP254" s="140">
        <f t="shared" si="253"/>
        <v>0</v>
      </c>
      <c r="AQ254" s="140">
        <f t="shared" si="253"/>
        <v>0</v>
      </c>
      <c r="AR254" s="140">
        <f t="shared" si="254"/>
        <v>0</v>
      </c>
      <c r="AS254" s="253"/>
    </row>
    <row r="255" spans="1:45" s="141" customFormat="1">
      <c r="A255" s="46" t="s">
        <v>339</v>
      </c>
      <c r="B255" s="20" t="s">
        <v>33</v>
      </c>
      <c r="C255" s="175">
        <v>0</v>
      </c>
      <c r="D255" s="100" t="s">
        <v>9</v>
      </c>
      <c r="E255" s="176">
        <v>0</v>
      </c>
      <c r="F255" s="177">
        <f t="shared" si="245"/>
        <v>0</v>
      </c>
      <c r="G255" s="178">
        <v>0</v>
      </c>
      <c r="H255" s="178">
        <v>40</v>
      </c>
      <c r="I255" s="178">
        <v>0</v>
      </c>
      <c r="J255" s="374">
        <v>40</v>
      </c>
      <c r="K255" s="179">
        <v>0</v>
      </c>
      <c r="L255" s="100" t="s">
        <v>8</v>
      </c>
      <c r="M255" s="176">
        <f t="shared" si="246"/>
        <v>10680</v>
      </c>
      <c r="N255" s="96">
        <v>1</v>
      </c>
      <c r="O255" s="176">
        <f t="shared" si="247"/>
        <v>10680</v>
      </c>
      <c r="P255" s="180"/>
      <c r="Q255" s="52" t="s">
        <v>46</v>
      </c>
      <c r="R255" s="75" t="s">
        <v>221</v>
      </c>
      <c r="S255" s="145" t="str">
        <f t="shared" si="248"/>
        <v>BPT2010</v>
      </c>
      <c r="T255" s="145" t="str">
        <f t="shared" si="249"/>
        <v>B1.2.1.3.22010</v>
      </c>
      <c r="U255" s="145" t="s">
        <v>199</v>
      </c>
      <c r="V255" s="145" t="str">
        <f t="shared" si="250"/>
        <v>Insertion Test Bed</v>
      </c>
      <c r="W255" s="20"/>
      <c r="X255" s="20"/>
      <c r="Y255" s="20"/>
      <c r="Z255" s="20"/>
      <c r="AA255" s="20"/>
      <c r="AB255" s="33">
        <v>2010</v>
      </c>
      <c r="AC255" s="140">
        <f t="shared" si="251"/>
        <v>0</v>
      </c>
      <c r="AD255" s="140">
        <f t="shared" si="251"/>
        <v>40</v>
      </c>
      <c r="AE255" s="140">
        <f t="shared" si="251"/>
        <v>0</v>
      </c>
      <c r="AF255" s="140">
        <f t="shared" si="251"/>
        <v>40</v>
      </c>
      <c r="AG255" s="140">
        <f t="shared" si="251"/>
        <v>0</v>
      </c>
      <c r="AH255" s="251">
        <f t="shared" si="252"/>
        <v>0</v>
      </c>
      <c r="AI255" s="253"/>
      <c r="AJ255" s="259"/>
      <c r="AK255" s="259"/>
      <c r="AL255" s="176"/>
      <c r="AM255" s="139">
        <f t="shared" si="253"/>
        <v>0</v>
      </c>
      <c r="AN255" s="140">
        <f t="shared" si="253"/>
        <v>0</v>
      </c>
      <c r="AO255" s="140">
        <f t="shared" si="253"/>
        <v>0</v>
      </c>
      <c r="AP255" s="140">
        <f t="shared" si="253"/>
        <v>0</v>
      </c>
      <c r="AQ255" s="140">
        <f t="shared" si="253"/>
        <v>0</v>
      </c>
      <c r="AR255" s="140">
        <f t="shared" si="254"/>
        <v>0</v>
      </c>
      <c r="AS255" s="253"/>
    </row>
    <row r="256" spans="1:45" s="141" customFormat="1" hidden="1">
      <c r="A256" s="46" t="s">
        <v>356</v>
      </c>
      <c r="B256" s="20" t="s">
        <v>7</v>
      </c>
      <c r="C256" s="175">
        <v>80</v>
      </c>
      <c r="D256" s="100" t="s">
        <v>38</v>
      </c>
      <c r="E256" s="176">
        <v>8</v>
      </c>
      <c r="F256" s="177">
        <f t="shared" si="245"/>
        <v>640</v>
      </c>
      <c r="G256" s="178">
        <v>120</v>
      </c>
      <c r="H256" s="178">
        <v>160</v>
      </c>
      <c r="I256" s="178">
        <v>24</v>
      </c>
      <c r="J256" s="178">
        <v>60</v>
      </c>
      <c r="K256" s="179">
        <v>0</v>
      </c>
      <c r="L256" s="100" t="s">
        <v>8</v>
      </c>
      <c r="M256" s="176">
        <f t="shared" si="246"/>
        <v>0</v>
      </c>
      <c r="N256" s="96">
        <v>0</v>
      </c>
      <c r="O256" s="176">
        <f t="shared" si="247"/>
        <v>0</v>
      </c>
      <c r="P256" s="180"/>
      <c r="Q256" s="52" t="s">
        <v>46</v>
      </c>
      <c r="R256" s="75" t="s">
        <v>221</v>
      </c>
      <c r="S256" s="145" t="str">
        <f t="shared" si="248"/>
        <v>BPT2010</v>
      </c>
      <c r="T256" s="145" t="str">
        <f t="shared" si="249"/>
        <v>B1.2.1.3.22010</v>
      </c>
      <c r="U256" s="145" t="s">
        <v>199</v>
      </c>
      <c r="V256" s="145" t="str">
        <f t="shared" si="250"/>
        <v>Insertion Test Bed</v>
      </c>
      <c r="W256" s="20"/>
      <c r="X256" s="20"/>
      <c r="Y256" s="20"/>
      <c r="Z256" s="20"/>
      <c r="AA256" s="20"/>
      <c r="AB256" s="33">
        <v>2010</v>
      </c>
      <c r="AC256" s="140">
        <f t="shared" si="251"/>
        <v>0</v>
      </c>
      <c r="AD256" s="140">
        <f t="shared" si="251"/>
        <v>0</v>
      </c>
      <c r="AE256" s="140">
        <f t="shared" si="251"/>
        <v>0</v>
      </c>
      <c r="AF256" s="140">
        <f t="shared" si="251"/>
        <v>0</v>
      </c>
      <c r="AG256" s="140">
        <f t="shared" si="251"/>
        <v>0</v>
      </c>
      <c r="AH256" s="251">
        <f t="shared" si="252"/>
        <v>0</v>
      </c>
      <c r="AI256" s="253"/>
      <c r="AJ256" s="259"/>
      <c r="AK256" s="259"/>
      <c r="AL256" s="176"/>
      <c r="AM256" s="139">
        <f t="shared" si="253"/>
        <v>0</v>
      </c>
      <c r="AN256" s="140">
        <f t="shared" si="253"/>
        <v>0</v>
      </c>
      <c r="AO256" s="140">
        <f t="shared" si="253"/>
        <v>0</v>
      </c>
      <c r="AP256" s="140">
        <f t="shared" si="253"/>
        <v>0</v>
      </c>
      <c r="AQ256" s="140">
        <f t="shared" si="253"/>
        <v>0</v>
      </c>
      <c r="AR256" s="140">
        <f t="shared" si="254"/>
        <v>0</v>
      </c>
      <c r="AS256" s="253"/>
    </row>
    <row r="257" spans="1:45" s="141" customFormat="1">
      <c r="A257" s="46" t="s">
        <v>353</v>
      </c>
      <c r="B257" s="20" t="s">
        <v>95</v>
      </c>
      <c r="C257" s="175">
        <v>1</v>
      </c>
      <c r="D257" s="100" t="s">
        <v>57</v>
      </c>
      <c r="E257" s="176">
        <v>5000</v>
      </c>
      <c r="F257" s="177">
        <f t="shared" si="245"/>
        <v>5000</v>
      </c>
      <c r="G257" s="178">
        <v>0</v>
      </c>
      <c r="H257" s="178">
        <v>8</v>
      </c>
      <c r="I257" s="178">
        <v>0</v>
      </c>
      <c r="J257" s="374">
        <v>8</v>
      </c>
      <c r="K257" s="179">
        <v>0</v>
      </c>
      <c r="L257" s="100" t="s">
        <v>8</v>
      </c>
      <c r="M257" s="176">
        <f t="shared" si="246"/>
        <v>2136</v>
      </c>
      <c r="N257" s="96">
        <v>1</v>
      </c>
      <c r="O257" s="176">
        <f t="shared" si="247"/>
        <v>7136</v>
      </c>
      <c r="P257" s="180"/>
      <c r="Q257" s="52" t="s">
        <v>46</v>
      </c>
      <c r="R257" s="75" t="s">
        <v>221</v>
      </c>
      <c r="S257" s="145" t="str">
        <f t="shared" si="248"/>
        <v>BPT2010</v>
      </c>
      <c r="T257" s="145" t="str">
        <f t="shared" si="249"/>
        <v>B1.2.1.3.22010</v>
      </c>
      <c r="U257" s="145" t="s">
        <v>199</v>
      </c>
      <c r="V257" s="145" t="str">
        <f t="shared" si="250"/>
        <v>Insertion Test Bed</v>
      </c>
      <c r="W257" s="20"/>
      <c r="X257" s="20"/>
      <c r="Y257" s="20"/>
      <c r="Z257" s="20"/>
      <c r="AA257" s="20"/>
      <c r="AB257" s="33">
        <v>2010</v>
      </c>
      <c r="AC257" s="140">
        <f t="shared" si="251"/>
        <v>0</v>
      </c>
      <c r="AD257" s="140">
        <f t="shared" si="251"/>
        <v>8</v>
      </c>
      <c r="AE257" s="140">
        <f t="shared" si="251"/>
        <v>0</v>
      </c>
      <c r="AF257" s="140">
        <f t="shared" si="251"/>
        <v>8</v>
      </c>
      <c r="AG257" s="140">
        <f t="shared" si="251"/>
        <v>0</v>
      </c>
      <c r="AH257" s="251">
        <f t="shared" si="252"/>
        <v>5000</v>
      </c>
      <c r="AI257" s="253"/>
      <c r="AJ257" s="259"/>
      <c r="AK257" s="259"/>
      <c r="AL257" s="176"/>
      <c r="AM257" s="139">
        <f t="shared" si="253"/>
        <v>0</v>
      </c>
      <c r="AN257" s="140">
        <f t="shared" si="253"/>
        <v>0</v>
      </c>
      <c r="AO257" s="140">
        <f t="shared" si="253"/>
        <v>0</v>
      </c>
      <c r="AP257" s="140">
        <f t="shared" si="253"/>
        <v>0</v>
      </c>
      <c r="AQ257" s="140">
        <f t="shared" si="253"/>
        <v>0</v>
      </c>
      <c r="AR257" s="140">
        <f t="shared" si="254"/>
        <v>0</v>
      </c>
      <c r="AS257" s="253"/>
    </row>
    <row r="258" spans="1:45" s="141" customFormat="1">
      <c r="A258" s="46" t="s">
        <v>354</v>
      </c>
      <c r="B258" s="20" t="s">
        <v>95</v>
      </c>
      <c r="C258" s="175">
        <v>1</v>
      </c>
      <c r="D258" s="100" t="s">
        <v>57</v>
      </c>
      <c r="E258" s="176">
        <v>3000</v>
      </c>
      <c r="F258" s="177">
        <f t="shared" si="245"/>
        <v>3000</v>
      </c>
      <c r="G258" s="374">
        <v>8</v>
      </c>
      <c r="H258" s="178">
        <v>40</v>
      </c>
      <c r="I258" s="178">
        <v>0</v>
      </c>
      <c r="J258" s="374">
        <v>30</v>
      </c>
      <c r="K258" s="179">
        <v>0</v>
      </c>
      <c r="L258" s="100" t="s">
        <v>8</v>
      </c>
      <c r="M258" s="176">
        <f t="shared" si="246"/>
        <v>10188</v>
      </c>
      <c r="N258" s="96">
        <v>1</v>
      </c>
      <c r="O258" s="176">
        <f t="shared" si="247"/>
        <v>13188</v>
      </c>
      <c r="P258" s="180"/>
      <c r="Q258" s="52" t="s">
        <v>46</v>
      </c>
      <c r="R258" s="75" t="s">
        <v>221</v>
      </c>
      <c r="S258" s="145" t="str">
        <f t="shared" si="248"/>
        <v>BPT2010</v>
      </c>
      <c r="T258" s="145" t="str">
        <f t="shared" si="249"/>
        <v>B1.2.1.3.22010</v>
      </c>
      <c r="U258" s="145" t="s">
        <v>199</v>
      </c>
      <c r="V258" s="145" t="str">
        <f t="shared" si="250"/>
        <v>Insertion Test Bed</v>
      </c>
      <c r="W258" s="20"/>
      <c r="X258" s="20"/>
      <c r="Y258" s="20"/>
      <c r="Z258" s="20"/>
      <c r="AA258" s="20"/>
      <c r="AB258" s="33">
        <v>2010</v>
      </c>
      <c r="AC258" s="140">
        <f t="shared" si="251"/>
        <v>8</v>
      </c>
      <c r="AD258" s="140">
        <f t="shared" si="251"/>
        <v>40</v>
      </c>
      <c r="AE258" s="140">
        <f t="shared" si="251"/>
        <v>0</v>
      </c>
      <c r="AF258" s="140">
        <f t="shared" si="251"/>
        <v>30</v>
      </c>
      <c r="AG258" s="140">
        <f t="shared" si="251"/>
        <v>0</v>
      </c>
      <c r="AH258" s="251">
        <f t="shared" si="252"/>
        <v>3000</v>
      </c>
      <c r="AI258" s="253"/>
      <c r="AJ258" s="259"/>
      <c r="AK258" s="259"/>
      <c r="AL258" s="176"/>
      <c r="AM258" s="139">
        <f t="shared" si="253"/>
        <v>0</v>
      </c>
      <c r="AN258" s="140">
        <f t="shared" si="253"/>
        <v>0</v>
      </c>
      <c r="AO258" s="140">
        <f t="shared" si="253"/>
        <v>0</v>
      </c>
      <c r="AP258" s="140">
        <f t="shared" si="253"/>
        <v>0</v>
      </c>
      <c r="AQ258" s="140">
        <f t="shared" si="253"/>
        <v>0</v>
      </c>
      <c r="AR258" s="140">
        <f t="shared" si="254"/>
        <v>0</v>
      </c>
      <c r="AS258" s="253"/>
    </row>
    <row r="259" spans="1:45" s="141" customFormat="1">
      <c r="A259" s="65" t="s">
        <v>355</v>
      </c>
      <c r="B259" s="20" t="s">
        <v>95</v>
      </c>
      <c r="C259" s="175">
        <v>1</v>
      </c>
      <c r="D259" s="100" t="s">
        <v>57</v>
      </c>
      <c r="E259" s="176">
        <v>3000</v>
      </c>
      <c r="F259" s="177">
        <f t="shared" si="245"/>
        <v>3000</v>
      </c>
      <c r="G259" s="178">
        <v>24</v>
      </c>
      <c r="H259" s="178">
        <v>40</v>
      </c>
      <c r="I259" s="178">
        <v>0</v>
      </c>
      <c r="J259" s="178">
        <v>60</v>
      </c>
      <c r="K259" s="179">
        <v>0</v>
      </c>
      <c r="L259" s="100" t="s">
        <v>8</v>
      </c>
      <c r="M259" s="176">
        <f t="shared" si="246"/>
        <v>16704</v>
      </c>
      <c r="N259" s="96">
        <v>1</v>
      </c>
      <c r="O259" s="176">
        <f t="shared" si="247"/>
        <v>19704</v>
      </c>
      <c r="P259" s="180"/>
      <c r="Q259" s="52" t="s">
        <v>46</v>
      </c>
      <c r="R259" s="75" t="s">
        <v>221</v>
      </c>
      <c r="S259" s="145" t="str">
        <f t="shared" si="248"/>
        <v>BPT2011</v>
      </c>
      <c r="T259" s="145" t="str">
        <f t="shared" si="249"/>
        <v>B1.2.1.3.22011</v>
      </c>
      <c r="U259" s="145" t="s">
        <v>199</v>
      </c>
      <c r="V259" s="145" t="str">
        <f t="shared" si="250"/>
        <v>Insertion Test Bed</v>
      </c>
      <c r="W259" s="20"/>
      <c r="X259" s="20"/>
      <c r="Y259" s="20"/>
      <c r="Z259" s="20"/>
      <c r="AA259" s="20"/>
      <c r="AB259" s="33">
        <v>2011</v>
      </c>
      <c r="AC259" s="140">
        <f t="shared" si="251"/>
        <v>24</v>
      </c>
      <c r="AD259" s="140">
        <f t="shared" si="251"/>
        <v>40</v>
      </c>
      <c r="AE259" s="140">
        <f t="shared" si="251"/>
        <v>0</v>
      </c>
      <c r="AF259" s="140">
        <f t="shared" si="251"/>
        <v>60</v>
      </c>
      <c r="AG259" s="140">
        <f t="shared" si="251"/>
        <v>0</v>
      </c>
      <c r="AH259" s="251">
        <f t="shared" si="252"/>
        <v>3000</v>
      </c>
      <c r="AI259" s="253"/>
      <c r="AJ259" s="259"/>
      <c r="AK259" s="259"/>
      <c r="AL259" s="176"/>
      <c r="AM259" s="139">
        <f t="shared" si="253"/>
        <v>0</v>
      </c>
      <c r="AN259" s="140">
        <f t="shared" si="253"/>
        <v>0</v>
      </c>
      <c r="AO259" s="140">
        <f t="shared" si="253"/>
        <v>0</v>
      </c>
      <c r="AP259" s="140">
        <f t="shared" si="253"/>
        <v>0</v>
      </c>
      <c r="AQ259" s="140">
        <f t="shared" si="253"/>
        <v>0</v>
      </c>
      <c r="AR259" s="140">
        <f t="shared" si="254"/>
        <v>0</v>
      </c>
      <c r="AS259" s="253"/>
    </row>
    <row r="260" spans="1:45" s="141" customFormat="1">
      <c r="A260" s="46" t="s">
        <v>357</v>
      </c>
      <c r="B260" s="20" t="s">
        <v>7</v>
      </c>
      <c r="C260" s="175">
        <v>80</v>
      </c>
      <c r="D260" s="100" t="s">
        <v>38</v>
      </c>
      <c r="E260" s="176">
        <v>8</v>
      </c>
      <c r="F260" s="177">
        <f t="shared" si="245"/>
        <v>640</v>
      </c>
      <c r="G260" s="374">
        <v>12</v>
      </c>
      <c r="H260" s="178">
        <v>80</v>
      </c>
      <c r="I260" s="178">
        <v>16</v>
      </c>
      <c r="J260" s="178">
        <v>120</v>
      </c>
      <c r="K260" s="179">
        <v>0</v>
      </c>
      <c r="L260" s="100" t="s">
        <v>8</v>
      </c>
      <c r="M260" s="176">
        <f t="shared" si="246"/>
        <v>30888</v>
      </c>
      <c r="N260" s="96">
        <v>1</v>
      </c>
      <c r="O260" s="176">
        <f t="shared" si="247"/>
        <v>31528</v>
      </c>
      <c r="P260" s="180"/>
      <c r="Q260" s="52" t="s">
        <v>46</v>
      </c>
      <c r="R260" s="75" t="s">
        <v>221</v>
      </c>
      <c r="S260" s="145" t="str">
        <f t="shared" si="248"/>
        <v>BPT2011</v>
      </c>
      <c r="T260" s="145" t="str">
        <f t="shared" si="249"/>
        <v>B1.2.1.3.22011</v>
      </c>
      <c r="U260" s="145" t="s">
        <v>199</v>
      </c>
      <c r="V260" s="145" t="str">
        <f t="shared" si="250"/>
        <v>Insertion Test Bed</v>
      </c>
      <c r="W260" s="20"/>
      <c r="X260" s="20"/>
      <c r="Y260" s="20"/>
      <c r="Z260" s="20"/>
      <c r="AA260" s="20"/>
      <c r="AB260" s="33">
        <v>2011</v>
      </c>
      <c r="AC260" s="140">
        <f t="shared" si="251"/>
        <v>12</v>
      </c>
      <c r="AD260" s="140">
        <f t="shared" si="251"/>
        <v>80</v>
      </c>
      <c r="AE260" s="140">
        <f t="shared" si="251"/>
        <v>16</v>
      </c>
      <c r="AF260" s="140">
        <f t="shared" si="251"/>
        <v>120</v>
      </c>
      <c r="AG260" s="140">
        <f t="shared" si="251"/>
        <v>0</v>
      </c>
      <c r="AH260" s="251">
        <f t="shared" si="252"/>
        <v>640</v>
      </c>
      <c r="AI260" s="253"/>
      <c r="AJ260" s="259"/>
      <c r="AK260" s="259"/>
      <c r="AL260" s="176"/>
      <c r="AM260" s="139">
        <f t="shared" si="253"/>
        <v>0</v>
      </c>
      <c r="AN260" s="140">
        <f t="shared" si="253"/>
        <v>0</v>
      </c>
      <c r="AO260" s="140">
        <f t="shared" si="253"/>
        <v>0</v>
      </c>
      <c r="AP260" s="140">
        <f t="shared" si="253"/>
        <v>0</v>
      </c>
      <c r="AQ260" s="140">
        <f t="shared" si="253"/>
        <v>0</v>
      </c>
      <c r="AR260" s="140">
        <f t="shared" si="254"/>
        <v>0</v>
      </c>
      <c r="AS260" s="253"/>
    </row>
    <row r="261" spans="1:45" s="65" customFormat="1">
      <c r="A261" s="47" t="s">
        <v>369</v>
      </c>
      <c r="C261" s="189"/>
      <c r="E261" s="191"/>
      <c r="F261" s="192"/>
      <c r="G261" s="193"/>
      <c r="H261" s="193"/>
      <c r="I261" s="193"/>
      <c r="J261" s="193"/>
      <c r="K261" s="194"/>
      <c r="L261" s="234" t="s">
        <v>66</v>
      </c>
      <c r="M261" s="188">
        <f>SUMIF(Q253:Q260,"B",M253:M260)</f>
        <v>118596</v>
      </c>
      <c r="N261" s="69" t="s">
        <v>66</v>
      </c>
      <c r="O261" s="188"/>
      <c r="P261" s="195"/>
      <c r="Q261" s="66"/>
      <c r="R261" s="77"/>
      <c r="S261" s="145"/>
      <c r="T261" s="145"/>
      <c r="U261" s="79"/>
      <c r="V261" s="79"/>
      <c r="W261" s="378"/>
      <c r="X261" s="378"/>
      <c r="Y261" s="378"/>
      <c r="Z261" s="378"/>
      <c r="AA261" s="378"/>
      <c r="AB261" s="67"/>
      <c r="AC261" s="4"/>
      <c r="AD261" s="4"/>
      <c r="AE261" s="4"/>
      <c r="AF261" s="4"/>
      <c r="AG261" s="4"/>
      <c r="AH261" s="169"/>
      <c r="AI261" s="256"/>
      <c r="AJ261" s="4"/>
      <c r="AK261" s="4"/>
      <c r="AL261" s="116"/>
      <c r="AM261" s="32"/>
      <c r="AN261" s="4"/>
      <c r="AO261" s="4"/>
      <c r="AP261" s="4"/>
      <c r="AQ261" s="4"/>
      <c r="AR261" s="4"/>
      <c r="AS261" s="256"/>
    </row>
    <row r="262" spans="1:45" s="141" customFormat="1">
      <c r="A262" s="46" t="s">
        <v>398</v>
      </c>
      <c r="B262" s="20" t="s">
        <v>33</v>
      </c>
      <c r="C262" s="175">
        <v>0</v>
      </c>
      <c r="D262" s="100" t="s">
        <v>9</v>
      </c>
      <c r="E262" s="176">
        <v>0</v>
      </c>
      <c r="F262" s="177">
        <f t="shared" ref="F262:F283" si="255">E262*C262</f>
        <v>0</v>
      </c>
      <c r="G262" s="178">
        <v>0</v>
      </c>
      <c r="H262" s="178">
        <v>0</v>
      </c>
      <c r="I262" s="178">
        <v>0</v>
      </c>
      <c r="J262" s="178">
        <v>160</v>
      </c>
      <c r="K262" s="179">
        <v>0</v>
      </c>
      <c r="L262" s="100" t="s">
        <v>8</v>
      </c>
      <c r="M262" s="176">
        <f t="shared" ref="M262:M283" si="256">IF(R262="PD",((Shop*G262)+(M_Tech*H262)+(CMM*I262)+(ENG*J262)+(DES*K262))*N262,((Shop_RD*G262)+(MTECH_RD*H262)+(CMM_RD*I262)+(ENG_RD*J262)+(DES_RD*K262))*N262)</f>
        <v>24000</v>
      </c>
      <c r="N262" s="96">
        <v>1</v>
      </c>
      <c r="O262" s="176">
        <f t="shared" ref="O262:O283" si="257">M262+(F262*N262)</f>
        <v>24000</v>
      </c>
      <c r="P262" s="180"/>
      <c r="Q262" s="52" t="s">
        <v>46</v>
      </c>
      <c r="R262" s="75" t="s">
        <v>221</v>
      </c>
      <c r="S262" s="145" t="str">
        <f t="shared" ref="S262:S283" si="258">CONCATENATE(Q262,R262,AB262)</f>
        <v>BPT2010</v>
      </c>
      <c r="T262" s="145" t="str">
        <f t="shared" ref="T262:T283" si="259">CONCATENATE(Q262,U262,AB262)</f>
        <v>B1.2.1.3.32010</v>
      </c>
      <c r="U262" s="145" t="s">
        <v>200</v>
      </c>
      <c r="V262" s="145" t="str">
        <f t="shared" ref="V262:V283" si="260">LOOKUP(U262,$B$383:$B$420,$A$383:$A$420)</f>
        <v>Prototype Insertion Mechanism</v>
      </c>
      <c r="W262" s="20"/>
      <c r="X262" s="20"/>
      <c r="Y262" s="20"/>
      <c r="Z262" s="20"/>
      <c r="AA262" s="20"/>
      <c r="AB262" s="433">
        <v>2010</v>
      </c>
      <c r="AC262" s="140">
        <f t="shared" ref="AC262:AC283" si="261">IF($Q262="B", (G262*$N262),0)</f>
        <v>0</v>
      </c>
      <c r="AD262" s="140">
        <f t="shared" ref="AD262:AD283" si="262">IF($Q262="B", (H262*$N262),0)</f>
        <v>0</v>
      </c>
      <c r="AE262" s="140">
        <f t="shared" ref="AE262:AE283" si="263">IF($Q262="B", (I262*$N262),0)</f>
        <v>0</v>
      </c>
      <c r="AF262" s="140">
        <f t="shared" ref="AF262:AF283" si="264">IF($Q262="B", (J262*$N262),0)</f>
        <v>160</v>
      </c>
      <c r="AG262" s="140">
        <f t="shared" ref="AG262:AG283" si="265">IF($Q262="B", (K262*$N262),0)</f>
        <v>0</v>
      </c>
      <c r="AH262" s="251">
        <f t="shared" ref="AH262:AH283" si="266">IF($Q262="B", (F262*$N262),0)</f>
        <v>0</v>
      </c>
      <c r="AI262" s="253"/>
      <c r="AJ262" s="259"/>
      <c r="AK262" s="259"/>
      <c r="AL262" s="176"/>
      <c r="AM262" s="139">
        <f t="shared" ref="AM262:AM283" si="267">IF($Q262="C", (G262*$N262),0)</f>
        <v>0</v>
      </c>
      <c r="AN262" s="140">
        <f t="shared" ref="AN262:AN283" si="268">IF($Q262="C", (H262*$N262),0)</f>
        <v>0</v>
      </c>
      <c r="AO262" s="140">
        <f t="shared" ref="AO262:AO283" si="269">IF($Q262="C", (I262*$N262),0)</f>
        <v>0</v>
      </c>
      <c r="AP262" s="140">
        <f t="shared" ref="AP262:AP283" si="270">IF($Q262="C", (J262*$N262),0)</f>
        <v>0</v>
      </c>
      <c r="AQ262" s="140">
        <f t="shared" ref="AQ262:AQ283" si="271">IF($Q262="C", (K262*$N262),0)</f>
        <v>0</v>
      </c>
      <c r="AR262" s="140">
        <f t="shared" ref="AR262:AR283" si="272">IF($Q262="C", (F262*$N262),0)</f>
        <v>0</v>
      </c>
      <c r="AS262" s="253"/>
    </row>
    <row r="263" spans="1:45" s="161" customFormat="1">
      <c r="A263" s="159" t="s">
        <v>370</v>
      </c>
      <c r="B263" s="383" t="s">
        <v>33</v>
      </c>
      <c r="C263" s="228">
        <v>0</v>
      </c>
      <c r="D263" s="100" t="s">
        <v>9</v>
      </c>
      <c r="E263" s="226">
        <v>0</v>
      </c>
      <c r="F263" s="229">
        <f t="shared" si="255"/>
        <v>0</v>
      </c>
      <c r="G263" s="230">
        <v>0</v>
      </c>
      <c r="H263" s="230">
        <v>0</v>
      </c>
      <c r="I263" s="230">
        <v>0</v>
      </c>
      <c r="J263" s="230">
        <v>40</v>
      </c>
      <c r="K263" s="231">
        <v>0</v>
      </c>
      <c r="L263" s="100" t="s">
        <v>8</v>
      </c>
      <c r="M263" s="226">
        <f t="shared" si="256"/>
        <v>6000</v>
      </c>
      <c r="N263" s="383">
        <v>1</v>
      </c>
      <c r="O263" s="226">
        <f t="shared" si="257"/>
        <v>6000</v>
      </c>
      <c r="P263" s="227"/>
      <c r="Q263" s="52" t="s">
        <v>46</v>
      </c>
      <c r="R263" s="75" t="s">
        <v>221</v>
      </c>
      <c r="S263" s="145" t="str">
        <f t="shared" si="258"/>
        <v>BPT2011</v>
      </c>
      <c r="T263" s="145" t="str">
        <f t="shared" si="259"/>
        <v>B1.2.1.3.32011</v>
      </c>
      <c r="U263" s="145" t="s">
        <v>200</v>
      </c>
      <c r="V263" s="145" t="str">
        <f t="shared" si="260"/>
        <v>Prototype Insertion Mechanism</v>
      </c>
      <c r="W263" s="46"/>
      <c r="X263" s="46"/>
      <c r="Y263" s="46"/>
      <c r="Z263" s="46"/>
      <c r="AA263" s="46"/>
      <c r="AB263" s="67">
        <v>2011</v>
      </c>
      <c r="AC263" s="140">
        <f t="shared" si="261"/>
        <v>0</v>
      </c>
      <c r="AD263" s="140">
        <f t="shared" si="262"/>
        <v>0</v>
      </c>
      <c r="AE263" s="140">
        <f t="shared" si="263"/>
        <v>0</v>
      </c>
      <c r="AF263" s="140">
        <f t="shared" si="264"/>
        <v>40</v>
      </c>
      <c r="AG263" s="140">
        <f t="shared" si="265"/>
        <v>0</v>
      </c>
      <c r="AH263" s="251">
        <f t="shared" si="266"/>
        <v>0</v>
      </c>
      <c r="AI263" s="253"/>
      <c r="AJ263" s="259"/>
      <c r="AK263" s="259"/>
      <c r="AL263" s="176"/>
      <c r="AM263" s="139">
        <f t="shared" si="267"/>
        <v>0</v>
      </c>
      <c r="AN263" s="140">
        <f t="shared" si="268"/>
        <v>0</v>
      </c>
      <c r="AO263" s="140">
        <f t="shared" si="269"/>
        <v>0</v>
      </c>
      <c r="AP263" s="140">
        <f t="shared" si="270"/>
        <v>0</v>
      </c>
      <c r="AQ263" s="140">
        <f t="shared" si="271"/>
        <v>0</v>
      </c>
      <c r="AR263" s="140">
        <f t="shared" si="272"/>
        <v>0</v>
      </c>
      <c r="AS263" s="253"/>
    </row>
    <row r="264" spans="1:45" s="161" customFormat="1">
      <c r="A264" s="68" t="s">
        <v>358</v>
      </c>
      <c r="B264" s="383" t="s">
        <v>7</v>
      </c>
      <c r="C264" s="228">
        <v>15</v>
      </c>
      <c r="D264" s="100" t="s">
        <v>38</v>
      </c>
      <c r="E264" s="226">
        <v>8</v>
      </c>
      <c r="F264" s="229">
        <f t="shared" si="255"/>
        <v>120</v>
      </c>
      <c r="G264" s="230">
        <v>24</v>
      </c>
      <c r="H264" s="230">
        <v>0</v>
      </c>
      <c r="I264" s="230">
        <v>0</v>
      </c>
      <c r="J264" s="230">
        <v>40</v>
      </c>
      <c r="K264" s="231">
        <v>0</v>
      </c>
      <c r="L264" s="100" t="s">
        <v>8</v>
      </c>
      <c r="M264" s="226">
        <f t="shared" si="256"/>
        <v>9024</v>
      </c>
      <c r="N264" s="383">
        <v>1</v>
      </c>
      <c r="O264" s="226">
        <f t="shared" si="257"/>
        <v>9144</v>
      </c>
      <c r="P264" s="227"/>
      <c r="Q264" s="52" t="s">
        <v>46</v>
      </c>
      <c r="R264" s="75" t="s">
        <v>221</v>
      </c>
      <c r="S264" s="145" t="str">
        <f t="shared" si="258"/>
        <v>BPT2011</v>
      </c>
      <c r="T264" s="145" t="str">
        <f t="shared" si="259"/>
        <v>B1.2.1.3.32011</v>
      </c>
      <c r="U264" s="145" t="s">
        <v>200</v>
      </c>
      <c r="V264" s="145" t="str">
        <f t="shared" si="260"/>
        <v>Prototype Insertion Mechanism</v>
      </c>
      <c r="W264" s="46"/>
      <c r="X264" s="46"/>
      <c r="Y264" s="46"/>
      <c r="Z264" s="46"/>
      <c r="AA264" s="46"/>
      <c r="AB264" s="67">
        <v>2011</v>
      </c>
      <c r="AC264" s="140">
        <f t="shared" si="261"/>
        <v>24</v>
      </c>
      <c r="AD264" s="140">
        <f t="shared" si="262"/>
        <v>0</v>
      </c>
      <c r="AE264" s="140">
        <f t="shared" si="263"/>
        <v>0</v>
      </c>
      <c r="AF264" s="140">
        <f t="shared" si="264"/>
        <v>40</v>
      </c>
      <c r="AG264" s="140">
        <f t="shared" si="265"/>
        <v>0</v>
      </c>
      <c r="AH264" s="251">
        <f t="shared" si="266"/>
        <v>120</v>
      </c>
      <c r="AI264" s="253"/>
      <c r="AJ264" s="259"/>
      <c r="AK264" s="259"/>
      <c r="AL264" s="176"/>
      <c r="AM264" s="139">
        <f t="shared" si="267"/>
        <v>0</v>
      </c>
      <c r="AN264" s="140">
        <f t="shared" si="268"/>
        <v>0</v>
      </c>
      <c r="AO264" s="140">
        <f t="shared" si="269"/>
        <v>0</v>
      </c>
      <c r="AP264" s="140">
        <f t="shared" si="270"/>
        <v>0</v>
      </c>
      <c r="AQ264" s="140">
        <f t="shared" si="271"/>
        <v>0</v>
      </c>
      <c r="AR264" s="140">
        <f t="shared" si="272"/>
        <v>0</v>
      </c>
      <c r="AS264" s="253"/>
    </row>
    <row r="265" spans="1:45" s="161" customFormat="1">
      <c r="A265" s="68" t="s">
        <v>359</v>
      </c>
      <c r="B265" s="383" t="s">
        <v>7</v>
      </c>
      <c r="C265" s="228">
        <v>20</v>
      </c>
      <c r="D265" s="100" t="s">
        <v>38</v>
      </c>
      <c r="E265" s="226">
        <v>8</v>
      </c>
      <c r="F265" s="229">
        <f t="shared" si="255"/>
        <v>160</v>
      </c>
      <c r="G265" s="230">
        <v>24</v>
      </c>
      <c r="H265" s="230">
        <v>0</v>
      </c>
      <c r="I265" s="230">
        <v>0</v>
      </c>
      <c r="J265" s="230">
        <v>64</v>
      </c>
      <c r="K265" s="231">
        <v>0</v>
      </c>
      <c r="L265" s="100" t="s">
        <v>8</v>
      </c>
      <c r="M265" s="226">
        <f t="shared" si="256"/>
        <v>12624</v>
      </c>
      <c r="N265" s="383">
        <v>1</v>
      </c>
      <c r="O265" s="226">
        <f t="shared" si="257"/>
        <v>12784</v>
      </c>
      <c r="P265" s="227"/>
      <c r="Q265" s="52" t="s">
        <v>46</v>
      </c>
      <c r="R265" s="75" t="s">
        <v>221</v>
      </c>
      <c r="S265" s="145" t="str">
        <f t="shared" si="258"/>
        <v>BPT2011</v>
      </c>
      <c r="T265" s="145" t="str">
        <f t="shared" si="259"/>
        <v>B1.2.1.3.32011</v>
      </c>
      <c r="U265" s="145" t="s">
        <v>200</v>
      </c>
      <c r="V265" s="145" t="str">
        <f t="shared" si="260"/>
        <v>Prototype Insertion Mechanism</v>
      </c>
      <c r="W265" s="46"/>
      <c r="X265" s="46"/>
      <c r="Y265" s="46"/>
      <c r="Z265" s="46"/>
      <c r="AA265" s="46"/>
      <c r="AB265" s="67">
        <v>2011</v>
      </c>
      <c r="AC265" s="140">
        <f t="shared" si="261"/>
        <v>24</v>
      </c>
      <c r="AD265" s="140">
        <f t="shared" si="262"/>
        <v>0</v>
      </c>
      <c r="AE265" s="140">
        <f t="shared" si="263"/>
        <v>0</v>
      </c>
      <c r="AF265" s="140">
        <f t="shared" si="264"/>
        <v>64</v>
      </c>
      <c r="AG265" s="140">
        <f t="shared" si="265"/>
        <v>0</v>
      </c>
      <c r="AH265" s="251">
        <f t="shared" si="266"/>
        <v>160</v>
      </c>
      <c r="AI265" s="253"/>
      <c r="AJ265" s="259"/>
      <c r="AK265" s="259"/>
      <c r="AL265" s="176"/>
      <c r="AM265" s="139">
        <f t="shared" si="267"/>
        <v>0</v>
      </c>
      <c r="AN265" s="140">
        <f t="shared" si="268"/>
        <v>0</v>
      </c>
      <c r="AO265" s="140">
        <f t="shared" si="269"/>
        <v>0</v>
      </c>
      <c r="AP265" s="140">
        <f t="shared" si="270"/>
        <v>0</v>
      </c>
      <c r="AQ265" s="140">
        <f t="shared" si="271"/>
        <v>0</v>
      </c>
      <c r="AR265" s="140">
        <f t="shared" si="272"/>
        <v>0</v>
      </c>
      <c r="AS265" s="253"/>
    </row>
    <row r="266" spans="1:45" s="161" customFormat="1">
      <c r="A266" s="68" t="s">
        <v>360</v>
      </c>
      <c r="B266" s="383" t="s">
        <v>95</v>
      </c>
      <c r="C266" s="228">
        <v>1</v>
      </c>
      <c r="D266" s="100" t="s">
        <v>57</v>
      </c>
      <c r="E266" s="226">
        <v>300</v>
      </c>
      <c r="F266" s="229">
        <f t="shared" si="255"/>
        <v>300</v>
      </c>
      <c r="G266" s="230">
        <v>0</v>
      </c>
      <c r="H266" s="230">
        <v>24</v>
      </c>
      <c r="I266" s="230">
        <v>0</v>
      </c>
      <c r="J266" s="230">
        <v>24</v>
      </c>
      <c r="K266" s="231">
        <v>0</v>
      </c>
      <c r="L266" s="100" t="s">
        <v>8</v>
      </c>
      <c r="M266" s="226">
        <f t="shared" si="256"/>
        <v>6408</v>
      </c>
      <c r="N266" s="383">
        <v>1</v>
      </c>
      <c r="O266" s="226">
        <f t="shared" si="257"/>
        <v>6708</v>
      </c>
      <c r="P266" s="227"/>
      <c r="Q266" s="52" t="s">
        <v>46</v>
      </c>
      <c r="R266" s="75" t="s">
        <v>221</v>
      </c>
      <c r="S266" s="145" t="str">
        <f t="shared" si="258"/>
        <v>BPT2011</v>
      </c>
      <c r="T266" s="145" t="str">
        <f t="shared" si="259"/>
        <v>B1.2.1.3.32011</v>
      </c>
      <c r="U266" s="145" t="s">
        <v>200</v>
      </c>
      <c r="V266" s="145" t="str">
        <f t="shared" si="260"/>
        <v>Prototype Insertion Mechanism</v>
      </c>
      <c r="W266" s="46"/>
      <c r="X266" s="46"/>
      <c r="Y266" s="46"/>
      <c r="Z266" s="46"/>
      <c r="AA266" s="46"/>
      <c r="AB266" s="67">
        <v>2011</v>
      </c>
      <c r="AC266" s="140">
        <f t="shared" si="261"/>
        <v>0</v>
      </c>
      <c r="AD266" s="140">
        <f t="shared" si="262"/>
        <v>24</v>
      </c>
      <c r="AE266" s="140">
        <f t="shared" si="263"/>
        <v>0</v>
      </c>
      <c r="AF266" s="140">
        <f t="shared" si="264"/>
        <v>24</v>
      </c>
      <c r="AG266" s="140">
        <f t="shared" si="265"/>
        <v>0</v>
      </c>
      <c r="AH266" s="251">
        <f t="shared" si="266"/>
        <v>300</v>
      </c>
      <c r="AI266" s="253"/>
      <c r="AJ266" s="259"/>
      <c r="AK266" s="259"/>
      <c r="AL266" s="176"/>
      <c r="AM266" s="139">
        <f t="shared" si="267"/>
        <v>0</v>
      </c>
      <c r="AN266" s="140">
        <f t="shared" si="268"/>
        <v>0</v>
      </c>
      <c r="AO266" s="140">
        <f t="shared" si="269"/>
        <v>0</v>
      </c>
      <c r="AP266" s="140">
        <f t="shared" si="270"/>
        <v>0</v>
      </c>
      <c r="AQ266" s="140">
        <f t="shared" si="271"/>
        <v>0</v>
      </c>
      <c r="AR266" s="140">
        <f t="shared" si="272"/>
        <v>0</v>
      </c>
      <c r="AS266" s="253"/>
    </row>
    <row r="267" spans="1:45" s="161" customFormat="1">
      <c r="A267" s="68" t="s">
        <v>361</v>
      </c>
      <c r="B267" s="383" t="s">
        <v>7</v>
      </c>
      <c r="C267" s="228">
        <v>70</v>
      </c>
      <c r="D267" s="100" t="s">
        <v>38</v>
      </c>
      <c r="E267" s="226">
        <v>8</v>
      </c>
      <c r="F267" s="229">
        <f t="shared" si="255"/>
        <v>560</v>
      </c>
      <c r="G267" s="375">
        <v>8</v>
      </c>
      <c r="H267" s="230">
        <v>24</v>
      </c>
      <c r="I267" s="230">
        <v>0</v>
      </c>
      <c r="J267" s="230">
        <v>60</v>
      </c>
      <c r="K267" s="231">
        <v>0</v>
      </c>
      <c r="L267" s="100" t="s">
        <v>8</v>
      </c>
      <c r="M267" s="226">
        <f t="shared" si="256"/>
        <v>12816</v>
      </c>
      <c r="N267" s="383">
        <v>1</v>
      </c>
      <c r="O267" s="226">
        <f t="shared" si="257"/>
        <v>13376</v>
      </c>
      <c r="P267" s="227"/>
      <c r="Q267" s="52" t="s">
        <v>46</v>
      </c>
      <c r="R267" s="75" t="s">
        <v>221</v>
      </c>
      <c r="S267" s="145" t="str">
        <f t="shared" si="258"/>
        <v>BPT2011</v>
      </c>
      <c r="T267" s="145" t="str">
        <f t="shared" si="259"/>
        <v>B1.2.1.3.32011</v>
      </c>
      <c r="U267" s="145" t="s">
        <v>200</v>
      </c>
      <c r="V267" s="145" t="str">
        <f t="shared" si="260"/>
        <v>Prototype Insertion Mechanism</v>
      </c>
      <c r="W267" s="46"/>
      <c r="X267" s="46"/>
      <c r="Y267" s="46"/>
      <c r="Z267" s="46"/>
      <c r="AA267" s="46"/>
      <c r="AB267" s="67">
        <v>2011</v>
      </c>
      <c r="AC267" s="140">
        <f t="shared" si="261"/>
        <v>8</v>
      </c>
      <c r="AD267" s="140">
        <f t="shared" si="262"/>
        <v>24</v>
      </c>
      <c r="AE267" s="140">
        <f t="shared" si="263"/>
        <v>0</v>
      </c>
      <c r="AF267" s="140">
        <f t="shared" si="264"/>
        <v>60</v>
      </c>
      <c r="AG267" s="140">
        <f t="shared" si="265"/>
        <v>0</v>
      </c>
      <c r="AH267" s="251">
        <f t="shared" si="266"/>
        <v>560</v>
      </c>
      <c r="AI267" s="253"/>
      <c r="AJ267" s="259"/>
      <c r="AK267" s="259"/>
      <c r="AL267" s="176"/>
      <c r="AM267" s="139">
        <f t="shared" si="267"/>
        <v>0</v>
      </c>
      <c r="AN267" s="140">
        <f t="shared" si="268"/>
        <v>0</v>
      </c>
      <c r="AO267" s="140">
        <f t="shared" si="269"/>
        <v>0</v>
      </c>
      <c r="AP267" s="140">
        <f t="shared" si="270"/>
        <v>0</v>
      </c>
      <c r="AQ267" s="140">
        <f t="shared" si="271"/>
        <v>0</v>
      </c>
      <c r="AR267" s="140">
        <f t="shared" si="272"/>
        <v>0</v>
      </c>
      <c r="AS267" s="253"/>
    </row>
    <row r="268" spans="1:45" s="161" customFormat="1">
      <c r="A268" s="68" t="s">
        <v>362</v>
      </c>
      <c r="B268" s="383" t="s">
        <v>33</v>
      </c>
      <c r="C268" s="228">
        <v>0</v>
      </c>
      <c r="D268" s="100" t="s">
        <v>9</v>
      </c>
      <c r="E268" s="226">
        <v>0</v>
      </c>
      <c r="F268" s="229">
        <f t="shared" si="255"/>
        <v>0</v>
      </c>
      <c r="G268" s="230">
        <v>0</v>
      </c>
      <c r="H268" s="230">
        <v>32</v>
      </c>
      <c r="I268" s="230">
        <v>0</v>
      </c>
      <c r="J268" s="230">
        <v>16</v>
      </c>
      <c r="K268" s="231">
        <v>0</v>
      </c>
      <c r="L268" s="100" t="s">
        <v>8</v>
      </c>
      <c r="M268" s="226">
        <f t="shared" si="256"/>
        <v>6144</v>
      </c>
      <c r="N268" s="383">
        <v>1</v>
      </c>
      <c r="O268" s="226">
        <f t="shared" si="257"/>
        <v>6144</v>
      </c>
      <c r="P268" s="227"/>
      <c r="Q268" s="52" t="s">
        <v>46</v>
      </c>
      <c r="R268" s="75" t="s">
        <v>221</v>
      </c>
      <c r="S268" s="145" t="str">
        <f t="shared" si="258"/>
        <v>BPT2011</v>
      </c>
      <c r="T268" s="145" t="str">
        <f t="shared" si="259"/>
        <v>B1.2.1.3.32011</v>
      </c>
      <c r="U268" s="145" t="s">
        <v>200</v>
      </c>
      <c r="V268" s="145" t="str">
        <f t="shared" si="260"/>
        <v>Prototype Insertion Mechanism</v>
      </c>
      <c r="W268" s="46"/>
      <c r="X268" s="46"/>
      <c r="Y268" s="46"/>
      <c r="Z268" s="46"/>
      <c r="AA268" s="46"/>
      <c r="AB268" s="67">
        <v>2011</v>
      </c>
      <c r="AC268" s="140">
        <f t="shared" si="261"/>
        <v>0</v>
      </c>
      <c r="AD268" s="140">
        <f t="shared" si="262"/>
        <v>32</v>
      </c>
      <c r="AE268" s="140">
        <f t="shared" si="263"/>
        <v>0</v>
      </c>
      <c r="AF268" s="140">
        <f t="shared" si="264"/>
        <v>16</v>
      </c>
      <c r="AG268" s="140">
        <f t="shared" si="265"/>
        <v>0</v>
      </c>
      <c r="AH268" s="251">
        <f t="shared" si="266"/>
        <v>0</v>
      </c>
      <c r="AI268" s="253"/>
      <c r="AJ268" s="259"/>
      <c r="AK268" s="259"/>
      <c r="AL268" s="176"/>
      <c r="AM268" s="139">
        <f t="shared" si="267"/>
        <v>0</v>
      </c>
      <c r="AN268" s="140">
        <f t="shared" si="268"/>
        <v>0</v>
      </c>
      <c r="AO268" s="140">
        <f t="shared" si="269"/>
        <v>0</v>
      </c>
      <c r="AP268" s="140">
        <f t="shared" si="270"/>
        <v>0</v>
      </c>
      <c r="AQ268" s="140">
        <f t="shared" si="271"/>
        <v>0</v>
      </c>
      <c r="AR268" s="140">
        <f t="shared" si="272"/>
        <v>0</v>
      </c>
      <c r="AS268" s="253"/>
    </row>
    <row r="269" spans="1:45" s="161" customFormat="1">
      <c r="A269" s="159" t="s">
        <v>365</v>
      </c>
      <c r="B269" s="383" t="s">
        <v>33</v>
      </c>
      <c r="C269" s="228">
        <v>0</v>
      </c>
      <c r="D269" s="100" t="s">
        <v>9</v>
      </c>
      <c r="E269" s="226">
        <v>0</v>
      </c>
      <c r="F269" s="229">
        <f t="shared" si="255"/>
        <v>0</v>
      </c>
      <c r="G269" s="230">
        <v>0</v>
      </c>
      <c r="H269" s="230">
        <v>0</v>
      </c>
      <c r="I269" s="230">
        <v>0</v>
      </c>
      <c r="J269" s="230">
        <v>40</v>
      </c>
      <c r="K269" s="231">
        <v>0</v>
      </c>
      <c r="L269" s="100" t="s">
        <v>8</v>
      </c>
      <c r="M269" s="226">
        <f t="shared" si="256"/>
        <v>4860.0000000000009</v>
      </c>
      <c r="N269" s="383">
        <v>1</v>
      </c>
      <c r="O269" s="226">
        <f t="shared" si="257"/>
        <v>4860.0000000000009</v>
      </c>
      <c r="P269" s="227"/>
      <c r="Q269" s="52" t="s">
        <v>46</v>
      </c>
      <c r="R269" s="75" t="s">
        <v>77</v>
      </c>
      <c r="S269" s="145" t="str">
        <f t="shared" si="258"/>
        <v>BPD2012</v>
      </c>
      <c r="T269" s="145" t="str">
        <f t="shared" si="259"/>
        <v>B1.2.1.3.32012</v>
      </c>
      <c r="U269" s="145" t="s">
        <v>200</v>
      </c>
      <c r="V269" s="145" t="str">
        <f t="shared" si="260"/>
        <v>Prototype Insertion Mechanism</v>
      </c>
      <c r="W269" s="46"/>
      <c r="X269" s="46"/>
      <c r="Y269" s="46"/>
      <c r="Z269" s="46"/>
      <c r="AA269" s="46"/>
      <c r="AB269" s="67">
        <v>2012</v>
      </c>
      <c r="AC269" s="140">
        <f t="shared" si="261"/>
        <v>0</v>
      </c>
      <c r="AD269" s="140">
        <f t="shared" si="262"/>
        <v>0</v>
      </c>
      <c r="AE269" s="140">
        <f t="shared" si="263"/>
        <v>0</v>
      </c>
      <c r="AF269" s="140">
        <f t="shared" si="264"/>
        <v>40</v>
      </c>
      <c r="AG269" s="140">
        <f t="shared" si="265"/>
        <v>0</v>
      </c>
      <c r="AH269" s="251">
        <f t="shared" si="266"/>
        <v>0</v>
      </c>
      <c r="AI269" s="253"/>
      <c r="AJ269" s="259"/>
      <c r="AK269" s="259"/>
      <c r="AL269" s="176"/>
      <c r="AM269" s="139">
        <f t="shared" si="267"/>
        <v>0</v>
      </c>
      <c r="AN269" s="140">
        <f t="shared" si="268"/>
        <v>0</v>
      </c>
      <c r="AO269" s="140">
        <f t="shared" si="269"/>
        <v>0</v>
      </c>
      <c r="AP269" s="140">
        <f t="shared" si="270"/>
        <v>0</v>
      </c>
      <c r="AQ269" s="140">
        <f t="shared" si="271"/>
        <v>0</v>
      </c>
      <c r="AR269" s="140">
        <f t="shared" si="272"/>
        <v>0</v>
      </c>
      <c r="AS269" s="253"/>
    </row>
    <row r="270" spans="1:45" s="161" customFormat="1">
      <c r="A270" s="68" t="s">
        <v>358</v>
      </c>
      <c r="B270" s="383" t="s">
        <v>7</v>
      </c>
      <c r="C270" s="228">
        <v>15</v>
      </c>
      <c r="D270" s="100" t="s">
        <v>38</v>
      </c>
      <c r="E270" s="226">
        <v>8</v>
      </c>
      <c r="F270" s="229">
        <f t="shared" si="255"/>
        <v>120</v>
      </c>
      <c r="G270" s="375">
        <v>8</v>
      </c>
      <c r="H270" s="230">
        <v>0</v>
      </c>
      <c r="I270" s="230">
        <v>0</v>
      </c>
      <c r="J270" s="230">
        <v>4</v>
      </c>
      <c r="K270" s="231">
        <v>0</v>
      </c>
      <c r="L270" s="100" t="s">
        <v>8</v>
      </c>
      <c r="M270" s="226">
        <f t="shared" si="256"/>
        <v>2604.96</v>
      </c>
      <c r="N270" s="383">
        <v>2</v>
      </c>
      <c r="O270" s="226">
        <f t="shared" si="257"/>
        <v>2844.96</v>
      </c>
      <c r="P270" s="227"/>
      <c r="Q270" s="52" t="s">
        <v>46</v>
      </c>
      <c r="R270" s="75" t="s">
        <v>77</v>
      </c>
      <c r="S270" s="145" t="str">
        <f t="shared" si="258"/>
        <v>BPD2012</v>
      </c>
      <c r="T270" s="145" t="str">
        <f t="shared" si="259"/>
        <v>B1.2.1.3.32012</v>
      </c>
      <c r="U270" s="145" t="s">
        <v>200</v>
      </c>
      <c r="V270" s="145" t="str">
        <f t="shared" si="260"/>
        <v>Prototype Insertion Mechanism</v>
      </c>
      <c r="W270" s="46"/>
      <c r="X270" s="46"/>
      <c r="Y270" s="46"/>
      <c r="Z270" s="46"/>
      <c r="AA270" s="46"/>
      <c r="AB270" s="67">
        <v>2012</v>
      </c>
      <c r="AC270" s="140">
        <f t="shared" si="261"/>
        <v>16</v>
      </c>
      <c r="AD270" s="140">
        <f t="shared" si="262"/>
        <v>0</v>
      </c>
      <c r="AE270" s="140">
        <f t="shared" si="263"/>
        <v>0</v>
      </c>
      <c r="AF270" s="140">
        <f t="shared" si="264"/>
        <v>8</v>
      </c>
      <c r="AG270" s="140">
        <f t="shared" si="265"/>
        <v>0</v>
      </c>
      <c r="AH270" s="251">
        <f t="shared" si="266"/>
        <v>240</v>
      </c>
      <c r="AI270" s="253"/>
      <c r="AJ270" s="259"/>
      <c r="AK270" s="259"/>
      <c r="AL270" s="176"/>
      <c r="AM270" s="139">
        <f t="shared" si="267"/>
        <v>0</v>
      </c>
      <c r="AN270" s="140">
        <f t="shared" si="268"/>
        <v>0</v>
      </c>
      <c r="AO270" s="140">
        <f t="shared" si="269"/>
        <v>0</v>
      </c>
      <c r="AP270" s="140">
        <f t="shared" si="270"/>
        <v>0</v>
      </c>
      <c r="AQ270" s="140">
        <f t="shared" si="271"/>
        <v>0</v>
      </c>
      <c r="AR270" s="140">
        <f t="shared" si="272"/>
        <v>0</v>
      </c>
      <c r="AS270" s="253"/>
    </row>
    <row r="271" spans="1:45" s="161" customFormat="1">
      <c r="A271" s="68" t="s">
        <v>359</v>
      </c>
      <c r="B271" s="383" t="s">
        <v>7</v>
      </c>
      <c r="C271" s="228">
        <v>20</v>
      </c>
      <c r="D271" s="100" t="s">
        <v>38</v>
      </c>
      <c r="E271" s="226">
        <v>8</v>
      </c>
      <c r="F271" s="229">
        <f t="shared" si="255"/>
        <v>160</v>
      </c>
      <c r="G271" s="230">
        <v>24</v>
      </c>
      <c r="H271" s="230">
        <v>0</v>
      </c>
      <c r="I271" s="230">
        <v>0</v>
      </c>
      <c r="J271" s="230">
        <v>4</v>
      </c>
      <c r="K271" s="231">
        <v>0</v>
      </c>
      <c r="L271" s="100" t="s">
        <v>8</v>
      </c>
      <c r="M271" s="226">
        <f t="shared" si="256"/>
        <v>5870.88</v>
      </c>
      <c r="N271" s="383">
        <v>2</v>
      </c>
      <c r="O271" s="226">
        <f t="shared" si="257"/>
        <v>6190.88</v>
      </c>
      <c r="P271" s="227"/>
      <c r="Q271" s="52" t="s">
        <v>46</v>
      </c>
      <c r="R271" s="75" t="s">
        <v>77</v>
      </c>
      <c r="S271" s="145" t="str">
        <f t="shared" si="258"/>
        <v>BPD2012</v>
      </c>
      <c r="T271" s="145" t="str">
        <f t="shared" si="259"/>
        <v>B1.2.1.3.32012</v>
      </c>
      <c r="U271" s="145" t="s">
        <v>200</v>
      </c>
      <c r="V271" s="145" t="str">
        <f t="shared" si="260"/>
        <v>Prototype Insertion Mechanism</v>
      </c>
      <c r="W271" s="46"/>
      <c r="X271" s="46"/>
      <c r="Y271" s="46"/>
      <c r="Z271" s="46"/>
      <c r="AA271" s="46"/>
      <c r="AB271" s="67">
        <v>2012</v>
      </c>
      <c r="AC271" s="140">
        <f t="shared" si="261"/>
        <v>48</v>
      </c>
      <c r="AD271" s="140">
        <f t="shared" si="262"/>
        <v>0</v>
      </c>
      <c r="AE271" s="140">
        <f t="shared" si="263"/>
        <v>0</v>
      </c>
      <c r="AF271" s="140">
        <f t="shared" si="264"/>
        <v>8</v>
      </c>
      <c r="AG271" s="140">
        <f t="shared" si="265"/>
        <v>0</v>
      </c>
      <c r="AH271" s="251">
        <f t="shared" si="266"/>
        <v>320</v>
      </c>
      <c r="AI271" s="253"/>
      <c r="AJ271" s="259"/>
      <c r="AK271" s="259"/>
      <c r="AL271" s="176"/>
      <c r="AM271" s="139">
        <f t="shared" si="267"/>
        <v>0</v>
      </c>
      <c r="AN271" s="140">
        <f t="shared" si="268"/>
        <v>0</v>
      </c>
      <c r="AO271" s="140">
        <f t="shared" si="269"/>
        <v>0</v>
      </c>
      <c r="AP271" s="140">
        <f t="shared" si="270"/>
        <v>0</v>
      </c>
      <c r="AQ271" s="140">
        <f t="shared" si="271"/>
        <v>0</v>
      </c>
      <c r="AR271" s="140">
        <f t="shared" si="272"/>
        <v>0</v>
      </c>
      <c r="AS271" s="253"/>
    </row>
    <row r="272" spans="1:45" s="161" customFormat="1">
      <c r="A272" s="68" t="s">
        <v>360</v>
      </c>
      <c r="B272" s="383" t="s">
        <v>95</v>
      </c>
      <c r="C272" s="228">
        <v>1</v>
      </c>
      <c r="D272" s="100" t="s">
        <v>57</v>
      </c>
      <c r="E272" s="226">
        <v>300</v>
      </c>
      <c r="F272" s="229">
        <f t="shared" si="255"/>
        <v>300</v>
      </c>
      <c r="G272" s="230">
        <v>0</v>
      </c>
      <c r="H272" s="230">
        <v>24</v>
      </c>
      <c r="I272" s="230">
        <v>0</v>
      </c>
      <c r="J272" s="230">
        <v>4</v>
      </c>
      <c r="K272" s="231">
        <v>0</v>
      </c>
      <c r="L272" s="100" t="s">
        <v>8</v>
      </c>
      <c r="M272" s="226">
        <f t="shared" si="256"/>
        <v>5520.9600000000009</v>
      </c>
      <c r="N272" s="383">
        <v>2</v>
      </c>
      <c r="O272" s="226">
        <f t="shared" si="257"/>
        <v>6120.9600000000009</v>
      </c>
      <c r="P272" s="227"/>
      <c r="Q272" s="52" t="s">
        <v>46</v>
      </c>
      <c r="R272" s="75" t="s">
        <v>77</v>
      </c>
      <c r="S272" s="145" t="str">
        <f t="shared" si="258"/>
        <v>BPD2012</v>
      </c>
      <c r="T272" s="145" t="str">
        <f t="shared" si="259"/>
        <v>B1.2.1.3.32012</v>
      </c>
      <c r="U272" s="145" t="s">
        <v>200</v>
      </c>
      <c r="V272" s="145" t="str">
        <f t="shared" si="260"/>
        <v>Prototype Insertion Mechanism</v>
      </c>
      <c r="W272" s="46"/>
      <c r="X272" s="46"/>
      <c r="Y272" s="46"/>
      <c r="Z272" s="46"/>
      <c r="AA272" s="46"/>
      <c r="AB272" s="67">
        <v>2012</v>
      </c>
      <c r="AC272" s="140">
        <f t="shared" si="261"/>
        <v>0</v>
      </c>
      <c r="AD272" s="140">
        <f t="shared" si="262"/>
        <v>48</v>
      </c>
      <c r="AE272" s="140">
        <f t="shared" si="263"/>
        <v>0</v>
      </c>
      <c r="AF272" s="140">
        <f t="shared" si="264"/>
        <v>8</v>
      </c>
      <c r="AG272" s="140">
        <f t="shared" si="265"/>
        <v>0</v>
      </c>
      <c r="AH272" s="251">
        <f t="shared" si="266"/>
        <v>600</v>
      </c>
      <c r="AI272" s="253"/>
      <c r="AJ272" s="259"/>
      <c r="AK272" s="259"/>
      <c r="AL272" s="176"/>
      <c r="AM272" s="139">
        <f t="shared" si="267"/>
        <v>0</v>
      </c>
      <c r="AN272" s="140">
        <f t="shared" si="268"/>
        <v>0</v>
      </c>
      <c r="AO272" s="140">
        <f t="shared" si="269"/>
        <v>0</v>
      </c>
      <c r="AP272" s="140">
        <f t="shared" si="270"/>
        <v>0</v>
      </c>
      <c r="AQ272" s="140">
        <f t="shared" si="271"/>
        <v>0</v>
      </c>
      <c r="AR272" s="140">
        <f t="shared" si="272"/>
        <v>0</v>
      </c>
      <c r="AS272" s="253"/>
    </row>
    <row r="273" spans="1:45" s="161" customFormat="1">
      <c r="A273" s="68" t="s">
        <v>362</v>
      </c>
      <c r="B273" s="383" t="s">
        <v>33</v>
      </c>
      <c r="C273" s="228">
        <v>0</v>
      </c>
      <c r="D273" s="100" t="s">
        <v>9</v>
      </c>
      <c r="E273" s="226">
        <v>0</v>
      </c>
      <c r="F273" s="229">
        <f t="shared" si="255"/>
        <v>0</v>
      </c>
      <c r="G273" s="230">
        <v>0</v>
      </c>
      <c r="H273" s="230">
        <v>32</v>
      </c>
      <c r="I273" s="230">
        <v>0</v>
      </c>
      <c r="J273" s="230">
        <v>4</v>
      </c>
      <c r="K273" s="231">
        <v>0</v>
      </c>
      <c r="L273" s="100" t="s">
        <v>8</v>
      </c>
      <c r="M273" s="226">
        <f t="shared" si="256"/>
        <v>7037.2800000000007</v>
      </c>
      <c r="N273" s="383">
        <v>2</v>
      </c>
      <c r="O273" s="226">
        <f t="shared" si="257"/>
        <v>7037.2800000000007</v>
      </c>
      <c r="P273" s="227"/>
      <c r="Q273" s="52" t="s">
        <v>46</v>
      </c>
      <c r="R273" s="75" t="s">
        <v>77</v>
      </c>
      <c r="S273" s="145" t="str">
        <f t="shared" si="258"/>
        <v>BPD2012</v>
      </c>
      <c r="T273" s="145" t="str">
        <f t="shared" si="259"/>
        <v>B1.2.1.3.32012</v>
      </c>
      <c r="U273" s="145" t="s">
        <v>200</v>
      </c>
      <c r="V273" s="145" t="str">
        <f t="shared" si="260"/>
        <v>Prototype Insertion Mechanism</v>
      </c>
      <c r="W273" s="46"/>
      <c r="X273" s="46"/>
      <c r="Y273" s="46"/>
      <c r="Z273" s="46"/>
      <c r="AA273" s="46"/>
      <c r="AB273" s="67">
        <v>2012</v>
      </c>
      <c r="AC273" s="140">
        <f t="shared" si="261"/>
        <v>0</v>
      </c>
      <c r="AD273" s="140">
        <f t="shared" si="262"/>
        <v>64</v>
      </c>
      <c r="AE273" s="140">
        <f t="shared" si="263"/>
        <v>0</v>
      </c>
      <c r="AF273" s="140">
        <f t="shared" si="264"/>
        <v>8</v>
      </c>
      <c r="AG273" s="140">
        <f t="shared" si="265"/>
        <v>0</v>
      </c>
      <c r="AH273" s="251">
        <f t="shared" si="266"/>
        <v>0</v>
      </c>
      <c r="AI273" s="253"/>
      <c r="AJ273" s="259"/>
      <c r="AK273" s="259"/>
      <c r="AL273" s="176"/>
      <c r="AM273" s="139">
        <f t="shared" si="267"/>
        <v>0</v>
      </c>
      <c r="AN273" s="140">
        <f t="shared" si="268"/>
        <v>0</v>
      </c>
      <c r="AO273" s="140">
        <f t="shared" si="269"/>
        <v>0</v>
      </c>
      <c r="AP273" s="140">
        <f t="shared" si="270"/>
        <v>0</v>
      </c>
      <c r="AQ273" s="140">
        <f t="shared" si="271"/>
        <v>0</v>
      </c>
      <c r="AR273" s="140">
        <f t="shared" si="272"/>
        <v>0</v>
      </c>
      <c r="AS273" s="253"/>
    </row>
    <row r="274" spans="1:45" s="161" customFormat="1">
      <c r="A274" s="47" t="s">
        <v>366</v>
      </c>
      <c r="B274" s="383" t="s">
        <v>33</v>
      </c>
      <c r="C274" s="228">
        <v>0</v>
      </c>
      <c r="D274" s="100" t="s">
        <v>9</v>
      </c>
      <c r="E274" s="226">
        <v>0</v>
      </c>
      <c r="F274" s="229">
        <f t="shared" si="255"/>
        <v>0</v>
      </c>
      <c r="G274" s="230">
        <v>0</v>
      </c>
      <c r="H274" s="230">
        <v>0</v>
      </c>
      <c r="I274" s="230">
        <v>0</v>
      </c>
      <c r="J274" s="230">
        <v>40</v>
      </c>
      <c r="K274" s="231">
        <v>0</v>
      </c>
      <c r="L274" s="100" t="s">
        <v>8</v>
      </c>
      <c r="M274" s="226">
        <f t="shared" si="256"/>
        <v>4860.0000000000009</v>
      </c>
      <c r="N274" s="383">
        <v>1</v>
      </c>
      <c r="O274" s="226">
        <f t="shared" si="257"/>
        <v>4860.0000000000009</v>
      </c>
      <c r="P274" s="227"/>
      <c r="Q274" s="52" t="s">
        <v>46</v>
      </c>
      <c r="R274" s="75" t="s">
        <v>77</v>
      </c>
      <c r="S274" s="145" t="str">
        <f t="shared" si="258"/>
        <v>BPD2013</v>
      </c>
      <c r="T274" s="145" t="str">
        <f t="shared" si="259"/>
        <v>B1.2.1.3.42013</v>
      </c>
      <c r="U274" s="145" t="s">
        <v>201</v>
      </c>
      <c r="V274" s="145" t="str">
        <f t="shared" si="260"/>
        <v>Production Insertion Mechanism</v>
      </c>
      <c r="W274" s="46"/>
      <c r="X274" s="46"/>
      <c r="Y274" s="46"/>
      <c r="Z274" s="46"/>
      <c r="AA274" s="46"/>
      <c r="AB274" s="67">
        <v>2013</v>
      </c>
      <c r="AC274" s="140">
        <f t="shared" si="261"/>
        <v>0</v>
      </c>
      <c r="AD274" s="140">
        <f t="shared" si="262"/>
        <v>0</v>
      </c>
      <c r="AE274" s="140">
        <f t="shared" si="263"/>
        <v>0</v>
      </c>
      <c r="AF274" s="140">
        <f t="shared" si="264"/>
        <v>40</v>
      </c>
      <c r="AG274" s="140">
        <f t="shared" si="265"/>
        <v>0</v>
      </c>
      <c r="AH274" s="251">
        <f t="shared" si="266"/>
        <v>0</v>
      </c>
      <c r="AI274" s="253"/>
      <c r="AJ274" s="259"/>
      <c r="AK274" s="259"/>
      <c r="AL274" s="176"/>
      <c r="AM274" s="139">
        <f t="shared" si="267"/>
        <v>0</v>
      </c>
      <c r="AN274" s="140">
        <f t="shared" si="268"/>
        <v>0</v>
      </c>
      <c r="AO274" s="140">
        <f t="shared" si="269"/>
        <v>0</v>
      </c>
      <c r="AP274" s="140">
        <f t="shared" si="270"/>
        <v>0</v>
      </c>
      <c r="AQ274" s="140">
        <f t="shared" si="271"/>
        <v>0</v>
      </c>
      <c r="AR274" s="140">
        <f t="shared" si="272"/>
        <v>0</v>
      </c>
      <c r="AS274" s="253"/>
    </row>
    <row r="275" spans="1:45" s="161" customFormat="1">
      <c r="A275" s="46" t="s">
        <v>358</v>
      </c>
      <c r="B275" s="383" t="s">
        <v>7</v>
      </c>
      <c r="C275" s="228">
        <v>15</v>
      </c>
      <c r="D275" s="100" t="s">
        <v>38</v>
      </c>
      <c r="E275" s="226">
        <v>8</v>
      </c>
      <c r="F275" s="229">
        <f t="shared" si="255"/>
        <v>120</v>
      </c>
      <c r="G275" s="375">
        <v>8</v>
      </c>
      <c r="H275" s="230">
        <v>0</v>
      </c>
      <c r="I275" s="230">
        <v>0</v>
      </c>
      <c r="J275" s="230">
        <v>4</v>
      </c>
      <c r="K275" s="231">
        <v>0</v>
      </c>
      <c r="L275" s="100" t="s">
        <v>8</v>
      </c>
      <c r="M275" s="226">
        <f t="shared" si="256"/>
        <v>2604.96</v>
      </c>
      <c r="N275" s="383">
        <v>2</v>
      </c>
      <c r="O275" s="226">
        <f t="shared" si="257"/>
        <v>2844.96</v>
      </c>
      <c r="P275" s="227"/>
      <c r="Q275" s="52" t="s">
        <v>46</v>
      </c>
      <c r="R275" s="75" t="s">
        <v>77</v>
      </c>
      <c r="S275" s="145" t="str">
        <f t="shared" si="258"/>
        <v>BPD2013</v>
      </c>
      <c r="T275" s="145" t="str">
        <f t="shared" si="259"/>
        <v>B1.2.1.3.42013</v>
      </c>
      <c r="U275" s="145" t="s">
        <v>201</v>
      </c>
      <c r="V275" s="145" t="str">
        <f t="shared" si="260"/>
        <v>Production Insertion Mechanism</v>
      </c>
      <c r="W275" s="46"/>
      <c r="X275" s="46"/>
      <c r="Y275" s="46"/>
      <c r="Z275" s="46"/>
      <c r="AA275" s="46"/>
      <c r="AB275" s="67">
        <v>2013</v>
      </c>
      <c r="AC275" s="140">
        <f t="shared" si="261"/>
        <v>16</v>
      </c>
      <c r="AD275" s="140">
        <f t="shared" si="262"/>
        <v>0</v>
      </c>
      <c r="AE275" s="140">
        <f t="shared" si="263"/>
        <v>0</v>
      </c>
      <c r="AF275" s="140">
        <f t="shared" si="264"/>
        <v>8</v>
      </c>
      <c r="AG275" s="140">
        <f t="shared" si="265"/>
        <v>0</v>
      </c>
      <c r="AH275" s="251">
        <f t="shared" si="266"/>
        <v>240</v>
      </c>
      <c r="AI275" s="253"/>
      <c r="AJ275" s="259"/>
      <c r="AK275" s="259"/>
      <c r="AL275" s="176"/>
      <c r="AM275" s="139">
        <f t="shared" si="267"/>
        <v>0</v>
      </c>
      <c r="AN275" s="140">
        <f t="shared" si="268"/>
        <v>0</v>
      </c>
      <c r="AO275" s="140">
        <f t="shared" si="269"/>
        <v>0</v>
      </c>
      <c r="AP275" s="140">
        <f t="shared" si="270"/>
        <v>0</v>
      </c>
      <c r="AQ275" s="140">
        <f t="shared" si="271"/>
        <v>0</v>
      </c>
      <c r="AR275" s="140">
        <f t="shared" si="272"/>
        <v>0</v>
      </c>
      <c r="AS275" s="253"/>
    </row>
    <row r="276" spans="1:45" s="161" customFormat="1">
      <c r="A276" s="46" t="s">
        <v>359</v>
      </c>
      <c r="B276" s="383" t="s">
        <v>7</v>
      </c>
      <c r="C276" s="228">
        <v>20</v>
      </c>
      <c r="D276" s="100" t="s">
        <v>38</v>
      </c>
      <c r="E276" s="226">
        <v>8</v>
      </c>
      <c r="F276" s="229">
        <f t="shared" si="255"/>
        <v>160</v>
      </c>
      <c r="G276" s="230">
        <v>24</v>
      </c>
      <c r="H276" s="230">
        <v>0</v>
      </c>
      <c r="I276" s="230">
        <v>0</v>
      </c>
      <c r="J276" s="230">
        <v>4</v>
      </c>
      <c r="K276" s="231">
        <v>0</v>
      </c>
      <c r="L276" s="100" t="s">
        <v>8</v>
      </c>
      <c r="M276" s="226">
        <f t="shared" si="256"/>
        <v>5870.88</v>
      </c>
      <c r="N276" s="383">
        <v>2</v>
      </c>
      <c r="O276" s="226">
        <f t="shared" si="257"/>
        <v>6190.88</v>
      </c>
      <c r="P276" s="227"/>
      <c r="Q276" s="52" t="s">
        <v>46</v>
      </c>
      <c r="R276" s="75" t="s">
        <v>77</v>
      </c>
      <c r="S276" s="145" t="str">
        <f t="shared" si="258"/>
        <v>BPD2013</v>
      </c>
      <c r="T276" s="145" t="str">
        <f t="shared" si="259"/>
        <v>B1.2.1.3.42013</v>
      </c>
      <c r="U276" s="145" t="s">
        <v>201</v>
      </c>
      <c r="V276" s="145" t="str">
        <f t="shared" si="260"/>
        <v>Production Insertion Mechanism</v>
      </c>
      <c r="W276" s="46"/>
      <c r="X276" s="46"/>
      <c r="Y276" s="46"/>
      <c r="Z276" s="46"/>
      <c r="AA276" s="46"/>
      <c r="AB276" s="67">
        <v>2013</v>
      </c>
      <c r="AC276" s="140">
        <f t="shared" si="261"/>
        <v>48</v>
      </c>
      <c r="AD276" s="140">
        <f t="shared" si="262"/>
        <v>0</v>
      </c>
      <c r="AE276" s="140">
        <f t="shared" si="263"/>
        <v>0</v>
      </c>
      <c r="AF276" s="140">
        <f t="shared" si="264"/>
        <v>8</v>
      </c>
      <c r="AG276" s="140">
        <f t="shared" si="265"/>
        <v>0</v>
      </c>
      <c r="AH276" s="251">
        <f t="shared" si="266"/>
        <v>320</v>
      </c>
      <c r="AI276" s="253"/>
      <c r="AJ276" s="259"/>
      <c r="AK276" s="259"/>
      <c r="AL276" s="176"/>
      <c r="AM276" s="139">
        <f t="shared" si="267"/>
        <v>0</v>
      </c>
      <c r="AN276" s="140">
        <f t="shared" si="268"/>
        <v>0</v>
      </c>
      <c r="AO276" s="140">
        <f t="shared" si="269"/>
        <v>0</v>
      </c>
      <c r="AP276" s="140">
        <f t="shared" si="270"/>
        <v>0</v>
      </c>
      <c r="AQ276" s="140">
        <f t="shared" si="271"/>
        <v>0</v>
      </c>
      <c r="AR276" s="140">
        <f t="shared" si="272"/>
        <v>0</v>
      </c>
      <c r="AS276" s="253"/>
    </row>
    <row r="277" spans="1:45" s="161" customFormat="1">
      <c r="A277" s="46" t="s">
        <v>360</v>
      </c>
      <c r="B277" s="383" t="s">
        <v>95</v>
      </c>
      <c r="C277" s="228">
        <v>1</v>
      </c>
      <c r="D277" s="100" t="s">
        <v>57</v>
      </c>
      <c r="E277" s="226">
        <v>300</v>
      </c>
      <c r="F277" s="229">
        <f t="shared" si="255"/>
        <v>300</v>
      </c>
      <c r="G277" s="230">
        <v>0</v>
      </c>
      <c r="H277" s="230">
        <v>24</v>
      </c>
      <c r="I277" s="230">
        <v>0</v>
      </c>
      <c r="J277" s="230">
        <v>4</v>
      </c>
      <c r="K277" s="231">
        <v>0</v>
      </c>
      <c r="L277" s="100" t="s">
        <v>8</v>
      </c>
      <c r="M277" s="226">
        <f t="shared" si="256"/>
        <v>5520.9600000000009</v>
      </c>
      <c r="N277" s="383">
        <v>2</v>
      </c>
      <c r="O277" s="226">
        <f t="shared" si="257"/>
        <v>6120.9600000000009</v>
      </c>
      <c r="P277" s="227"/>
      <c r="Q277" s="52" t="s">
        <v>46</v>
      </c>
      <c r="R277" s="75" t="s">
        <v>77</v>
      </c>
      <c r="S277" s="145" t="str">
        <f t="shared" si="258"/>
        <v>BPD2013</v>
      </c>
      <c r="T277" s="145" t="str">
        <f t="shared" si="259"/>
        <v>B1.2.1.3.42013</v>
      </c>
      <c r="U277" s="145" t="s">
        <v>201</v>
      </c>
      <c r="V277" s="145" t="str">
        <f t="shared" si="260"/>
        <v>Production Insertion Mechanism</v>
      </c>
      <c r="W277" s="46"/>
      <c r="X277" s="46"/>
      <c r="Y277" s="46"/>
      <c r="Z277" s="46"/>
      <c r="AA277" s="46"/>
      <c r="AB277" s="67">
        <v>2013</v>
      </c>
      <c r="AC277" s="140">
        <f t="shared" si="261"/>
        <v>0</v>
      </c>
      <c r="AD277" s="140">
        <f t="shared" si="262"/>
        <v>48</v>
      </c>
      <c r="AE277" s="140">
        <f t="shared" si="263"/>
        <v>0</v>
      </c>
      <c r="AF277" s="140">
        <f t="shared" si="264"/>
        <v>8</v>
      </c>
      <c r="AG277" s="140">
        <f t="shared" si="265"/>
        <v>0</v>
      </c>
      <c r="AH277" s="251">
        <f t="shared" si="266"/>
        <v>600</v>
      </c>
      <c r="AI277" s="253"/>
      <c r="AJ277" s="259"/>
      <c r="AK277" s="259"/>
      <c r="AL277" s="176"/>
      <c r="AM277" s="139">
        <f t="shared" si="267"/>
        <v>0</v>
      </c>
      <c r="AN277" s="140">
        <f t="shared" si="268"/>
        <v>0</v>
      </c>
      <c r="AO277" s="140">
        <f t="shared" si="269"/>
        <v>0</v>
      </c>
      <c r="AP277" s="140">
        <f t="shared" si="270"/>
        <v>0</v>
      </c>
      <c r="AQ277" s="140">
        <f t="shared" si="271"/>
        <v>0</v>
      </c>
      <c r="AR277" s="140">
        <f t="shared" si="272"/>
        <v>0</v>
      </c>
      <c r="AS277" s="253"/>
    </row>
    <row r="278" spans="1:45" s="161" customFormat="1">
      <c r="A278" s="46" t="s">
        <v>362</v>
      </c>
      <c r="B278" s="383" t="s">
        <v>33</v>
      </c>
      <c r="C278" s="228">
        <v>0</v>
      </c>
      <c r="D278" s="100" t="s">
        <v>9</v>
      </c>
      <c r="E278" s="226">
        <v>0</v>
      </c>
      <c r="F278" s="229">
        <f t="shared" si="255"/>
        <v>0</v>
      </c>
      <c r="G278" s="230">
        <v>0</v>
      </c>
      <c r="H278" s="230">
        <v>32</v>
      </c>
      <c r="I278" s="230">
        <v>0</v>
      </c>
      <c r="J278" s="230">
        <v>4</v>
      </c>
      <c r="K278" s="231">
        <v>0</v>
      </c>
      <c r="L278" s="100" t="s">
        <v>8</v>
      </c>
      <c r="M278" s="226">
        <f t="shared" si="256"/>
        <v>7037.2800000000007</v>
      </c>
      <c r="N278" s="383">
        <v>2</v>
      </c>
      <c r="O278" s="226">
        <f t="shared" si="257"/>
        <v>7037.2800000000007</v>
      </c>
      <c r="P278" s="227"/>
      <c r="Q278" s="52" t="s">
        <v>46</v>
      </c>
      <c r="R278" s="75" t="s">
        <v>77</v>
      </c>
      <c r="S278" s="145" t="str">
        <f t="shared" si="258"/>
        <v>BPD2013</v>
      </c>
      <c r="T278" s="145" t="str">
        <f t="shared" si="259"/>
        <v>B1.2.1.3.42013</v>
      </c>
      <c r="U278" s="145" t="s">
        <v>201</v>
      </c>
      <c r="V278" s="145" t="str">
        <f t="shared" si="260"/>
        <v>Production Insertion Mechanism</v>
      </c>
      <c r="W278" s="46"/>
      <c r="X278" s="46"/>
      <c r="Y278" s="46"/>
      <c r="Z278" s="46"/>
      <c r="AA278" s="46"/>
      <c r="AB278" s="67">
        <v>2013</v>
      </c>
      <c r="AC278" s="140">
        <f t="shared" si="261"/>
        <v>0</v>
      </c>
      <c r="AD278" s="140">
        <f t="shared" si="262"/>
        <v>64</v>
      </c>
      <c r="AE278" s="140">
        <f t="shared" si="263"/>
        <v>0</v>
      </c>
      <c r="AF278" s="140">
        <f t="shared" si="264"/>
        <v>8</v>
      </c>
      <c r="AG278" s="140">
        <f t="shared" si="265"/>
        <v>0</v>
      </c>
      <c r="AH278" s="251">
        <f t="shared" si="266"/>
        <v>0</v>
      </c>
      <c r="AI278" s="253"/>
      <c r="AJ278" s="259"/>
      <c r="AK278" s="259"/>
      <c r="AL278" s="176"/>
      <c r="AM278" s="139">
        <f t="shared" si="267"/>
        <v>0</v>
      </c>
      <c r="AN278" s="140">
        <f t="shared" si="268"/>
        <v>0</v>
      </c>
      <c r="AO278" s="140">
        <f t="shared" si="269"/>
        <v>0</v>
      </c>
      <c r="AP278" s="140">
        <f t="shared" si="270"/>
        <v>0</v>
      </c>
      <c r="AQ278" s="140">
        <f t="shared" si="271"/>
        <v>0</v>
      </c>
      <c r="AR278" s="140">
        <f t="shared" si="272"/>
        <v>0</v>
      </c>
      <c r="AS278" s="253"/>
    </row>
    <row r="279" spans="1:45" s="161" customFormat="1">
      <c r="A279" s="47" t="s">
        <v>367</v>
      </c>
      <c r="B279" s="383" t="s">
        <v>33</v>
      </c>
      <c r="C279" s="228">
        <v>0</v>
      </c>
      <c r="D279" s="100" t="s">
        <v>9</v>
      </c>
      <c r="E279" s="226">
        <v>0</v>
      </c>
      <c r="F279" s="229">
        <f t="shared" si="255"/>
        <v>0</v>
      </c>
      <c r="G279" s="230">
        <v>0</v>
      </c>
      <c r="H279" s="230">
        <v>0</v>
      </c>
      <c r="I279" s="230">
        <v>0</v>
      </c>
      <c r="J279" s="230">
        <v>40</v>
      </c>
      <c r="K279" s="231">
        <v>0</v>
      </c>
      <c r="L279" s="100" t="s">
        <v>8</v>
      </c>
      <c r="M279" s="226">
        <f t="shared" si="256"/>
        <v>9720.0000000000018</v>
      </c>
      <c r="N279" s="383">
        <v>2</v>
      </c>
      <c r="O279" s="226">
        <f t="shared" si="257"/>
        <v>9720.0000000000018</v>
      </c>
      <c r="P279" s="227"/>
      <c r="Q279" s="52" t="s">
        <v>47</v>
      </c>
      <c r="R279" s="75" t="s">
        <v>77</v>
      </c>
      <c r="S279" s="145" t="str">
        <f t="shared" si="258"/>
        <v>CPD2013</v>
      </c>
      <c r="T279" s="145" t="str">
        <f t="shared" si="259"/>
        <v>C1.2.1.3.42013</v>
      </c>
      <c r="U279" s="145" t="s">
        <v>201</v>
      </c>
      <c r="V279" s="145" t="str">
        <f t="shared" si="260"/>
        <v>Production Insertion Mechanism</v>
      </c>
      <c r="W279" s="46"/>
      <c r="X279" s="46"/>
      <c r="Y279" s="46"/>
      <c r="Z279" s="46"/>
      <c r="AA279" s="46"/>
      <c r="AB279" s="67">
        <v>2013</v>
      </c>
      <c r="AC279" s="140">
        <f t="shared" si="261"/>
        <v>0</v>
      </c>
      <c r="AD279" s="140">
        <f t="shared" si="262"/>
        <v>0</v>
      </c>
      <c r="AE279" s="140">
        <f t="shared" si="263"/>
        <v>0</v>
      </c>
      <c r="AF279" s="140">
        <f t="shared" si="264"/>
        <v>0</v>
      </c>
      <c r="AG279" s="140">
        <f t="shared" si="265"/>
        <v>0</v>
      </c>
      <c r="AH279" s="251">
        <f t="shared" si="266"/>
        <v>0</v>
      </c>
      <c r="AI279" s="253"/>
      <c r="AJ279" s="259"/>
      <c r="AK279" s="259"/>
      <c r="AL279" s="176"/>
      <c r="AM279" s="139">
        <f t="shared" si="267"/>
        <v>0</v>
      </c>
      <c r="AN279" s="140">
        <f t="shared" si="268"/>
        <v>0</v>
      </c>
      <c r="AO279" s="140">
        <f t="shared" si="269"/>
        <v>0</v>
      </c>
      <c r="AP279" s="140">
        <f t="shared" si="270"/>
        <v>80</v>
      </c>
      <c r="AQ279" s="140">
        <f t="shared" si="271"/>
        <v>0</v>
      </c>
      <c r="AR279" s="140">
        <f t="shared" si="272"/>
        <v>0</v>
      </c>
      <c r="AS279" s="253"/>
    </row>
    <row r="280" spans="1:45" s="161" customFormat="1">
      <c r="A280" s="46" t="s">
        <v>358</v>
      </c>
      <c r="B280" s="383" t="s">
        <v>7</v>
      </c>
      <c r="C280" s="228">
        <v>15</v>
      </c>
      <c r="D280" s="100" t="s">
        <v>38</v>
      </c>
      <c r="E280" s="226">
        <v>8</v>
      </c>
      <c r="F280" s="229">
        <f t="shared" si="255"/>
        <v>120</v>
      </c>
      <c r="G280" s="230">
        <v>24</v>
      </c>
      <c r="H280" s="230">
        <v>0</v>
      </c>
      <c r="I280" s="230">
        <v>0</v>
      </c>
      <c r="J280" s="230">
        <v>4</v>
      </c>
      <c r="K280" s="231">
        <v>0</v>
      </c>
      <c r="L280" s="100" t="s">
        <v>8</v>
      </c>
      <c r="M280" s="226">
        <f t="shared" si="256"/>
        <v>5870.88</v>
      </c>
      <c r="N280" s="383">
        <v>2</v>
      </c>
      <c r="O280" s="226">
        <f t="shared" si="257"/>
        <v>6110.88</v>
      </c>
      <c r="P280" s="227"/>
      <c r="Q280" s="52" t="s">
        <v>47</v>
      </c>
      <c r="R280" s="75" t="s">
        <v>77</v>
      </c>
      <c r="S280" s="145" t="str">
        <f t="shared" si="258"/>
        <v>CPD2013</v>
      </c>
      <c r="T280" s="145" t="str">
        <f t="shared" si="259"/>
        <v>C1.2.1.3.42013</v>
      </c>
      <c r="U280" s="145" t="s">
        <v>201</v>
      </c>
      <c r="V280" s="145" t="str">
        <f t="shared" si="260"/>
        <v>Production Insertion Mechanism</v>
      </c>
      <c r="W280" s="46"/>
      <c r="X280" s="46"/>
      <c r="Y280" s="46"/>
      <c r="Z280" s="46"/>
      <c r="AA280" s="46"/>
      <c r="AB280" s="67">
        <v>2013</v>
      </c>
      <c r="AC280" s="140">
        <f t="shared" si="261"/>
        <v>0</v>
      </c>
      <c r="AD280" s="140">
        <f t="shared" si="262"/>
        <v>0</v>
      </c>
      <c r="AE280" s="140">
        <f t="shared" si="263"/>
        <v>0</v>
      </c>
      <c r="AF280" s="140">
        <f t="shared" si="264"/>
        <v>0</v>
      </c>
      <c r="AG280" s="140">
        <f t="shared" si="265"/>
        <v>0</v>
      </c>
      <c r="AH280" s="251">
        <f t="shared" si="266"/>
        <v>0</v>
      </c>
      <c r="AI280" s="253"/>
      <c r="AJ280" s="259"/>
      <c r="AK280" s="259"/>
      <c r="AL280" s="176"/>
      <c r="AM280" s="139">
        <f t="shared" si="267"/>
        <v>48</v>
      </c>
      <c r="AN280" s="140">
        <f t="shared" si="268"/>
        <v>0</v>
      </c>
      <c r="AO280" s="140">
        <f t="shared" si="269"/>
        <v>0</v>
      </c>
      <c r="AP280" s="140">
        <f t="shared" si="270"/>
        <v>8</v>
      </c>
      <c r="AQ280" s="140">
        <f t="shared" si="271"/>
        <v>0</v>
      </c>
      <c r="AR280" s="140">
        <f t="shared" si="272"/>
        <v>240</v>
      </c>
      <c r="AS280" s="253"/>
    </row>
    <row r="281" spans="1:45" s="161" customFormat="1">
      <c r="A281" s="46" t="s">
        <v>359</v>
      </c>
      <c r="B281" s="383" t="s">
        <v>7</v>
      </c>
      <c r="C281" s="228">
        <v>20</v>
      </c>
      <c r="D281" s="100" t="s">
        <v>38</v>
      </c>
      <c r="E281" s="226">
        <v>8</v>
      </c>
      <c r="F281" s="229">
        <f t="shared" si="255"/>
        <v>160</v>
      </c>
      <c r="G281" s="230">
        <v>24</v>
      </c>
      <c r="H281" s="230">
        <v>0</v>
      </c>
      <c r="I281" s="230">
        <v>0</v>
      </c>
      <c r="J281" s="230">
        <v>4</v>
      </c>
      <c r="K281" s="231">
        <v>0</v>
      </c>
      <c r="L281" s="100" t="s">
        <v>8</v>
      </c>
      <c r="M281" s="226">
        <f t="shared" si="256"/>
        <v>5870.88</v>
      </c>
      <c r="N281" s="383">
        <v>2</v>
      </c>
      <c r="O281" s="226">
        <f t="shared" si="257"/>
        <v>6190.88</v>
      </c>
      <c r="P281" s="227"/>
      <c r="Q281" s="52" t="s">
        <v>47</v>
      </c>
      <c r="R281" s="75" t="s">
        <v>77</v>
      </c>
      <c r="S281" s="145" t="str">
        <f t="shared" si="258"/>
        <v>CPD2013</v>
      </c>
      <c r="T281" s="145" t="str">
        <f t="shared" si="259"/>
        <v>C1.2.1.3.42013</v>
      </c>
      <c r="U281" s="145" t="s">
        <v>201</v>
      </c>
      <c r="V281" s="145" t="str">
        <f t="shared" si="260"/>
        <v>Production Insertion Mechanism</v>
      </c>
      <c r="W281" s="46"/>
      <c r="X281" s="46"/>
      <c r="Y281" s="46"/>
      <c r="Z281" s="46"/>
      <c r="AA281" s="46"/>
      <c r="AB281" s="67">
        <v>2013</v>
      </c>
      <c r="AC281" s="140">
        <f t="shared" si="261"/>
        <v>0</v>
      </c>
      <c r="AD281" s="140">
        <f t="shared" si="262"/>
        <v>0</v>
      </c>
      <c r="AE281" s="140">
        <f t="shared" si="263"/>
        <v>0</v>
      </c>
      <c r="AF281" s="140">
        <f t="shared" si="264"/>
        <v>0</v>
      </c>
      <c r="AG281" s="140">
        <f t="shared" si="265"/>
        <v>0</v>
      </c>
      <c r="AH281" s="251">
        <f t="shared" si="266"/>
        <v>0</v>
      </c>
      <c r="AI281" s="253"/>
      <c r="AJ281" s="259"/>
      <c r="AK281" s="259"/>
      <c r="AL281" s="176"/>
      <c r="AM281" s="139">
        <f t="shared" si="267"/>
        <v>48</v>
      </c>
      <c r="AN281" s="140">
        <f t="shared" si="268"/>
        <v>0</v>
      </c>
      <c r="AO281" s="140">
        <f t="shared" si="269"/>
        <v>0</v>
      </c>
      <c r="AP281" s="140">
        <f t="shared" si="270"/>
        <v>8</v>
      </c>
      <c r="AQ281" s="140">
        <f t="shared" si="271"/>
        <v>0</v>
      </c>
      <c r="AR281" s="140">
        <f t="shared" si="272"/>
        <v>320</v>
      </c>
      <c r="AS281" s="253"/>
    </row>
    <row r="282" spans="1:45" s="161" customFormat="1">
      <c r="A282" s="46" t="s">
        <v>360</v>
      </c>
      <c r="B282" s="383" t="s">
        <v>95</v>
      </c>
      <c r="C282" s="228">
        <v>1</v>
      </c>
      <c r="D282" s="100" t="s">
        <v>57</v>
      </c>
      <c r="E282" s="226">
        <v>300</v>
      </c>
      <c r="F282" s="229">
        <f t="shared" si="255"/>
        <v>300</v>
      </c>
      <c r="G282" s="230">
        <v>0</v>
      </c>
      <c r="H282" s="230">
        <v>24</v>
      </c>
      <c r="I282" s="230">
        <v>0</v>
      </c>
      <c r="J282" s="230">
        <v>4</v>
      </c>
      <c r="K282" s="231">
        <v>0</v>
      </c>
      <c r="L282" s="100" t="s">
        <v>8</v>
      </c>
      <c r="M282" s="226">
        <f t="shared" si="256"/>
        <v>5520.9600000000009</v>
      </c>
      <c r="N282" s="383">
        <v>2</v>
      </c>
      <c r="O282" s="226">
        <f t="shared" si="257"/>
        <v>6120.9600000000009</v>
      </c>
      <c r="P282" s="227"/>
      <c r="Q282" s="52" t="s">
        <v>47</v>
      </c>
      <c r="R282" s="75" t="s">
        <v>77</v>
      </c>
      <c r="S282" s="145" t="str">
        <f t="shared" si="258"/>
        <v>CPD2013</v>
      </c>
      <c r="T282" s="145" t="str">
        <f t="shared" si="259"/>
        <v>C1.2.1.3.42013</v>
      </c>
      <c r="U282" s="145" t="s">
        <v>201</v>
      </c>
      <c r="V282" s="145" t="str">
        <f t="shared" si="260"/>
        <v>Production Insertion Mechanism</v>
      </c>
      <c r="W282" s="46"/>
      <c r="X282" s="46"/>
      <c r="Y282" s="46"/>
      <c r="Z282" s="46"/>
      <c r="AA282" s="46"/>
      <c r="AB282" s="67">
        <v>2013</v>
      </c>
      <c r="AC282" s="140">
        <f t="shared" si="261"/>
        <v>0</v>
      </c>
      <c r="AD282" s="140">
        <f t="shared" si="262"/>
        <v>0</v>
      </c>
      <c r="AE282" s="140">
        <f t="shared" si="263"/>
        <v>0</v>
      </c>
      <c r="AF282" s="140">
        <f t="shared" si="264"/>
        <v>0</v>
      </c>
      <c r="AG282" s="140">
        <f t="shared" si="265"/>
        <v>0</v>
      </c>
      <c r="AH282" s="251">
        <f t="shared" si="266"/>
        <v>0</v>
      </c>
      <c r="AI282" s="253"/>
      <c r="AJ282" s="259"/>
      <c r="AK282" s="259"/>
      <c r="AL282" s="176"/>
      <c r="AM282" s="139">
        <f t="shared" si="267"/>
        <v>0</v>
      </c>
      <c r="AN282" s="140">
        <f t="shared" si="268"/>
        <v>48</v>
      </c>
      <c r="AO282" s="140">
        <f t="shared" si="269"/>
        <v>0</v>
      </c>
      <c r="AP282" s="140">
        <f t="shared" si="270"/>
        <v>8</v>
      </c>
      <c r="AQ282" s="140">
        <f t="shared" si="271"/>
        <v>0</v>
      </c>
      <c r="AR282" s="140">
        <f t="shared" si="272"/>
        <v>600</v>
      </c>
      <c r="AS282" s="253"/>
    </row>
    <row r="283" spans="1:45" s="161" customFormat="1">
      <c r="A283" s="46" t="s">
        <v>362</v>
      </c>
      <c r="B283" s="383" t="s">
        <v>33</v>
      </c>
      <c r="C283" s="228">
        <v>0</v>
      </c>
      <c r="D283" s="100" t="s">
        <v>9</v>
      </c>
      <c r="E283" s="226">
        <v>0</v>
      </c>
      <c r="F283" s="229">
        <f t="shared" si="255"/>
        <v>0</v>
      </c>
      <c r="G283" s="230">
        <v>0</v>
      </c>
      <c r="H283" s="230">
        <v>32</v>
      </c>
      <c r="I283" s="230">
        <v>0</v>
      </c>
      <c r="J283" s="230">
        <v>4</v>
      </c>
      <c r="K283" s="231">
        <v>0</v>
      </c>
      <c r="L283" s="100" t="s">
        <v>8</v>
      </c>
      <c r="M283" s="226">
        <f t="shared" si="256"/>
        <v>7037.2800000000007</v>
      </c>
      <c r="N283" s="383">
        <v>2</v>
      </c>
      <c r="O283" s="226">
        <f t="shared" si="257"/>
        <v>7037.2800000000007</v>
      </c>
      <c r="P283" s="227"/>
      <c r="Q283" s="52" t="s">
        <v>47</v>
      </c>
      <c r="R283" s="75" t="s">
        <v>77</v>
      </c>
      <c r="S283" s="145" t="str">
        <f t="shared" si="258"/>
        <v>CPD2013</v>
      </c>
      <c r="T283" s="145" t="str">
        <f t="shared" si="259"/>
        <v>C1.2.1.3.42013</v>
      </c>
      <c r="U283" s="145" t="s">
        <v>201</v>
      </c>
      <c r="V283" s="145" t="str">
        <f t="shared" si="260"/>
        <v>Production Insertion Mechanism</v>
      </c>
      <c r="W283" s="46"/>
      <c r="X283" s="46"/>
      <c r="Y283" s="46"/>
      <c r="Z283" s="46"/>
      <c r="AA283" s="46"/>
      <c r="AB283" s="67">
        <v>2013</v>
      </c>
      <c r="AC283" s="140">
        <f t="shared" si="261"/>
        <v>0</v>
      </c>
      <c r="AD283" s="140">
        <f t="shared" si="262"/>
        <v>0</v>
      </c>
      <c r="AE283" s="140">
        <f t="shared" si="263"/>
        <v>0</v>
      </c>
      <c r="AF283" s="140">
        <f t="shared" si="264"/>
        <v>0</v>
      </c>
      <c r="AG283" s="140">
        <f t="shared" si="265"/>
        <v>0</v>
      </c>
      <c r="AH283" s="251">
        <f t="shared" si="266"/>
        <v>0</v>
      </c>
      <c r="AI283" s="253"/>
      <c r="AJ283" s="259"/>
      <c r="AK283" s="259"/>
      <c r="AL283" s="176"/>
      <c r="AM283" s="139">
        <f t="shared" si="267"/>
        <v>0</v>
      </c>
      <c r="AN283" s="140">
        <f t="shared" si="268"/>
        <v>64</v>
      </c>
      <c r="AO283" s="140">
        <f t="shared" si="269"/>
        <v>0</v>
      </c>
      <c r="AP283" s="140">
        <f t="shared" si="270"/>
        <v>8</v>
      </c>
      <c r="AQ283" s="140">
        <f t="shared" si="271"/>
        <v>0</v>
      </c>
      <c r="AR283" s="140">
        <f t="shared" si="272"/>
        <v>0</v>
      </c>
      <c r="AS283" s="253"/>
    </row>
    <row r="284" spans="1:45" s="46" customFormat="1">
      <c r="A284" s="47" t="s">
        <v>208</v>
      </c>
      <c r="C284" s="196"/>
      <c r="E284" s="197"/>
      <c r="F284" s="198"/>
      <c r="G284" s="199"/>
      <c r="H284" s="199"/>
      <c r="I284" s="199"/>
      <c r="J284" s="199"/>
      <c r="K284" s="200"/>
      <c r="L284" s="234" t="s">
        <v>66</v>
      </c>
      <c r="M284" s="188">
        <f>SUMIF(Q262:Q283,"B",M262:M283)</f>
        <v>128804.16000000003</v>
      </c>
      <c r="N284" s="69" t="s">
        <v>66</v>
      </c>
      <c r="O284" s="188"/>
      <c r="P284" s="201"/>
      <c r="Q284" s="66"/>
      <c r="R284" s="77"/>
      <c r="S284" s="145"/>
      <c r="T284" s="145"/>
      <c r="U284" s="79"/>
      <c r="V284" s="79"/>
      <c r="W284" s="20"/>
      <c r="X284" s="20"/>
      <c r="Y284" s="20"/>
      <c r="Z284" s="20"/>
      <c r="AA284" s="20"/>
      <c r="AB284" s="33"/>
      <c r="AC284" s="140"/>
      <c r="AD284" s="140"/>
      <c r="AE284" s="140"/>
      <c r="AF284" s="140"/>
      <c r="AG284" s="140"/>
      <c r="AH284" s="251"/>
      <c r="AI284" s="252"/>
      <c r="AJ284" s="140"/>
      <c r="AK284" s="140"/>
      <c r="AL284" s="176"/>
      <c r="AM284" s="139"/>
      <c r="AN284" s="140"/>
      <c r="AO284" s="140"/>
      <c r="AP284" s="140"/>
      <c r="AQ284" s="140"/>
      <c r="AR284" s="140"/>
      <c r="AS284" s="252"/>
    </row>
    <row r="285" spans="1:45" s="141" customFormat="1">
      <c r="A285" s="46" t="s">
        <v>373</v>
      </c>
      <c r="B285" s="20" t="s">
        <v>33</v>
      </c>
      <c r="C285" s="175">
        <v>0</v>
      </c>
      <c r="D285" s="100" t="s">
        <v>9</v>
      </c>
      <c r="E285" s="176">
        <v>0</v>
      </c>
      <c r="F285" s="177">
        <f>E285*C285</f>
        <v>0</v>
      </c>
      <c r="G285" s="178">
        <v>0</v>
      </c>
      <c r="H285" s="178">
        <v>0</v>
      </c>
      <c r="I285" s="178">
        <v>0</v>
      </c>
      <c r="J285" s="178">
        <v>48</v>
      </c>
      <c r="K285" s="179">
        <v>0</v>
      </c>
      <c r="L285" s="100" t="s">
        <v>8</v>
      </c>
      <c r="M285" s="176">
        <f>IF(R285="PD",((Shop*G285)+(M_Tech*H285)+(CMM*I285)+(ENG*J285)+(DES*K285))*N285,((Shop_RD*G285)+(MTECH_RD*H285)+(CMM_RD*I285)+(ENG_RD*J285)+(DES_RD*K285))*N285)</f>
        <v>7200</v>
      </c>
      <c r="N285" s="96">
        <v>1</v>
      </c>
      <c r="O285" s="176">
        <f>M285+(F285*N285)</f>
        <v>7200</v>
      </c>
      <c r="P285" s="180"/>
      <c r="Q285" s="52" t="s">
        <v>46</v>
      </c>
      <c r="R285" s="75" t="s">
        <v>221</v>
      </c>
      <c r="S285" s="145" t="str">
        <f>CONCATENATE(Q285,R285,AB285)</f>
        <v>BPT2010</v>
      </c>
      <c r="T285" s="145" t="str">
        <f>CONCATENATE(Q285,U285,AB285)</f>
        <v>B1.2.1.3.52010</v>
      </c>
      <c r="U285" s="145" t="s">
        <v>206</v>
      </c>
      <c r="V285" s="145" t="str">
        <f>LOOKUP(U285,$B$383:$B$420,$A$383:$A$420)</f>
        <v>Prototype Patch Panel Bulkhead</v>
      </c>
      <c r="W285" s="20"/>
      <c r="X285" s="20"/>
      <c r="Y285" s="20"/>
      <c r="Z285" s="20"/>
      <c r="AA285" s="20"/>
      <c r="AB285" s="433">
        <v>2010</v>
      </c>
      <c r="AC285" s="140">
        <f t="shared" ref="AC285:AG289" si="273">IF($Q285="B", (G285*$N285),0)</f>
        <v>0</v>
      </c>
      <c r="AD285" s="140">
        <f t="shared" si="273"/>
        <v>0</v>
      </c>
      <c r="AE285" s="140">
        <f t="shared" si="273"/>
        <v>0</v>
      </c>
      <c r="AF285" s="140">
        <f t="shared" si="273"/>
        <v>48</v>
      </c>
      <c r="AG285" s="140">
        <f t="shared" si="273"/>
        <v>0</v>
      </c>
      <c r="AH285" s="251">
        <f>IF($Q285="B", (F285*$N285),0)</f>
        <v>0</v>
      </c>
      <c r="AI285" s="253"/>
      <c r="AJ285" s="259"/>
      <c r="AK285" s="259"/>
      <c r="AL285" s="176"/>
      <c r="AM285" s="139">
        <f t="shared" ref="AM285:AQ289" si="274">IF($Q285="C", (G285*$N285),0)</f>
        <v>0</v>
      </c>
      <c r="AN285" s="140">
        <f t="shared" si="274"/>
        <v>0</v>
      </c>
      <c r="AO285" s="140">
        <f t="shared" si="274"/>
        <v>0</v>
      </c>
      <c r="AP285" s="140">
        <f t="shared" si="274"/>
        <v>0</v>
      </c>
      <c r="AQ285" s="140">
        <f t="shared" si="274"/>
        <v>0</v>
      </c>
      <c r="AR285" s="140">
        <f>IF($Q285="C", (F285*$N285),0)</f>
        <v>0</v>
      </c>
      <c r="AS285" s="253"/>
    </row>
    <row r="286" spans="1:45" s="141" customFormat="1">
      <c r="A286" s="46" t="s">
        <v>371</v>
      </c>
      <c r="B286" s="20" t="s">
        <v>33</v>
      </c>
      <c r="C286" s="175">
        <v>0</v>
      </c>
      <c r="D286" s="100" t="s">
        <v>9</v>
      </c>
      <c r="E286" s="176">
        <v>0</v>
      </c>
      <c r="F286" s="177">
        <f>E286*C286</f>
        <v>0</v>
      </c>
      <c r="G286" s="178">
        <v>0</v>
      </c>
      <c r="H286" s="178">
        <v>0</v>
      </c>
      <c r="I286" s="178">
        <v>0</v>
      </c>
      <c r="J286" s="178">
        <v>80</v>
      </c>
      <c r="K286" s="179">
        <v>0</v>
      </c>
      <c r="L286" s="100" t="s">
        <v>8</v>
      </c>
      <c r="M286" s="176">
        <f>IF(R286="PD",((Shop*G286)+(M_Tech*H286)+(CMM*I286)+(ENG*J286)+(DES*K286))*N286,((Shop_RD*G286)+(MTECH_RD*H286)+(CMM_RD*I286)+(ENG_RD*J286)+(DES_RD*K286))*N286)</f>
        <v>9720.0000000000018</v>
      </c>
      <c r="N286" s="96">
        <v>1</v>
      </c>
      <c r="O286" s="176">
        <f>M286+(F286*N286)</f>
        <v>9720.0000000000018</v>
      </c>
      <c r="P286" s="180"/>
      <c r="Q286" s="52" t="s">
        <v>46</v>
      </c>
      <c r="R286" s="75" t="s">
        <v>77</v>
      </c>
      <c r="S286" s="145" t="str">
        <f>CONCATENATE(Q286,R286,AB286)</f>
        <v>BPD2012</v>
      </c>
      <c r="T286" s="145" t="str">
        <f>CONCATENATE(Q286,U286,AB286)</f>
        <v>B1.2.1.3.52012</v>
      </c>
      <c r="U286" s="145" t="s">
        <v>206</v>
      </c>
      <c r="V286" s="145" t="str">
        <f>LOOKUP(U286,$B$383:$B$420,$A$383:$A$420)</f>
        <v>Prototype Patch Panel Bulkhead</v>
      </c>
      <c r="W286" s="20"/>
      <c r="X286" s="20"/>
      <c r="Y286" s="20"/>
      <c r="Z286" s="20"/>
      <c r="AA286" s="20"/>
      <c r="AB286" s="33">
        <v>2012</v>
      </c>
      <c r="AC286" s="140">
        <f t="shared" si="273"/>
        <v>0</v>
      </c>
      <c r="AD286" s="140">
        <f t="shared" si="273"/>
        <v>0</v>
      </c>
      <c r="AE286" s="140">
        <f t="shared" si="273"/>
        <v>0</v>
      </c>
      <c r="AF286" s="140">
        <f t="shared" si="273"/>
        <v>80</v>
      </c>
      <c r="AG286" s="140">
        <f t="shared" si="273"/>
        <v>0</v>
      </c>
      <c r="AH286" s="251">
        <f>IF($Q286="B", (F286*$N286),0)</f>
        <v>0</v>
      </c>
      <c r="AI286" s="253"/>
      <c r="AJ286" s="259"/>
      <c r="AK286" s="259"/>
      <c r="AL286" s="176"/>
      <c r="AM286" s="139">
        <f t="shared" si="274"/>
        <v>0</v>
      </c>
      <c r="AN286" s="140">
        <f t="shared" si="274"/>
        <v>0</v>
      </c>
      <c r="AO286" s="140">
        <f t="shared" si="274"/>
        <v>0</v>
      </c>
      <c r="AP286" s="140">
        <f t="shared" si="274"/>
        <v>0</v>
      </c>
      <c r="AQ286" s="140">
        <f t="shared" si="274"/>
        <v>0</v>
      </c>
      <c r="AR286" s="140">
        <f>IF($Q286="C", (F286*$N286),0)</f>
        <v>0</v>
      </c>
      <c r="AS286" s="253"/>
    </row>
    <row r="287" spans="1:45" s="141" customFormat="1">
      <c r="A287" s="46" t="s">
        <v>372</v>
      </c>
      <c r="B287" s="20" t="s">
        <v>7</v>
      </c>
      <c r="C287" s="175">
        <v>80</v>
      </c>
      <c r="D287" s="100" t="s">
        <v>38</v>
      </c>
      <c r="E287" s="176">
        <v>8</v>
      </c>
      <c r="F287" s="177">
        <f>E287*C287</f>
        <v>640</v>
      </c>
      <c r="G287" s="374">
        <v>8</v>
      </c>
      <c r="H287" s="178">
        <v>60</v>
      </c>
      <c r="I287" s="178">
        <v>0</v>
      </c>
      <c r="J287" s="178">
        <v>8</v>
      </c>
      <c r="K287" s="179">
        <v>0</v>
      </c>
      <c r="L287" s="100" t="s">
        <v>8</v>
      </c>
      <c r="M287" s="176">
        <f>IF(R287="PD",((Shop*G287)+(M_Tech*H287)+(CMM*I287)+(ENG*J287)+(DES*K287))*N287,((Shop_RD*G287)+(MTECH_RD*H287)+(CMM_RD*I287)+(ENG_RD*J287)+(DES_RD*K287))*N287)</f>
        <v>7474.68</v>
      </c>
      <c r="N287" s="96">
        <v>1</v>
      </c>
      <c r="O287" s="176">
        <f>M287+(F287*N287)</f>
        <v>8114.68</v>
      </c>
      <c r="P287" s="180"/>
      <c r="Q287" s="52" t="s">
        <v>46</v>
      </c>
      <c r="R287" s="75" t="s">
        <v>77</v>
      </c>
      <c r="S287" s="145" t="str">
        <f>CONCATENATE(Q287,R287,AB287)</f>
        <v>BPD2012</v>
      </c>
      <c r="T287" s="145" t="str">
        <f>CONCATENATE(Q287,U287,AB287)</f>
        <v>B1.2.1.3.52012</v>
      </c>
      <c r="U287" s="145" t="s">
        <v>206</v>
      </c>
      <c r="V287" s="145" t="str">
        <f>LOOKUP(U287,$B$383:$B$420,$A$383:$A$420)</f>
        <v>Prototype Patch Panel Bulkhead</v>
      </c>
      <c r="W287" s="20"/>
      <c r="X287" s="20"/>
      <c r="Y287" s="20"/>
      <c r="Z287" s="20"/>
      <c r="AA287" s="20"/>
      <c r="AB287" s="33">
        <v>2012</v>
      </c>
      <c r="AC287" s="140">
        <f t="shared" si="273"/>
        <v>8</v>
      </c>
      <c r="AD287" s="140">
        <f t="shared" si="273"/>
        <v>60</v>
      </c>
      <c r="AE287" s="140">
        <f t="shared" si="273"/>
        <v>0</v>
      </c>
      <c r="AF287" s="140">
        <f t="shared" si="273"/>
        <v>8</v>
      </c>
      <c r="AG287" s="140">
        <f t="shared" si="273"/>
        <v>0</v>
      </c>
      <c r="AH287" s="251">
        <f>IF($Q287="B", (F287*$N287),0)</f>
        <v>640</v>
      </c>
      <c r="AI287" s="253"/>
      <c r="AJ287" s="259"/>
      <c r="AK287" s="259"/>
      <c r="AL287" s="176"/>
      <c r="AM287" s="139">
        <f t="shared" si="274"/>
        <v>0</v>
      </c>
      <c r="AN287" s="140">
        <f t="shared" si="274"/>
        <v>0</v>
      </c>
      <c r="AO287" s="140">
        <f t="shared" si="274"/>
        <v>0</v>
      </c>
      <c r="AP287" s="140">
        <f t="shared" si="274"/>
        <v>0</v>
      </c>
      <c r="AQ287" s="140">
        <f t="shared" si="274"/>
        <v>0</v>
      </c>
      <c r="AR287" s="140">
        <f>IF($Q287="C", (F287*$N287),0)</f>
        <v>0</v>
      </c>
      <c r="AS287" s="253"/>
    </row>
    <row r="288" spans="1:45" s="141" customFormat="1">
      <c r="A288" s="46" t="s">
        <v>353</v>
      </c>
      <c r="B288" s="20" t="s">
        <v>95</v>
      </c>
      <c r="C288" s="175">
        <v>1</v>
      </c>
      <c r="D288" s="100" t="s">
        <v>57</v>
      </c>
      <c r="E288" s="176">
        <v>2000</v>
      </c>
      <c r="F288" s="177">
        <f>E288*C288</f>
        <v>2000</v>
      </c>
      <c r="G288" s="178">
        <v>0</v>
      </c>
      <c r="H288" s="178">
        <v>8</v>
      </c>
      <c r="I288" s="178">
        <v>0</v>
      </c>
      <c r="J288" s="178">
        <v>0</v>
      </c>
      <c r="K288" s="179">
        <v>8</v>
      </c>
      <c r="L288" s="100" t="s">
        <v>8</v>
      </c>
      <c r="M288" s="176">
        <f>IF(R288="PD",((Shop*G288)+(M_Tech*H288)+(CMM*I288)+(ENG*J288)+(DES*K288))*N288,((Shop_RD*G288)+(MTECH_RD*H288)+(CMM_RD*I288)+(ENG_RD*J288)+(DES_RD*K288))*N288)</f>
        <v>1568.16</v>
      </c>
      <c r="N288" s="96">
        <v>1</v>
      </c>
      <c r="O288" s="176">
        <f>M288+(F288*N288)</f>
        <v>3568.16</v>
      </c>
      <c r="P288" s="180"/>
      <c r="Q288" s="52" t="s">
        <v>46</v>
      </c>
      <c r="R288" s="75" t="s">
        <v>77</v>
      </c>
      <c r="S288" s="145" t="str">
        <f>CONCATENATE(Q288,R288,AB288)</f>
        <v>BPD2012</v>
      </c>
      <c r="T288" s="145" t="str">
        <f>CONCATENATE(Q288,U288,AB288)</f>
        <v>B1.2.1.3.52012</v>
      </c>
      <c r="U288" s="145" t="s">
        <v>206</v>
      </c>
      <c r="V288" s="145" t="str">
        <f>LOOKUP(U288,$B$383:$B$420,$A$383:$A$420)</f>
        <v>Prototype Patch Panel Bulkhead</v>
      </c>
      <c r="W288" s="20"/>
      <c r="X288" s="20"/>
      <c r="Y288" s="20"/>
      <c r="Z288" s="20"/>
      <c r="AA288" s="20"/>
      <c r="AB288" s="33">
        <v>2012</v>
      </c>
      <c r="AC288" s="140">
        <f t="shared" si="273"/>
        <v>0</v>
      </c>
      <c r="AD288" s="140">
        <f t="shared" si="273"/>
        <v>8</v>
      </c>
      <c r="AE288" s="140">
        <f t="shared" si="273"/>
        <v>0</v>
      </c>
      <c r="AF288" s="140">
        <f t="shared" si="273"/>
        <v>0</v>
      </c>
      <c r="AG288" s="140">
        <f t="shared" si="273"/>
        <v>8</v>
      </c>
      <c r="AH288" s="251">
        <f>IF($Q288="B", (F288*$N288),0)</f>
        <v>2000</v>
      </c>
      <c r="AI288" s="253"/>
      <c r="AJ288" s="259"/>
      <c r="AK288" s="259"/>
      <c r="AL288" s="176"/>
      <c r="AM288" s="139">
        <f t="shared" si="274"/>
        <v>0</v>
      </c>
      <c r="AN288" s="140">
        <f t="shared" si="274"/>
        <v>0</v>
      </c>
      <c r="AO288" s="140">
        <f t="shared" si="274"/>
        <v>0</v>
      </c>
      <c r="AP288" s="140">
        <f t="shared" si="274"/>
        <v>0</v>
      </c>
      <c r="AQ288" s="140">
        <f t="shared" si="274"/>
        <v>0</v>
      </c>
      <c r="AR288" s="140">
        <f>IF($Q288="C", (F288*$N288),0)</f>
        <v>0</v>
      </c>
      <c r="AS288" s="253"/>
    </row>
    <row r="289" spans="1:45" s="141" customFormat="1">
      <c r="A289" s="46" t="s">
        <v>374</v>
      </c>
      <c r="B289" s="20" t="s">
        <v>7</v>
      </c>
      <c r="C289" s="175">
        <v>40</v>
      </c>
      <c r="D289" s="100" t="s">
        <v>38</v>
      </c>
      <c r="E289" s="176">
        <v>8</v>
      </c>
      <c r="F289" s="177">
        <f>E289*C289</f>
        <v>320</v>
      </c>
      <c r="G289" s="178">
        <v>24</v>
      </c>
      <c r="H289" s="178">
        <v>24</v>
      </c>
      <c r="I289" s="178">
        <v>0</v>
      </c>
      <c r="J289" s="178">
        <v>8</v>
      </c>
      <c r="K289" s="179">
        <v>0</v>
      </c>
      <c r="L289" s="100" t="s">
        <v>8</v>
      </c>
      <c r="M289" s="176">
        <f>IF(R289="PD",((Shop*G289)+(M_Tech*H289)+(CMM*I289)+(ENG*J289)+(DES*K289))*N289,((Shop_RD*G289)+(MTECH_RD*H289)+(CMM_RD*I289)+(ENG_RD*J289)+(DES_RD*K289))*N289)</f>
        <v>11391.84</v>
      </c>
      <c r="N289" s="96">
        <v>2</v>
      </c>
      <c r="O289" s="176">
        <f>M289+(F289*N289)</f>
        <v>12031.84</v>
      </c>
      <c r="P289" s="180"/>
      <c r="Q289" s="52" t="s">
        <v>46</v>
      </c>
      <c r="R289" s="75" t="s">
        <v>77</v>
      </c>
      <c r="S289" s="145" t="str">
        <f>CONCATENATE(Q289,R289,AB289)</f>
        <v>BPD2012</v>
      </c>
      <c r="T289" s="145" t="str">
        <f>CONCATENATE(Q289,U289,AB289)</f>
        <v>B1.2.1.3.52012</v>
      </c>
      <c r="U289" s="145" t="s">
        <v>206</v>
      </c>
      <c r="V289" s="145" t="str">
        <f>LOOKUP(U289,$B$383:$B$420,$A$383:$A$420)</f>
        <v>Prototype Patch Panel Bulkhead</v>
      </c>
      <c r="W289" s="20"/>
      <c r="X289" s="20"/>
      <c r="Y289" s="20"/>
      <c r="Z289" s="20"/>
      <c r="AA289" s="20"/>
      <c r="AB289" s="33">
        <v>2012</v>
      </c>
      <c r="AC289" s="140">
        <f t="shared" si="273"/>
        <v>48</v>
      </c>
      <c r="AD289" s="140">
        <f t="shared" si="273"/>
        <v>48</v>
      </c>
      <c r="AE289" s="140">
        <f t="shared" si="273"/>
        <v>0</v>
      </c>
      <c r="AF289" s="140">
        <f t="shared" si="273"/>
        <v>16</v>
      </c>
      <c r="AG289" s="140">
        <f t="shared" si="273"/>
        <v>0</v>
      </c>
      <c r="AH289" s="251">
        <f>IF($Q289="B", (F289*$N289),0)</f>
        <v>640</v>
      </c>
      <c r="AI289" s="253"/>
      <c r="AJ289" s="259"/>
      <c r="AK289" s="259"/>
      <c r="AL289" s="176"/>
      <c r="AM289" s="139">
        <f t="shared" si="274"/>
        <v>0</v>
      </c>
      <c r="AN289" s="140">
        <f t="shared" si="274"/>
        <v>0</v>
      </c>
      <c r="AO289" s="140">
        <f t="shared" si="274"/>
        <v>0</v>
      </c>
      <c r="AP289" s="140">
        <f t="shared" si="274"/>
        <v>0</v>
      </c>
      <c r="AQ289" s="140">
        <f t="shared" si="274"/>
        <v>0</v>
      </c>
      <c r="AR289" s="140">
        <f>IF($Q289="C", (F289*$N289),0)</f>
        <v>0</v>
      </c>
      <c r="AS289" s="253"/>
    </row>
    <row r="290" spans="1:45" s="46" customFormat="1">
      <c r="A290" s="47" t="s">
        <v>375</v>
      </c>
      <c r="C290" s="196"/>
      <c r="E290" s="197"/>
      <c r="F290" s="198"/>
      <c r="G290" s="199"/>
      <c r="H290" s="199"/>
      <c r="I290" s="199"/>
      <c r="J290" s="199"/>
      <c r="K290" s="200"/>
      <c r="L290" s="234" t="s">
        <v>66</v>
      </c>
      <c r="M290" s="188">
        <f>SUMIF(Q268:Q289,"B",M268:M289)</f>
        <v>95286.84</v>
      </c>
      <c r="N290" s="69" t="s">
        <v>66</v>
      </c>
      <c r="O290" s="188"/>
      <c r="P290" s="201"/>
      <c r="Q290" s="66"/>
      <c r="R290" s="77"/>
      <c r="S290" s="145"/>
      <c r="T290" s="145"/>
      <c r="U290" s="79"/>
      <c r="V290" s="79"/>
      <c r="W290" s="20"/>
      <c r="X290" s="20"/>
      <c r="Y290" s="20"/>
      <c r="Z290" s="20"/>
      <c r="AA290" s="20"/>
      <c r="AB290" s="33"/>
      <c r="AC290" s="140"/>
      <c r="AD290" s="140"/>
      <c r="AE290" s="140"/>
      <c r="AF290" s="140"/>
      <c r="AG290" s="140"/>
      <c r="AH290" s="251"/>
      <c r="AI290" s="252"/>
      <c r="AJ290" s="140"/>
      <c r="AK290" s="140"/>
      <c r="AL290" s="176"/>
      <c r="AM290" s="139"/>
      <c r="AN290" s="140"/>
      <c r="AO290" s="140"/>
      <c r="AP290" s="140"/>
      <c r="AQ290" s="140"/>
      <c r="AR290" s="140"/>
      <c r="AS290" s="252"/>
    </row>
    <row r="291" spans="1:45" s="141" customFormat="1">
      <c r="A291" s="46" t="s">
        <v>371</v>
      </c>
      <c r="B291" s="20" t="s">
        <v>33</v>
      </c>
      <c r="C291" s="175">
        <v>0</v>
      </c>
      <c r="D291" s="100" t="s">
        <v>9</v>
      </c>
      <c r="E291" s="176">
        <v>0</v>
      </c>
      <c r="F291" s="177">
        <f>E291*C291</f>
        <v>0</v>
      </c>
      <c r="G291" s="178">
        <v>0</v>
      </c>
      <c r="H291" s="178">
        <v>0</v>
      </c>
      <c r="I291" s="178">
        <v>0</v>
      </c>
      <c r="J291" s="178">
        <v>40</v>
      </c>
      <c r="K291" s="179">
        <v>0</v>
      </c>
      <c r="L291" s="100" t="s">
        <v>8</v>
      </c>
      <c r="M291" s="176">
        <f>IF(R291="PD",((Shop*G291)+(M_Tech*H291)+(CMM*I291)+(ENG*J291)+(DES*K291))*N291,((Shop_RD*G291)+(MTECH_RD*H291)+(CMM_RD*I291)+(ENG_RD*J291)+(DES_RD*K291))*N291)</f>
        <v>4860.0000000000009</v>
      </c>
      <c r="N291" s="96">
        <v>1</v>
      </c>
      <c r="O291" s="176">
        <f>M291+(F291*N291)</f>
        <v>4860.0000000000009</v>
      </c>
      <c r="P291" s="180"/>
      <c r="Q291" s="52" t="s">
        <v>46</v>
      </c>
      <c r="R291" s="75" t="s">
        <v>77</v>
      </c>
      <c r="S291" s="145" t="str">
        <f>CONCATENATE(Q291,R291,AB291)</f>
        <v>BPD2011</v>
      </c>
      <c r="T291" s="145" t="str">
        <f>CONCATENATE(Q291,U291,AB291)</f>
        <v>B1.2.1.3.62011</v>
      </c>
      <c r="U291" s="145" t="s">
        <v>207</v>
      </c>
      <c r="V291" s="145" t="str">
        <f>LOOKUP(U291,$B$383:$B$420,$A$383:$A$420)</f>
        <v>Production Patch Panel Bulkhead</v>
      </c>
      <c r="W291" s="20"/>
      <c r="X291" s="20"/>
      <c r="Y291" s="20"/>
      <c r="Z291" s="20"/>
      <c r="AA291" s="20"/>
      <c r="AB291" s="33">
        <v>2011</v>
      </c>
      <c r="AC291" s="140">
        <f t="shared" ref="AC291:AG294" si="275">IF($Q291="B", (G291*$N291),0)</f>
        <v>0</v>
      </c>
      <c r="AD291" s="140">
        <f t="shared" si="275"/>
        <v>0</v>
      </c>
      <c r="AE291" s="140">
        <f t="shared" si="275"/>
        <v>0</v>
      </c>
      <c r="AF291" s="140">
        <f t="shared" si="275"/>
        <v>40</v>
      </c>
      <c r="AG291" s="140">
        <f t="shared" si="275"/>
        <v>0</v>
      </c>
      <c r="AH291" s="251">
        <f>IF($Q291="B", (F291*$N291),0)</f>
        <v>0</v>
      </c>
      <c r="AI291" s="253"/>
      <c r="AJ291" s="259"/>
      <c r="AK291" s="259"/>
      <c r="AL291" s="176"/>
      <c r="AM291" s="139">
        <f t="shared" ref="AM291:AQ294" si="276">IF($Q291="C", (G291*$N291),0)</f>
        <v>0</v>
      </c>
      <c r="AN291" s="140">
        <f t="shared" si="276"/>
        <v>0</v>
      </c>
      <c r="AO291" s="140">
        <f t="shared" si="276"/>
        <v>0</v>
      </c>
      <c r="AP291" s="140">
        <f t="shared" si="276"/>
        <v>0</v>
      </c>
      <c r="AQ291" s="140">
        <f t="shared" si="276"/>
        <v>0</v>
      </c>
      <c r="AR291" s="140">
        <f>IF($Q291="C", (F291*$N291),0)</f>
        <v>0</v>
      </c>
      <c r="AS291" s="253"/>
    </row>
    <row r="292" spans="1:45" s="141" customFormat="1">
      <c r="A292" s="46" t="s">
        <v>353</v>
      </c>
      <c r="B292" s="20" t="s">
        <v>95</v>
      </c>
      <c r="C292" s="175">
        <v>1</v>
      </c>
      <c r="D292" s="100" t="s">
        <v>57</v>
      </c>
      <c r="E292" s="176">
        <v>2000</v>
      </c>
      <c r="F292" s="177">
        <f>E292*C292</f>
        <v>2000</v>
      </c>
      <c r="G292" s="178">
        <v>0</v>
      </c>
      <c r="H292" s="178">
        <v>8</v>
      </c>
      <c r="I292" s="178">
        <v>0</v>
      </c>
      <c r="J292" s="178">
        <v>0</v>
      </c>
      <c r="K292" s="179">
        <v>8</v>
      </c>
      <c r="L292" s="100" t="s">
        <v>8</v>
      </c>
      <c r="M292" s="176">
        <f>IF(R292="PD",((Shop*G292)+(M_Tech*H292)+(CMM*I292)+(ENG*J292)+(DES*K292))*N292,((Shop_RD*G292)+(MTECH_RD*H292)+(CMM_RD*I292)+(ENG_RD*J292)+(DES_RD*K292))*N292)</f>
        <v>1568.16</v>
      </c>
      <c r="N292" s="96">
        <v>1</v>
      </c>
      <c r="O292" s="176">
        <f>M292+(F292*N292)</f>
        <v>3568.16</v>
      </c>
      <c r="P292" s="180"/>
      <c r="Q292" s="52" t="s">
        <v>46</v>
      </c>
      <c r="R292" s="75" t="s">
        <v>77</v>
      </c>
      <c r="S292" s="145" t="str">
        <f>CONCATENATE(Q292,R292,AB292)</f>
        <v>BPD2012</v>
      </c>
      <c r="T292" s="145" t="str">
        <f>CONCATENATE(Q292,U292,AB292)</f>
        <v>B1.2.1.3.62012</v>
      </c>
      <c r="U292" s="145" t="s">
        <v>207</v>
      </c>
      <c r="V292" s="145" t="str">
        <f>LOOKUP(U292,$B$383:$B$420,$A$383:$A$420)</f>
        <v>Production Patch Panel Bulkhead</v>
      </c>
      <c r="W292" s="20"/>
      <c r="X292" s="20"/>
      <c r="Y292" s="20"/>
      <c r="Z292" s="20"/>
      <c r="AA292" s="20"/>
      <c r="AB292" s="33">
        <v>2012</v>
      </c>
      <c r="AC292" s="140">
        <f t="shared" si="275"/>
        <v>0</v>
      </c>
      <c r="AD292" s="140">
        <f t="shared" si="275"/>
        <v>8</v>
      </c>
      <c r="AE292" s="140">
        <f t="shared" si="275"/>
        <v>0</v>
      </c>
      <c r="AF292" s="140">
        <f t="shared" si="275"/>
        <v>0</v>
      </c>
      <c r="AG292" s="140">
        <f t="shared" si="275"/>
        <v>8</v>
      </c>
      <c r="AH292" s="251">
        <f>IF($Q292="B", (F292*$N292),0)</f>
        <v>2000</v>
      </c>
      <c r="AI292" s="253"/>
      <c r="AJ292" s="259"/>
      <c r="AK292" s="259"/>
      <c r="AL292" s="176"/>
      <c r="AM292" s="139">
        <f t="shared" si="276"/>
        <v>0</v>
      </c>
      <c r="AN292" s="140">
        <f t="shared" si="276"/>
        <v>0</v>
      </c>
      <c r="AO292" s="140">
        <f t="shared" si="276"/>
        <v>0</v>
      </c>
      <c r="AP292" s="140">
        <f t="shared" si="276"/>
        <v>0</v>
      </c>
      <c r="AQ292" s="140">
        <f t="shared" si="276"/>
        <v>0</v>
      </c>
      <c r="AR292" s="140">
        <f>IF($Q292="C", (F292*$N292),0)</f>
        <v>0</v>
      </c>
      <c r="AS292" s="253"/>
    </row>
    <row r="293" spans="1:45" s="141" customFormat="1">
      <c r="A293" s="46" t="s">
        <v>376</v>
      </c>
      <c r="B293" s="20" t="s">
        <v>7</v>
      </c>
      <c r="C293" s="175">
        <v>40</v>
      </c>
      <c r="D293" s="100" t="s">
        <v>38</v>
      </c>
      <c r="E293" s="176">
        <v>8</v>
      </c>
      <c r="F293" s="177">
        <f>E293*C293</f>
        <v>320</v>
      </c>
      <c r="G293" s="178">
        <v>24</v>
      </c>
      <c r="H293" s="178">
        <v>60</v>
      </c>
      <c r="I293" s="178">
        <v>0</v>
      </c>
      <c r="J293" s="178">
        <v>8</v>
      </c>
      <c r="K293" s="179">
        <v>0</v>
      </c>
      <c r="L293" s="100" t="s">
        <v>8</v>
      </c>
      <c r="M293" s="176">
        <f>IF(R293="PD",((Shop*G293)+(M_Tech*H293)+(CMM*I293)+(ENG*J293)+(DES*K293))*N293,((Shop_RD*G293)+(MTECH_RD*H293)+(CMM_RD*I293)+(ENG_RD*J293)+(DES_RD*K293))*N293)</f>
        <v>36430.560000000005</v>
      </c>
      <c r="N293" s="96">
        <v>4</v>
      </c>
      <c r="O293" s="176">
        <f>M293+(F293*N293)</f>
        <v>37710.560000000005</v>
      </c>
      <c r="P293" s="180"/>
      <c r="Q293" s="52" t="s">
        <v>46</v>
      </c>
      <c r="R293" s="75" t="s">
        <v>77</v>
      </c>
      <c r="S293" s="145" t="str">
        <f>CONCATENATE(Q293,R293,AB293)</f>
        <v>BPD2013</v>
      </c>
      <c r="T293" s="145" t="str">
        <f>CONCATENATE(Q293,U293,AB293)</f>
        <v>B1.2.1.3.62013</v>
      </c>
      <c r="U293" s="145" t="s">
        <v>207</v>
      </c>
      <c r="V293" s="145" t="str">
        <f>LOOKUP(U293,$B$383:$B$420,$A$383:$A$420)</f>
        <v>Production Patch Panel Bulkhead</v>
      </c>
      <c r="W293" s="20"/>
      <c r="X293" s="20"/>
      <c r="Y293" s="20"/>
      <c r="Z293" s="20"/>
      <c r="AA293" s="20"/>
      <c r="AB293" s="33">
        <v>2013</v>
      </c>
      <c r="AC293" s="140">
        <f t="shared" si="275"/>
        <v>96</v>
      </c>
      <c r="AD293" s="140">
        <f t="shared" si="275"/>
        <v>240</v>
      </c>
      <c r="AE293" s="140">
        <f t="shared" si="275"/>
        <v>0</v>
      </c>
      <c r="AF293" s="140">
        <f t="shared" si="275"/>
        <v>32</v>
      </c>
      <c r="AG293" s="140">
        <f t="shared" si="275"/>
        <v>0</v>
      </c>
      <c r="AH293" s="251">
        <f>IF($Q293="B", (F293*$N293),0)</f>
        <v>1280</v>
      </c>
      <c r="AI293" s="253"/>
      <c r="AJ293" s="259"/>
      <c r="AK293" s="259"/>
      <c r="AL293" s="176"/>
      <c r="AM293" s="139">
        <f t="shared" si="276"/>
        <v>0</v>
      </c>
      <c r="AN293" s="140">
        <f t="shared" si="276"/>
        <v>0</v>
      </c>
      <c r="AO293" s="140">
        <f t="shared" si="276"/>
        <v>0</v>
      </c>
      <c r="AP293" s="140">
        <f t="shared" si="276"/>
        <v>0</v>
      </c>
      <c r="AQ293" s="140">
        <f t="shared" si="276"/>
        <v>0</v>
      </c>
      <c r="AR293" s="140">
        <f>IF($Q293="C", (F293*$N293),0)</f>
        <v>0</v>
      </c>
      <c r="AS293" s="253"/>
    </row>
    <row r="294" spans="1:45" s="141" customFormat="1">
      <c r="A294" s="46" t="s">
        <v>377</v>
      </c>
      <c r="B294" s="20" t="s">
        <v>7</v>
      </c>
      <c r="C294" s="175">
        <v>40</v>
      </c>
      <c r="D294" s="100" t="s">
        <v>38</v>
      </c>
      <c r="E294" s="176">
        <v>8</v>
      </c>
      <c r="F294" s="177">
        <f>E294*C294</f>
        <v>320</v>
      </c>
      <c r="G294" s="178">
        <v>24</v>
      </c>
      <c r="H294" s="178">
        <v>60</v>
      </c>
      <c r="I294" s="178">
        <v>0</v>
      </c>
      <c r="J294" s="178">
        <v>8</v>
      </c>
      <c r="K294" s="179">
        <v>0</v>
      </c>
      <c r="L294" s="100" t="s">
        <v>8</v>
      </c>
      <c r="M294" s="176">
        <f>IF(R294="PD",((Shop*G294)+(M_Tech*H294)+(CMM*I294)+(ENG*J294)+(DES*K294))*N294,((Shop_RD*G294)+(MTECH_RD*H294)+(CMM_RD*I294)+(ENG_RD*J294)+(DES_RD*K294))*N294)</f>
        <v>18215.280000000002</v>
      </c>
      <c r="N294" s="96">
        <v>2</v>
      </c>
      <c r="O294" s="176">
        <f>M294+(F294*N294)</f>
        <v>18855.280000000002</v>
      </c>
      <c r="P294" s="180"/>
      <c r="Q294" s="52" t="s">
        <v>47</v>
      </c>
      <c r="R294" s="75" t="s">
        <v>77</v>
      </c>
      <c r="S294" s="145" t="str">
        <f>CONCATENATE(Q294,R294,AB294)</f>
        <v>CPD2013</v>
      </c>
      <c r="T294" s="145" t="str">
        <f>CONCATENATE(Q294,U294,AB294)</f>
        <v>C1.2.1.3.62013</v>
      </c>
      <c r="U294" s="145" t="s">
        <v>207</v>
      </c>
      <c r="V294" s="145" t="str">
        <f>LOOKUP(U294,$B$383:$B$420,$A$383:$A$420)</f>
        <v>Production Patch Panel Bulkhead</v>
      </c>
      <c r="W294" s="20"/>
      <c r="X294" s="20"/>
      <c r="Y294" s="20"/>
      <c r="Z294" s="20"/>
      <c r="AA294" s="20"/>
      <c r="AB294" s="33">
        <v>2013</v>
      </c>
      <c r="AC294" s="140">
        <f t="shared" si="275"/>
        <v>0</v>
      </c>
      <c r="AD294" s="140">
        <f t="shared" si="275"/>
        <v>0</v>
      </c>
      <c r="AE294" s="140">
        <f t="shared" si="275"/>
        <v>0</v>
      </c>
      <c r="AF294" s="140">
        <f t="shared" si="275"/>
        <v>0</v>
      </c>
      <c r="AG294" s="140">
        <f t="shared" si="275"/>
        <v>0</v>
      </c>
      <c r="AH294" s="251">
        <f>IF($Q294="B", (F294*$N294),0)</f>
        <v>0</v>
      </c>
      <c r="AI294" s="253"/>
      <c r="AJ294" s="259"/>
      <c r="AK294" s="259"/>
      <c r="AL294" s="176"/>
      <c r="AM294" s="139">
        <f t="shared" si="276"/>
        <v>48</v>
      </c>
      <c r="AN294" s="140">
        <f t="shared" si="276"/>
        <v>120</v>
      </c>
      <c r="AO294" s="140">
        <f t="shared" si="276"/>
        <v>0</v>
      </c>
      <c r="AP294" s="140">
        <f t="shared" si="276"/>
        <v>16</v>
      </c>
      <c r="AQ294" s="140">
        <f t="shared" si="276"/>
        <v>0</v>
      </c>
      <c r="AR294" s="140">
        <f>IF($Q294="C", (F294*$N294),0)</f>
        <v>640</v>
      </c>
      <c r="AS294" s="253"/>
    </row>
    <row r="295" spans="1:45">
      <c r="A295" s="21" t="s">
        <v>328</v>
      </c>
      <c r="B295" s="3"/>
      <c r="C295" s="181"/>
      <c r="D295" s="380"/>
      <c r="E295" s="182"/>
      <c r="F295" s="183"/>
      <c r="G295" s="181"/>
      <c r="H295" s="181"/>
      <c r="I295" s="181"/>
      <c r="J295" s="181"/>
      <c r="K295" s="184"/>
      <c r="L295" s="380"/>
      <c r="M295" s="182">
        <f>SUMIF(Q238:Q294,"B",M238:M294)</f>
        <v>443077.56000000011</v>
      </c>
      <c r="N295" s="379" t="s">
        <v>65</v>
      </c>
      <c r="O295" s="380"/>
      <c r="P295" s="381"/>
      <c r="Q295" s="53"/>
      <c r="R295" s="78"/>
      <c r="S295" s="146"/>
      <c r="T295" s="146"/>
      <c r="U295" s="146"/>
      <c r="V295" s="146"/>
      <c r="W295" s="3"/>
      <c r="X295" s="3"/>
      <c r="Y295" s="3"/>
      <c r="Z295" s="3"/>
      <c r="AA295" s="3"/>
      <c r="AB295" s="34"/>
      <c r="AC295" s="5">
        <f>SUM(AC238:AC294)</f>
        <v>440</v>
      </c>
      <c r="AD295" s="5">
        <f>SUM(AD238:AD294)</f>
        <v>1396</v>
      </c>
      <c r="AE295" s="5">
        <f>SUM(AE238:AE294)</f>
        <v>80</v>
      </c>
      <c r="AF295" s="5">
        <f>SUM(AF238:AF294)</f>
        <v>1610</v>
      </c>
      <c r="AG295" s="5">
        <f>SUM(AG238:AG294)</f>
        <v>16</v>
      </c>
      <c r="AH295" s="5"/>
      <c r="AI295" s="183">
        <f>SUM(AH238:AH294)</f>
        <v>29420</v>
      </c>
      <c r="AJ295" s="182">
        <f>(Shop*AC295)+M_Tech*AD295+CMM*AE295+ENG*AF295+DES*AG295+AI295</f>
        <v>412025.12</v>
      </c>
      <c r="AK295" s="182"/>
      <c r="AL295" s="183">
        <f>Shop*AM295+M_Tech*AN295+CMM*AO295+ENG*AP295+DES*AQ295+AS295</f>
        <v>77623.44</v>
      </c>
      <c r="AM295" s="5">
        <f>SUM(AM238:AM294)</f>
        <v>204</v>
      </c>
      <c r="AN295" s="5">
        <f>SUM(AN238:AN294)</f>
        <v>312</v>
      </c>
      <c r="AO295" s="5">
        <f>SUM(AO238:AO294)</f>
        <v>16</v>
      </c>
      <c r="AP295" s="5">
        <f>SUM(AP238:AP294)</f>
        <v>188</v>
      </c>
      <c r="AQ295" s="5">
        <f>SUM(AQ238:AQ294)</f>
        <v>0</v>
      </c>
      <c r="AR295" s="5"/>
      <c r="AS295" s="183">
        <f>SUM(AR238:AR294)</f>
        <v>2760</v>
      </c>
    </row>
    <row r="296" spans="1:45">
      <c r="A296" s="378"/>
      <c r="B296" s="378"/>
      <c r="F296" s="170"/>
      <c r="G296" s="168"/>
      <c r="H296" s="168"/>
      <c r="I296" s="168"/>
      <c r="J296" s="168"/>
      <c r="K296" s="185"/>
      <c r="L296" s="234" t="s">
        <v>66</v>
      </c>
      <c r="M296" s="188">
        <f>SUMIF(Q291:Q294,"B",M291:M294)</f>
        <v>42858.720000000008</v>
      </c>
      <c r="N296" s="69" t="s">
        <v>66</v>
      </c>
      <c r="P296" s="186"/>
      <c r="Q296" s="35"/>
      <c r="R296" s="76"/>
      <c r="S296" s="147"/>
      <c r="T296" s="147"/>
      <c r="U296" s="147"/>
      <c r="V296" s="147"/>
      <c r="W296" s="378"/>
      <c r="X296" s="378"/>
      <c r="Y296" s="378"/>
      <c r="Z296" s="378"/>
      <c r="AA296" s="378"/>
      <c r="AB296" s="36"/>
      <c r="AC296" s="31"/>
      <c r="AD296" s="31"/>
      <c r="AE296" s="31"/>
      <c r="AF296" s="31"/>
      <c r="AG296" s="31"/>
      <c r="AH296" s="254"/>
      <c r="AI296" s="255"/>
      <c r="AJ296" s="6"/>
      <c r="AK296" s="6"/>
      <c r="AM296" s="32"/>
      <c r="AN296" s="4"/>
      <c r="AO296" s="4"/>
      <c r="AP296" s="4"/>
      <c r="AQ296" s="4"/>
      <c r="AR296" s="4"/>
      <c r="AS296" s="256"/>
    </row>
    <row r="297" spans="1:45" s="352" customFormat="1" ht="15.75">
      <c r="A297" s="49" t="s">
        <v>477</v>
      </c>
      <c r="B297" s="378"/>
      <c r="C297" s="162"/>
      <c r="D297" s="87"/>
      <c r="E297" s="116"/>
      <c r="F297" s="170"/>
      <c r="G297" s="168"/>
      <c r="H297" s="168"/>
      <c r="I297" s="168"/>
      <c r="J297" s="168"/>
      <c r="K297" s="185"/>
      <c r="L297" s="87"/>
      <c r="M297" s="116"/>
      <c r="N297" s="96" t="s">
        <v>426</v>
      </c>
      <c r="O297" s="186"/>
      <c r="P297" s="186"/>
      <c r="Q297" s="52"/>
      <c r="R297" s="75"/>
      <c r="S297" s="145"/>
      <c r="T297" s="145"/>
      <c r="U297" s="145"/>
      <c r="V297" s="145"/>
      <c r="W297" s="378"/>
      <c r="X297" s="378"/>
      <c r="Y297" s="378"/>
      <c r="Z297" s="378"/>
      <c r="AA297" s="378"/>
      <c r="AB297" s="33"/>
      <c r="AC297" s="4"/>
      <c r="AD297" s="4"/>
      <c r="AE297" s="4"/>
      <c r="AF297" s="4"/>
      <c r="AG297" s="4"/>
      <c r="AH297" s="169"/>
      <c r="AI297" s="256"/>
      <c r="AJ297" s="4"/>
      <c r="AK297" s="4"/>
      <c r="AL297" s="116"/>
      <c r="AM297" s="32"/>
      <c r="AN297" s="4"/>
      <c r="AO297" s="4"/>
      <c r="AP297" s="4"/>
      <c r="AQ297" s="4"/>
      <c r="AR297" s="4"/>
      <c r="AS297" s="256"/>
    </row>
    <row r="298" spans="1:45" s="65" customFormat="1">
      <c r="A298" s="47" t="s">
        <v>478</v>
      </c>
      <c r="C298" s="189"/>
      <c r="E298" s="191"/>
      <c r="F298" s="192"/>
      <c r="G298" s="193"/>
      <c r="H298" s="193"/>
      <c r="I298" s="193"/>
      <c r="J298" s="193"/>
      <c r="K298" s="194"/>
      <c r="L298" s="234"/>
      <c r="M298" s="188"/>
      <c r="N298" s="69">
        <v>1</v>
      </c>
      <c r="O298" s="360"/>
      <c r="P298" s="195"/>
      <c r="Q298" s="66"/>
      <c r="R298" s="77"/>
      <c r="S298" s="145"/>
      <c r="T298" s="145"/>
      <c r="U298" s="79"/>
      <c r="V298" s="79"/>
      <c r="W298" s="378"/>
      <c r="X298" s="378"/>
      <c r="Y298" s="378"/>
      <c r="Z298" s="378"/>
      <c r="AA298" s="378"/>
      <c r="AB298" s="67"/>
      <c r="AC298" s="4"/>
      <c r="AD298" s="4"/>
      <c r="AE298" s="4"/>
      <c r="AF298" s="4"/>
      <c r="AG298" s="4"/>
      <c r="AH298" s="169"/>
      <c r="AI298" s="256"/>
      <c r="AJ298" s="4"/>
      <c r="AK298" s="4"/>
      <c r="AL298" s="116"/>
      <c r="AM298" s="32"/>
      <c r="AN298" s="4"/>
      <c r="AO298" s="4"/>
      <c r="AP298" s="4"/>
      <c r="AQ298" s="4"/>
      <c r="AR298" s="4"/>
      <c r="AS298" s="256"/>
    </row>
    <row r="299" spans="1:45" s="141" customFormat="1">
      <c r="A299" s="46" t="s">
        <v>479</v>
      </c>
      <c r="B299" s="20" t="s">
        <v>95</v>
      </c>
      <c r="C299" s="175">
        <v>2</v>
      </c>
      <c r="D299" s="100" t="s">
        <v>2</v>
      </c>
      <c r="E299" s="176">
        <v>800</v>
      </c>
      <c r="F299" s="177">
        <f>E299*C299</f>
        <v>1600</v>
      </c>
      <c r="G299" s="178">
        <v>0</v>
      </c>
      <c r="H299" s="178">
        <v>16</v>
      </c>
      <c r="I299" s="178">
        <v>0</v>
      </c>
      <c r="J299" s="178">
        <v>8</v>
      </c>
      <c r="K299" s="179">
        <v>0</v>
      </c>
      <c r="L299" s="100" t="s">
        <v>8</v>
      </c>
      <c r="M299" s="176">
        <f>IF(R299="PD",((Shop*G299)+(M_Tech*H299)+(CMM*I299)+(ENG*J299)+(DES*K299))*N299,((Shop_RD*G299)+(MTECH_RD*H299)+(CMM_RD*I299)+(ENG_RD*J299)+(DES_RD*K299))*N299)</f>
        <v>4976.6400000000003</v>
      </c>
      <c r="N299" s="96">
        <v>2</v>
      </c>
      <c r="O299" s="176">
        <f>M299+(F299*N299)</f>
        <v>8176.64</v>
      </c>
      <c r="P299" s="180"/>
      <c r="Q299" s="52" t="s">
        <v>46</v>
      </c>
      <c r="R299" s="75" t="s">
        <v>77</v>
      </c>
      <c r="S299" s="145" t="str">
        <f>CONCATENATE(Q299,R299,AB299)</f>
        <v>BPD2011</v>
      </c>
      <c r="T299" s="145" t="str">
        <f>CONCATENATE(Q299,U299,AB299)</f>
        <v>B1.2.3.4.12011</v>
      </c>
      <c r="U299" s="145" t="s">
        <v>412</v>
      </c>
      <c r="V299" s="145" t="str">
        <f>LOOKUP(U299,$B$383:$B$420,$A$383:$A$420)</f>
        <v>Detector Half Enclosure</v>
      </c>
      <c r="W299" s="20"/>
      <c r="X299" s="20"/>
      <c r="Y299" s="20"/>
      <c r="Z299" s="20"/>
      <c r="AA299" s="20"/>
      <c r="AB299" s="33">
        <v>2011</v>
      </c>
      <c r="AC299" s="140">
        <f t="shared" ref="AC299:AG301" si="277">IF($Q299="B", (G299*$N299),0)</f>
        <v>0</v>
      </c>
      <c r="AD299" s="140">
        <f t="shared" si="277"/>
        <v>32</v>
      </c>
      <c r="AE299" s="140">
        <f t="shared" si="277"/>
        <v>0</v>
      </c>
      <c r="AF299" s="140">
        <f t="shared" si="277"/>
        <v>16</v>
      </c>
      <c r="AG299" s="140">
        <f t="shared" si="277"/>
        <v>0</v>
      </c>
      <c r="AH299" s="251">
        <f>IF($Q299="B", (F299*$N299),0)</f>
        <v>3200</v>
      </c>
      <c r="AI299" s="253"/>
      <c r="AJ299" s="259"/>
      <c r="AK299" s="259"/>
      <c r="AL299" s="176"/>
      <c r="AM299" s="139">
        <f t="shared" ref="AM299:AQ301" si="278">IF($Q299="C", (G299*$N299),0)</f>
        <v>0</v>
      </c>
      <c r="AN299" s="140">
        <f t="shared" si="278"/>
        <v>0</v>
      </c>
      <c r="AO299" s="140">
        <f t="shared" si="278"/>
        <v>0</v>
      </c>
      <c r="AP299" s="140">
        <f t="shared" si="278"/>
        <v>0</v>
      </c>
      <c r="AQ299" s="140">
        <f t="shared" si="278"/>
        <v>0</v>
      </c>
      <c r="AR299" s="140">
        <f>IF($Q299="C", (F299*$N299),0)</f>
        <v>0</v>
      </c>
      <c r="AS299" s="253"/>
    </row>
    <row r="300" spans="1:45" s="141" customFormat="1">
      <c r="A300" s="46" t="s">
        <v>480</v>
      </c>
      <c r="B300" s="20" t="s">
        <v>95</v>
      </c>
      <c r="C300" s="175">
        <v>2</v>
      </c>
      <c r="D300" s="100" t="s">
        <v>2</v>
      </c>
      <c r="E300" s="176">
        <v>1200</v>
      </c>
      <c r="F300" s="177">
        <f>E300*C300</f>
        <v>2400</v>
      </c>
      <c r="G300" s="178">
        <v>16</v>
      </c>
      <c r="H300" s="178">
        <v>16</v>
      </c>
      <c r="I300" s="178">
        <v>0</v>
      </c>
      <c r="J300" s="178">
        <v>8</v>
      </c>
      <c r="K300" s="179">
        <v>0</v>
      </c>
      <c r="L300" s="100" t="s">
        <v>8</v>
      </c>
      <c r="M300" s="176">
        <f>IF(R300="PD",((Shop*G300)+(M_Tech*H300)+(CMM*I300)+(ENG*J300)+(DES*K300))*N300,((Shop_RD*G300)+(MTECH_RD*H300)+(CMM_RD*I300)+(ENG_RD*J300)+(DES_RD*K300))*N300)</f>
        <v>8242.5600000000013</v>
      </c>
      <c r="N300" s="96">
        <v>2</v>
      </c>
      <c r="O300" s="176">
        <f>M300+(F300*N300)</f>
        <v>13042.560000000001</v>
      </c>
      <c r="P300" s="180"/>
      <c r="Q300" s="52" t="s">
        <v>46</v>
      </c>
      <c r="R300" s="75" t="s">
        <v>77</v>
      </c>
      <c r="S300" s="145" t="str">
        <f>CONCATENATE(Q300,R300,AB300)</f>
        <v>BPD2011</v>
      </c>
      <c r="T300" s="145" t="str">
        <f>CONCATENATE(Q300,U300,AB300)</f>
        <v>B1.2.3.4.12011</v>
      </c>
      <c r="U300" s="145" t="s">
        <v>412</v>
      </c>
      <c r="V300" s="145" t="str">
        <f>LOOKUP(U300,$B$383:$B$420,$A$383:$A$420)</f>
        <v>Detector Half Enclosure</v>
      </c>
      <c r="W300" s="20"/>
      <c r="X300" s="20"/>
      <c r="Y300" s="20"/>
      <c r="Z300" s="20"/>
      <c r="AA300" s="20"/>
      <c r="AB300" s="33">
        <v>2011</v>
      </c>
      <c r="AC300" s="140">
        <f t="shared" si="277"/>
        <v>32</v>
      </c>
      <c r="AD300" s="140">
        <f t="shared" si="277"/>
        <v>32</v>
      </c>
      <c r="AE300" s="140">
        <f t="shared" si="277"/>
        <v>0</v>
      </c>
      <c r="AF300" s="140">
        <f t="shared" si="277"/>
        <v>16</v>
      </c>
      <c r="AG300" s="140">
        <f t="shared" si="277"/>
        <v>0</v>
      </c>
      <c r="AH300" s="251">
        <f>IF($Q300="B", (F300*$N300),0)</f>
        <v>4800</v>
      </c>
      <c r="AI300" s="253"/>
      <c r="AJ300" s="259"/>
      <c r="AK300" s="259"/>
      <c r="AL300" s="176"/>
      <c r="AM300" s="139">
        <f t="shared" si="278"/>
        <v>0</v>
      </c>
      <c r="AN300" s="140">
        <f t="shared" si="278"/>
        <v>0</v>
      </c>
      <c r="AO300" s="140">
        <f t="shared" si="278"/>
        <v>0</v>
      </c>
      <c r="AP300" s="140">
        <f t="shared" si="278"/>
        <v>0</v>
      </c>
      <c r="AQ300" s="140">
        <f t="shared" si="278"/>
        <v>0</v>
      </c>
      <c r="AR300" s="140">
        <f>IF($Q300="C", (F300*$N300),0)</f>
        <v>0</v>
      </c>
      <c r="AS300" s="253"/>
    </row>
    <row r="301" spans="1:45" s="141" customFormat="1">
      <c r="A301" s="46" t="s">
        <v>481</v>
      </c>
      <c r="B301" s="20" t="s">
        <v>338</v>
      </c>
      <c r="C301" s="175">
        <v>40</v>
      </c>
      <c r="D301" s="100" t="s">
        <v>38</v>
      </c>
      <c r="E301" s="176">
        <v>20</v>
      </c>
      <c r="F301" s="177">
        <f>E301*C301</f>
        <v>800</v>
      </c>
      <c r="G301" s="178">
        <v>16</v>
      </c>
      <c r="H301" s="178">
        <v>32</v>
      </c>
      <c r="I301" s="178">
        <v>0</v>
      </c>
      <c r="J301" s="178">
        <v>8</v>
      </c>
      <c r="K301" s="179">
        <v>0</v>
      </c>
      <c r="L301" s="100" t="s">
        <v>8</v>
      </c>
      <c r="M301" s="176">
        <f>IF(R301="PD",((Shop*G301)+(M_Tech*H301)+(CMM*I301)+(ENG*J301)+(DES*K301))*N301,((Shop_RD*G301)+(MTECH_RD*H301)+(CMM_RD*I301)+(ENG_RD*J301)+(DES_RD*K301))*N301)</f>
        <v>11275.2</v>
      </c>
      <c r="N301" s="96">
        <v>2</v>
      </c>
      <c r="O301" s="176">
        <f>M301+(F301*N301)</f>
        <v>12875.2</v>
      </c>
      <c r="P301" s="180"/>
      <c r="Q301" s="52" t="s">
        <v>46</v>
      </c>
      <c r="R301" s="75" t="s">
        <v>77</v>
      </c>
      <c r="S301" s="145" t="str">
        <f>CONCATENATE(Q301,R301,AB301)</f>
        <v>BPD2011</v>
      </c>
      <c r="T301" s="145" t="str">
        <f>CONCATENATE(Q301,U301,AB301)</f>
        <v>B1.2.3.4.12011</v>
      </c>
      <c r="U301" s="145" t="s">
        <v>412</v>
      </c>
      <c r="V301" s="145" t="str">
        <f>LOOKUP(U301,$B$383:$B$420,$A$383:$A$420)</f>
        <v>Detector Half Enclosure</v>
      </c>
      <c r="W301" s="20"/>
      <c r="X301" s="20"/>
      <c r="Y301" s="20"/>
      <c r="Z301" s="20"/>
      <c r="AA301" s="20"/>
      <c r="AB301" s="33">
        <v>2011</v>
      </c>
      <c r="AC301" s="140">
        <f t="shared" si="277"/>
        <v>32</v>
      </c>
      <c r="AD301" s="140">
        <f t="shared" si="277"/>
        <v>64</v>
      </c>
      <c r="AE301" s="140">
        <f t="shared" si="277"/>
        <v>0</v>
      </c>
      <c r="AF301" s="140">
        <f t="shared" si="277"/>
        <v>16</v>
      </c>
      <c r="AG301" s="140">
        <f t="shared" si="277"/>
        <v>0</v>
      </c>
      <c r="AH301" s="251">
        <f>IF($Q301="B", (F301*$N301),0)</f>
        <v>1600</v>
      </c>
      <c r="AI301" s="253"/>
      <c r="AJ301" s="259"/>
      <c r="AK301" s="259"/>
      <c r="AL301" s="176"/>
      <c r="AM301" s="139">
        <f t="shared" si="278"/>
        <v>0</v>
      </c>
      <c r="AN301" s="140">
        <f t="shared" si="278"/>
        <v>0</v>
      </c>
      <c r="AO301" s="140">
        <f t="shared" si="278"/>
        <v>0</v>
      </c>
      <c r="AP301" s="140">
        <f t="shared" si="278"/>
        <v>0</v>
      </c>
      <c r="AQ301" s="140">
        <f t="shared" si="278"/>
        <v>0</v>
      </c>
      <c r="AR301" s="140">
        <f>IF($Q301="C", (F301*$N301),0)</f>
        <v>0</v>
      </c>
      <c r="AS301" s="253"/>
    </row>
    <row r="302" spans="1:45" s="46" customFormat="1">
      <c r="A302" s="47" t="s">
        <v>485</v>
      </c>
      <c r="C302" s="196"/>
      <c r="E302" s="197"/>
      <c r="F302" s="198"/>
      <c r="G302" s="199"/>
      <c r="H302" s="199"/>
      <c r="I302" s="199"/>
      <c r="J302" s="199"/>
      <c r="K302" s="200"/>
      <c r="L302" s="234" t="s">
        <v>66</v>
      </c>
      <c r="M302" s="188">
        <f>SUMIF(Q299:Q301,"B",M299:M301)</f>
        <v>24494.400000000001</v>
      </c>
      <c r="N302" s="69" t="s">
        <v>66</v>
      </c>
      <c r="O302" s="188"/>
      <c r="P302" s="201"/>
      <c r="Q302" s="66"/>
      <c r="R302" s="77"/>
      <c r="S302" s="145"/>
      <c r="T302" s="145"/>
      <c r="U302" s="79"/>
      <c r="V302" s="79"/>
      <c r="W302" s="20"/>
      <c r="X302" s="20"/>
      <c r="Y302" s="20"/>
      <c r="Z302" s="20"/>
      <c r="AA302" s="20"/>
      <c r="AB302" s="33"/>
      <c r="AC302" s="140"/>
      <c r="AD302" s="140"/>
      <c r="AE302" s="140"/>
      <c r="AF302" s="140"/>
      <c r="AG302" s="140"/>
      <c r="AH302" s="251"/>
      <c r="AI302" s="252"/>
      <c r="AJ302" s="140"/>
      <c r="AK302" s="140"/>
      <c r="AL302" s="176"/>
      <c r="AM302" s="139"/>
      <c r="AN302" s="140"/>
      <c r="AO302" s="140"/>
      <c r="AP302" s="140"/>
      <c r="AQ302" s="140"/>
      <c r="AR302" s="140"/>
      <c r="AS302" s="252"/>
    </row>
    <row r="303" spans="1:45" s="141" customFormat="1">
      <c r="A303" s="46" t="s">
        <v>479</v>
      </c>
      <c r="B303" s="20" t="s">
        <v>95</v>
      </c>
      <c r="C303" s="175">
        <v>2</v>
      </c>
      <c r="D303" s="100" t="s">
        <v>2</v>
      </c>
      <c r="E303" s="176">
        <v>800</v>
      </c>
      <c r="F303" s="177">
        <f t="shared" ref="F303:F308" si="279">E303*C303</f>
        <v>1600</v>
      </c>
      <c r="G303" s="178">
        <v>0</v>
      </c>
      <c r="H303" s="178">
        <v>16</v>
      </c>
      <c r="I303" s="178">
        <v>0</v>
      </c>
      <c r="J303" s="178">
        <v>8</v>
      </c>
      <c r="K303" s="179">
        <v>0</v>
      </c>
      <c r="L303" s="100" t="s">
        <v>8</v>
      </c>
      <c r="M303" s="176">
        <f t="shared" ref="M303:M308" si="280">IF(R303="PD",((Shop*G303)+(M_Tech*H303)+(CMM*I303)+(ENG*J303)+(DES*K303))*N303,((Shop_RD*G303)+(MTECH_RD*H303)+(CMM_RD*I303)+(ENG_RD*J303)+(DES_RD*K303))*N303)</f>
        <v>4976.6400000000003</v>
      </c>
      <c r="N303" s="96">
        <v>2</v>
      </c>
      <c r="O303" s="176">
        <f t="shared" ref="O303:O308" si="281">M303+(F303*N303)</f>
        <v>8176.64</v>
      </c>
      <c r="P303" s="180"/>
      <c r="Q303" s="52" t="s">
        <v>46</v>
      </c>
      <c r="R303" s="75" t="s">
        <v>77</v>
      </c>
      <c r="S303" s="145" t="str">
        <f t="shared" ref="S303:S308" si="282">CONCATENATE(Q303,R303,AB303)</f>
        <v>BPD2013</v>
      </c>
      <c r="T303" s="145" t="str">
        <f t="shared" ref="T303:T308" si="283">CONCATENATE(Q303,U303,AB303)</f>
        <v>B1.2.3.4.12013</v>
      </c>
      <c r="U303" s="145" t="s">
        <v>412</v>
      </c>
      <c r="V303" s="145" t="str">
        <f t="shared" ref="V303:V308" si="284">LOOKUP(U303,$B$383:$B$420,$A$383:$A$420)</f>
        <v>Detector Half Enclosure</v>
      </c>
      <c r="W303" s="20"/>
      <c r="X303" s="20"/>
      <c r="Y303" s="20"/>
      <c r="Z303" s="20"/>
      <c r="AA303" s="20"/>
      <c r="AB303" s="33">
        <v>2013</v>
      </c>
      <c r="AC303" s="140">
        <f t="shared" ref="AC303:AG308" si="285">IF($Q303="B", (G303*$N303),0)</f>
        <v>0</v>
      </c>
      <c r="AD303" s="140">
        <f t="shared" si="285"/>
        <v>32</v>
      </c>
      <c r="AE303" s="140">
        <f t="shared" si="285"/>
        <v>0</v>
      </c>
      <c r="AF303" s="140">
        <f t="shared" si="285"/>
        <v>16</v>
      </c>
      <c r="AG303" s="140">
        <f t="shared" si="285"/>
        <v>0</v>
      </c>
      <c r="AH303" s="251">
        <f t="shared" ref="AH303:AH308" si="286">IF($Q303="B", (F303*$N303),0)</f>
        <v>3200</v>
      </c>
      <c r="AI303" s="253"/>
      <c r="AJ303" s="259"/>
      <c r="AK303" s="259"/>
      <c r="AL303" s="176"/>
      <c r="AM303" s="139">
        <f t="shared" ref="AM303:AQ308" si="287">IF($Q303="C", (G303*$N303),0)</f>
        <v>0</v>
      </c>
      <c r="AN303" s="140">
        <f t="shared" si="287"/>
        <v>0</v>
      </c>
      <c r="AO303" s="140">
        <f t="shared" si="287"/>
        <v>0</v>
      </c>
      <c r="AP303" s="140">
        <f t="shared" si="287"/>
        <v>0</v>
      </c>
      <c r="AQ303" s="140">
        <f t="shared" si="287"/>
        <v>0</v>
      </c>
      <c r="AR303" s="140">
        <f t="shared" ref="AR303:AR308" si="288">IF($Q303="C", (F303*$N303),0)</f>
        <v>0</v>
      </c>
      <c r="AS303" s="253"/>
    </row>
    <row r="304" spans="1:45" s="141" customFormat="1">
      <c r="A304" s="46" t="s">
        <v>480</v>
      </c>
      <c r="B304" s="20" t="s">
        <v>95</v>
      </c>
      <c r="C304" s="175">
        <v>2</v>
      </c>
      <c r="D304" s="100" t="s">
        <v>2</v>
      </c>
      <c r="E304" s="176">
        <v>1200</v>
      </c>
      <c r="F304" s="177">
        <f t="shared" si="279"/>
        <v>2400</v>
      </c>
      <c r="G304" s="374">
        <v>0</v>
      </c>
      <c r="H304" s="178">
        <v>16</v>
      </c>
      <c r="I304" s="178">
        <v>0</v>
      </c>
      <c r="J304" s="178">
        <v>8</v>
      </c>
      <c r="K304" s="179">
        <v>0</v>
      </c>
      <c r="L304" s="100" t="s">
        <v>8</v>
      </c>
      <c r="M304" s="176">
        <f t="shared" si="280"/>
        <v>4976.6400000000003</v>
      </c>
      <c r="N304" s="96">
        <v>2</v>
      </c>
      <c r="O304" s="176">
        <f t="shared" si="281"/>
        <v>9776.64</v>
      </c>
      <c r="P304" s="180"/>
      <c r="Q304" s="52" t="s">
        <v>46</v>
      </c>
      <c r="R304" s="75" t="s">
        <v>77</v>
      </c>
      <c r="S304" s="145" t="str">
        <f t="shared" si="282"/>
        <v>BPD2013</v>
      </c>
      <c r="T304" s="145" t="str">
        <f t="shared" si="283"/>
        <v>B1.2.3.4.12013</v>
      </c>
      <c r="U304" s="145" t="s">
        <v>412</v>
      </c>
      <c r="V304" s="145" t="str">
        <f t="shared" si="284"/>
        <v>Detector Half Enclosure</v>
      </c>
      <c r="W304" s="20"/>
      <c r="X304" s="20"/>
      <c r="Y304" s="20"/>
      <c r="Z304" s="20"/>
      <c r="AA304" s="20"/>
      <c r="AB304" s="33">
        <v>2013</v>
      </c>
      <c r="AC304" s="140">
        <f t="shared" si="285"/>
        <v>0</v>
      </c>
      <c r="AD304" s="140">
        <f t="shared" si="285"/>
        <v>32</v>
      </c>
      <c r="AE304" s="140">
        <f t="shared" si="285"/>
        <v>0</v>
      </c>
      <c r="AF304" s="140">
        <f t="shared" si="285"/>
        <v>16</v>
      </c>
      <c r="AG304" s="140">
        <f t="shared" si="285"/>
        <v>0</v>
      </c>
      <c r="AH304" s="251">
        <f t="shared" si="286"/>
        <v>4800</v>
      </c>
      <c r="AI304" s="253"/>
      <c r="AJ304" s="259"/>
      <c r="AK304" s="259"/>
      <c r="AL304" s="176"/>
      <c r="AM304" s="139">
        <f t="shared" si="287"/>
        <v>0</v>
      </c>
      <c r="AN304" s="140">
        <f t="shared" si="287"/>
        <v>0</v>
      </c>
      <c r="AO304" s="140">
        <f t="shared" si="287"/>
        <v>0</v>
      </c>
      <c r="AP304" s="140">
        <f t="shared" si="287"/>
        <v>0</v>
      </c>
      <c r="AQ304" s="140">
        <f t="shared" si="287"/>
        <v>0</v>
      </c>
      <c r="AR304" s="140">
        <f t="shared" si="288"/>
        <v>0</v>
      </c>
      <c r="AS304" s="253"/>
    </row>
    <row r="305" spans="1:45" s="141" customFormat="1">
      <c r="A305" s="46" t="s">
        <v>481</v>
      </c>
      <c r="B305" s="20" t="s">
        <v>338</v>
      </c>
      <c r="C305" s="175">
        <v>40</v>
      </c>
      <c r="D305" s="100" t="s">
        <v>38</v>
      </c>
      <c r="E305" s="176">
        <v>20</v>
      </c>
      <c r="F305" s="177">
        <f t="shared" si="279"/>
        <v>800</v>
      </c>
      <c r="G305" s="374">
        <v>0</v>
      </c>
      <c r="H305" s="178">
        <v>32</v>
      </c>
      <c r="I305" s="178">
        <v>0</v>
      </c>
      <c r="J305" s="178">
        <v>8</v>
      </c>
      <c r="K305" s="179">
        <v>0</v>
      </c>
      <c r="L305" s="100" t="s">
        <v>8</v>
      </c>
      <c r="M305" s="176">
        <f t="shared" si="280"/>
        <v>8009.2800000000007</v>
      </c>
      <c r="N305" s="96">
        <v>2</v>
      </c>
      <c r="O305" s="176">
        <f t="shared" si="281"/>
        <v>9609.2800000000007</v>
      </c>
      <c r="P305" s="180"/>
      <c r="Q305" s="52" t="s">
        <v>46</v>
      </c>
      <c r="R305" s="75" t="s">
        <v>77</v>
      </c>
      <c r="S305" s="145" t="str">
        <f t="shared" si="282"/>
        <v>BPD2013</v>
      </c>
      <c r="T305" s="145" t="str">
        <f t="shared" si="283"/>
        <v>B1.2.3.4.12013</v>
      </c>
      <c r="U305" s="145" t="s">
        <v>412</v>
      </c>
      <c r="V305" s="145" t="str">
        <f t="shared" si="284"/>
        <v>Detector Half Enclosure</v>
      </c>
      <c r="W305" s="20"/>
      <c r="X305" s="20"/>
      <c r="Y305" s="20"/>
      <c r="Z305" s="20"/>
      <c r="AA305" s="20"/>
      <c r="AB305" s="33">
        <v>2013</v>
      </c>
      <c r="AC305" s="140">
        <f t="shared" si="285"/>
        <v>0</v>
      </c>
      <c r="AD305" s="140">
        <f t="shared" si="285"/>
        <v>64</v>
      </c>
      <c r="AE305" s="140">
        <f t="shared" si="285"/>
        <v>0</v>
      </c>
      <c r="AF305" s="140">
        <f t="shared" si="285"/>
        <v>16</v>
      </c>
      <c r="AG305" s="140">
        <f t="shared" si="285"/>
        <v>0</v>
      </c>
      <c r="AH305" s="251">
        <f t="shared" si="286"/>
        <v>1600</v>
      </c>
      <c r="AI305" s="253"/>
      <c r="AJ305" s="259"/>
      <c r="AK305" s="259"/>
      <c r="AL305" s="176"/>
      <c r="AM305" s="139">
        <f t="shared" si="287"/>
        <v>0</v>
      </c>
      <c r="AN305" s="140">
        <f t="shared" si="287"/>
        <v>0</v>
      </c>
      <c r="AO305" s="140">
        <f t="shared" si="287"/>
        <v>0</v>
      </c>
      <c r="AP305" s="140">
        <f t="shared" si="287"/>
        <v>0</v>
      </c>
      <c r="AQ305" s="140">
        <f t="shared" si="287"/>
        <v>0</v>
      </c>
      <c r="AR305" s="140">
        <f t="shared" si="288"/>
        <v>0</v>
      </c>
      <c r="AS305" s="253"/>
    </row>
    <row r="306" spans="1:45" s="141" customFormat="1">
      <c r="A306" s="46" t="s">
        <v>482</v>
      </c>
      <c r="B306" s="20" t="s">
        <v>95</v>
      </c>
      <c r="C306" s="175">
        <v>2</v>
      </c>
      <c r="D306" s="100" t="s">
        <v>2</v>
      </c>
      <c r="E306" s="176">
        <v>800</v>
      </c>
      <c r="F306" s="177">
        <f t="shared" si="279"/>
        <v>1600</v>
      </c>
      <c r="G306" s="178">
        <v>0</v>
      </c>
      <c r="H306" s="178">
        <v>16</v>
      </c>
      <c r="I306" s="178">
        <v>0</v>
      </c>
      <c r="J306" s="178">
        <v>8</v>
      </c>
      <c r="K306" s="179">
        <v>0</v>
      </c>
      <c r="L306" s="100" t="s">
        <v>8</v>
      </c>
      <c r="M306" s="176">
        <f t="shared" si="280"/>
        <v>4976.6400000000003</v>
      </c>
      <c r="N306" s="96">
        <v>2</v>
      </c>
      <c r="O306" s="176">
        <f t="shared" si="281"/>
        <v>8176.64</v>
      </c>
      <c r="P306" s="180"/>
      <c r="Q306" s="52" t="s">
        <v>47</v>
      </c>
      <c r="R306" s="75" t="s">
        <v>77</v>
      </c>
      <c r="S306" s="145" t="str">
        <f t="shared" si="282"/>
        <v>CPD2013</v>
      </c>
      <c r="T306" s="145" t="str">
        <f t="shared" si="283"/>
        <v>C1.2.3.4.12013</v>
      </c>
      <c r="U306" s="145" t="s">
        <v>412</v>
      </c>
      <c r="V306" s="145" t="str">
        <f t="shared" si="284"/>
        <v>Detector Half Enclosure</v>
      </c>
      <c r="W306" s="20"/>
      <c r="X306" s="20"/>
      <c r="Y306" s="20"/>
      <c r="Z306" s="20"/>
      <c r="AA306" s="20"/>
      <c r="AB306" s="33">
        <v>2013</v>
      </c>
      <c r="AC306" s="140">
        <f t="shared" si="285"/>
        <v>0</v>
      </c>
      <c r="AD306" s="140">
        <f t="shared" si="285"/>
        <v>0</v>
      </c>
      <c r="AE306" s="140">
        <f t="shared" si="285"/>
        <v>0</v>
      </c>
      <c r="AF306" s="140">
        <f t="shared" si="285"/>
        <v>0</v>
      </c>
      <c r="AG306" s="140">
        <f t="shared" si="285"/>
        <v>0</v>
      </c>
      <c r="AH306" s="251">
        <f t="shared" si="286"/>
        <v>0</v>
      </c>
      <c r="AI306" s="253"/>
      <c r="AJ306" s="259"/>
      <c r="AK306" s="259"/>
      <c r="AL306" s="176"/>
      <c r="AM306" s="139">
        <f t="shared" si="287"/>
        <v>0</v>
      </c>
      <c r="AN306" s="140">
        <f t="shared" si="287"/>
        <v>32</v>
      </c>
      <c r="AO306" s="140">
        <f t="shared" si="287"/>
        <v>0</v>
      </c>
      <c r="AP306" s="140">
        <f t="shared" si="287"/>
        <v>16</v>
      </c>
      <c r="AQ306" s="140">
        <f t="shared" si="287"/>
        <v>0</v>
      </c>
      <c r="AR306" s="140">
        <f t="shared" si="288"/>
        <v>3200</v>
      </c>
      <c r="AS306" s="253"/>
    </row>
    <row r="307" spans="1:45" s="141" customFormat="1">
      <c r="A307" s="46" t="s">
        <v>483</v>
      </c>
      <c r="B307" s="20" t="s">
        <v>95</v>
      </c>
      <c r="C307" s="175">
        <v>2</v>
      </c>
      <c r="D307" s="100" t="s">
        <v>2</v>
      </c>
      <c r="E307" s="176">
        <v>1200</v>
      </c>
      <c r="F307" s="177">
        <f t="shared" si="279"/>
        <v>2400</v>
      </c>
      <c r="G307" s="178">
        <v>16</v>
      </c>
      <c r="H307" s="178">
        <v>16</v>
      </c>
      <c r="I307" s="178">
        <v>0</v>
      </c>
      <c r="J307" s="178">
        <v>8</v>
      </c>
      <c r="K307" s="179">
        <v>0</v>
      </c>
      <c r="L307" s="100" t="s">
        <v>8</v>
      </c>
      <c r="M307" s="176">
        <f t="shared" si="280"/>
        <v>8242.5600000000013</v>
      </c>
      <c r="N307" s="96">
        <v>2</v>
      </c>
      <c r="O307" s="176">
        <f t="shared" si="281"/>
        <v>13042.560000000001</v>
      </c>
      <c r="P307" s="180"/>
      <c r="Q307" s="52" t="s">
        <v>47</v>
      </c>
      <c r="R307" s="75" t="s">
        <v>77</v>
      </c>
      <c r="S307" s="145" t="str">
        <f t="shared" si="282"/>
        <v>CPD2013</v>
      </c>
      <c r="T307" s="145" t="str">
        <f t="shared" si="283"/>
        <v>C1.2.3.4.12013</v>
      </c>
      <c r="U307" s="145" t="s">
        <v>412</v>
      </c>
      <c r="V307" s="145" t="str">
        <f t="shared" si="284"/>
        <v>Detector Half Enclosure</v>
      </c>
      <c r="W307" s="20"/>
      <c r="X307" s="20"/>
      <c r="Y307" s="20"/>
      <c r="Z307" s="20"/>
      <c r="AA307" s="20"/>
      <c r="AB307" s="33">
        <v>2013</v>
      </c>
      <c r="AC307" s="140">
        <f t="shared" si="285"/>
        <v>0</v>
      </c>
      <c r="AD307" s="140">
        <f t="shared" si="285"/>
        <v>0</v>
      </c>
      <c r="AE307" s="140">
        <f t="shared" si="285"/>
        <v>0</v>
      </c>
      <c r="AF307" s="140">
        <f t="shared" si="285"/>
        <v>0</v>
      </c>
      <c r="AG307" s="140">
        <f t="shared" si="285"/>
        <v>0</v>
      </c>
      <c r="AH307" s="251">
        <f t="shared" si="286"/>
        <v>0</v>
      </c>
      <c r="AI307" s="253"/>
      <c r="AJ307" s="259"/>
      <c r="AK307" s="259"/>
      <c r="AL307" s="176"/>
      <c r="AM307" s="139">
        <f t="shared" si="287"/>
        <v>32</v>
      </c>
      <c r="AN307" s="140">
        <f t="shared" si="287"/>
        <v>32</v>
      </c>
      <c r="AO307" s="140">
        <f t="shared" si="287"/>
        <v>0</v>
      </c>
      <c r="AP307" s="140">
        <f t="shared" si="287"/>
        <v>16</v>
      </c>
      <c r="AQ307" s="140">
        <f t="shared" si="287"/>
        <v>0</v>
      </c>
      <c r="AR307" s="140">
        <f t="shared" si="288"/>
        <v>4800</v>
      </c>
      <c r="AS307" s="253"/>
    </row>
    <row r="308" spans="1:45" s="141" customFormat="1">
      <c r="A308" s="46" t="s">
        <v>484</v>
      </c>
      <c r="B308" s="20" t="s">
        <v>338</v>
      </c>
      <c r="C308" s="175">
        <v>40</v>
      </c>
      <c r="D308" s="100" t="s">
        <v>38</v>
      </c>
      <c r="E308" s="176">
        <v>20</v>
      </c>
      <c r="F308" s="177">
        <f t="shared" si="279"/>
        <v>800</v>
      </c>
      <c r="G308" s="178">
        <v>16</v>
      </c>
      <c r="H308" s="178">
        <v>32</v>
      </c>
      <c r="I308" s="178">
        <v>0</v>
      </c>
      <c r="J308" s="178">
        <v>8</v>
      </c>
      <c r="K308" s="179">
        <v>0</v>
      </c>
      <c r="L308" s="100" t="s">
        <v>8</v>
      </c>
      <c r="M308" s="176">
        <f t="shared" si="280"/>
        <v>11275.2</v>
      </c>
      <c r="N308" s="96">
        <v>2</v>
      </c>
      <c r="O308" s="176">
        <f t="shared" si="281"/>
        <v>12875.2</v>
      </c>
      <c r="P308" s="180"/>
      <c r="Q308" s="52" t="s">
        <v>47</v>
      </c>
      <c r="R308" s="75" t="s">
        <v>77</v>
      </c>
      <c r="S308" s="145" t="str">
        <f t="shared" si="282"/>
        <v>CPD2013</v>
      </c>
      <c r="T308" s="145" t="str">
        <f t="shared" si="283"/>
        <v>C1.2.3.4.12013</v>
      </c>
      <c r="U308" s="145" t="s">
        <v>412</v>
      </c>
      <c r="V308" s="145" t="str">
        <f t="shared" si="284"/>
        <v>Detector Half Enclosure</v>
      </c>
      <c r="W308" s="20"/>
      <c r="X308" s="20"/>
      <c r="Y308" s="20"/>
      <c r="Z308" s="20"/>
      <c r="AA308" s="20"/>
      <c r="AB308" s="33">
        <v>2013</v>
      </c>
      <c r="AC308" s="140">
        <f t="shared" si="285"/>
        <v>0</v>
      </c>
      <c r="AD308" s="140">
        <f t="shared" si="285"/>
        <v>0</v>
      </c>
      <c r="AE308" s="140">
        <f t="shared" si="285"/>
        <v>0</v>
      </c>
      <c r="AF308" s="140">
        <f t="shared" si="285"/>
        <v>0</v>
      </c>
      <c r="AG308" s="140">
        <f t="shared" si="285"/>
        <v>0</v>
      </c>
      <c r="AH308" s="251">
        <f t="shared" si="286"/>
        <v>0</v>
      </c>
      <c r="AI308" s="253"/>
      <c r="AJ308" s="259"/>
      <c r="AK308" s="259"/>
      <c r="AL308" s="176"/>
      <c r="AM308" s="139">
        <f t="shared" si="287"/>
        <v>32</v>
      </c>
      <c r="AN308" s="140">
        <f t="shared" si="287"/>
        <v>64</v>
      </c>
      <c r="AO308" s="140">
        <f t="shared" si="287"/>
        <v>0</v>
      </c>
      <c r="AP308" s="140">
        <f t="shared" si="287"/>
        <v>16</v>
      </c>
      <c r="AQ308" s="140">
        <f t="shared" si="287"/>
        <v>0</v>
      </c>
      <c r="AR308" s="140">
        <f t="shared" si="288"/>
        <v>1600</v>
      </c>
      <c r="AS308" s="253"/>
    </row>
    <row r="309" spans="1:45" s="46" customFormat="1">
      <c r="A309" s="47" t="s">
        <v>486</v>
      </c>
      <c r="C309" s="196"/>
      <c r="E309" s="197"/>
      <c r="F309" s="198"/>
      <c r="G309" s="199"/>
      <c r="H309" s="199"/>
      <c r="I309" s="199"/>
      <c r="J309" s="199"/>
      <c r="K309" s="200"/>
      <c r="L309" s="234" t="s">
        <v>66</v>
      </c>
      <c r="M309" s="188">
        <f>SUMIF(Q303:Q308,"B",M303:M308)</f>
        <v>17962.560000000001</v>
      </c>
      <c r="N309" s="69" t="s">
        <v>66</v>
      </c>
      <c r="O309" s="188"/>
      <c r="P309" s="201"/>
      <c r="Q309" s="66"/>
      <c r="R309" s="77"/>
      <c r="S309" s="145"/>
      <c r="T309" s="145"/>
      <c r="U309" s="79"/>
      <c r="V309" s="79"/>
      <c r="W309" s="20"/>
      <c r="X309" s="20"/>
      <c r="Y309" s="20"/>
      <c r="Z309" s="20"/>
      <c r="AA309" s="20"/>
      <c r="AB309" s="33"/>
      <c r="AC309" s="140"/>
      <c r="AD309" s="140"/>
      <c r="AE309" s="140"/>
      <c r="AF309" s="140"/>
      <c r="AG309" s="140"/>
      <c r="AH309" s="251"/>
      <c r="AI309" s="252"/>
      <c r="AJ309" s="140"/>
      <c r="AK309" s="140"/>
      <c r="AL309" s="176"/>
      <c r="AM309" s="139"/>
      <c r="AN309" s="140"/>
      <c r="AO309" s="140"/>
      <c r="AP309" s="140"/>
      <c r="AQ309" s="140"/>
      <c r="AR309" s="140"/>
      <c r="AS309" s="252"/>
    </row>
    <row r="310" spans="1:45" s="141" customFormat="1">
      <c r="A310" s="46" t="s">
        <v>489</v>
      </c>
      <c r="B310" s="20" t="s">
        <v>33</v>
      </c>
      <c r="C310" s="175">
        <v>0</v>
      </c>
      <c r="D310" s="100" t="s">
        <v>9</v>
      </c>
      <c r="E310" s="176">
        <v>0</v>
      </c>
      <c r="F310" s="177">
        <f t="shared" ref="F310:F315" si="289">E310*C310</f>
        <v>0</v>
      </c>
      <c r="G310" s="178">
        <v>0</v>
      </c>
      <c r="H310" s="178">
        <v>0</v>
      </c>
      <c r="I310" s="178">
        <v>0</v>
      </c>
      <c r="J310" s="178">
        <v>80</v>
      </c>
      <c r="K310" s="179">
        <v>0</v>
      </c>
      <c r="L310" s="100" t="s">
        <v>8</v>
      </c>
      <c r="M310" s="176">
        <f t="shared" ref="M310:M315" si="290">IF(R310="PD",((Shop*G310)+(M_Tech*H310)+(CMM*I310)+(ENG*J310)+(DES*K310))*N310,((Shop_RD*G310)+(MTECH_RD*H310)+(CMM_RD*I310)+(ENG_RD*J310)+(DES_RD*K310))*N310)</f>
        <v>19440.000000000004</v>
      </c>
      <c r="N310" s="96">
        <v>2</v>
      </c>
      <c r="O310" s="176">
        <f t="shared" ref="O310:O315" si="291">M310+(F310*N310)</f>
        <v>19440.000000000004</v>
      </c>
      <c r="P310" s="180"/>
      <c r="Q310" s="52" t="s">
        <v>46</v>
      </c>
      <c r="R310" s="75" t="s">
        <v>77</v>
      </c>
      <c r="S310" s="145" t="str">
        <f t="shared" ref="S310:S315" si="292">CONCATENATE(Q310,R310,AB310)</f>
        <v>BPD2012</v>
      </c>
      <c r="T310" s="145" t="str">
        <f t="shared" ref="T310:T315" si="293">CONCATENATE(Q310,U310,AB310)</f>
        <v>B1.2.3.4.22012</v>
      </c>
      <c r="U310" s="145" t="s">
        <v>413</v>
      </c>
      <c r="V310" s="145" t="str">
        <f t="shared" ref="V310:V315" si="294">LOOKUP(U310,$B$383:$B$420,$A$383:$A$420)</f>
        <v>Half Detector Assembly</v>
      </c>
      <c r="W310" s="20"/>
      <c r="X310" s="20"/>
      <c r="Y310" s="20"/>
      <c r="Z310" s="20"/>
      <c r="AA310" s="20"/>
      <c r="AB310" s="33">
        <v>2012</v>
      </c>
      <c r="AC310" s="140">
        <f t="shared" ref="AC310:AG315" si="295">IF($Q310="B", (G310*$N310),0)</f>
        <v>0</v>
      </c>
      <c r="AD310" s="140">
        <f t="shared" si="295"/>
        <v>0</v>
      </c>
      <c r="AE310" s="140">
        <f t="shared" si="295"/>
        <v>0</v>
      </c>
      <c r="AF310" s="140">
        <f t="shared" si="295"/>
        <v>160</v>
      </c>
      <c r="AG310" s="140">
        <f t="shared" si="295"/>
        <v>0</v>
      </c>
      <c r="AH310" s="251">
        <f t="shared" ref="AH310:AH315" si="296">IF($Q310="B", (F310*$N310),0)</f>
        <v>0</v>
      </c>
      <c r="AI310" s="253"/>
      <c r="AJ310" s="259"/>
      <c r="AK310" s="259"/>
      <c r="AL310" s="176"/>
      <c r="AM310" s="139">
        <f t="shared" ref="AM310:AQ315" si="297">IF($Q310="C", (G310*$N310),0)</f>
        <v>0</v>
      </c>
      <c r="AN310" s="140">
        <f t="shared" si="297"/>
        <v>0</v>
      </c>
      <c r="AO310" s="140">
        <f t="shared" si="297"/>
        <v>0</v>
      </c>
      <c r="AP310" s="140">
        <f t="shared" si="297"/>
        <v>0</v>
      </c>
      <c r="AQ310" s="140">
        <f t="shared" si="297"/>
        <v>0</v>
      </c>
      <c r="AR310" s="140">
        <f t="shared" ref="AR310:AR315" si="298">IF($Q310="C", (F310*$N310),0)</f>
        <v>0</v>
      </c>
      <c r="AS310" s="253"/>
    </row>
    <row r="311" spans="1:45" s="141" customFormat="1">
      <c r="A311" s="46" t="s">
        <v>487</v>
      </c>
      <c r="B311" s="20" t="s">
        <v>7</v>
      </c>
      <c r="C311" s="175">
        <v>150</v>
      </c>
      <c r="D311" s="100" t="s">
        <v>38</v>
      </c>
      <c r="E311" s="176">
        <v>8</v>
      </c>
      <c r="F311" s="177">
        <f t="shared" si="289"/>
        <v>1200</v>
      </c>
      <c r="G311" s="374">
        <v>40</v>
      </c>
      <c r="H311" s="178">
        <v>160</v>
      </c>
      <c r="I311" s="178">
        <v>0</v>
      </c>
      <c r="J311" s="178">
        <v>60</v>
      </c>
      <c r="K311" s="179">
        <v>0</v>
      </c>
      <c r="L311" s="100" t="s">
        <v>8</v>
      </c>
      <c r="M311" s="176">
        <f t="shared" si="290"/>
        <v>26535.600000000002</v>
      </c>
      <c r="N311" s="96">
        <v>1</v>
      </c>
      <c r="O311" s="176">
        <f t="shared" si="291"/>
        <v>27735.600000000002</v>
      </c>
      <c r="P311" s="180"/>
      <c r="Q311" s="52" t="s">
        <v>46</v>
      </c>
      <c r="R311" s="75" t="s">
        <v>77</v>
      </c>
      <c r="S311" s="145" t="str">
        <f t="shared" si="292"/>
        <v>BPD2012</v>
      </c>
      <c r="T311" s="145" t="str">
        <f t="shared" si="293"/>
        <v>B1.2.3.4.22012</v>
      </c>
      <c r="U311" s="145" t="s">
        <v>413</v>
      </c>
      <c r="V311" s="145" t="str">
        <f t="shared" si="294"/>
        <v>Half Detector Assembly</v>
      </c>
      <c r="W311" s="20"/>
      <c r="X311" s="20"/>
      <c r="Y311" s="20"/>
      <c r="Z311" s="20"/>
      <c r="AA311" s="20"/>
      <c r="AB311" s="33">
        <v>2012</v>
      </c>
      <c r="AC311" s="140">
        <f t="shared" si="295"/>
        <v>40</v>
      </c>
      <c r="AD311" s="140">
        <f t="shared" si="295"/>
        <v>160</v>
      </c>
      <c r="AE311" s="140">
        <f t="shared" si="295"/>
        <v>0</v>
      </c>
      <c r="AF311" s="140">
        <f t="shared" si="295"/>
        <v>60</v>
      </c>
      <c r="AG311" s="140">
        <f t="shared" si="295"/>
        <v>0</v>
      </c>
      <c r="AH311" s="251">
        <f t="shared" si="296"/>
        <v>1200</v>
      </c>
      <c r="AI311" s="253"/>
      <c r="AJ311" s="259"/>
      <c r="AK311" s="259"/>
      <c r="AL311" s="176"/>
      <c r="AM311" s="139">
        <f t="shared" si="297"/>
        <v>0</v>
      </c>
      <c r="AN311" s="140">
        <f t="shared" si="297"/>
        <v>0</v>
      </c>
      <c r="AO311" s="140">
        <f t="shared" si="297"/>
        <v>0</v>
      </c>
      <c r="AP311" s="140">
        <f t="shared" si="297"/>
        <v>0</v>
      </c>
      <c r="AQ311" s="140">
        <f t="shared" si="297"/>
        <v>0</v>
      </c>
      <c r="AR311" s="140">
        <f t="shared" si="298"/>
        <v>0</v>
      </c>
      <c r="AS311" s="253"/>
    </row>
    <row r="312" spans="1:45" s="141" customFormat="1">
      <c r="A312" s="46" t="s">
        <v>353</v>
      </c>
      <c r="B312" s="20" t="s">
        <v>95</v>
      </c>
      <c r="C312" s="175">
        <v>1</v>
      </c>
      <c r="D312" s="100" t="s">
        <v>57</v>
      </c>
      <c r="E312" s="176">
        <v>1000</v>
      </c>
      <c r="F312" s="177">
        <f t="shared" si="289"/>
        <v>1000</v>
      </c>
      <c r="G312" s="178">
        <v>0</v>
      </c>
      <c r="H312" s="178">
        <v>8</v>
      </c>
      <c r="I312" s="178">
        <v>0</v>
      </c>
      <c r="J312" s="178">
        <v>0</v>
      </c>
      <c r="K312" s="179">
        <v>0</v>
      </c>
      <c r="L312" s="100" t="s">
        <v>8</v>
      </c>
      <c r="M312" s="176">
        <f t="shared" si="290"/>
        <v>758.16000000000008</v>
      </c>
      <c r="N312" s="96">
        <v>1</v>
      </c>
      <c r="O312" s="176">
        <f t="shared" si="291"/>
        <v>1758.16</v>
      </c>
      <c r="P312" s="180"/>
      <c r="Q312" s="52" t="s">
        <v>46</v>
      </c>
      <c r="R312" s="75" t="s">
        <v>77</v>
      </c>
      <c r="S312" s="145" t="str">
        <f t="shared" si="292"/>
        <v>BPD2012</v>
      </c>
      <c r="T312" s="145" t="str">
        <f t="shared" si="293"/>
        <v>B1.2.3.4.22012</v>
      </c>
      <c r="U312" s="145" t="s">
        <v>413</v>
      </c>
      <c r="V312" s="145" t="str">
        <f t="shared" si="294"/>
        <v>Half Detector Assembly</v>
      </c>
      <c r="W312" s="20"/>
      <c r="X312" s="20"/>
      <c r="Y312" s="20"/>
      <c r="Z312" s="20"/>
      <c r="AA312" s="20"/>
      <c r="AB312" s="33">
        <v>2012</v>
      </c>
      <c r="AC312" s="140">
        <f t="shared" si="295"/>
        <v>0</v>
      </c>
      <c r="AD312" s="140">
        <f t="shared" si="295"/>
        <v>8</v>
      </c>
      <c r="AE312" s="140">
        <f t="shared" si="295"/>
        <v>0</v>
      </c>
      <c r="AF312" s="140">
        <f t="shared" si="295"/>
        <v>0</v>
      </c>
      <c r="AG312" s="140">
        <f t="shared" si="295"/>
        <v>0</v>
      </c>
      <c r="AH312" s="251">
        <f t="shared" si="296"/>
        <v>1000</v>
      </c>
      <c r="AI312" s="253"/>
      <c r="AJ312" s="259"/>
      <c r="AK312" s="259"/>
      <c r="AL312" s="176"/>
      <c r="AM312" s="139">
        <f t="shared" si="297"/>
        <v>0</v>
      </c>
      <c r="AN312" s="140">
        <f t="shared" si="297"/>
        <v>0</v>
      </c>
      <c r="AO312" s="140">
        <f t="shared" si="297"/>
        <v>0</v>
      </c>
      <c r="AP312" s="140">
        <f t="shared" si="297"/>
        <v>0</v>
      </c>
      <c r="AQ312" s="140">
        <f t="shared" si="297"/>
        <v>0</v>
      </c>
      <c r="AR312" s="140">
        <f t="shared" si="298"/>
        <v>0</v>
      </c>
      <c r="AS312" s="253"/>
    </row>
    <row r="313" spans="1:45" s="141" customFormat="1">
      <c r="A313" s="46" t="s">
        <v>488</v>
      </c>
      <c r="B313" s="20" t="s">
        <v>33</v>
      </c>
      <c r="C313" s="175">
        <v>0</v>
      </c>
      <c r="D313" s="100" t="s">
        <v>9</v>
      </c>
      <c r="E313" s="176">
        <v>0</v>
      </c>
      <c r="F313" s="177">
        <f t="shared" si="289"/>
        <v>0</v>
      </c>
      <c r="G313" s="178">
        <v>0</v>
      </c>
      <c r="H313" s="178">
        <v>32</v>
      </c>
      <c r="I313" s="178">
        <v>0</v>
      </c>
      <c r="J313" s="178">
        <v>16</v>
      </c>
      <c r="K313" s="179">
        <v>0</v>
      </c>
      <c r="L313" s="100" t="s">
        <v>8</v>
      </c>
      <c r="M313" s="176">
        <f t="shared" si="290"/>
        <v>9953.2800000000007</v>
      </c>
      <c r="N313" s="96">
        <v>2</v>
      </c>
      <c r="O313" s="176">
        <f t="shared" si="291"/>
        <v>9953.2800000000007</v>
      </c>
      <c r="P313" s="180"/>
      <c r="Q313" s="52" t="s">
        <v>46</v>
      </c>
      <c r="R313" s="75" t="s">
        <v>77</v>
      </c>
      <c r="S313" s="145" t="str">
        <f t="shared" si="292"/>
        <v>BPD2012</v>
      </c>
      <c r="T313" s="145" t="str">
        <f t="shared" si="293"/>
        <v>B1.2.3.4.22012</v>
      </c>
      <c r="U313" s="145" t="s">
        <v>413</v>
      </c>
      <c r="V313" s="145" t="str">
        <f t="shared" si="294"/>
        <v>Half Detector Assembly</v>
      </c>
      <c r="W313" s="20"/>
      <c r="X313" s="20"/>
      <c r="Y313" s="20"/>
      <c r="Z313" s="20"/>
      <c r="AA313" s="20"/>
      <c r="AB313" s="33">
        <v>2012</v>
      </c>
      <c r="AC313" s="140">
        <f t="shared" si="295"/>
        <v>0</v>
      </c>
      <c r="AD313" s="140">
        <f t="shared" si="295"/>
        <v>64</v>
      </c>
      <c r="AE313" s="140">
        <f t="shared" si="295"/>
        <v>0</v>
      </c>
      <c r="AF313" s="140">
        <f t="shared" si="295"/>
        <v>32</v>
      </c>
      <c r="AG313" s="140">
        <f t="shared" si="295"/>
        <v>0</v>
      </c>
      <c r="AH313" s="251">
        <f t="shared" si="296"/>
        <v>0</v>
      </c>
      <c r="AI313" s="253"/>
      <c r="AJ313" s="259"/>
      <c r="AK313" s="259"/>
      <c r="AL313" s="176"/>
      <c r="AM313" s="139">
        <f t="shared" si="297"/>
        <v>0</v>
      </c>
      <c r="AN313" s="140">
        <f t="shared" si="297"/>
        <v>0</v>
      </c>
      <c r="AO313" s="140">
        <f t="shared" si="297"/>
        <v>0</v>
      </c>
      <c r="AP313" s="140">
        <f t="shared" si="297"/>
        <v>0</v>
      </c>
      <c r="AQ313" s="140">
        <f t="shared" si="297"/>
        <v>0</v>
      </c>
      <c r="AR313" s="140">
        <f t="shared" si="298"/>
        <v>0</v>
      </c>
      <c r="AS313" s="253"/>
    </row>
    <row r="314" spans="1:45" s="141" customFormat="1">
      <c r="A314" s="46" t="s">
        <v>490</v>
      </c>
      <c r="B314" s="20" t="s">
        <v>33</v>
      </c>
      <c r="C314" s="175">
        <v>0</v>
      </c>
      <c r="D314" s="100" t="s">
        <v>9</v>
      </c>
      <c r="E314" s="176">
        <v>0</v>
      </c>
      <c r="F314" s="177">
        <f t="shared" si="289"/>
        <v>0</v>
      </c>
      <c r="G314" s="178">
        <v>0</v>
      </c>
      <c r="H314" s="178">
        <v>32</v>
      </c>
      <c r="I314" s="178">
        <v>0</v>
      </c>
      <c r="J314" s="178">
        <v>16</v>
      </c>
      <c r="K314" s="179">
        <v>0</v>
      </c>
      <c r="L314" s="100" t="s">
        <v>8</v>
      </c>
      <c r="M314" s="176">
        <f t="shared" si="290"/>
        <v>9953.2800000000007</v>
      </c>
      <c r="N314" s="96">
        <v>2</v>
      </c>
      <c r="O314" s="176">
        <f t="shared" si="291"/>
        <v>9953.2800000000007</v>
      </c>
      <c r="P314" s="180"/>
      <c r="Q314" s="52" t="s">
        <v>46</v>
      </c>
      <c r="R314" s="75" t="s">
        <v>77</v>
      </c>
      <c r="S314" s="145" t="str">
        <f t="shared" si="292"/>
        <v>BPD2012</v>
      </c>
      <c r="T314" s="145" t="str">
        <f t="shared" si="293"/>
        <v>B1.2.3.4.22012</v>
      </c>
      <c r="U314" s="145" t="s">
        <v>413</v>
      </c>
      <c r="V314" s="145" t="str">
        <f t="shared" si="294"/>
        <v>Half Detector Assembly</v>
      </c>
      <c r="W314" s="20"/>
      <c r="X314" s="20"/>
      <c r="Y314" s="20"/>
      <c r="Z314" s="20"/>
      <c r="AA314" s="20"/>
      <c r="AB314" s="33">
        <v>2012</v>
      </c>
      <c r="AC314" s="140">
        <f t="shared" si="295"/>
        <v>0</v>
      </c>
      <c r="AD314" s="140">
        <f t="shared" si="295"/>
        <v>64</v>
      </c>
      <c r="AE314" s="140">
        <f t="shared" si="295"/>
        <v>0</v>
      </c>
      <c r="AF314" s="140">
        <f t="shared" si="295"/>
        <v>32</v>
      </c>
      <c r="AG314" s="140">
        <f t="shared" si="295"/>
        <v>0</v>
      </c>
      <c r="AH314" s="251">
        <f t="shared" si="296"/>
        <v>0</v>
      </c>
      <c r="AI314" s="253"/>
      <c r="AJ314" s="259"/>
      <c r="AK314" s="259"/>
      <c r="AL314" s="176"/>
      <c r="AM314" s="139">
        <f t="shared" si="297"/>
        <v>0</v>
      </c>
      <c r="AN314" s="140">
        <f t="shared" si="297"/>
        <v>0</v>
      </c>
      <c r="AO314" s="140">
        <f t="shared" si="297"/>
        <v>0</v>
      </c>
      <c r="AP314" s="140">
        <f t="shared" si="297"/>
        <v>0</v>
      </c>
      <c r="AQ314" s="140">
        <f t="shared" si="297"/>
        <v>0</v>
      </c>
      <c r="AR314" s="140">
        <f t="shared" si="298"/>
        <v>0</v>
      </c>
      <c r="AS314" s="253"/>
    </row>
    <row r="315" spans="1:45" s="141" customFormat="1">
      <c r="A315" s="46" t="s">
        <v>491</v>
      </c>
      <c r="B315" s="20" t="s">
        <v>33</v>
      </c>
      <c r="C315" s="175">
        <v>0</v>
      </c>
      <c r="D315" s="100" t="s">
        <v>9</v>
      </c>
      <c r="E315" s="176">
        <v>0</v>
      </c>
      <c r="F315" s="177">
        <f t="shared" si="289"/>
        <v>0</v>
      </c>
      <c r="G315" s="178">
        <v>0</v>
      </c>
      <c r="H315" s="178">
        <v>16</v>
      </c>
      <c r="I315" s="178">
        <v>0</v>
      </c>
      <c r="J315" s="178">
        <v>8</v>
      </c>
      <c r="K315" s="179">
        <v>0</v>
      </c>
      <c r="L315" s="100" t="s">
        <v>8</v>
      </c>
      <c r="M315" s="176">
        <f t="shared" si="290"/>
        <v>4976.6400000000003</v>
      </c>
      <c r="N315" s="96">
        <v>2</v>
      </c>
      <c r="O315" s="176">
        <f t="shared" si="291"/>
        <v>4976.6400000000003</v>
      </c>
      <c r="P315" s="180"/>
      <c r="Q315" s="52" t="s">
        <v>46</v>
      </c>
      <c r="R315" s="75" t="s">
        <v>77</v>
      </c>
      <c r="S315" s="145" t="str">
        <f t="shared" si="292"/>
        <v>BPD2012</v>
      </c>
      <c r="T315" s="145" t="str">
        <f t="shared" si="293"/>
        <v>B1.2.3.4.22012</v>
      </c>
      <c r="U315" s="145" t="s">
        <v>413</v>
      </c>
      <c r="V315" s="145" t="str">
        <f t="shared" si="294"/>
        <v>Half Detector Assembly</v>
      </c>
      <c r="W315" s="20"/>
      <c r="X315" s="20"/>
      <c r="Y315" s="20"/>
      <c r="Z315" s="20"/>
      <c r="AA315" s="20"/>
      <c r="AB315" s="33">
        <v>2012</v>
      </c>
      <c r="AC315" s="140">
        <f t="shared" si="295"/>
        <v>0</v>
      </c>
      <c r="AD315" s="140">
        <f t="shared" si="295"/>
        <v>32</v>
      </c>
      <c r="AE315" s="140">
        <f t="shared" si="295"/>
        <v>0</v>
      </c>
      <c r="AF315" s="140">
        <f t="shared" si="295"/>
        <v>16</v>
      </c>
      <c r="AG315" s="140">
        <f t="shared" si="295"/>
        <v>0</v>
      </c>
      <c r="AH315" s="251">
        <f t="shared" si="296"/>
        <v>0</v>
      </c>
      <c r="AI315" s="253"/>
      <c r="AJ315" s="259"/>
      <c r="AK315" s="259"/>
      <c r="AL315" s="176"/>
      <c r="AM315" s="139">
        <f t="shared" si="297"/>
        <v>0</v>
      </c>
      <c r="AN315" s="140">
        <f t="shared" si="297"/>
        <v>0</v>
      </c>
      <c r="AO315" s="140">
        <f t="shared" si="297"/>
        <v>0</v>
      </c>
      <c r="AP315" s="140">
        <f t="shared" si="297"/>
        <v>0</v>
      </c>
      <c r="AQ315" s="140">
        <f t="shared" si="297"/>
        <v>0</v>
      </c>
      <c r="AR315" s="140">
        <f t="shared" si="298"/>
        <v>0</v>
      </c>
      <c r="AS315" s="253"/>
    </row>
    <row r="316" spans="1:45" s="65" customFormat="1">
      <c r="A316" s="47" t="s">
        <v>492</v>
      </c>
      <c r="C316" s="189"/>
      <c r="E316" s="191"/>
      <c r="F316" s="192"/>
      <c r="G316" s="193"/>
      <c r="H316" s="193"/>
      <c r="I316" s="193"/>
      <c r="J316" s="193"/>
      <c r="K316" s="194"/>
      <c r="L316" s="234" t="s">
        <v>66</v>
      </c>
      <c r="M316" s="188">
        <f>SUMIF(Q310:Q315,"B",M310:M315)</f>
        <v>71616.960000000006</v>
      </c>
      <c r="N316" s="69" t="s">
        <v>66</v>
      </c>
      <c r="O316" s="188"/>
      <c r="P316" s="195"/>
      <c r="Q316" s="66"/>
      <c r="R316" s="77"/>
      <c r="S316" s="145"/>
      <c r="T316" s="145"/>
      <c r="U316" s="79"/>
      <c r="V316" s="79"/>
      <c r="W316" s="352"/>
      <c r="X316" s="352"/>
      <c r="Y316" s="352"/>
      <c r="Z316" s="352"/>
      <c r="AA316" s="352"/>
      <c r="AB316" s="67"/>
      <c r="AC316" s="4"/>
      <c r="AD316" s="4"/>
      <c r="AE316" s="4"/>
      <c r="AF316" s="4"/>
      <c r="AG316" s="4"/>
      <c r="AH316" s="169"/>
      <c r="AI316" s="256"/>
      <c r="AJ316" s="4"/>
      <c r="AK316" s="4"/>
      <c r="AL316" s="116"/>
      <c r="AM316" s="32"/>
      <c r="AN316" s="4"/>
      <c r="AO316" s="4"/>
      <c r="AP316" s="4"/>
      <c r="AQ316" s="4"/>
      <c r="AR316" s="4"/>
      <c r="AS316" s="256"/>
    </row>
    <row r="317" spans="1:45" s="141" customFormat="1">
      <c r="A317" s="46" t="s">
        <v>488</v>
      </c>
      <c r="B317" s="20" t="s">
        <v>33</v>
      </c>
      <c r="C317" s="175">
        <v>0</v>
      </c>
      <c r="D317" s="100" t="s">
        <v>9</v>
      </c>
      <c r="E317" s="176">
        <v>0</v>
      </c>
      <c r="F317" s="177">
        <f t="shared" ref="F317:F322" si="299">E317*C317</f>
        <v>0</v>
      </c>
      <c r="G317" s="178">
        <v>0</v>
      </c>
      <c r="H317" s="178">
        <v>32</v>
      </c>
      <c r="I317" s="178">
        <v>0</v>
      </c>
      <c r="J317" s="178">
        <v>16</v>
      </c>
      <c r="K317" s="179">
        <v>0</v>
      </c>
      <c r="L317" s="100" t="s">
        <v>8</v>
      </c>
      <c r="M317" s="176">
        <f t="shared" ref="M317:M322" si="300">IF(R317="PD",((Shop*G317)+(M_Tech*H317)+(CMM*I317)+(ENG*J317)+(DES*K317))*N317,((Shop_RD*G317)+(MTECH_RD*H317)+(CMM_RD*I317)+(ENG_RD*J317)+(DES_RD*K317))*N317)</f>
        <v>9953.2800000000007</v>
      </c>
      <c r="N317" s="96">
        <v>2</v>
      </c>
      <c r="O317" s="176">
        <f t="shared" ref="O317:O322" si="301">M317+(F317*N317)</f>
        <v>9953.2800000000007</v>
      </c>
      <c r="P317" s="180"/>
      <c r="Q317" s="52" t="s">
        <v>46</v>
      </c>
      <c r="R317" s="75" t="s">
        <v>77</v>
      </c>
      <c r="S317" s="145" t="str">
        <f t="shared" ref="S317:S322" si="302">CONCATENATE(Q317,R317,AB317)</f>
        <v>BPD2013</v>
      </c>
      <c r="T317" s="145" t="str">
        <f t="shared" ref="T317:T322" si="303">CONCATENATE(Q317,U317,AB317)</f>
        <v>B1.2.3.4.22013</v>
      </c>
      <c r="U317" s="145" t="s">
        <v>413</v>
      </c>
      <c r="V317" s="145" t="str">
        <f t="shared" ref="V317:V322" si="304">LOOKUP(U317,$B$383:$B$420,$A$383:$A$420)</f>
        <v>Half Detector Assembly</v>
      </c>
      <c r="W317" s="20"/>
      <c r="X317" s="20"/>
      <c r="Y317" s="20"/>
      <c r="Z317" s="20"/>
      <c r="AA317" s="20"/>
      <c r="AB317" s="33">
        <v>2013</v>
      </c>
      <c r="AC317" s="140">
        <f t="shared" ref="AC317:AG322" si="305">IF($Q317="B", (G317*$N317),0)</f>
        <v>0</v>
      </c>
      <c r="AD317" s="140">
        <f t="shared" si="305"/>
        <v>64</v>
      </c>
      <c r="AE317" s="140">
        <f t="shared" si="305"/>
        <v>0</v>
      </c>
      <c r="AF317" s="140">
        <f t="shared" si="305"/>
        <v>32</v>
      </c>
      <c r="AG317" s="140">
        <f t="shared" si="305"/>
        <v>0</v>
      </c>
      <c r="AH317" s="251">
        <f t="shared" ref="AH317:AH322" si="306">IF($Q317="B", (F317*$N317),0)</f>
        <v>0</v>
      </c>
      <c r="AI317" s="253"/>
      <c r="AJ317" s="259"/>
      <c r="AK317" s="259"/>
      <c r="AL317" s="176"/>
      <c r="AM317" s="139">
        <f t="shared" ref="AM317:AQ322" si="307">IF($Q317="C", (G317*$N317),0)</f>
        <v>0</v>
      </c>
      <c r="AN317" s="140">
        <f t="shared" si="307"/>
        <v>0</v>
      </c>
      <c r="AO317" s="140">
        <f t="shared" si="307"/>
        <v>0</v>
      </c>
      <c r="AP317" s="140">
        <f t="shared" si="307"/>
        <v>0</v>
      </c>
      <c r="AQ317" s="140">
        <f t="shared" si="307"/>
        <v>0</v>
      </c>
      <c r="AR317" s="140">
        <f t="shared" ref="AR317:AR322" si="308">IF($Q317="C", (F317*$N317),0)</f>
        <v>0</v>
      </c>
      <c r="AS317" s="253"/>
    </row>
    <row r="318" spans="1:45" s="141" customFormat="1">
      <c r="A318" s="46" t="s">
        <v>490</v>
      </c>
      <c r="B318" s="20" t="s">
        <v>33</v>
      </c>
      <c r="C318" s="175">
        <v>0</v>
      </c>
      <c r="D318" s="100" t="s">
        <v>9</v>
      </c>
      <c r="E318" s="176">
        <v>0</v>
      </c>
      <c r="F318" s="177">
        <f t="shared" si="299"/>
        <v>0</v>
      </c>
      <c r="G318" s="178">
        <v>0</v>
      </c>
      <c r="H318" s="178">
        <v>32</v>
      </c>
      <c r="I318" s="178">
        <v>0</v>
      </c>
      <c r="J318" s="178">
        <v>16</v>
      </c>
      <c r="K318" s="179">
        <v>0</v>
      </c>
      <c r="L318" s="100" t="s">
        <v>8</v>
      </c>
      <c r="M318" s="176">
        <f t="shared" si="300"/>
        <v>9953.2800000000007</v>
      </c>
      <c r="N318" s="96">
        <v>2</v>
      </c>
      <c r="O318" s="176">
        <f t="shared" si="301"/>
        <v>9953.2800000000007</v>
      </c>
      <c r="P318" s="180"/>
      <c r="Q318" s="52" t="s">
        <v>46</v>
      </c>
      <c r="R318" s="75" t="s">
        <v>77</v>
      </c>
      <c r="S318" s="145" t="str">
        <f t="shared" si="302"/>
        <v>BPD2013</v>
      </c>
      <c r="T318" s="145" t="str">
        <f t="shared" si="303"/>
        <v>B1.2.3.4.22013</v>
      </c>
      <c r="U318" s="145" t="s">
        <v>413</v>
      </c>
      <c r="V318" s="145" t="str">
        <f t="shared" si="304"/>
        <v>Half Detector Assembly</v>
      </c>
      <c r="W318" s="20"/>
      <c r="X318" s="20"/>
      <c r="Y318" s="20"/>
      <c r="Z318" s="20"/>
      <c r="AA318" s="20"/>
      <c r="AB318" s="33">
        <v>2013</v>
      </c>
      <c r="AC318" s="140">
        <f t="shared" si="305"/>
        <v>0</v>
      </c>
      <c r="AD318" s="140">
        <f t="shared" si="305"/>
        <v>64</v>
      </c>
      <c r="AE318" s="140">
        <f t="shared" si="305"/>
        <v>0</v>
      </c>
      <c r="AF318" s="140">
        <f t="shared" si="305"/>
        <v>32</v>
      </c>
      <c r="AG318" s="140">
        <f t="shared" si="305"/>
        <v>0</v>
      </c>
      <c r="AH318" s="251">
        <f t="shared" si="306"/>
        <v>0</v>
      </c>
      <c r="AI318" s="253"/>
      <c r="AJ318" s="259"/>
      <c r="AK318" s="259"/>
      <c r="AL318" s="176"/>
      <c r="AM318" s="139">
        <f t="shared" si="307"/>
        <v>0</v>
      </c>
      <c r="AN318" s="140">
        <f t="shared" si="307"/>
        <v>0</v>
      </c>
      <c r="AO318" s="140">
        <f t="shared" si="307"/>
        <v>0</v>
      </c>
      <c r="AP318" s="140">
        <f t="shared" si="307"/>
        <v>0</v>
      </c>
      <c r="AQ318" s="140">
        <f t="shared" si="307"/>
        <v>0</v>
      </c>
      <c r="AR318" s="140">
        <f t="shared" si="308"/>
        <v>0</v>
      </c>
      <c r="AS318" s="253"/>
    </row>
    <row r="319" spans="1:45" s="141" customFormat="1">
      <c r="A319" s="46" t="s">
        <v>491</v>
      </c>
      <c r="B319" s="20" t="s">
        <v>33</v>
      </c>
      <c r="C319" s="175">
        <v>0</v>
      </c>
      <c r="D319" s="100" t="s">
        <v>9</v>
      </c>
      <c r="E319" s="176">
        <v>0</v>
      </c>
      <c r="F319" s="177">
        <f t="shared" si="299"/>
        <v>0</v>
      </c>
      <c r="G319" s="178">
        <v>0</v>
      </c>
      <c r="H319" s="178">
        <v>16</v>
      </c>
      <c r="I319" s="178">
        <v>0</v>
      </c>
      <c r="J319" s="178">
        <v>8</v>
      </c>
      <c r="K319" s="179">
        <v>0</v>
      </c>
      <c r="L319" s="100" t="s">
        <v>8</v>
      </c>
      <c r="M319" s="176">
        <f t="shared" si="300"/>
        <v>4976.6400000000003</v>
      </c>
      <c r="N319" s="96">
        <v>2</v>
      </c>
      <c r="O319" s="176">
        <f t="shared" si="301"/>
        <v>4976.6400000000003</v>
      </c>
      <c r="P319" s="180"/>
      <c r="Q319" s="52" t="s">
        <v>46</v>
      </c>
      <c r="R319" s="75" t="s">
        <v>77</v>
      </c>
      <c r="S319" s="145" t="str">
        <f t="shared" si="302"/>
        <v>BPD2013</v>
      </c>
      <c r="T319" s="145" t="str">
        <f t="shared" si="303"/>
        <v>B1.2.3.4.22013</v>
      </c>
      <c r="U319" s="145" t="s">
        <v>413</v>
      </c>
      <c r="V319" s="145" t="str">
        <f t="shared" si="304"/>
        <v>Half Detector Assembly</v>
      </c>
      <c r="W319" s="20"/>
      <c r="X319" s="20"/>
      <c r="Y319" s="20"/>
      <c r="Z319" s="20"/>
      <c r="AA319" s="20"/>
      <c r="AB319" s="33">
        <v>2013</v>
      </c>
      <c r="AC319" s="140">
        <f t="shared" si="305"/>
        <v>0</v>
      </c>
      <c r="AD319" s="140">
        <f t="shared" si="305"/>
        <v>32</v>
      </c>
      <c r="AE319" s="140">
        <f t="shared" si="305"/>
        <v>0</v>
      </c>
      <c r="AF319" s="140">
        <f t="shared" si="305"/>
        <v>16</v>
      </c>
      <c r="AG319" s="140">
        <f t="shared" si="305"/>
        <v>0</v>
      </c>
      <c r="AH319" s="251">
        <f t="shared" si="306"/>
        <v>0</v>
      </c>
      <c r="AI319" s="253"/>
      <c r="AJ319" s="259"/>
      <c r="AK319" s="259"/>
      <c r="AL319" s="176"/>
      <c r="AM319" s="139">
        <f t="shared" si="307"/>
        <v>0</v>
      </c>
      <c r="AN319" s="140">
        <f t="shared" si="307"/>
        <v>0</v>
      </c>
      <c r="AO319" s="140">
        <f t="shared" si="307"/>
        <v>0</v>
      </c>
      <c r="AP319" s="140">
        <f t="shared" si="307"/>
        <v>0</v>
      </c>
      <c r="AQ319" s="140">
        <f t="shared" si="307"/>
        <v>0</v>
      </c>
      <c r="AR319" s="140">
        <f t="shared" si="308"/>
        <v>0</v>
      </c>
      <c r="AS319" s="253"/>
    </row>
    <row r="320" spans="1:45" s="141" customFormat="1">
      <c r="A320" s="46" t="s">
        <v>493</v>
      </c>
      <c r="B320" s="20" t="s">
        <v>33</v>
      </c>
      <c r="C320" s="175">
        <v>0</v>
      </c>
      <c r="D320" s="100" t="s">
        <v>9</v>
      </c>
      <c r="E320" s="176">
        <v>0</v>
      </c>
      <c r="F320" s="177">
        <f t="shared" si="299"/>
        <v>0</v>
      </c>
      <c r="G320" s="178">
        <v>0</v>
      </c>
      <c r="H320" s="178">
        <v>32</v>
      </c>
      <c r="I320" s="178">
        <v>0</v>
      </c>
      <c r="J320" s="178">
        <v>16</v>
      </c>
      <c r="K320" s="179">
        <v>0</v>
      </c>
      <c r="L320" s="100" t="s">
        <v>8</v>
      </c>
      <c r="M320" s="176">
        <f t="shared" si="300"/>
        <v>9953.2800000000007</v>
      </c>
      <c r="N320" s="96">
        <v>2</v>
      </c>
      <c r="O320" s="176">
        <f t="shared" si="301"/>
        <v>9953.2800000000007</v>
      </c>
      <c r="P320" s="180"/>
      <c r="Q320" s="52" t="s">
        <v>46</v>
      </c>
      <c r="R320" s="75" t="s">
        <v>77</v>
      </c>
      <c r="S320" s="145" t="str">
        <f t="shared" si="302"/>
        <v>BPD2014</v>
      </c>
      <c r="T320" s="145" t="str">
        <f t="shared" si="303"/>
        <v>B1.2.3.4.22014</v>
      </c>
      <c r="U320" s="145" t="s">
        <v>413</v>
      </c>
      <c r="V320" s="145" t="str">
        <f t="shared" si="304"/>
        <v>Half Detector Assembly</v>
      </c>
      <c r="W320" s="20"/>
      <c r="X320" s="20"/>
      <c r="Y320" s="20"/>
      <c r="Z320" s="20"/>
      <c r="AA320" s="20"/>
      <c r="AB320" s="33">
        <v>2014</v>
      </c>
      <c r="AC320" s="140">
        <f t="shared" si="305"/>
        <v>0</v>
      </c>
      <c r="AD320" s="140">
        <f t="shared" si="305"/>
        <v>64</v>
      </c>
      <c r="AE320" s="140">
        <f t="shared" si="305"/>
        <v>0</v>
      </c>
      <c r="AF320" s="140">
        <f t="shared" si="305"/>
        <v>32</v>
      </c>
      <c r="AG320" s="140">
        <f t="shared" si="305"/>
        <v>0</v>
      </c>
      <c r="AH320" s="251">
        <f t="shared" si="306"/>
        <v>0</v>
      </c>
      <c r="AI320" s="253"/>
      <c r="AJ320" s="259"/>
      <c r="AK320" s="259"/>
      <c r="AL320" s="176"/>
      <c r="AM320" s="139">
        <f t="shared" si="307"/>
        <v>0</v>
      </c>
      <c r="AN320" s="140">
        <f t="shared" si="307"/>
        <v>0</v>
      </c>
      <c r="AO320" s="140">
        <f t="shared" si="307"/>
        <v>0</v>
      </c>
      <c r="AP320" s="140">
        <f t="shared" si="307"/>
        <v>0</v>
      </c>
      <c r="AQ320" s="140">
        <f t="shared" si="307"/>
        <v>0</v>
      </c>
      <c r="AR320" s="140">
        <f t="shared" si="308"/>
        <v>0</v>
      </c>
      <c r="AS320" s="253"/>
    </row>
    <row r="321" spans="1:45" s="141" customFormat="1">
      <c r="A321" s="46" t="s">
        <v>494</v>
      </c>
      <c r="B321" s="20" t="s">
        <v>33</v>
      </c>
      <c r="C321" s="175">
        <v>0</v>
      </c>
      <c r="D321" s="100" t="s">
        <v>9</v>
      </c>
      <c r="E321" s="176">
        <v>0</v>
      </c>
      <c r="F321" s="177">
        <f t="shared" si="299"/>
        <v>0</v>
      </c>
      <c r="G321" s="178">
        <v>0</v>
      </c>
      <c r="H321" s="178">
        <v>32</v>
      </c>
      <c r="I321" s="178">
        <v>0</v>
      </c>
      <c r="J321" s="178">
        <v>16</v>
      </c>
      <c r="K321" s="179">
        <v>0</v>
      </c>
      <c r="L321" s="100" t="s">
        <v>8</v>
      </c>
      <c r="M321" s="176">
        <f t="shared" si="300"/>
        <v>9953.2800000000007</v>
      </c>
      <c r="N321" s="96">
        <v>2</v>
      </c>
      <c r="O321" s="176">
        <f t="shared" si="301"/>
        <v>9953.2800000000007</v>
      </c>
      <c r="P321" s="180"/>
      <c r="Q321" s="52" t="s">
        <v>46</v>
      </c>
      <c r="R321" s="75" t="s">
        <v>77</v>
      </c>
      <c r="S321" s="145" t="str">
        <f t="shared" si="302"/>
        <v>BPD2014</v>
      </c>
      <c r="T321" s="145" t="str">
        <f t="shared" si="303"/>
        <v>B1.2.3.4.22014</v>
      </c>
      <c r="U321" s="145" t="s">
        <v>413</v>
      </c>
      <c r="V321" s="145" t="str">
        <f t="shared" si="304"/>
        <v>Half Detector Assembly</v>
      </c>
      <c r="W321" s="20"/>
      <c r="X321" s="20"/>
      <c r="Y321" s="20"/>
      <c r="Z321" s="20"/>
      <c r="AA321" s="20"/>
      <c r="AB321" s="33">
        <v>2014</v>
      </c>
      <c r="AC321" s="140">
        <f t="shared" si="305"/>
        <v>0</v>
      </c>
      <c r="AD321" s="140">
        <f t="shared" si="305"/>
        <v>64</v>
      </c>
      <c r="AE321" s="140">
        <f t="shared" si="305"/>
        <v>0</v>
      </c>
      <c r="AF321" s="140">
        <f t="shared" si="305"/>
        <v>32</v>
      </c>
      <c r="AG321" s="140">
        <f t="shared" si="305"/>
        <v>0</v>
      </c>
      <c r="AH321" s="251">
        <f t="shared" si="306"/>
        <v>0</v>
      </c>
      <c r="AI321" s="253"/>
      <c r="AJ321" s="259"/>
      <c r="AK321" s="259"/>
      <c r="AL321" s="176"/>
      <c r="AM321" s="139">
        <f t="shared" si="307"/>
        <v>0</v>
      </c>
      <c r="AN321" s="140">
        <f t="shared" si="307"/>
        <v>0</v>
      </c>
      <c r="AO321" s="140">
        <f t="shared" si="307"/>
        <v>0</v>
      </c>
      <c r="AP321" s="140">
        <f t="shared" si="307"/>
        <v>0</v>
      </c>
      <c r="AQ321" s="140">
        <f t="shared" si="307"/>
        <v>0</v>
      </c>
      <c r="AR321" s="140">
        <f t="shared" si="308"/>
        <v>0</v>
      </c>
      <c r="AS321" s="253"/>
    </row>
    <row r="322" spans="1:45" s="141" customFormat="1">
      <c r="A322" s="46" t="s">
        <v>495</v>
      </c>
      <c r="B322" s="20" t="s">
        <v>33</v>
      </c>
      <c r="C322" s="175">
        <v>0</v>
      </c>
      <c r="D322" s="100" t="s">
        <v>9</v>
      </c>
      <c r="E322" s="176">
        <v>0</v>
      </c>
      <c r="F322" s="177">
        <f t="shared" si="299"/>
        <v>0</v>
      </c>
      <c r="G322" s="178">
        <v>0</v>
      </c>
      <c r="H322" s="178">
        <v>16</v>
      </c>
      <c r="I322" s="178">
        <v>0</v>
      </c>
      <c r="J322" s="178">
        <v>8</v>
      </c>
      <c r="K322" s="179">
        <v>0</v>
      </c>
      <c r="L322" s="100" t="s">
        <v>8</v>
      </c>
      <c r="M322" s="176">
        <f t="shared" si="300"/>
        <v>4976.6400000000003</v>
      </c>
      <c r="N322" s="96">
        <v>2</v>
      </c>
      <c r="O322" s="176">
        <f t="shared" si="301"/>
        <v>4976.6400000000003</v>
      </c>
      <c r="P322" s="180"/>
      <c r="Q322" s="52" t="s">
        <v>46</v>
      </c>
      <c r="R322" s="75" t="s">
        <v>77</v>
      </c>
      <c r="S322" s="145" t="str">
        <f t="shared" si="302"/>
        <v>BPD2014</v>
      </c>
      <c r="T322" s="145" t="str">
        <f t="shared" si="303"/>
        <v>B1.2.3.4.22014</v>
      </c>
      <c r="U322" s="145" t="s">
        <v>413</v>
      </c>
      <c r="V322" s="145" t="str">
        <f t="shared" si="304"/>
        <v>Half Detector Assembly</v>
      </c>
      <c r="W322" s="20"/>
      <c r="X322" s="20"/>
      <c r="Y322" s="20"/>
      <c r="Z322" s="20"/>
      <c r="AA322" s="20"/>
      <c r="AB322" s="33">
        <v>2014</v>
      </c>
      <c r="AC322" s="140">
        <f t="shared" si="305"/>
        <v>0</v>
      </c>
      <c r="AD322" s="140">
        <f t="shared" si="305"/>
        <v>32</v>
      </c>
      <c r="AE322" s="140">
        <f t="shared" si="305"/>
        <v>0</v>
      </c>
      <c r="AF322" s="140">
        <f t="shared" si="305"/>
        <v>16</v>
      </c>
      <c r="AG322" s="140">
        <f t="shared" si="305"/>
        <v>0</v>
      </c>
      <c r="AH322" s="251">
        <f t="shared" si="306"/>
        <v>0</v>
      </c>
      <c r="AI322" s="253"/>
      <c r="AJ322" s="259"/>
      <c r="AK322" s="259"/>
      <c r="AL322" s="176"/>
      <c r="AM322" s="139">
        <f t="shared" si="307"/>
        <v>0</v>
      </c>
      <c r="AN322" s="140">
        <f t="shared" si="307"/>
        <v>0</v>
      </c>
      <c r="AO322" s="140">
        <f t="shared" si="307"/>
        <v>0</v>
      </c>
      <c r="AP322" s="140">
        <f t="shared" si="307"/>
        <v>0</v>
      </c>
      <c r="AQ322" s="140">
        <f t="shared" si="307"/>
        <v>0</v>
      </c>
      <c r="AR322" s="140">
        <f t="shared" si="308"/>
        <v>0</v>
      </c>
      <c r="AS322" s="253"/>
    </row>
    <row r="323" spans="1:45" s="46" customFormat="1">
      <c r="A323" s="47" t="s">
        <v>497</v>
      </c>
      <c r="C323" s="196"/>
      <c r="E323" s="197"/>
      <c r="F323" s="198"/>
      <c r="G323" s="199"/>
      <c r="H323" s="199"/>
      <c r="I323" s="199"/>
      <c r="J323" s="199"/>
      <c r="K323" s="200"/>
      <c r="L323" s="234" t="s">
        <v>66</v>
      </c>
      <c r="M323" s="188">
        <f>SUMIF(Q317:Q322,"B",M317:M322)</f>
        <v>49766.400000000001</v>
      </c>
      <c r="N323" s="69" t="s">
        <v>66</v>
      </c>
      <c r="O323" s="188"/>
      <c r="P323" s="201"/>
      <c r="Q323" s="66"/>
      <c r="R323" s="77"/>
      <c r="S323" s="145"/>
      <c r="T323" s="145"/>
      <c r="U323" s="79"/>
      <c r="V323" s="79"/>
      <c r="W323" s="20"/>
      <c r="X323" s="20"/>
      <c r="Y323" s="20"/>
      <c r="Z323" s="20"/>
      <c r="AA323" s="20"/>
      <c r="AB323" s="33"/>
      <c r="AC323" s="140"/>
      <c r="AD323" s="140"/>
      <c r="AE323" s="140"/>
      <c r="AF323" s="140"/>
      <c r="AG323" s="140"/>
      <c r="AH323" s="251"/>
      <c r="AI323" s="252"/>
      <c r="AJ323" s="140"/>
      <c r="AK323" s="140"/>
      <c r="AL323" s="176"/>
      <c r="AM323" s="139"/>
      <c r="AN323" s="140"/>
      <c r="AO323" s="140"/>
      <c r="AP323" s="140"/>
      <c r="AQ323" s="140"/>
      <c r="AR323" s="140"/>
      <c r="AS323" s="252"/>
    </row>
    <row r="324" spans="1:45" s="141" customFormat="1">
      <c r="A324" s="46" t="s">
        <v>496</v>
      </c>
      <c r="B324" s="20" t="s">
        <v>33</v>
      </c>
      <c r="C324" s="175">
        <v>0</v>
      </c>
      <c r="D324" s="100" t="s">
        <v>9</v>
      </c>
      <c r="E324" s="176">
        <v>0</v>
      </c>
      <c r="F324" s="177">
        <f t="shared" ref="F324:F330" si="309">E324*C324</f>
        <v>0</v>
      </c>
      <c r="G324" s="178">
        <v>0</v>
      </c>
      <c r="H324" s="178">
        <v>0</v>
      </c>
      <c r="I324" s="178">
        <v>0</v>
      </c>
      <c r="J324" s="178">
        <v>120</v>
      </c>
      <c r="K324" s="179">
        <v>0</v>
      </c>
      <c r="L324" s="100" t="s">
        <v>8</v>
      </c>
      <c r="M324" s="176">
        <f t="shared" ref="M324:M330" si="310">IF(R324="PD",((Shop*G324)+(M_Tech*H324)+(CMM*I324)+(ENG*J324)+(DES*K324))*N324,((Shop_RD*G324)+(MTECH_RD*H324)+(CMM_RD*I324)+(ENG_RD*J324)+(DES_RD*K324))*N324)</f>
        <v>14580.000000000002</v>
      </c>
      <c r="N324" s="96">
        <v>1</v>
      </c>
      <c r="O324" s="176">
        <f t="shared" ref="O324:O330" si="311">M324+(F324*N324)</f>
        <v>14580.000000000002</v>
      </c>
      <c r="P324" s="180"/>
      <c r="Q324" s="52" t="s">
        <v>46</v>
      </c>
      <c r="R324" s="75" t="s">
        <v>77</v>
      </c>
      <c r="S324" s="145" t="str">
        <f t="shared" ref="S324:S330" si="312">CONCATENATE(Q324,R324,AB324)</f>
        <v>BPDSTAR</v>
      </c>
      <c r="T324" s="145" t="str">
        <f t="shared" ref="T324:T330" si="313">CONCATENATE(Q324,U324,AB324)</f>
        <v>B1.2.5.1.1STAR</v>
      </c>
      <c r="U324" s="145" t="s">
        <v>451</v>
      </c>
      <c r="V324" s="145" t="str">
        <f t="shared" ref="V324:V330" si="314">LOOKUP(U324,$B$383:$B$420,$A$383:$A$420)</f>
        <v>Work Platform</v>
      </c>
      <c r="W324" s="20"/>
      <c r="X324" s="20"/>
      <c r="Y324" s="20"/>
      <c r="Z324" s="20"/>
      <c r="AA324" s="20"/>
      <c r="AB324" s="33" t="s">
        <v>173</v>
      </c>
      <c r="AC324" s="140">
        <f t="shared" ref="AC324:AG330" si="315">IF($Q324="B", (G324*$N324),0)</f>
        <v>0</v>
      </c>
      <c r="AD324" s="140">
        <f t="shared" si="315"/>
        <v>0</v>
      </c>
      <c r="AE324" s="140">
        <f t="shared" si="315"/>
        <v>0</v>
      </c>
      <c r="AF324" s="140">
        <f t="shared" si="315"/>
        <v>120</v>
      </c>
      <c r="AG324" s="140">
        <f t="shared" si="315"/>
        <v>0</v>
      </c>
      <c r="AH324" s="251">
        <f t="shared" ref="AH324:AH330" si="316">IF($Q324="B", (F324*$N324),0)</f>
        <v>0</v>
      </c>
      <c r="AI324" s="253"/>
      <c r="AJ324" s="259"/>
      <c r="AK324" s="259"/>
      <c r="AL324" s="176"/>
      <c r="AM324" s="139">
        <f t="shared" ref="AM324:AQ330" si="317">IF($Q324="C", (G324*$N324),0)</f>
        <v>0</v>
      </c>
      <c r="AN324" s="140">
        <f t="shared" si="317"/>
        <v>0</v>
      </c>
      <c r="AO324" s="140">
        <f t="shared" si="317"/>
        <v>0</v>
      </c>
      <c r="AP324" s="140">
        <f t="shared" si="317"/>
        <v>0</v>
      </c>
      <c r="AQ324" s="140">
        <f t="shared" si="317"/>
        <v>0</v>
      </c>
      <c r="AR324" s="140">
        <f t="shared" ref="AR324:AR330" si="318">IF($Q324="C", (F324*$N324),0)</f>
        <v>0</v>
      </c>
      <c r="AS324" s="253"/>
    </row>
    <row r="325" spans="1:45" s="141" customFormat="1">
      <c r="A325" s="46" t="s">
        <v>371</v>
      </c>
      <c r="B325" s="20" t="s">
        <v>33</v>
      </c>
      <c r="C325" s="175">
        <v>0</v>
      </c>
      <c r="D325" s="100" t="s">
        <v>9</v>
      </c>
      <c r="E325" s="176">
        <v>0</v>
      </c>
      <c r="F325" s="177">
        <f t="shared" si="309"/>
        <v>0</v>
      </c>
      <c r="G325" s="178">
        <v>0</v>
      </c>
      <c r="H325" s="178">
        <v>0</v>
      </c>
      <c r="I325" s="178">
        <v>0</v>
      </c>
      <c r="J325" s="178">
        <v>160</v>
      </c>
      <c r="K325" s="179">
        <v>0</v>
      </c>
      <c r="L325" s="100" t="s">
        <v>8</v>
      </c>
      <c r="M325" s="176">
        <f t="shared" si="310"/>
        <v>19440.000000000004</v>
      </c>
      <c r="N325" s="96">
        <v>1</v>
      </c>
      <c r="O325" s="176">
        <f t="shared" si="311"/>
        <v>19440.000000000004</v>
      </c>
      <c r="P325" s="180"/>
      <c r="Q325" s="52" t="s">
        <v>46</v>
      </c>
      <c r="R325" s="75" t="s">
        <v>77</v>
      </c>
      <c r="S325" s="145" t="str">
        <f t="shared" si="312"/>
        <v>BPD2012</v>
      </c>
      <c r="T325" s="145" t="str">
        <f t="shared" si="313"/>
        <v>B1.2.5.1.12012</v>
      </c>
      <c r="U325" s="145" t="s">
        <v>451</v>
      </c>
      <c r="V325" s="145" t="str">
        <f t="shared" si="314"/>
        <v>Work Platform</v>
      </c>
      <c r="W325" s="20"/>
      <c r="X325" s="20"/>
      <c r="Y325" s="20"/>
      <c r="Z325" s="20"/>
      <c r="AA325" s="20"/>
      <c r="AB325" s="33">
        <v>2012</v>
      </c>
      <c r="AC325" s="140">
        <f t="shared" si="315"/>
        <v>0</v>
      </c>
      <c r="AD325" s="140">
        <f t="shared" si="315"/>
        <v>0</v>
      </c>
      <c r="AE325" s="140">
        <f t="shared" si="315"/>
        <v>0</v>
      </c>
      <c r="AF325" s="140">
        <f t="shared" si="315"/>
        <v>160</v>
      </c>
      <c r="AG325" s="140">
        <f t="shared" si="315"/>
        <v>0</v>
      </c>
      <c r="AH325" s="251">
        <f t="shared" si="316"/>
        <v>0</v>
      </c>
      <c r="AI325" s="253"/>
      <c r="AJ325" s="259"/>
      <c r="AK325" s="259"/>
      <c r="AL325" s="176"/>
      <c r="AM325" s="139">
        <f t="shared" si="317"/>
        <v>0</v>
      </c>
      <c r="AN325" s="140">
        <f t="shared" si="317"/>
        <v>0</v>
      </c>
      <c r="AO325" s="140">
        <f t="shared" si="317"/>
        <v>0</v>
      </c>
      <c r="AP325" s="140">
        <f t="shared" si="317"/>
        <v>0</v>
      </c>
      <c r="AQ325" s="140">
        <f t="shared" si="317"/>
        <v>0</v>
      </c>
      <c r="AR325" s="140">
        <f t="shared" si="318"/>
        <v>0</v>
      </c>
      <c r="AS325" s="253"/>
    </row>
    <row r="326" spans="1:45" s="141" customFormat="1">
      <c r="A326" s="46" t="s">
        <v>498</v>
      </c>
      <c r="B326" s="20" t="s">
        <v>33</v>
      </c>
      <c r="C326" s="175">
        <v>0</v>
      </c>
      <c r="D326" s="100" t="s">
        <v>9</v>
      </c>
      <c r="E326" s="176">
        <v>0</v>
      </c>
      <c r="F326" s="177">
        <f t="shared" si="309"/>
        <v>0</v>
      </c>
      <c r="G326" s="178">
        <v>0</v>
      </c>
      <c r="H326" s="178">
        <v>0</v>
      </c>
      <c r="I326" s="178">
        <v>0</v>
      </c>
      <c r="J326" s="178">
        <v>120</v>
      </c>
      <c r="K326" s="179">
        <v>0</v>
      </c>
      <c r="L326" s="100" t="s">
        <v>8</v>
      </c>
      <c r="M326" s="176">
        <f t="shared" si="310"/>
        <v>14580.000000000002</v>
      </c>
      <c r="N326" s="96">
        <v>1</v>
      </c>
      <c r="O326" s="176">
        <f t="shared" si="311"/>
        <v>14580.000000000002</v>
      </c>
      <c r="P326" s="180"/>
      <c r="Q326" s="52" t="s">
        <v>47</v>
      </c>
      <c r="R326" s="75" t="s">
        <v>77</v>
      </c>
      <c r="S326" s="145" t="str">
        <f t="shared" si="312"/>
        <v>CPDSTAR</v>
      </c>
      <c r="T326" s="145" t="str">
        <f t="shared" si="313"/>
        <v>C1.2.5.1.1STAR</v>
      </c>
      <c r="U326" s="145" t="s">
        <v>451</v>
      </c>
      <c r="V326" s="145" t="str">
        <f t="shared" si="314"/>
        <v>Work Platform</v>
      </c>
      <c r="W326" s="20"/>
      <c r="X326" s="20"/>
      <c r="Y326" s="20"/>
      <c r="Z326" s="20"/>
      <c r="AA326" s="20"/>
      <c r="AB326" s="33" t="s">
        <v>173</v>
      </c>
      <c r="AC326" s="140">
        <f t="shared" si="315"/>
        <v>0</v>
      </c>
      <c r="AD326" s="140">
        <f t="shared" si="315"/>
        <v>0</v>
      </c>
      <c r="AE326" s="140">
        <f t="shared" si="315"/>
        <v>0</v>
      </c>
      <c r="AF326" s="140">
        <f t="shared" si="315"/>
        <v>0</v>
      </c>
      <c r="AG326" s="140">
        <f t="shared" si="315"/>
        <v>0</v>
      </c>
      <c r="AH326" s="251">
        <f t="shared" si="316"/>
        <v>0</v>
      </c>
      <c r="AI326" s="253"/>
      <c r="AJ326" s="259"/>
      <c r="AK326" s="259"/>
      <c r="AL326" s="176"/>
      <c r="AM326" s="139">
        <f t="shared" si="317"/>
        <v>0</v>
      </c>
      <c r="AN326" s="140">
        <f t="shared" si="317"/>
        <v>0</v>
      </c>
      <c r="AO326" s="140">
        <f t="shared" si="317"/>
        <v>0</v>
      </c>
      <c r="AP326" s="140">
        <f t="shared" si="317"/>
        <v>120</v>
      </c>
      <c r="AQ326" s="140">
        <f t="shared" si="317"/>
        <v>0</v>
      </c>
      <c r="AR326" s="140">
        <f t="shared" si="318"/>
        <v>0</v>
      </c>
      <c r="AS326" s="253"/>
    </row>
    <row r="327" spans="1:45" s="141" customFormat="1">
      <c r="A327" s="46" t="s">
        <v>499</v>
      </c>
      <c r="B327" s="20" t="s">
        <v>33</v>
      </c>
      <c r="C327" s="175">
        <v>0</v>
      </c>
      <c r="D327" s="100" t="s">
        <v>9</v>
      </c>
      <c r="E327" s="176">
        <v>0</v>
      </c>
      <c r="F327" s="177">
        <f t="shared" si="309"/>
        <v>0</v>
      </c>
      <c r="G327" s="178">
        <v>0</v>
      </c>
      <c r="H327" s="178">
        <v>0</v>
      </c>
      <c r="I327" s="178">
        <v>0</v>
      </c>
      <c r="J327" s="178">
        <v>160</v>
      </c>
      <c r="K327" s="179">
        <v>0</v>
      </c>
      <c r="L327" s="100" t="s">
        <v>8</v>
      </c>
      <c r="M327" s="176">
        <f t="shared" si="310"/>
        <v>19440.000000000004</v>
      </c>
      <c r="N327" s="96">
        <v>1</v>
      </c>
      <c r="O327" s="176">
        <f t="shared" si="311"/>
        <v>19440.000000000004</v>
      </c>
      <c r="P327" s="180"/>
      <c r="Q327" s="52" t="s">
        <v>47</v>
      </c>
      <c r="R327" s="75" t="s">
        <v>77</v>
      </c>
      <c r="S327" s="145" t="str">
        <f t="shared" si="312"/>
        <v>CPD2012</v>
      </c>
      <c r="T327" s="145" t="str">
        <f t="shared" si="313"/>
        <v>C1.2.5.1.12012</v>
      </c>
      <c r="U327" s="145" t="s">
        <v>451</v>
      </c>
      <c r="V327" s="145" t="str">
        <f t="shared" si="314"/>
        <v>Work Platform</v>
      </c>
      <c r="W327" s="20"/>
      <c r="X327" s="20"/>
      <c r="Y327" s="20"/>
      <c r="Z327" s="20"/>
      <c r="AA327" s="20"/>
      <c r="AB327" s="33">
        <v>2012</v>
      </c>
      <c r="AC327" s="140">
        <f t="shared" si="315"/>
        <v>0</v>
      </c>
      <c r="AD327" s="140">
        <f t="shared" si="315"/>
        <v>0</v>
      </c>
      <c r="AE327" s="140">
        <f t="shared" si="315"/>
        <v>0</v>
      </c>
      <c r="AF327" s="140">
        <f t="shared" si="315"/>
        <v>0</v>
      </c>
      <c r="AG327" s="140">
        <f t="shared" si="315"/>
        <v>0</v>
      </c>
      <c r="AH327" s="251">
        <f t="shared" si="316"/>
        <v>0</v>
      </c>
      <c r="AI327" s="253"/>
      <c r="AJ327" s="259"/>
      <c r="AK327" s="259"/>
      <c r="AL327" s="176"/>
      <c r="AM327" s="139">
        <f t="shared" si="317"/>
        <v>0</v>
      </c>
      <c r="AN327" s="140">
        <f t="shared" si="317"/>
        <v>0</v>
      </c>
      <c r="AO327" s="140">
        <f t="shared" si="317"/>
        <v>0</v>
      </c>
      <c r="AP327" s="140">
        <f t="shared" si="317"/>
        <v>160</v>
      </c>
      <c r="AQ327" s="140">
        <f t="shared" si="317"/>
        <v>0</v>
      </c>
      <c r="AR327" s="140">
        <f t="shared" si="318"/>
        <v>0</v>
      </c>
      <c r="AS327" s="253"/>
    </row>
    <row r="328" spans="1:45" s="141" customFormat="1">
      <c r="A328" s="46" t="s">
        <v>500</v>
      </c>
      <c r="B328" s="20" t="s">
        <v>7</v>
      </c>
      <c r="C328" s="175">
        <v>2000</v>
      </c>
      <c r="D328" s="100" t="s">
        <v>38</v>
      </c>
      <c r="E328" s="176">
        <v>8</v>
      </c>
      <c r="F328" s="177">
        <f t="shared" si="309"/>
        <v>16000</v>
      </c>
      <c r="G328" s="374">
        <v>40</v>
      </c>
      <c r="H328" s="178">
        <v>80</v>
      </c>
      <c r="I328" s="178">
        <v>0</v>
      </c>
      <c r="J328" s="178">
        <v>40</v>
      </c>
      <c r="K328" s="179">
        <v>0</v>
      </c>
      <c r="L328" s="100" t="s">
        <v>8</v>
      </c>
      <c r="M328" s="176">
        <f t="shared" si="310"/>
        <v>16524</v>
      </c>
      <c r="N328" s="96">
        <v>1</v>
      </c>
      <c r="O328" s="176">
        <f t="shared" si="311"/>
        <v>32524</v>
      </c>
      <c r="P328" s="180"/>
      <c r="Q328" s="52" t="s">
        <v>46</v>
      </c>
      <c r="R328" s="75" t="s">
        <v>77</v>
      </c>
      <c r="S328" s="145" t="str">
        <f t="shared" si="312"/>
        <v>BPD2012</v>
      </c>
      <c r="T328" s="145" t="str">
        <f t="shared" si="313"/>
        <v>B1.2.5.1.12012</v>
      </c>
      <c r="U328" s="145" t="s">
        <v>451</v>
      </c>
      <c r="V328" s="145" t="str">
        <f t="shared" si="314"/>
        <v>Work Platform</v>
      </c>
      <c r="W328" s="20"/>
      <c r="X328" s="20"/>
      <c r="Y328" s="20"/>
      <c r="Z328" s="20"/>
      <c r="AA328" s="20"/>
      <c r="AB328" s="33">
        <v>2012</v>
      </c>
      <c r="AC328" s="140">
        <f t="shared" si="315"/>
        <v>40</v>
      </c>
      <c r="AD328" s="140">
        <f t="shared" si="315"/>
        <v>80</v>
      </c>
      <c r="AE328" s="140">
        <f t="shared" si="315"/>
        <v>0</v>
      </c>
      <c r="AF328" s="140">
        <f t="shared" si="315"/>
        <v>40</v>
      </c>
      <c r="AG328" s="140">
        <f t="shared" si="315"/>
        <v>0</v>
      </c>
      <c r="AH328" s="251">
        <f t="shared" si="316"/>
        <v>16000</v>
      </c>
      <c r="AI328" s="253"/>
      <c r="AJ328" s="259"/>
      <c r="AK328" s="259"/>
      <c r="AL328" s="176"/>
      <c r="AM328" s="139">
        <f t="shared" si="317"/>
        <v>0</v>
      </c>
      <c r="AN328" s="140">
        <f t="shared" si="317"/>
        <v>0</v>
      </c>
      <c r="AO328" s="140">
        <f t="shared" si="317"/>
        <v>0</v>
      </c>
      <c r="AP328" s="140">
        <f t="shared" si="317"/>
        <v>0</v>
      </c>
      <c r="AQ328" s="140">
        <f t="shared" si="317"/>
        <v>0</v>
      </c>
      <c r="AR328" s="140">
        <f t="shared" si="318"/>
        <v>0</v>
      </c>
      <c r="AS328" s="253"/>
    </row>
    <row r="329" spans="1:45" s="141" customFormat="1">
      <c r="A329" s="46" t="s">
        <v>501</v>
      </c>
      <c r="B329" s="20" t="s">
        <v>33</v>
      </c>
      <c r="C329" s="175">
        <v>0</v>
      </c>
      <c r="D329" s="100" t="s">
        <v>9</v>
      </c>
      <c r="E329" s="176">
        <v>0</v>
      </c>
      <c r="F329" s="177">
        <f t="shared" si="309"/>
        <v>0</v>
      </c>
      <c r="G329" s="178">
        <v>0</v>
      </c>
      <c r="H329" s="178">
        <v>40</v>
      </c>
      <c r="I329" s="178">
        <v>0</v>
      </c>
      <c r="J329" s="178">
        <v>40</v>
      </c>
      <c r="K329" s="179">
        <v>0</v>
      </c>
      <c r="L329" s="100" t="s">
        <v>8</v>
      </c>
      <c r="M329" s="176">
        <f t="shared" si="310"/>
        <v>8650.8000000000011</v>
      </c>
      <c r="N329" s="96">
        <v>1</v>
      </c>
      <c r="O329" s="176">
        <f t="shared" si="311"/>
        <v>8650.8000000000011</v>
      </c>
      <c r="P329" s="180"/>
      <c r="Q329" s="52" t="s">
        <v>46</v>
      </c>
      <c r="R329" s="75" t="s">
        <v>77</v>
      </c>
      <c r="S329" s="145" t="str">
        <f t="shared" si="312"/>
        <v>BPDSTAR</v>
      </c>
      <c r="T329" s="145" t="str">
        <f t="shared" si="313"/>
        <v>B1.2.5.1.1STAR</v>
      </c>
      <c r="U329" s="145" t="s">
        <v>451</v>
      </c>
      <c r="V329" s="145" t="str">
        <f t="shared" si="314"/>
        <v>Work Platform</v>
      </c>
      <c r="W329" s="20"/>
      <c r="X329" s="20"/>
      <c r="Y329" s="20"/>
      <c r="Z329" s="20"/>
      <c r="AA329" s="20"/>
      <c r="AB329" s="33" t="s">
        <v>173</v>
      </c>
      <c r="AC329" s="140">
        <f t="shared" si="315"/>
        <v>0</v>
      </c>
      <c r="AD329" s="140">
        <f t="shared" si="315"/>
        <v>40</v>
      </c>
      <c r="AE329" s="140">
        <f t="shared" si="315"/>
        <v>0</v>
      </c>
      <c r="AF329" s="140">
        <f t="shared" si="315"/>
        <v>40</v>
      </c>
      <c r="AG329" s="140">
        <f t="shared" si="315"/>
        <v>0</v>
      </c>
      <c r="AH329" s="251">
        <f t="shared" si="316"/>
        <v>0</v>
      </c>
      <c r="AI329" s="253"/>
      <c r="AJ329" s="259"/>
      <c r="AK329" s="259"/>
      <c r="AL329" s="176"/>
      <c r="AM329" s="139">
        <f t="shared" si="317"/>
        <v>0</v>
      </c>
      <c r="AN329" s="140">
        <f t="shared" si="317"/>
        <v>0</v>
      </c>
      <c r="AO329" s="140">
        <f t="shared" si="317"/>
        <v>0</v>
      </c>
      <c r="AP329" s="140">
        <f t="shared" si="317"/>
        <v>0</v>
      </c>
      <c r="AQ329" s="140">
        <f t="shared" si="317"/>
        <v>0</v>
      </c>
      <c r="AR329" s="140">
        <f t="shared" si="318"/>
        <v>0</v>
      </c>
      <c r="AS329" s="253"/>
    </row>
    <row r="330" spans="1:45" s="141" customFormat="1">
      <c r="A330" s="46" t="s">
        <v>502</v>
      </c>
      <c r="B330" s="20" t="s">
        <v>95</v>
      </c>
      <c r="C330" s="175">
        <v>1</v>
      </c>
      <c r="D330" s="100" t="s">
        <v>57</v>
      </c>
      <c r="E330" s="176">
        <v>2000</v>
      </c>
      <c r="F330" s="177">
        <f t="shared" si="309"/>
        <v>2000</v>
      </c>
      <c r="G330" s="178">
        <v>0</v>
      </c>
      <c r="H330" s="178">
        <v>0</v>
      </c>
      <c r="I330" s="178">
        <v>0</v>
      </c>
      <c r="J330" s="178">
        <v>24</v>
      </c>
      <c r="K330" s="179">
        <v>0</v>
      </c>
      <c r="L330" s="100" t="s">
        <v>8</v>
      </c>
      <c r="M330" s="176">
        <f t="shared" si="310"/>
        <v>2916.0000000000005</v>
      </c>
      <c r="N330" s="96">
        <v>1</v>
      </c>
      <c r="O330" s="176">
        <f t="shared" si="311"/>
        <v>4916</v>
      </c>
      <c r="P330" s="180"/>
      <c r="Q330" s="52" t="s">
        <v>46</v>
      </c>
      <c r="R330" s="75" t="s">
        <v>77</v>
      </c>
      <c r="S330" s="145" t="str">
        <f t="shared" si="312"/>
        <v>BPD2012</v>
      </c>
      <c r="T330" s="145" t="str">
        <f t="shared" si="313"/>
        <v>B1.2.5.1.12012</v>
      </c>
      <c r="U330" s="145" t="s">
        <v>451</v>
      </c>
      <c r="V330" s="145" t="str">
        <f t="shared" si="314"/>
        <v>Work Platform</v>
      </c>
      <c r="W330" s="20"/>
      <c r="X330" s="20"/>
      <c r="Y330" s="20"/>
      <c r="Z330" s="20"/>
      <c r="AA330" s="20"/>
      <c r="AB330" s="33">
        <v>2012</v>
      </c>
      <c r="AC330" s="140">
        <f t="shared" si="315"/>
        <v>0</v>
      </c>
      <c r="AD330" s="140">
        <f t="shared" si="315"/>
        <v>0</v>
      </c>
      <c r="AE330" s="140">
        <f t="shared" si="315"/>
        <v>0</v>
      </c>
      <c r="AF330" s="140">
        <f t="shared" si="315"/>
        <v>24</v>
      </c>
      <c r="AG330" s="140">
        <f t="shared" si="315"/>
        <v>0</v>
      </c>
      <c r="AH330" s="251">
        <f t="shared" si="316"/>
        <v>2000</v>
      </c>
      <c r="AI330" s="253"/>
      <c r="AJ330" s="259"/>
      <c r="AK330" s="259"/>
      <c r="AL330" s="176"/>
      <c r="AM330" s="139">
        <f t="shared" si="317"/>
        <v>0</v>
      </c>
      <c r="AN330" s="140">
        <f t="shared" si="317"/>
        <v>0</v>
      </c>
      <c r="AO330" s="140">
        <f t="shared" si="317"/>
        <v>0</v>
      </c>
      <c r="AP330" s="140">
        <f t="shared" si="317"/>
        <v>0</v>
      </c>
      <c r="AQ330" s="140">
        <f t="shared" si="317"/>
        <v>0</v>
      </c>
      <c r="AR330" s="140">
        <f t="shared" si="318"/>
        <v>0</v>
      </c>
      <c r="AS330" s="253"/>
    </row>
    <row r="331" spans="1:45" s="46" customFormat="1">
      <c r="A331" s="47" t="s">
        <v>503</v>
      </c>
      <c r="C331" s="196"/>
      <c r="E331" s="197"/>
      <c r="F331" s="198"/>
      <c r="G331" s="199"/>
      <c r="H331" s="199"/>
      <c r="I331" s="199"/>
      <c r="J331" s="199"/>
      <c r="K331" s="200"/>
      <c r="L331" s="234" t="s">
        <v>66</v>
      </c>
      <c r="M331" s="188">
        <f>SUMIF(Q324:Q330,"B",M324:M330)</f>
        <v>62110.80000000001</v>
      </c>
      <c r="N331" s="69" t="s">
        <v>66</v>
      </c>
      <c r="O331" s="188"/>
      <c r="P331" s="201"/>
      <c r="Q331" s="66"/>
      <c r="R331" s="77"/>
      <c r="S331" s="145"/>
      <c r="T331" s="145"/>
      <c r="U331" s="79"/>
      <c r="V331" s="79"/>
      <c r="W331" s="20"/>
      <c r="X331" s="20"/>
      <c r="Y331" s="20"/>
      <c r="Z331" s="20"/>
      <c r="AA331" s="20"/>
      <c r="AB331" s="33"/>
      <c r="AC331" s="140"/>
      <c r="AD331" s="140"/>
      <c r="AE331" s="140"/>
      <c r="AF331" s="140"/>
      <c r="AG331" s="140"/>
      <c r="AH331" s="251"/>
      <c r="AI331" s="252"/>
      <c r="AJ331" s="140"/>
      <c r="AK331" s="140"/>
      <c r="AL331" s="176"/>
      <c r="AM331" s="139"/>
      <c r="AN331" s="140"/>
      <c r="AO331" s="140"/>
      <c r="AP331" s="140"/>
      <c r="AQ331" s="140"/>
      <c r="AR331" s="140"/>
      <c r="AS331" s="252"/>
    </row>
    <row r="332" spans="1:45" s="141" customFormat="1">
      <c r="A332" s="46" t="s">
        <v>504</v>
      </c>
      <c r="B332" s="20" t="s">
        <v>33</v>
      </c>
      <c r="C332" s="175">
        <v>0</v>
      </c>
      <c r="D332" s="100" t="s">
        <v>9</v>
      </c>
      <c r="E332" s="176">
        <v>0</v>
      </c>
      <c r="F332" s="177">
        <f t="shared" ref="F332:F339" si="319">E332*C332</f>
        <v>0</v>
      </c>
      <c r="G332" s="178">
        <v>0</v>
      </c>
      <c r="H332" s="178">
        <v>40</v>
      </c>
      <c r="I332" s="178">
        <v>0</v>
      </c>
      <c r="J332" s="178">
        <v>40</v>
      </c>
      <c r="K332" s="179">
        <v>0</v>
      </c>
      <c r="L332" s="100" t="s">
        <v>8</v>
      </c>
      <c r="M332" s="176">
        <f t="shared" ref="M332:M339" si="320">IF(R332="PD",((Shop*G332)+(M_Tech*H332)+(CMM*I332)+(ENG*J332)+(DES*K332))*N332,((Shop_RD*G332)+(MTECH_RD*H332)+(CMM_RD*I332)+(ENG_RD*J332)+(DES_RD*K332))*N332)</f>
        <v>8650.8000000000011</v>
      </c>
      <c r="N332" s="96">
        <v>1</v>
      </c>
      <c r="O332" s="176">
        <f t="shared" ref="O332:O339" si="321">M332+(F332*N332)</f>
        <v>8650.8000000000011</v>
      </c>
      <c r="P332" s="180"/>
      <c r="Q332" s="52" t="s">
        <v>46</v>
      </c>
      <c r="R332" s="75" t="s">
        <v>77</v>
      </c>
      <c r="S332" s="145" t="str">
        <f t="shared" ref="S332:S339" si="322">CONCATENATE(Q332,R332,AB332)</f>
        <v>BPD2013</v>
      </c>
      <c r="T332" s="145" t="str">
        <f t="shared" ref="T332:T339" si="323">CONCATENATE(Q332,U332,AB332)</f>
        <v>B1.2.5.1.22013</v>
      </c>
      <c r="U332" s="145" t="s">
        <v>452</v>
      </c>
      <c r="V332" s="145" t="str">
        <f t="shared" ref="V332:V339" si="324">LOOKUP(U332,$B$383:$B$420,$A$383:$A$420)</f>
        <v>Detector Installation</v>
      </c>
      <c r="W332" s="20"/>
      <c r="X332" s="20"/>
      <c r="Y332" s="20"/>
      <c r="Z332" s="20"/>
      <c r="AA332" s="20"/>
      <c r="AB332" s="33">
        <v>2013</v>
      </c>
      <c r="AC332" s="140">
        <f t="shared" ref="AC332:AG339" si="325">IF($Q332="B", (G332*$N332),0)</f>
        <v>0</v>
      </c>
      <c r="AD332" s="140">
        <f t="shared" si="325"/>
        <v>40</v>
      </c>
      <c r="AE332" s="140">
        <f t="shared" si="325"/>
        <v>0</v>
      </c>
      <c r="AF332" s="140">
        <f t="shared" si="325"/>
        <v>40</v>
      </c>
      <c r="AG332" s="140">
        <f t="shared" si="325"/>
        <v>0</v>
      </c>
      <c r="AH332" s="251">
        <f t="shared" ref="AH332:AH339" si="326">IF($Q332="B", (F332*$N332),0)</f>
        <v>0</v>
      </c>
      <c r="AI332" s="253"/>
      <c r="AJ332" s="259"/>
      <c r="AK332" s="259"/>
      <c r="AL332" s="176"/>
      <c r="AM332" s="139">
        <f t="shared" ref="AM332:AQ339" si="327">IF($Q332="C", (G332*$N332),0)</f>
        <v>0</v>
      </c>
      <c r="AN332" s="140">
        <f t="shared" si="327"/>
        <v>0</v>
      </c>
      <c r="AO332" s="140">
        <f t="shared" si="327"/>
        <v>0</v>
      </c>
      <c r="AP332" s="140">
        <f t="shared" si="327"/>
        <v>0</v>
      </c>
      <c r="AQ332" s="140">
        <f t="shared" si="327"/>
        <v>0</v>
      </c>
      <c r="AR332" s="140">
        <f t="shared" ref="AR332:AR339" si="328">IF($Q332="C", (F332*$N332),0)</f>
        <v>0</v>
      </c>
      <c r="AS332" s="253"/>
    </row>
    <row r="333" spans="1:45" s="141" customFormat="1">
      <c r="A333" s="46" t="s">
        <v>505</v>
      </c>
      <c r="B333" s="20" t="s">
        <v>33</v>
      </c>
      <c r="C333" s="175">
        <v>0</v>
      </c>
      <c r="D333" s="100" t="s">
        <v>9</v>
      </c>
      <c r="E333" s="176">
        <v>0</v>
      </c>
      <c r="F333" s="177">
        <f t="shared" si="319"/>
        <v>0</v>
      </c>
      <c r="G333" s="178">
        <v>0</v>
      </c>
      <c r="H333" s="178">
        <v>40</v>
      </c>
      <c r="I333" s="178">
        <v>0</v>
      </c>
      <c r="J333" s="178">
        <v>40</v>
      </c>
      <c r="K333" s="179">
        <v>0</v>
      </c>
      <c r="L333" s="100" t="s">
        <v>8</v>
      </c>
      <c r="M333" s="176">
        <f t="shared" si="320"/>
        <v>8650.8000000000011</v>
      </c>
      <c r="N333" s="96">
        <v>1</v>
      </c>
      <c r="O333" s="176">
        <f t="shared" si="321"/>
        <v>8650.8000000000011</v>
      </c>
      <c r="P333" s="180"/>
      <c r="Q333" s="52" t="s">
        <v>46</v>
      </c>
      <c r="R333" s="75" t="s">
        <v>77</v>
      </c>
      <c r="S333" s="145" t="str">
        <f t="shared" si="322"/>
        <v>BPDSTAR</v>
      </c>
      <c r="T333" s="145" t="str">
        <f t="shared" si="323"/>
        <v>B1.2.5.1.2STAR</v>
      </c>
      <c r="U333" s="145" t="s">
        <v>452</v>
      </c>
      <c r="V333" s="145" t="str">
        <f t="shared" si="324"/>
        <v>Detector Installation</v>
      </c>
      <c r="W333" s="20"/>
      <c r="X333" s="20"/>
      <c r="Y333" s="20"/>
      <c r="Z333" s="20"/>
      <c r="AA333" s="20"/>
      <c r="AB333" s="33" t="s">
        <v>173</v>
      </c>
      <c r="AC333" s="140">
        <f t="shared" si="325"/>
        <v>0</v>
      </c>
      <c r="AD333" s="140">
        <f t="shared" si="325"/>
        <v>40</v>
      </c>
      <c r="AE333" s="140">
        <f t="shared" si="325"/>
        <v>0</v>
      </c>
      <c r="AF333" s="140">
        <f t="shared" si="325"/>
        <v>40</v>
      </c>
      <c r="AG333" s="140">
        <f t="shared" si="325"/>
        <v>0</v>
      </c>
      <c r="AH333" s="251">
        <f t="shared" si="326"/>
        <v>0</v>
      </c>
      <c r="AI333" s="253"/>
      <c r="AJ333" s="259"/>
      <c r="AK333" s="259"/>
      <c r="AL333" s="176"/>
      <c r="AM333" s="139">
        <f t="shared" si="327"/>
        <v>0</v>
      </c>
      <c r="AN333" s="140">
        <f t="shared" si="327"/>
        <v>0</v>
      </c>
      <c r="AO333" s="140">
        <f t="shared" si="327"/>
        <v>0</v>
      </c>
      <c r="AP333" s="140">
        <f t="shared" si="327"/>
        <v>0</v>
      </c>
      <c r="AQ333" s="140">
        <f t="shared" si="327"/>
        <v>0</v>
      </c>
      <c r="AR333" s="140">
        <f t="shared" si="328"/>
        <v>0</v>
      </c>
      <c r="AS333" s="253"/>
    </row>
    <row r="334" spans="1:45" s="141" customFormat="1">
      <c r="A334" s="46" t="s">
        <v>506</v>
      </c>
      <c r="B334" s="20" t="s">
        <v>7</v>
      </c>
      <c r="C334" s="175">
        <v>100</v>
      </c>
      <c r="D334" s="100" t="s">
        <v>38</v>
      </c>
      <c r="E334" s="176">
        <v>8</v>
      </c>
      <c r="F334" s="177">
        <f t="shared" si="319"/>
        <v>800</v>
      </c>
      <c r="G334" s="178">
        <v>40</v>
      </c>
      <c r="H334" s="178">
        <v>60</v>
      </c>
      <c r="I334" s="178">
        <v>0</v>
      </c>
      <c r="J334" s="178">
        <v>40</v>
      </c>
      <c r="K334" s="179">
        <v>0</v>
      </c>
      <c r="L334" s="100" t="s">
        <v>8</v>
      </c>
      <c r="M334" s="176">
        <f t="shared" si="320"/>
        <v>14628.600000000002</v>
      </c>
      <c r="N334" s="96">
        <v>1</v>
      </c>
      <c r="O334" s="176">
        <f t="shared" si="321"/>
        <v>15428.600000000002</v>
      </c>
      <c r="P334" s="180"/>
      <c r="Q334" s="52" t="s">
        <v>46</v>
      </c>
      <c r="R334" s="75" t="s">
        <v>77</v>
      </c>
      <c r="S334" s="145" t="str">
        <f t="shared" si="322"/>
        <v>BPD2013</v>
      </c>
      <c r="T334" s="145" t="str">
        <f t="shared" si="323"/>
        <v>B1.2.5.1.22013</v>
      </c>
      <c r="U334" s="145" t="s">
        <v>452</v>
      </c>
      <c r="V334" s="145" t="str">
        <f t="shared" si="324"/>
        <v>Detector Installation</v>
      </c>
      <c r="W334" s="20"/>
      <c r="X334" s="20"/>
      <c r="Y334" s="20"/>
      <c r="Z334" s="20"/>
      <c r="AA334" s="20"/>
      <c r="AB334" s="33">
        <v>2013</v>
      </c>
      <c r="AC334" s="140">
        <f t="shared" si="325"/>
        <v>40</v>
      </c>
      <c r="AD334" s="140">
        <f t="shared" si="325"/>
        <v>60</v>
      </c>
      <c r="AE334" s="140">
        <f t="shared" si="325"/>
        <v>0</v>
      </c>
      <c r="AF334" s="140">
        <f t="shared" si="325"/>
        <v>40</v>
      </c>
      <c r="AG334" s="140">
        <f t="shared" si="325"/>
        <v>0</v>
      </c>
      <c r="AH334" s="251">
        <f t="shared" si="326"/>
        <v>800</v>
      </c>
      <c r="AI334" s="253"/>
      <c r="AJ334" s="259"/>
      <c r="AK334" s="259"/>
      <c r="AL334" s="176"/>
      <c r="AM334" s="139">
        <f t="shared" si="327"/>
        <v>0</v>
      </c>
      <c r="AN334" s="140">
        <f t="shared" si="327"/>
        <v>0</v>
      </c>
      <c r="AO334" s="140">
        <f t="shared" si="327"/>
        <v>0</v>
      </c>
      <c r="AP334" s="140">
        <f t="shared" si="327"/>
        <v>0</v>
      </c>
      <c r="AQ334" s="140">
        <f t="shared" si="327"/>
        <v>0</v>
      </c>
      <c r="AR334" s="140">
        <f t="shared" si="328"/>
        <v>0</v>
      </c>
      <c r="AS334" s="253"/>
    </row>
    <row r="335" spans="1:45" s="141" customFormat="1">
      <c r="A335" s="46" t="s">
        <v>353</v>
      </c>
      <c r="B335" s="20" t="s">
        <v>95</v>
      </c>
      <c r="C335" s="175">
        <v>1</v>
      </c>
      <c r="D335" s="100" t="s">
        <v>57</v>
      </c>
      <c r="E335" s="176">
        <v>2000</v>
      </c>
      <c r="F335" s="177">
        <f t="shared" si="319"/>
        <v>2000</v>
      </c>
      <c r="G335" s="178">
        <v>0</v>
      </c>
      <c r="H335" s="178">
        <v>0</v>
      </c>
      <c r="I335" s="178">
        <v>0</v>
      </c>
      <c r="J335" s="178">
        <v>16</v>
      </c>
      <c r="K335" s="179">
        <v>0</v>
      </c>
      <c r="L335" s="100" t="s">
        <v>8</v>
      </c>
      <c r="M335" s="176">
        <f t="shared" si="320"/>
        <v>1944.0000000000002</v>
      </c>
      <c r="N335" s="96">
        <v>1</v>
      </c>
      <c r="O335" s="176">
        <f t="shared" si="321"/>
        <v>3944</v>
      </c>
      <c r="P335" s="180"/>
      <c r="Q335" s="52" t="s">
        <v>46</v>
      </c>
      <c r="R335" s="75" t="s">
        <v>77</v>
      </c>
      <c r="S335" s="145" t="str">
        <f t="shared" si="322"/>
        <v>BPD2013</v>
      </c>
      <c r="T335" s="145" t="str">
        <f t="shared" si="323"/>
        <v>B1.2.5.1.22013</v>
      </c>
      <c r="U335" s="145" t="s">
        <v>452</v>
      </c>
      <c r="V335" s="145" t="str">
        <f t="shared" si="324"/>
        <v>Detector Installation</v>
      </c>
      <c r="W335" s="20"/>
      <c r="X335" s="20"/>
      <c r="Y335" s="20"/>
      <c r="Z335" s="20"/>
      <c r="AA335" s="20"/>
      <c r="AB335" s="33">
        <v>2013</v>
      </c>
      <c r="AC335" s="140">
        <f t="shared" si="325"/>
        <v>0</v>
      </c>
      <c r="AD335" s="140">
        <f t="shared" si="325"/>
        <v>0</v>
      </c>
      <c r="AE335" s="140">
        <f t="shared" si="325"/>
        <v>0</v>
      </c>
      <c r="AF335" s="140">
        <f t="shared" si="325"/>
        <v>16</v>
      </c>
      <c r="AG335" s="140">
        <f t="shared" si="325"/>
        <v>0</v>
      </c>
      <c r="AH335" s="251">
        <f t="shared" si="326"/>
        <v>2000</v>
      </c>
      <c r="AI335" s="253"/>
      <c r="AJ335" s="259"/>
      <c r="AK335" s="259"/>
      <c r="AL335" s="176"/>
      <c r="AM335" s="139">
        <f t="shared" si="327"/>
        <v>0</v>
      </c>
      <c r="AN335" s="140">
        <f t="shared" si="327"/>
        <v>0</v>
      </c>
      <c r="AO335" s="140">
        <f t="shared" si="327"/>
        <v>0</v>
      </c>
      <c r="AP335" s="140">
        <f t="shared" si="327"/>
        <v>0</v>
      </c>
      <c r="AQ335" s="140">
        <f t="shared" si="327"/>
        <v>0</v>
      </c>
      <c r="AR335" s="140">
        <f t="shared" si="328"/>
        <v>0</v>
      </c>
      <c r="AS335" s="253"/>
    </row>
    <row r="336" spans="1:45" s="141" customFormat="1">
      <c r="A336" s="46" t="s">
        <v>507</v>
      </c>
      <c r="B336" s="20" t="s">
        <v>33</v>
      </c>
      <c r="C336" s="175">
        <v>0</v>
      </c>
      <c r="D336" s="100" t="s">
        <v>9</v>
      </c>
      <c r="E336" s="176">
        <v>0</v>
      </c>
      <c r="F336" s="177">
        <f t="shared" si="319"/>
        <v>0</v>
      </c>
      <c r="G336" s="178">
        <v>0</v>
      </c>
      <c r="H336" s="178">
        <v>40</v>
      </c>
      <c r="I336" s="178">
        <v>0</v>
      </c>
      <c r="J336" s="178">
        <v>40</v>
      </c>
      <c r="K336" s="179">
        <v>0</v>
      </c>
      <c r="L336" s="100" t="s">
        <v>8</v>
      </c>
      <c r="M336" s="176">
        <f t="shared" si="320"/>
        <v>8650.8000000000011</v>
      </c>
      <c r="N336" s="96">
        <v>1</v>
      </c>
      <c r="O336" s="176">
        <f t="shared" si="321"/>
        <v>8650.8000000000011</v>
      </c>
      <c r="P336" s="180"/>
      <c r="Q336" s="52" t="s">
        <v>46</v>
      </c>
      <c r="R336" s="75" t="s">
        <v>77</v>
      </c>
      <c r="S336" s="145" t="str">
        <f t="shared" si="322"/>
        <v>BPD2014</v>
      </c>
      <c r="T336" s="145" t="str">
        <f t="shared" si="323"/>
        <v>B1.2.5.1.22014</v>
      </c>
      <c r="U336" s="145" t="s">
        <v>452</v>
      </c>
      <c r="V336" s="145" t="str">
        <f t="shared" si="324"/>
        <v>Detector Installation</v>
      </c>
      <c r="W336" s="20"/>
      <c r="X336" s="20"/>
      <c r="Y336" s="20"/>
      <c r="Z336" s="20"/>
      <c r="AA336" s="20"/>
      <c r="AB336" s="33">
        <v>2014</v>
      </c>
      <c r="AC336" s="140">
        <f t="shared" si="325"/>
        <v>0</v>
      </c>
      <c r="AD336" s="140">
        <f t="shared" si="325"/>
        <v>40</v>
      </c>
      <c r="AE336" s="140">
        <f t="shared" si="325"/>
        <v>0</v>
      </c>
      <c r="AF336" s="140">
        <f t="shared" si="325"/>
        <v>40</v>
      </c>
      <c r="AG336" s="140">
        <f t="shared" si="325"/>
        <v>0</v>
      </c>
      <c r="AH336" s="251">
        <f t="shared" si="326"/>
        <v>0</v>
      </c>
      <c r="AI336" s="253"/>
      <c r="AJ336" s="259"/>
      <c r="AK336" s="259"/>
      <c r="AL336" s="176"/>
      <c r="AM336" s="139">
        <f t="shared" si="327"/>
        <v>0</v>
      </c>
      <c r="AN336" s="140">
        <f t="shared" si="327"/>
        <v>0</v>
      </c>
      <c r="AO336" s="140">
        <f t="shared" si="327"/>
        <v>0</v>
      </c>
      <c r="AP336" s="140">
        <f t="shared" si="327"/>
        <v>0</v>
      </c>
      <c r="AQ336" s="140">
        <f t="shared" si="327"/>
        <v>0</v>
      </c>
      <c r="AR336" s="140">
        <f t="shared" si="328"/>
        <v>0</v>
      </c>
      <c r="AS336" s="253"/>
    </row>
    <row r="337" spans="1:45" s="141" customFormat="1">
      <c r="A337" s="46" t="s">
        <v>508</v>
      </c>
      <c r="B337" s="20" t="s">
        <v>33</v>
      </c>
      <c r="C337" s="175">
        <v>0</v>
      </c>
      <c r="D337" s="100" t="s">
        <v>9</v>
      </c>
      <c r="E337" s="176">
        <v>0</v>
      </c>
      <c r="F337" s="177">
        <f t="shared" si="319"/>
        <v>0</v>
      </c>
      <c r="G337" s="178">
        <v>0</v>
      </c>
      <c r="H337" s="178">
        <v>40</v>
      </c>
      <c r="I337" s="178">
        <v>0</v>
      </c>
      <c r="J337" s="178">
        <v>40</v>
      </c>
      <c r="K337" s="179">
        <v>0</v>
      </c>
      <c r="L337" s="100" t="s">
        <v>8</v>
      </c>
      <c r="M337" s="176">
        <f t="shared" si="320"/>
        <v>8650.8000000000011</v>
      </c>
      <c r="N337" s="96">
        <v>1</v>
      </c>
      <c r="O337" s="176">
        <f t="shared" si="321"/>
        <v>8650.8000000000011</v>
      </c>
      <c r="P337" s="180"/>
      <c r="Q337" s="52" t="s">
        <v>46</v>
      </c>
      <c r="R337" s="75" t="s">
        <v>77</v>
      </c>
      <c r="S337" s="145" t="str">
        <f t="shared" si="322"/>
        <v>BPDSTAR</v>
      </c>
      <c r="T337" s="145" t="str">
        <f t="shared" si="323"/>
        <v>B1.2.5.1.2STAR</v>
      </c>
      <c r="U337" s="145" t="s">
        <v>452</v>
      </c>
      <c r="V337" s="145" t="str">
        <f t="shared" si="324"/>
        <v>Detector Installation</v>
      </c>
      <c r="W337" s="20"/>
      <c r="X337" s="20"/>
      <c r="Y337" s="20"/>
      <c r="Z337" s="20"/>
      <c r="AA337" s="20"/>
      <c r="AB337" s="33" t="s">
        <v>173</v>
      </c>
      <c r="AC337" s="140">
        <f t="shared" si="325"/>
        <v>0</v>
      </c>
      <c r="AD337" s="140">
        <f t="shared" si="325"/>
        <v>40</v>
      </c>
      <c r="AE337" s="140">
        <f t="shared" si="325"/>
        <v>0</v>
      </c>
      <c r="AF337" s="140">
        <f t="shared" si="325"/>
        <v>40</v>
      </c>
      <c r="AG337" s="140">
        <f t="shared" si="325"/>
        <v>0</v>
      </c>
      <c r="AH337" s="251">
        <f t="shared" si="326"/>
        <v>0</v>
      </c>
      <c r="AI337" s="253"/>
      <c r="AJ337" s="259"/>
      <c r="AK337" s="259"/>
      <c r="AL337" s="176"/>
      <c r="AM337" s="139">
        <f t="shared" si="327"/>
        <v>0</v>
      </c>
      <c r="AN337" s="140">
        <f t="shared" si="327"/>
        <v>0</v>
      </c>
      <c r="AO337" s="140">
        <f t="shared" si="327"/>
        <v>0</v>
      </c>
      <c r="AP337" s="140">
        <f t="shared" si="327"/>
        <v>0</v>
      </c>
      <c r="AQ337" s="140">
        <f t="shared" si="327"/>
        <v>0</v>
      </c>
      <c r="AR337" s="140">
        <f t="shared" si="328"/>
        <v>0</v>
      </c>
      <c r="AS337" s="253"/>
    </row>
    <row r="338" spans="1:45" s="141" customFormat="1">
      <c r="A338" s="46" t="s">
        <v>506</v>
      </c>
      <c r="B338" s="20" t="s">
        <v>7</v>
      </c>
      <c r="C338" s="175">
        <v>100</v>
      </c>
      <c r="D338" s="100" t="s">
        <v>38</v>
      </c>
      <c r="E338" s="176">
        <v>8</v>
      </c>
      <c r="F338" s="177">
        <f t="shared" si="319"/>
        <v>800</v>
      </c>
      <c r="G338" s="178">
        <v>40</v>
      </c>
      <c r="H338" s="178">
        <v>60</v>
      </c>
      <c r="I338" s="178">
        <v>0</v>
      </c>
      <c r="J338" s="178">
        <v>40</v>
      </c>
      <c r="K338" s="179">
        <v>0</v>
      </c>
      <c r="L338" s="100" t="s">
        <v>8</v>
      </c>
      <c r="M338" s="176">
        <f t="shared" si="320"/>
        <v>14628.600000000002</v>
      </c>
      <c r="N338" s="96">
        <v>1</v>
      </c>
      <c r="O338" s="176">
        <f t="shared" si="321"/>
        <v>15428.600000000002</v>
      </c>
      <c r="P338" s="180"/>
      <c r="Q338" s="52" t="s">
        <v>47</v>
      </c>
      <c r="R338" s="75" t="s">
        <v>77</v>
      </c>
      <c r="S338" s="145" t="str">
        <f t="shared" si="322"/>
        <v>CPD2014</v>
      </c>
      <c r="T338" s="145" t="str">
        <f t="shared" si="323"/>
        <v>C1.2.5.1.22014</v>
      </c>
      <c r="U338" s="145" t="s">
        <v>452</v>
      </c>
      <c r="V338" s="145" t="str">
        <f t="shared" si="324"/>
        <v>Detector Installation</v>
      </c>
      <c r="W338" s="20"/>
      <c r="X338" s="20"/>
      <c r="Y338" s="20"/>
      <c r="Z338" s="20"/>
      <c r="AA338" s="20"/>
      <c r="AB338" s="33">
        <v>2014</v>
      </c>
      <c r="AC338" s="140">
        <f t="shared" si="325"/>
        <v>0</v>
      </c>
      <c r="AD338" s="140">
        <f t="shared" si="325"/>
        <v>0</v>
      </c>
      <c r="AE338" s="140">
        <f t="shared" si="325"/>
        <v>0</v>
      </c>
      <c r="AF338" s="140">
        <f t="shared" si="325"/>
        <v>0</v>
      </c>
      <c r="AG338" s="140">
        <f t="shared" si="325"/>
        <v>0</v>
      </c>
      <c r="AH338" s="251">
        <f t="shared" si="326"/>
        <v>0</v>
      </c>
      <c r="AI338" s="253"/>
      <c r="AJ338" s="259"/>
      <c r="AK338" s="259"/>
      <c r="AL338" s="176"/>
      <c r="AM338" s="139">
        <f t="shared" si="327"/>
        <v>40</v>
      </c>
      <c r="AN338" s="140">
        <f t="shared" si="327"/>
        <v>60</v>
      </c>
      <c r="AO338" s="140">
        <f t="shared" si="327"/>
        <v>0</v>
      </c>
      <c r="AP338" s="140">
        <f t="shared" si="327"/>
        <v>40</v>
      </c>
      <c r="AQ338" s="140">
        <f t="shared" si="327"/>
        <v>0</v>
      </c>
      <c r="AR338" s="140">
        <f t="shared" si="328"/>
        <v>800</v>
      </c>
      <c r="AS338" s="253"/>
    </row>
    <row r="339" spans="1:45" s="141" customFormat="1">
      <c r="A339" s="46" t="s">
        <v>353</v>
      </c>
      <c r="B339" s="20" t="s">
        <v>95</v>
      </c>
      <c r="C339" s="175">
        <v>1</v>
      </c>
      <c r="D339" s="100" t="s">
        <v>57</v>
      </c>
      <c r="E339" s="176">
        <v>2000</v>
      </c>
      <c r="F339" s="177">
        <f t="shared" si="319"/>
        <v>2000</v>
      </c>
      <c r="G339" s="178">
        <v>0</v>
      </c>
      <c r="H339" s="178">
        <v>0</v>
      </c>
      <c r="I339" s="178">
        <v>0</v>
      </c>
      <c r="J339" s="178">
        <v>16</v>
      </c>
      <c r="K339" s="179">
        <v>0</v>
      </c>
      <c r="L339" s="100" t="s">
        <v>8</v>
      </c>
      <c r="M339" s="176">
        <f t="shared" si="320"/>
        <v>1944.0000000000002</v>
      </c>
      <c r="N339" s="96">
        <v>1</v>
      </c>
      <c r="O339" s="176">
        <f t="shared" si="321"/>
        <v>3944</v>
      </c>
      <c r="P339" s="180"/>
      <c r="Q339" s="52" t="s">
        <v>47</v>
      </c>
      <c r="R339" s="75" t="s">
        <v>77</v>
      </c>
      <c r="S339" s="145" t="str">
        <f t="shared" si="322"/>
        <v>CPD2014</v>
      </c>
      <c r="T339" s="145" t="str">
        <f t="shared" si="323"/>
        <v>C1.2.5.1.22014</v>
      </c>
      <c r="U339" s="145" t="s">
        <v>452</v>
      </c>
      <c r="V339" s="145" t="str">
        <f t="shared" si="324"/>
        <v>Detector Installation</v>
      </c>
      <c r="W339" s="20"/>
      <c r="X339" s="20"/>
      <c r="Y339" s="20"/>
      <c r="Z339" s="20"/>
      <c r="AA339" s="20"/>
      <c r="AB339" s="33">
        <v>2014</v>
      </c>
      <c r="AC339" s="140">
        <f t="shared" si="325"/>
        <v>0</v>
      </c>
      <c r="AD339" s="140">
        <f t="shared" si="325"/>
        <v>0</v>
      </c>
      <c r="AE339" s="140">
        <f t="shared" si="325"/>
        <v>0</v>
      </c>
      <c r="AF339" s="140">
        <f t="shared" si="325"/>
        <v>0</v>
      </c>
      <c r="AG339" s="140">
        <f t="shared" si="325"/>
        <v>0</v>
      </c>
      <c r="AH339" s="251">
        <f t="shared" si="326"/>
        <v>0</v>
      </c>
      <c r="AI339" s="253"/>
      <c r="AJ339" s="259"/>
      <c r="AK339" s="259"/>
      <c r="AL339" s="176"/>
      <c r="AM339" s="139">
        <f t="shared" si="327"/>
        <v>0</v>
      </c>
      <c r="AN339" s="140">
        <f t="shared" si="327"/>
        <v>0</v>
      </c>
      <c r="AO339" s="140">
        <f t="shared" si="327"/>
        <v>0</v>
      </c>
      <c r="AP339" s="140">
        <f t="shared" si="327"/>
        <v>16</v>
      </c>
      <c r="AQ339" s="140">
        <f t="shared" si="327"/>
        <v>0</v>
      </c>
      <c r="AR339" s="140">
        <f t="shared" si="328"/>
        <v>2000</v>
      </c>
      <c r="AS339" s="253"/>
    </row>
    <row r="340" spans="1:45" s="46" customFormat="1">
      <c r="A340" s="47" t="s">
        <v>458</v>
      </c>
      <c r="C340" s="196"/>
      <c r="E340" s="197"/>
      <c r="F340" s="198"/>
      <c r="G340" s="199"/>
      <c r="H340" s="199"/>
      <c r="I340" s="199"/>
      <c r="J340" s="199"/>
      <c r="K340" s="200"/>
      <c r="L340" s="234" t="s">
        <v>66</v>
      </c>
      <c r="M340" s="188">
        <f>SUMIF(Q332:Q339,"B",M332:M339)</f>
        <v>51175.80000000001</v>
      </c>
      <c r="N340" s="69" t="s">
        <v>66</v>
      </c>
      <c r="O340" s="188"/>
      <c r="P340" s="201"/>
      <c r="Q340" s="66"/>
      <c r="R340" s="77"/>
      <c r="S340" s="145"/>
      <c r="T340" s="145"/>
      <c r="U340" s="79"/>
      <c r="V340" s="79"/>
      <c r="W340" s="20"/>
      <c r="X340" s="20"/>
      <c r="Y340" s="20"/>
      <c r="Z340" s="20"/>
      <c r="AA340" s="20"/>
      <c r="AB340" s="33"/>
      <c r="AC340" s="140"/>
      <c r="AD340" s="140"/>
      <c r="AE340" s="140"/>
      <c r="AF340" s="140"/>
      <c r="AG340" s="140"/>
      <c r="AH340" s="251"/>
      <c r="AI340" s="252"/>
      <c r="AJ340" s="140"/>
      <c r="AK340" s="140"/>
      <c r="AL340" s="176"/>
      <c r="AM340" s="139"/>
      <c r="AN340" s="140"/>
      <c r="AO340" s="140"/>
      <c r="AP340" s="140"/>
      <c r="AQ340" s="140"/>
      <c r="AR340" s="140"/>
      <c r="AS340" s="252"/>
    </row>
    <row r="341" spans="1:45" s="141" customFormat="1">
      <c r="A341" s="46" t="s">
        <v>509</v>
      </c>
      <c r="B341" s="20" t="s">
        <v>33</v>
      </c>
      <c r="C341" s="175">
        <v>0</v>
      </c>
      <c r="D341" s="100" t="s">
        <v>9</v>
      </c>
      <c r="E341" s="176">
        <v>0</v>
      </c>
      <c r="F341" s="177">
        <f t="shared" ref="F341:F348" si="329">E341*C341</f>
        <v>0</v>
      </c>
      <c r="G341" s="178">
        <v>0</v>
      </c>
      <c r="H341" s="178">
        <v>0</v>
      </c>
      <c r="I341" s="178">
        <v>0</v>
      </c>
      <c r="J341" s="178">
        <v>24</v>
      </c>
      <c r="K341" s="179">
        <v>0</v>
      </c>
      <c r="L341" s="100" t="s">
        <v>8</v>
      </c>
      <c r="M341" s="176">
        <f t="shared" ref="M341:M348" si="330">IF(R341="PD",((Shop*G341)+(M_Tech*H341)+(CMM*I341)+(ENG*J341)+(DES*K341))*N341,((Shop_RD*G341)+(MTECH_RD*H341)+(CMM_RD*I341)+(ENG_RD*J341)+(DES_RD*K341))*N341)</f>
        <v>2916.0000000000005</v>
      </c>
      <c r="N341" s="96">
        <v>1</v>
      </c>
      <c r="O341" s="176">
        <f t="shared" ref="O341:O348" si="331">M341+(F341*N341)</f>
        <v>2916.0000000000005</v>
      </c>
      <c r="P341" s="180"/>
      <c r="Q341" s="52" t="s">
        <v>46</v>
      </c>
      <c r="R341" s="75" t="s">
        <v>77</v>
      </c>
      <c r="S341" s="145" t="str">
        <f t="shared" ref="S341:S348" si="332">CONCATENATE(Q341,R341,AB341)</f>
        <v>BPDSTAR</v>
      </c>
      <c r="T341" s="145" t="str">
        <f t="shared" ref="T341:T348" si="333">CONCATENATE(Q341,U341,AB341)</f>
        <v>B1.2.5.1.3STAR</v>
      </c>
      <c r="U341" s="145" t="s">
        <v>453</v>
      </c>
      <c r="V341" s="145" t="str">
        <f t="shared" ref="V341:V348" si="334">LOOKUP(U341,$B$383:$B$420,$A$383:$A$420)</f>
        <v>Service Termination</v>
      </c>
      <c r="W341" s="20"/>
      <c r="X341" s="20"/>
      <c r="Y341" s="20"/>
      <c r="Z341" s="20"/>
      <c r="AA341" s="20"/>
      <c r="AB341" s="33" t="s">
        <v>173</v>
      </c>
      <c r="AC341" s="140">
        <f t="shared" ref="AC341:AG348" si="335">IF($Q341="B", (G341*$N341),0)</f>
        <v>0</v>
      </c>
      <c r="AD341" s="140">
        <f t="shared" si="335"/>
        <v>0</v>
      </c>
      <c r="AE341" s="140">
        <f t="shared" si="335"/>
        <v>0</v>
      </c>
      <c r="AF341" s="140">
        <f t="shared" si="335"/>
        <v>24</v>
      </c>
      <c r="AG341" s="140">
        <f t="shared" si="335"/>
        <v>0</v>
      </c>
      <c r="AH341" s="251">
        <f t="shared" ref="AH341:AH348" si="336">IF($Q341="B", (F341*$N341),0)</f>
        <v>0</v>
      </c>
      <c r="AI341" s="253"/>
      <c r="AJ341" s="259"/>
      <c r="AK341" s="259"/>
      <c r="AL341" s="176"/>
      <c r="AM341" s="139">
        <f t="shared" ref="AM341:AQ348" si="337">IF($Q341="C", (G341*$N341),0)</f>
        <v>0</v>
      </c>
      <c r="AN341" s="140">
        <f t="shared" si="337"/>
        <v>0</v>
      </c>
      <c r="AO341" s="140">
        <f t="shared" si="337"/>
        <v>0</v>
      </c>
      <c r="AP341" s="140">
        <f t="shared" si="337"/>
        <v>0</v>
      </c>
      <c r="AQ341" s="140">
        <f t="shared" si="337"/>
        <v>0</v>
      </c>
      <c r="AR341" s="140">
        <f t="shared" ref="AR341:AR348" si="338">IF($Q341="C", (F341*$N341),0)</f>
        <v>0</v>
      </c>
      <c r="AS341" s="253"/>
    </row>
    <row r="342" spans="1:45" s="141" customFormat="1">
      <c r="A342" s="46" t="s">
        <v>510</v>
      </c>
      <c r="B342" s="20" t="s">
        <v>33</v>
      </c>
      <c r="C342" s="175">
        <v>0</v>
      </c>
      <c r="D342" s="100" t="s">
        <v>9</v>
      </c>
      <c r="E342" s="176">
        <v>0</v>
      </c>
      <c r="F342" s="177">
        <f t="shared" si="329"/>
        <v>0</v>
      </c>
      <c r="G342" s="178">
        <v>0</v>
      </c>
      <c r="H342" s="178">
        <v>8</v>
      </c>
      <c r="I342" s="178">
        <v>0</v>
      </c>
      <c r="J342" s="178">
        <v>8</v>
      </c>
      <c r="K342" s="179">
        <v>0</v>
      </c>
      <c r="L342" s="100" t="s">
        <v>8</v>
      </c>
      <c r="M342" s="176">
        <f t="shared" si="330"/>
        <v>1730.1600000000003</v>
      </c>
      <c r="N342" s="96">
        <v>1</v>
      </c>
      <c r="O342" s="176">
        <f t="shared" si="331"/>
        <v>1730.1600000000003</v>
      </c>
      <c r="P342" s="180"/>
      <c r="Q342" s="52" t="s">
        <v>46</v>
      </c>
      <c r="R342" s="75" t="s">
        <v>77</v>
      </c>
      <c r="S342" s="145" t="str">
        <f t="shared" si="332"/>
        <v>BPD2013</v>
      </c>
      <c r="T342" s="145" t="str">
        <f t="shared" si="333"/>
        <v>B1.2.5.1.32013</v>
      </c>
      <c r="U342" s="145" t="s">
        <v>453</v>
      </c>
      <c r="V342" s="145" t="str">
        <f t="shared" si="334"/>
        <v>Service Termination</v>
      </c>
      <c r="W342" s="20"/>
      <c r="X342" s="20"/>
      <c r="Y342" s="20"/>
      <c r="Z342" s="20"/>
      <c r="AA342" s="20"/>
      <c r="AB342" s="33">
        <v>2013</v>
      </c>
      <c r="AC342" s="140">
        <f t="shared" si="335"/>
        <v>0</v>
      </c>
      <c r="AD342" s="140">
        <f t="shared" si="335"/>
        <v>8</v>
      </c>
      <c r="AE342" s="140">
        <f t="shared" si="335"/>
        <v>0</v>
      </c>
      <c r="AF342" s="140">
        <f t="shared" si="335"/>
        <v>8</v>
      </c>
      <c r="AG342" s="140">
        <f t="shared" si="335"/>
        <v>0</v>
      </c>
      <c r="AH342" s="251">
        <f t="shared" si="336"/>
        <v>0</v>
      </c>
      <c r="AI342" s="253"/>
      <c r="AJ342" s="259"/>
      <c r="AK342" s="259"/>
      <c r="AL342" s="176"/>
      <c r="AM342" s="139">
        <f t="shared" si="337"/>
        <v>0</v>
      </c>
      <c r="AN342" s="140">
        <f t="shared" si="337"/>
        <v>0</v>
      </c>
      <c r="AO342" s="140">
        <f t="shared" si="337"/>
        <v>0</v>
      </c>
      <c r="AP342" s="140">
        <f t="shared" si="337"/>
        <v>0</v>
      </c>
      <c r="AQ342" s="140">
        <f t="shared" si="337"/>
        <v>0</v>
      </c>
      <c r="AR342" s="140">
        <f t="shared" si="338"/>
        <v>0</v>
      </c>
      <c r="AS342" s="253"/>
    </row>
    <row r="343" spans="1:45" s="141" customFormat="1">
      <c r="A343" s="46" t="s">
        <v>511</v>
      </c>
      <c r="B343" s="20" t="s">
        <v>33</v>
      </c>
      <c r="C343" s="175">
        <v>0</v>
      </c>
      <c r="D343" s="100" t="s">
        <v>9</v>
      </c>
      <c r="E343" s="176">
        <v>0</v>
      </c>
      <c r="F343" s="177">
        <f t="shared" si="329"/>
        <v>0</v>
      </c>
      <c r="G343" s="178">
        <v>0</v>
      </c>
      <c r="H343" s="178">
        <v>8</v>
      </c>
      <c r="I343" s="178">
        <v>0</v>
      </c>
      <c r="J343" s="178">
        <v>8</v>
      </c>
      <c r="K343" s="179">
        <v>0</v>
      </c>
      <c r="L343" s="100" t="s">
        <v>8</v>
      </c>
      <c r="M343" s="176">
        <f t="shared" si="330"/>
        <v>1730.1600000000003</v>
      </c>
      <c r="N343" s="96">
        <v>1</v>
      </c>
      <c r="O343" s="176">
        <f t="shared" si="331"/>
        <v>1730.1600000000003</v>
      </c>
      <c r="P343" s="180"/>
      <c r="Q343" s="52" t="s">
        <v>46</v>
      </c>
      <c r="R343" s="75" t="s">
        <v>77</v>
      </c>
      <c r="S343" s="145" t="str">
        <f t="shared" si="332"/>
        <v>BPDSTAR</v>
      </c>
      <c r="T343" s="145" t="str">
        <f t="shared" si="333"/>
        <v>B1.2.5.1.3STAR</v>
      </c>
      <c r="U343" s="145" t="s">
        <v>453</v>
      </c>
      <c r="V343" s="145" t="str">
        <f t="shared" si="334"/>
        <v>Service Termination</v>
      </c>
      <c r="W343" s="20"/>
      <c r="X343" s="20"/>
      <c r="Y343" s="20"/>
      <c r="Z343" s="20"/>
      <c r="AA343" s="20"/>
      <c r="AB343" s="33" t="s">
        <v>173</v>
      </c>
      <c r="AC343" s="140">
        <f t="shared" si="335"/>
        <v>0</v>
      </c>
      <c r="AD343" s="140">
        <f t="shared" si="335"/>
        <v>8</v>
      </c>
      <c r="AE343" s="140">
        <f t="shared" si="335"/>
        <v>0</v>
      </c>
      <c r="AF343" s="140">
        <f t="shared" si="335"/>
        <v>8</v>
      </c>
      <c r="AG343" s="140">
        <f t="shared" si="335"/>
        <v>0</v>
      </c>
      <c r="AH343" s="251">
        <f t="shared" si="336"/>
        <v>0</v>
      </c>
      <c r="AI343" s="253"/>
      <c r="AJ343" s="259"/>
      <c r="AK343" s="259"/>
      <c r="AL343" s="176"/>
      <c r="AM343" s="139">
        <f t="shared" si="337"/>
        <v>0</v>
      </c>
      <c r="AN343" s="140">
        <f t="shared" si="337"/>
        <v>0</v>
      </c>
      <c r="AO343" s="140">
        <f t="shared" si="337"/>
        <v>0</v>
      </c>
      <c r="AP343" s="140">
        <f t="shared" si="337"/>
        <v>0</v>
      </c>
      <c r="AQ343" s="140">
        <f t="shared" si="337"/>
        <v>0</v>
      </c>
      <c r="AR343" s="140">
        <f t="shared" si="338"/>
        <v>0</v>
      </c>
      <c r="AS343" s="253"/>
    </row>
    <row r="344" spans="1:45" s="141" customFormat="1">
      <c r="A344" s="46" t="s">
        <v>512</v>
      </c>
      <c r="B344" s="20" t="s">
        <v>33</v>
      </c>
      <c r="C344" s="175">
        <v>0</v>
      </c>
      <c r="D344" s="100" t="s">
        <v>9</v>
      </c>
      <c r="E344" s="176">
        <v>0</v>
      </c>
      <c r="F344" s="177">
        <f t="shared" si="329"/>
        <v>0</v>
      </c>
      <c r="G344" s="178">
        <v>0</v>
      </c>
      <c r="H344" s="178">
        <v>0</v>
      </c>
      <c r="I344" s="178">
        <v>0</v>
      </c>
      <c r="J344" s="178">
        <v>24</v>
      </c>
      <c r="K344" s="179">
        <v>0</v>
      </c>
      <c r="L344" s="100" t="s">
        <v>8</v>
      </c>
      <c r="M344" s="176">
        <f t="shared" si="330"/>
        <v>2916.0000000000005</v>
      </c>
      <c r="N344" s="96">
        <v>1</v>
      </c>
      <c r="O344" s="176">
        <f t="shared" si="331"/>
        <v>2916.0000000000005</v>
      </c>
      <c r="P344" s="180"/>
      <c r="Q344" s="52" t="s">
        <v>46</v>
      </c>
      <c r="R344" s="75" t="s">
        <v>77</v>
      </c>
      <c r="S344" s="145" t="str">
        <f t="shared" si="332"/>
        <v>BPDSTAR</v>
      </c>
      <c r="T344" s="145" t="str">
        <f t="shared" si="333"/>
        <v>B1.2.5.1.3STAR</v>
      </c>
      <c r="U344" s="145" t="s">
        <v>453</v>
      </c>
      <c r="V344" s="145" t="str">
        <f t="shared" si="334"/>
        <v>Service Termination</v>
      </c>
      <c r="W344" s="20"/>
      <c r="X344" s="20"/>
      <c r="Y344" s="20"/>
      <c r="Z344" s="20"/>
      <c r="AA344" s="20"/>
      <c r="AB344" s="33" t="s">
        <v>173</v>
      </c>
      <c r="AC344" s="140">
        <f t="shared" si="335"/>
        <v>0</v>
      </c>
      <c r="AD344" s="140">
        <f t="shared" si="335"/>
        <v>0</v>
      </c>
      <c r="AE344" s="140">
        <f t="shared" si="335"/>
        <v>0</v>
      </c>
      <c r="AF344" s="140">
        <f t="shared" si="335"/>
        <v>24</v>
      </c>
      <c r="AG344" s="140">
        <f t="shared" si="335"/>
        <v>0</v>
      </c>
      <c r="AH344" s="251">
        <f t="shared" si="336"/>
        <v>0</v>
      </c>
      <c r="AI344" s="253"/>
      <c r="AJ344" s="259"/>
      <c r="AK344" s="259"/>
      <c r="AL344" s="176"/>
      <c r="AM344" s="139">
        <f t="shared" si="337"/>
        <v>0</v>
      </c>
      <c r="AN344" s="140">
        <f t="shared" si="337"/>
        <v>0</v>
      </c>
      <c r="AO344" s="140">
        <f t="shared" si="337"/>
        <v>0</v>
      </c>
      <c r="AP344" s="140">
        <f t="shared" si="337"/>
        <v>0</v>
      </c>
      <c r="AQ344" s="140">
        <f t="shared" si="337"/>
        <v>0</v>
      </c>
      <c r="AR344" s="140">
        <f t="shared" si="338"/>
        <v>0</v>
      </c>
      <c r="AS344" s="253"/>
    </row>
    <row r="345" spans="1:45" s="141" customFormat="1">
      <c r="A345" s="46" t="s">
        <v>513</v>
      </c>
      <c r="B345" s="20" t="s">
        <v>33</v>
      </c>
      <c r="C345" s="175">
        <v>0</v>
      </c>
      <c r="D345" s="100" t="s">
        <v>9</v>
      </c>
      <c r="E345" s="176">
        <v>0</v>
      </c>
      <c r="F345" s="177">
        <f t="shared" si="329"/>
        <v>0</v>
      </c>
      <c r="G345" s="178">
        <v>0</v>
      </c>
      <c r="H345" s="178">
        <v>8</v>
      </c>
      <c r="I345" s="178">
        <v>0</v>
      </c>
      <c r="J345" s="178">
        <v>8</v>
      </c>
      <c r="K345" s="179">
        <v>0</v>
      </c>
      <c r="L345" s="100" t="s">
        <v>8</v>
      </c>
      <c r="M345" s="176">
        <f t="shared" si="330"/>
        <v>1730.1600000000003</v>
      </c>
      <c r="N345" s="96">
        <v>1</v>
      </c>
      <c r="O345" s="176">
        <f t="shared" si="331"/>
        <v>1730.1600000000003</v>
      </c>
      <c r="P345" s="180"/>
      <c r="Q345" s="52" t="s">
        <v>46</v>
      </c>
      <c r="R345" s="75" t="s">
        <v>77</v>
      </c>
      <c r="S345" s="145" t="str">
        <f t="shared" si="332"/>
        <v>BPD2014</v>
      </c>
      <c r="T345" s="145" t="str">
        <f t="shared" si="333"/>
        <v>B1.2.5.1.32014</v>
      </c>
      <c r="U345" s="145" t="s">
        <v>453</v>
      </c>
      <c r="V345" s="145" t="str">
        <f t="shared" si="334"/>
        <v>Service Termination</v>
      </c>
      <c r="W345" s="20"/>
      <c r="X345" s="20"/>
      <c r="Y345" s="20"/>
      <c r="Z345" s="20"/>
      <c r="AA345" s="20"/>
      <c r="AB345" s="33">
        <v>2014</v>
      </c>
      <c r="AC345" s="140">
        <f t="shared" si="335"/>
        <v>0</v>
      </c>
      <c r="AD345" s="140">
        <f t="shared" si="335"/>
        <v>8</v>
      </c>
      <c r="AE345" s="140">
        <f t="shared" si="335"/>
        <v>0</v>
      </c>
      <c r="AF345" s="140">
        <f t="shared" si="335"/>
        <v>8</v>
      </c>
      <c r="AG345" s="140">
        <f t="shared" si="335"/>
        <v>0</v>
      </c>
      <c r="AH345" s="251">
        <f t="shared" si="336"/>
        <v>0</v>
      </c>
      <c r="AI345" s="253"/>
      <c r="AJ345" s="259"/>
      <c r="AK345" s="259"/>
      <c r="AL345" s="176"/>
      <c r="AM345" s="139">
        <f t="shared" si="337"/>
        <v>0</v>
      </c>
      <c r="AN345" s="140">
        <f t="shared" si="337"/>
        <v>0</v>
      </c>
      <c r="AO345" s="140">
        <f t="shared" si="337"/>
        <v>0</v>
      </c>
      <c r="AP345" s="140">
        <f t="shared" si="337"/>
        <v>0</v>
      </c>
      <c r="AQ345" s="140">
        <f t="shared" si="337"/>
        <v>0</v>
      </c>
      <c r="AR345" s="140">
        <f t="shared" si="338"/>
        <v>0</v>
      </c>
      <c r="AS345" s="253"/>
    </row>
    <row r="346" spans="1:45" s="141" customFormat="1">
      <c r="A346" s="46" t="s">
        <v>514</v>
      </c>
      <c r="B346" s="20" t="s">
        <v>33</v>
      </c>
      <c r="C346" s="175">
        <v>0</v>
      </c>
      <c r="D346" s="100" t="s">
        <v>9</v>
      </c>
      <c r="E346" s="176">
        <v>0</v>
      </c>
      <c r="F346" s="177">
        <f t="shared" si="329"/>
        <v>0</v>
      </c>
      <c r="G346" s="178">
        <v>0</v>
      </c>
      <c r="H346" s="178">
        <v>8</v>
      </c>
      <c r="I346" s="178">
        <v>0</v>
      </c>
      <c r="J346" s="178">
        <v>8</v>
      </c>
      <c r="K346" s="179">
        <v>0</v>
      </c>
      <c r="L346" s="100" t="s">
        <v>8</v>
      </c>
      <c r="M346" s="176">
        <f t="shared" si="330"/>
        <v>1730.1600000000003</v>
      </c>
      <c r="N346" s="96">
        <v>1</v>
      </c>
      <c r="O346" s="176">
        <f t="shared" si="331"/>
        <v>1730.1600000000003</v>
      </c>
      <c r="P346" s="180"/>
      <c r="Q346" s="52" t="s">
        <v>46</v>
      </c>
      <c r="R346" s="75" t="s">
        <v>77</v>
      </c>
      <c r="S346" s="145" t="str">
        <f t="shared" si="332"/>
        <v>BPDSTAR</v>
      </c>
      <c r="T346" s="145" t="str">
        <f t="shared" si="333"/>
        <v>B1.2.5.1.3STAR</v>
      </c>
      <c r="U346" s="145" t="s">
        <v>453</v>
      </c>
      <c r="V346" s="145" t="str">
        <f t="shared" si="334"/>
        <v>Service Termination</v>
      </c>
      <c r="W346" s="20"/>
      <c r="X346" s="20"/>
      <c r="Y346" s="20"/>
      <c r="Z346" s="20"/>
      <c r="AA346" s="20"/>
      <c r="AB346" s="33" t="s">
        <v>173</v>
      </c>
      <c r="AC346" s="140">
        <f t="shared" si="335"/>
        <v>0</v>
      </c>
      <c r="AD346" s="140">
        <f t="shared" si="335"/>
        <v>8</v>
      </c>
      <c r="AE346" s="140">
        <f t="shared" si="335"/>
        <v>0</v>
      </c>
      <c r="AF346" s="140">
        <f t="shared" si="335"/>
        <v>8</v>
      </c>
      <c r="AG346" s="140">
        <f t="shared" si="335"/>
        <v>0</v>
      </c>
      <c r="AH346" s="251">
        <f t="shared" si="336"/>
        <v>0</v>
      </c>
      <c r="AI346" s="253"/>
      <c r="AJ346" s="259"/>
      <c r="AK346" s="259"/>
      <c r="AL346" s="176"/>
      <c r="AM346" s="139">
        <f t="shared" si="337"/>
        <v>0</v>
      </c>
      <c r="AN346" s="140">
        <f t="shared" si="337"/>
        <v>0</v>
      </c>
      <c r="AO346" s="140">
        <f t="shared" si="337"/>
        <v>0</v>
      </c>
      <c r="AP346" s="140">
        <f t="shared" si="337"/>
        <v>0</v>
      </c>
      <c r="AQ346" s="140">
        <f t="shared" si="337"/>
        <v>0</v>
      </c>
      <c r="AR346" s="140">
        <f t="shared" si="338"/>
        <v>0</v>
      </c>
      <c r="AS346" s="253"/>
    </row>
    <row r="347" spans="1:45" s="141" customFormat="1">
      <c r="A347" s="46" t="s">
        <v>376</v>
      </c>
      <c r="B347" s="20" t="s">
        <v>7</v>
      </c>
      <c r="C347" s="175">
        <v>40</v>
      </c>
      <c r="D347" s="100" t="s">
        <v>38</v>
      </c>
      <c r="E347" s="176">
        <v>8</v>
      </c>
      <c r="F347" s="177">
        <f t="shared" si="329"/>
        <v>320</v>
      </c>
      <c r="G347" s="178">
        <v>24</v>
      </c>
      <c r="H347" s="178">
        <v>24</v>
      </c>
      <c r="I347" s="178">
        <v>0</v>
      </c>
      <c r="J347" s="178">
        <v>8</v>
      </c>
      <c r="K347" s="179">
        <v>0</v>
      </c>
      <c r="L347" s="100" t="s">
        <v>8</v>
      </c>
      <c r="M347" s="176">
        <f t="shared" si="330"/>
        <v>22783.68</v>
      </c>
      <c r="N347" s="96">
        <v>4</v>
      </c>
      <c r="O347" s="176">
        <f t="shared" si="331"/>
        <v>24063.68</v>
      </c>
      <c r="P347" s="180"/>
      <c r="Q347" s="52" t="s">
        <v>46</v>
      </c>
      <c r="R347" s="75" t="s">
        <v>77</v>
      </c>
      <c r="S347" s="145" t="str">
        <f t="shared" si="332"/>
        <v>BPD2013</v>
      </c>
      <c r="T347" s="145" t="str">
        <f t="shared" si="333"/>
        <v>B1.2.5.1.32013</v>
      </c>
      <c r="U347" s="145" t="s">
        <v>453</v>
      </c>
      <c r="V347" s="145" t="str">
        <f t="shared" si="334"/>
        <v>Service Termination</v>
      </c>
      <c r="W347" s="20"/>
      <c r="X347" s="20"/>
      <c r="Y347" s="20"/>
      <c r="Z347" s="20"/>
      <c r="AA347" s="20"/>
      <c r="AB347" s="33">
        <v>2013</v>
      </c>
      <c r="AC347" s="140">
        <f t="shared" si="335"/>
        <v>96</v>
      </c>
      <c r="AD347" s="140">
        <f t="shared" si="335"/>
        <v>96</v>
      </c>
      <c r="AE347" s="140">
        <f t="shared" si="335"/>
        <v>0</v>
      </c>
      <c r="AF347" s="140">
        <f t="shared" si="335"/>
        <v>32</v>
      </c>
      <c r="AG347" s="140">
        <f t="shared" si="335"/>
        <v>0</v>
      </c>
      <c r="AH347" s="251">
        <f t="shared" si="336"/>
        <v>1280</v>
      </c>
      <c r="AI347" s="253"/>
      <c r="AJ347" s="259"/>
      <c r="AK347" s="259"/>
      <c r="AL347" s="176"/>
      <c r="AM347" s="139">
        <f t="shared" si="337"/>
        <v>0</v>
      </c>
      <c r="AN347" s="140">
        <f t="shared" si="337"/>
        <v>0</v>
      </c>
      <c r="AO347" s="140">
        <f t="shared" si="337"/>
        <v>0</v>
      </c>
      <c r="AP347" s="140">
        <f t="shared" si="337"/>
        <v>0</v>
      </c>
      <c r="AQ347" s="140">
        <f t="shared" si="337"/>
        <v>0</v>
      </c>
      <c r="AR347" s="140">
        <f t="shared" si="338"/>
        <v>0</v>
      </c>
      <c r="AS347" s="253"/>
    </row>
    <row r="348" spans="1:45" s="141" customFormat="1">
      <c r="A348" s="46" t="s">
        <v>377</v>
      </c>
      <c r="B348" s="20" t="s">
        <v>7</v>
      </c>
      <c r="C348" s="175">
        <v>40</v>
      </c>
      <c r="D348" s="100" t="s">
        <v>38</v>
      </c>
      <c r="E348" s="176">
        <v>8</v>
      </c>
      <c r="F348" s="177">
        <f t="shared" si="329"/>
        <v>320</v>
      </c>
      <c r="G348" s="178">
        <v>24</v>
      </c>
      <c r="H348" s="178">
        <v>24</v>
      </c>
      <c r="I348" s="178">
        <v>0</v>
      </c>
      <c r="J348" s="178">
        <v>8</v>
      </c>
      <c r="K348" s="179">
        <v>0</v>
      </c>
      <c r="L348" s="100" t="s">
        <v>8</v>
      </c>
      <c r="M348" s="176">
        <f t="shared" si="330"/>
        <v>11391.84</v>
      </c>
      <c r="N348" s="96">
        <v>2</v>
      </c>
      <c r="O348" s="176">
        <f t="shared" si="331"/>
        <v>12031.84</v>
      </c>
      <c r="P348" s="180"/>
      <c r="Q348" s="52" t="s">
        <v>47</v>
      </c>
      <c r="R348" s="75" t="s">
        <v>77</v>
      </c>
      <c r="S348" s="145" t="str">
        <f t="shared" si="332"/>
        <v>CPD2014</v>
      </c>
      <c r="T348" s="145" t="str">
        <f t="shared" si="333"/>
        <v>C1.2.5.1.32014</v>
      </c>
      <c r="U348" s="145" t="s">
        <v>453</v>
      </c>
      <c r="V348" s="145" t="str">
        <f t="shared" si="334"/>
        <v>Service Termination</v>
      </c>
      <c r="W348" s="20"/>
      <c r="X348" s="20"/>
      <c r="Y348" s="20"/>
      <c r="Z348" s="20"/>
      <c r="AA348" s="20"/>
      <c r="AB348" s="33">
        <v>2014</v>
      </c>
      <c r="AC348" s="140">
        <f t="shared" si="335"/>
        <v>0</v>
      </c>
      <c r="AD348" s="140">
        <f t="shared" si="335"/>
        <v>0</v>
      </c>
      <c r="AE348" s="140">
        <f t="shared" si="335"/>
        <v>0</v>
      </c>
      <c r="AF348" s="140">
        <f t="shared" si="335"/>
        <v>0</v>
      </c>
      <c r="AG348" s="140">
        <f t="shared" si="335"/>
        <v>0</v>
      </c>
      <c r="AH348" s="251">
        <f t="shared" si="336"/>
        <v>0</v>
      </c>
      <c r="AI348" s="253"/>
      <c r="AJ348" s="259"/>
      <c r="AK348" s="259"/>
      <c r="AL348" s="176"/>
      <c r="AM348" s="139">
        <f t="shared" si="337"/>
        <v>48</v>
      </c>
      <c r="AN348" s="140">
        <f t="shared" si="337"/>
        <v>48</v>
      </c>
      <c r="AO348" s="140">
        <f t="shared" si="337"/>
        <v>0</v>
      </c>
      <c r="AP348" s="140">
        <f t="shared" si="337"/>
        <v>16</v>
      </c>
      <c r="AQ348" s="140">
        <f t="shared" si="337"/>
        <v>0</v>
      </c>
      <c r="AR348" s="140">
        <f t="shared" si="338"/>
        <v>640</v>
      </c>
      <c r="AS348" s="253"/>
    </row>
    <row r="349" spans="1:45" s="352" customFormat="1">
      <c r="A349" s="21" t="s">
        <v>328</v>
      </c>
      <c r="B349" s="3"/>
      <c r="C349" s="181"/>
      <c r="D349" s="380"/>
      <c r="E349" s="182"/>
      <c r="F349" s="183"/>
      <c r="G349" s="181"/>
      <c r="H349" s="181"/>
      <c r="I349" s="181"/>
      <c r="J349" s="181"/>
      <c r="K349" s="184"/>
      <c r="L349" s="380"/>
      <c r="M349" s="182">
        <f>SUMIF(Q299:Q348,"B",M299:M348)</f>
        <v>312663.23999999987</v>
      </c>
      <c r="N349" s="379" t="s">
        <v>65</v>
      </c>
      <c r="O349" s="380"/>
      <c r="P349" s="381"/>
      <c r="Q349" s="53"/>
      <c r="R349" s="78"/>
      <c r="S349" s="146"/>
      <c r="T349" s="146"/>
      <c r="U349" s="146"/>
      <c r="V349" s="146"/>
      <c r="W349" s="3"/>
      <c r="X349" s="3"/>
      <c r="Y349" s="3"/>
      <c r="Z349" s="3"/>
      <c r="AA349" s="3"/>
      <c r="AB349" s="34"/>
      <c r="AC349" s="5">
        <f>SUM(AC299:AC348)</f>
        <v>280</v>
      </c>
      <c r="AD349" s="5">
        <f>SUM(AD299:AD348)</f>
        <v>1372</v>
      </c>
      <c r="AE349" s="5">
        <f>SUM(AE299:AE348)</f>
        <v>0</v>
      </c>
      <c r="AF349" s="5">
        <f>SUM(AF299:AF348)</f>
        <v>1268</v>
      </c>
      <c r="AG349" s="5">
        <f>SUM(AG299:AG348)</f>
        <v>0</v>
      </c>
      <c r="AH349" s="5"/>
      <c r="AI349" s="183">
        <f>SUM(AH299:AH348)</f>
        <v>43480</v>
      </c>
      <c r="AJ349" s="182">
        <f>(Shop*AC349)+M_Tech*AD349+CMM*AE349+ENG*AF349+DES*AG349+AI349</f>
        <v>356143.24000000005</v>
      </c>
      <c r="AK349" s="182"/>
      <c r="AL349" s="183">
        <f>Shop*AM349+M_Tech*AN349+CMM*AO349+ENG*AP349+DES*AQ349+AS349</f>
        <v>99518.840000000011</v>
      </c>
      <c r="AM349" s="5">
        <f>SUM(AM299:AM348)</f>
        <v>152</v>
      </c>
      <c r="AN349" s="5">
        <f>SUM(AN299:AN348)</f>
        <v>236</v>
      </c>
      <c r="AO349" s="5">
        <f>SUM(AO299:AO348)</f>
        <v>0</v>
      </c>
      <c r="AP349" s="5">
        <f>SUM(AP299:AP348)</f>
        <v>400</v>
      </c>
      <c r="AQ349" s="5">
        <f>SUM(AQ299:AQ348)</f>
        <v>0</v>
      </c>
      <c r="AR349" s="5"/>
      <c r="AS349" s="183">
        <f>SUM(AR299:AR348)</f>
        <v>13040</v>
      </c>
    </row>
    <row r="350" spans="1:45" s="352" customFormat="1">
      <c r="A350" s="378"/>
      <c r="C350" s="162"/>
      <c r="D350" s="87"/>
      <c r="E350" s="116"/>
      <c r="F350" s="170"/>
      <c r="G350" s="168"/>
      <c r="H350" s="168"/>
      <c r="I350" s="168"/>
      <c r="J350" s="168"/>
      <c r="K350" s="185"/>
      <c r="L350" s="234" t="s">
        <v>66</v>
      </c>
      <c r="M350" s="188">
        <f>SUMIF(Q341:Q348,"B",M341:M348)</f>
        <v>35536.32</v>
      </c>
      <c r="N350" s="69" t="s">
        <v>66</v>
      </c>
      <c r="O350" s="186"/>
      <c r="P350" s="186"/>
      <c r="Q350" s="35"/>
      <c r="R350" s="76"/>
      <c r="S350" s="147"/>
      <c r="T350" s="147"/>
      <c r="U350" s="147"/>
      <c r="V350" s="147"/>
      <c r="AB350" s="36"/>
      <c r="AC350" s="31"/>
      <c r="AD350" s="31"/>
      <c r="AE350" s="31"/>
      <c r="AF350" s="31"/>
      <c r="AG350" s="31"/>
      <c r="AH350" s="254"/>
      <c r="AI350" s="255"/>
      <c r="AJ350" s="6"/>
      <c r="AK350" s="6"/>
      <c r="AL350" s="116"/>
      <c r="AM350" s="32"/>
      <c r="AN350" s="4"/>
      <c r="AO350" s="4"/>
      <c r="AP350" s="4"/>
      <c r="AQ350" s="4"/>
      <c r="AR350" s="4"/>
      <c r="AS350" s="256"/>
    </row>
    <row r="351" spans="1:45">
      <c r="F351" s="170"/>
      <c r="G351" s="168"/>
      <c r="H351" s="168"/>
      <c r="I351" s="168"/>
      <c r="J351" s="168"/>
      <c r="K351" s="185"/>
      <c r="L351" s="234"/>
      <c r="M351" s="188"/>
      <c r="N351" s="69"/>
      <c r="P351" s="186"/>
      <c r="Q351" s="35"/>
      <c r="R351" s="76"/>
      <c r="S351" s="147"/>
      <c r="T351" s="147"/>
      <c r="U351" s="147"/>
      <c r="V351" s="147"/>
      <c r="W351"/>
      <c r="X351"/>
      <c r="Y351"/>
      <c r="Z351"/>
      <c r="AA351"/>
      <c r="AB351" s="36"/>
      <c r="AC351" s="31"/>
      <c r="AD351" s="31"/>
      <c r="AE351" s="31"/>
      <c r="AF351" s="31"/>
      <c r="AG351" s="31"/>
      <c r="AH351" s="254"/>
      <c r="AI351" s="255"/>
      <c r="AJ351" s="6"/>
      <c r="AK351" s="6"/>
      <c r="AM351" s="32"/>
      <c r="AN351" s="4"/>
      <c r="AO351" s="4"/>
      <c r="AP351" s="4"/>
      <c r="AQ351" s="4"/>
      <c r="AR351" s="4"/>
      <c r="AS351" s="256"/>
    </row>
    <row r="352" spans="1:45" s="20" customFormat="1">
      <c r="A352" s="20" t="s">
        <v>378</v>
      </c>
      <c r="C352" s="175"/>
      <c r="D352" s="100"/>
      <c r="E352" s="176"/>
      <c r="F352" s="177"/>
      <c r="G352" s="178"/>
      <c r="H352" s="178"/>
      <c r="I352" s="178"/>
      <c r="J352" s="178"/>
      <c r="K352" s="179"/>
      <c r="L352" s="100"/>
      <c r="M352" s="176"/>
      <c r="N352" s="96"/>
      <c r="O352" s="285"/>
      <c r="P352" s="285"/>
      <c r="Q352" s="52"/>
      <c r="R352" s="75"/>
      <c r="S352" s="145"/>
      <c r="T352" s="145"/>
      <c r="U352" s="145"/>
      <c r="V352" s="145"/>
      <c r="AB352" s="33"/>
      <c r="AC352" s="140"/>
      <c r="AD352" s="140"/>
      <c r="AE352" s="140"/>
      <c r="AF352" s="140"/>
      <c r="AG352" s="140"/>
      <c r="AH352" s="251"/>
      <c r="AI352" s="252"/>
      <c r="AJ352" s="140"/>
      <c r="AK352" s="140"/>
      <c r="AL352" s="176"/>
      <c r="AM352" s="139"/>
      <c r="AN352" s="140"/>
      <c r="AO352" s="140"/>
      <c r="AP352" s="140"/>
      <c r="AQ352" s="140"/>
      <c r="AR352" s="140"/>
      <c r="AS352" s="252"/>
    </row>
    <row r="353" spans="1:45" s="20" customFormat="1">
      <c r="A353" s="20" t="s">
        <v>17</v>
      </c>
      <c r="B353" s="20" t="s">
        <v>22</v>
      </c>
      <c r="C353" s="175">
        <v>4</v>
      </c>
      <c r="D353" s="100" t="s">
        <v>13</v>
      </c>
      <c r="E353" s="176">
        <v>10</v>
      </c>
      <c r="F353" s="177">
        <f t="shared" ref="F353:F359" si="339">E353*C353</f>
        <v>40</v>
      </c>
      <c r="G353" s="178">
        <v>0</v>
      </c>
      <c r="H353" s="178">
        <v>0</v>
      </c>
      <c r="I353" s="178">
        <v>0</v>
      </c>
      <c r="J353" s="178">
        <v>0</v>
      </c>
      <c r="K353" s="179">
        <v>0</v>
      </c>
      <c r="L353" s="100" t="s">
        <v>8</v>
      </c>
      <c r="M353" s="176">
        <f t="shared" ref="M353:M359" si="340">IF(R353="PD",((Shop*G353)+(M_Tech*H353)+(CMM*I353)+(ENG*J353)+(DES*K353))*N353,((Shop_RD*G353)+(MTECH_RD*H353)+(CMM_RD*I353)+(ENG_RD*J353)+(DES_RD*K353))*N353)</f>
        <v>0</v>
      </c>
      <c r="N353" s="96">
        <v>2</v>
      </c>
      <c r="O353" s="176">
        <f t="shared" ref="O353:O359" si="341">M353+(F353*N353)</f>
        <v>80</v>
      </c>
      <c r="P353" s="285"/>
      <c r="Q353" s="52" t="s">
        <v>46</v>
      </c>
      <c r="R353" s="75" t="s">
        <v>77</v>
      </c>
      <c r="S353" s="145" t="str">
        <f t="shared" ref="S353:S359" si="342">CONCATENATE(Q353,R353,AB353)</f>
        <v>BPD2012</v>
      </c>
      <c r="T353" s="145" t="str">
        <f t="shared" ref="T353:T359" si="343">CONCATENATE(Q353,U353,AB353)</f>
        <v>B1.2.12012</v>
      </c>
      <c r="U353" s="145" t="s">
        <v>180</v>
      </c>
      <c r="V353" s="145" t="str">
        <f t="shared" ref="V353:V359" si="344">LOOKUP(U353,$B$383:$B$420,$A$383:$A$420)</f>
        <v>Pixel Mechanics</v>
      </c>
      <c r="AB353" s="33">
        <v>2012</v>
      </c>
      <c r="AC353" s="140">
        <f t="shared" ref="AC353:AG359" si="345">IF($Q353="B", (G353*$N353),0)</f>
        <v>0</v>
      </c>
      <c r="AD353" s="140">
        <f t="shared" si="345"/>
        <v>0</v>
      </c>
      <c r="AE353" s="140">
        <f t="shared" si="345"/>
        <v>0</v>
      </c>
      <c r="AF353" s="140">
        <f t="shared" si="345"/>
        <v>0</v>
      </c>
      <c r="AG353" s="140">
        <f t="shared" si="345"/>
        <v>0</v>
      </c>
      <c r="AH353" s="251">
        <f t="shared" ref="AH353:AH359" si="346">IF($Q353="B", (F353*$N353),0)</f>
        <v>80</v>
      </c>
      <c r="AI353" s="252"/>
      <c r="AJ353" s="140"/>
      <c r="AK353" s="140"/>
      <c r="AL353" s="176"/>
      <c r="AM353" s="139">
        <f t="shared" ref="AM353:AQ359" si="347">IF($Q353="C", (G353*$N353),0)</f>
        <v>0</v>
      </c>
      <c r="AN353" s="140">
        <f t="shared" si="347"/>
        <v>0</v>
      </c>
      <c r="AO353" s="140">
        <f t="shared" si="347"/>
        <v>0</v>
      </c>
      <c r="AP353" s="140">
        <f t="shared" si="347"/>
        <v>0</v>
      </c>
      <c r="AQ353" s="140">
        <f t="shared" si="347"/>
        <v>0</v>
      </c>
      <c r="AR353" s="140">
        <f t="shared" ref="AR353:AR359" si="348">IF($Q353="C", (F353*$N353),0)</f>
        <v>0</v>
      </c>
      <c r="AS353" s="252"/>
    </row>
    <row r="354" spans="1:45" s="20" customFormat="1">
      <c r="A354" s="20" t="s">
        <v>18</v>
      </c>
      <c r="B354" s="20" t="s">
        <v>446</v>
      </c>
      <c r="C354" s="175">
        <v>1</v>
      </c>
      <c r="D354" s="100" t="s">
        <v>23</v>
      </c>
      <c r="E354" s="176">
        <v>100</v>
      </c>
      <c r="F354" s="177">
        <f t="shared" si="339"/>
        <v>100</v>
      </c>
      <c r="G354" s="178">
        <v>0</v>
      </c>
      <c r="H354" s="178">
        <v>0</v>
      </c>
      <c r="I354" s="178">
        <v>0</v>
      </c>
      <c r="J354" s="178">
        <v>0</v>
      </c>
      <c r="K354" s="179">
        <v>0</v>
      </c>
      <c r="L354" s="100" t="s">
        <v>8</v>
      </c>
      <c r="M354" s="176">
        <f t="shared" si="340"/>
        <v>0</v>
      </c>
      <c r="N354" s="96">
        <v>2</v>
      </c>
      <c r="O354" s="176">
        <f t="shared" si="341"/>
        <v>200</v>
      </c>
      <c r="P354" s="285"/>
      <c r="Q354" s="52" t="s">
        <v>46</v>
      </c>
      <c r="R354" s="75" t="s">
        <v>77</v>
      </c>
      <c r="S354" s="145" t="str">
        <f t="shared" si="342"/>
        <v>BPD2012</v>
      </c>
      <c r="T354" s="145" t="str">
        <f t="shared" si="343"/>
        <v>B1.2.12012</v>
      </c>
      <c r="U354" s="145" t="s">
        <v>180</v>
      </c>
      <c r="V354" s="145" t="str">
        <f t="shared" si="344"/>
        <v>Pixel Mechanics</v>
      </c>
      <c r="AB354" s="33">
        <v>2012</v>
      </c>
      <c r="AC354" s="140">
        <f t="shared" si="345"/>
        <v>0</v>
      </c>
      <c r="AD354" s="140">
        <f t="shared" si="345"/>
        <v>0</v>
      </c>
      <c r="AE354" s="140">
        <f t="shared" si="345"/>
        <v>0</v>
      </c>
      <c r="AF354" s="140">
        <f t="shared" si="345"/>
        <v>0</v>
      </c>
      <c r="AG354" s="140">
        <f t="shared" si="345"/>
        <v>0</v>
      </c>
      <c r="AH354" s="251">
        <f t="shared" si="346"/>
        <v>200</v>
      </c>
      <c r="AI354" s="252"/>
      <c r="AJ354" s="96"/>
      <c r="AK354" s="96"/>
      <c r="AL354" s="176"/>
      <c r="AM354" s="139">
        <f t="shared" si="347"/>
        <v>0</v>
      </c>
      <c r="AN354" s="140">
        <f t="shared" si="347"/>
        <v>0</v>
      </c>
      <c r="AO354" s="140">
        <f t="shared" si="347"/>
        <v>0</v>
      </c>
      <c r="AP354" s="140">
        <f t="shared" si="347"/>
        <v>0</v>
      </c>
      <c r="AQ354" s="140">
        <f t="shared" si="347"/>
        <v>0</v>
      </c>
      <c r="AR354" s="140">
        <f t="shared" si="348"/>
        <v>0</v>
      </c>
      <c r="AS354" s="252"/>
    </row>
    <row r="355" spans="1:45" s="20" customFormat="1">
      <c r="A355" s="20" t="s">
        <v>19</v>
      </c>
      <c r="B355" s="20" t="s">
        <v>24</v>
      </c>
      <c r="C355" s="175">
        <v>5</v>
      </c>
      <c r="D355" s="100" t="s">
        <v>25</v>
      </c>
      <c r="E355" s="176">
        <v>3</v>
      </c>
      <c r="F355" s="177">
        <f t="shared" si="339"/>
        <v>15</v>
      </c>
      <c r="G355" s="178">
        <v>0</v>
      </c>
      <c r="H355" s="178">
        <v>0</v>
      </c>
      <c r="I355" s="178">
        <v>0</v>
      </c>
      <c r="J355" s="178">
        <v>0</v>
      </c>
      <c r="K355" s="179">
        <v>0</v>
      </c>
      <c r="L355" s="100" t="s">
        <v>8</v>
      </c>
      <c r="M355" s="176">
        <f t="shared" si="340"/>
        <v>0</v>
      </c>
      <c r="N355" s="96">
        <v>2</v>
      </c>
      <c r="O355" s="176">
        <f t="shared" si="341"/>
        <v>30</v>
      </c>
      <c r="P355" s="285"/>
      <c r="Q355" s="52" t="s">
        <v>46</v>
      </c>
      <c r="R355" s="75" t="s">
        <v>77</v>
      </c>
      <c r="S355" s="145" t="str">
        <f t="shared" si="342"/>
        <v>BPD2012</v>
      </c>
      <c r="T355" s="145" t="str">
        <f t="shared" si="343"/>
        <v>B1.2.12012</v>
      </c>
      <c r="U355" s="145" t="s">
        <v>180</v>
      </c>
      <c r="V355" s="145" t="str">
        <f t="shared" si="344"/>
        <v>Pixel Mechanics</v>
      </c>
      <c r="AB355" s="33">
        <v>2012</v>
      </c>
      <c r="AC355" s="140">
        <f t="shared" si="345"/>
        <v>0</v>
      </c>
      <c r="AD355" s="140">
        <f t="shared" si="345"/>
        <v>0</v>
      </c>
      <c r="AE355" s="140">
        <f t="shared" si="345"/>
        <v>0</v>
      </c>
      <c r="AF355" s="140">
        <f t="shared" si="345"/>
        <v>0</v>
      </c>
      <c r="AG355" s="140">
        <f t="shared" si="345"/>
        <v>0</v>
      </c>
      <c r="AH355" s="251">
        <f t="shared" si="346"/>
        <v>30</v>
      </c>
      <c r="AI355" s="252"/>
      <c r="AJ355" s="96"/>
      <c r="AK355" s="96"/>
      <c r="AL355" s="176"/>
      <c r="AM355" s="139">
        <f t="shared" si="347"/>
        <v>0</v>
      </c>
      <c r="AN355" s="140">
        <f t="shared" si="347"/>
        <v>0</v>
      </c>
      <c r="AO355" s="140">
        <f t="shared" si="347"/>
        <v>0</v>
      </c>
      <c r="AP355" s="140">
        <f t="shared" si="347"/>
        <v>0</v>
      </c>
      <c r="AQ355" s="140">
        <f t="shared" si="347"/>
        <v>0</v>
      </c>
      <c r="AR355" s="140">
        <f t="shared" si="348"/>
        <v>0</v>
      </c>
      <c r="AS355" s="252"/>
    </row>
    <row r="356" spans="1:45" s="20" customFormat="1">
      <c r="A356" s="20" t="s">
        <v>68</v>
      </c>
      <c r="B356" s="20" t="s">
        <v>446</v>
      </c>
      <c r="C356" s="175">
        <v>1</v>
      </c>
      <c r="D356" s="100" t="s">
        <v>23</v>
      </c>
      <c r="E356" s="176">
        <v>150</v>
      </c>
      <c r="F356" s="177">
        <f t="shared" si="339"/>
        <v>150</v>
      </c>
      <c r="G356" s="178">
        <v>0</v>
      </c>
      <c r="H356" s="178">
        <v>5</v>
      </c>
      <c r="I356" s="178">
        <v>0</v>
      </c>
      <c r="J356" s="178">
        <v>0</v>
      </c>
      <c r="K356" s="179">
        <v>0</v>
      </c>
      <c r="L356" s="100" t="s">
        <v>8</v>
      </c>
      <c r="M356" s="176">
        <f t="shared" si="340"/>
        <v>947.7</v>
      </c>
      <c r="N356" s="96">
        <v>2</v>
      </c>
      <c r="O356" s="176">
        <f t="shared" si="341"/>
        <v>1247.7</v>
      </c>
      <c r="P356" s="285"/>
      <c r="Q356" s="52" t="s">
        <v>46</v>
      </c>
      <c r="R356" s="75" t="s">
        <v>77</v>
      </c>
      <c r="S356" s="145" t="str">
        <f t="shared" si="342"/>
        <v>BPD2012</v>
      </c>
      <c r="T356" s="145" t="str">
        <f t="shared" si="343"/>
        <v>B1.2.12012</v>
      </c>
      <c r="U356" s="145" t="s">
        <v>180</v>
      </c>
      <c r="V356" s="145" t="str">
        <f t="shared" si="344"/>
        <v>Pixel Mechanics</v>
      </c>
      <c r="AB356" s="33">
        <v>2012</v>
      </c>
      <c r="AC356" s="140">
        <f t="shared" si="345"/>
        <v>0</v>
      </c>
      <c r="AD356" s="140">
        <f t="shared" si="345"/>
        <v>10</v>
      </c>
      <c r="AE356" s="140">
        <f t="shared" si="345"/>
        <v>0</v>
      </c>
      <c r="AF356" s="140">
        <f t="shared" si="345"/>
        <v>0</v>
      </c>
      <c r="AG356" s="140">
        <f t="shared" si="345"/>
        <v>0</v>
      </c>
      <c r="AH356" s="251">
        <f t="shared" si="346"/>
        <v>300</v>
      </c>
      <c r="AI356" s="252"/>
      <c r="AJ356" s="140"/>
      <c r="AK356" s="140"/>
      <c r="AL356" s="176"/>
      <c r="AM356" s="139">
        <f t="shared" si="347"/>
        <v>0</v>
      </c>
      <c r="AN356" s="140">
        <f t="shared" si="347"/>
        <v>0</v>
      </c>
      <c r="AO356" s="140">
        <f t="shared" si="347"/>
        <v>0</v>
      </c>
      <c r="AP356" s="140">
        <f t="shared" si="347"/>
        <v>0</v>
      </c>
      <c r="AQ356" s="140">
        <f t="shared" si="347"/>
        <v>0</v>
      </c>
      <c r="AR356" s="140">
        <f t="shared" si="348"/>
        <v>0</v>
      </c>
      <c r="AS356" s="252"/>
    </row>
    <row r="357" spans="1:45" s="20" customFormat="1">
      <c r="A357" s="20" t="s">
        <v>67</v>
      </c>
      <c r="B357" s="20" t="s">
        <v>26</v>
      </c>
      <c r="C357" s="175">
        <v>1</v>
      </c>
      <c r="D357" s="100" t="s">
        <v>27</v>
      </c>
      <c r="E357" s="176">
        <v>50</v>
      </c>
      <c r="F357" s="177">
        <f t="shared" si="339"/>
        <v>50</v>
      </c>
      <c r="G357" s="178">
        <v>4</v>
      </c>
      <c r="H357" s="178">
        <v>0</v>
      </c>
      <c r="I357" s="178">
        <v>0</v>
      </c>
      <c r="J357" s="178">
        <v>0</v>
      </c>
      <c r="K357" s="179">
        <v>0</v>
      </c>
      <c r="L357" s="100" t="s">
        <v>8</v>
      </c>
      <c r="M357" s="176">
        <f t="shared" si="340"/>
        <v>816.48</v>
      </c>
      <c r="N357" s="96">
        <v>2</v>
      </c>
      <c r="O357" s="176">
        <f t="shared" si="341"/>
        <v>916.48</v>
      </c>
      <c r="P357" s="285"/>
      <c r="Q357" s="52" t="s">
        <v>46</v>
      </c>
      <c r="R357" s="75" t="s">
        <v>77</v>
      </c>
      <c r="S357" s="145" t="str">
        <f t="shared" si="342"/>
        <v>BPD2012</v>
      </c>
      <c r="T357" s="145" t="str">
        <f t="shared" si="343"/>
        <v>B1.2.12012</v>
      </c>
      <c r="U357" s="145" t="s">
        <v>180</v>
      </c>
      <c r="V357" s="145" t="str">
        <f t="shared" si="344"/>
        <v>Pixel Mechanics</v>
      </c>
      <c r="AB357" s="33">
        <v>2012</v>
      </c>
      <c r="AC357" s="140">
        <f t="shared" si="345"/>
        <v>8</v>
      </c>
      <c r="AD357" s="140">
        <f t="shared" si="345"/>
        <v>0</v>
      </c>
      <c r="AE357" s="140">
        <f t="shared" si="345"/>
        <v>0</v>
      </c>
      <c r="AF357" s="140">
        <f t="shared" si="345"/>
        <v>0</v>
      </c>
      <c r="AG357" s="140">
        <f t="shared" si="345"/>
        <v>0</v>
      </c>
      <c r="AH357" s="251">
        <f t="shared" si="346"/>
        <v>100</v>
      </c>
      <c r="AI357" s="252"/>
      <c r="AJ357" s="96"/>
      <c r="AK357" s="96"/>
      <c r="AL357" s="176"/>
      <c r="AM357" s="139">
        <f t="shared" si="347"/>
        <v>0</v>
      </c>
      <c r="AN357" s="140">
        <f t="shared" si="347"/>
        <v>0</v>
      </c>
      <c r="AO357" s="140">
        <f t="shared" si="347"/>
        <v>0</v>
      </c>
      <c r="AP357" s="140">
        <f t="shared" si="347"/>
        <v>0</v>
      </c>
      <c r="AQ357" s="140">
        <f t="shared" si="347"/>
        <v>0</v>
      </c>
      <c r="AR357" s="140">
        <f t="shared" si="348"/>
        <v>0</v>
      </c>
      <c r="AS357" s="252"/>
    </row>
    <row r="358" spans="1:45" s="20" customFormat="1">
      <c r="A358" s="20" t="s">
        <v>20</v>
      </c>
      <c r="B358" s="20" t="s">
        <v>33</v>
      </c>
      <c r="C358" s="175"/>
      <c r="D358" s="100"/>
      <c r="E358" s="176">
        <v>0</v>
      </c>
      <c r="F358" s="177">
        <f t="shared" si="339"/>
        <v>0</v>
      </c>
      <c r="G358" s="178">
        <v>0</v>
      </c>
      <c r="H358" s="178">
        <v>8</v>
      </c>
      <c r="I358" s="178">
        <v>0</v>
      </c>
      <c r="J358" s="178">
        <v>0</v>
      </c>
      <c r="K358" s="179">
        <v>0</v>
      </c>
      <c r="L358" s="100" t="s">
        <v>8</v>
      </c>
      <c r="M358" s="176">
        <f t="shared" si="340"/>
        <v>1516.3200000000002</v>
      </c>
      <c r="N358" s="96">
        <v>2</v>
      </c>
      <c r="O358" s="176">
        <f t="shared" si="341"/>
        <v>1516.3200000000002</v>
      </c>
      <c r="P358" s="285"/>
      <c r="Q358" s="52" t="s">
        <v>46</v>
      </c>
      <c r="R358" s="75" t="s">
        <v>77</v>
      </c>
      <c r="S358" s="145" t="str">
        <f t="shared" si="342"/>
        <v>BPD2012</v>
      </c>
      <c r="T358" s="145" t="str">
        <f t="shared" si="343"/>
        <v>B1.2.12012</v>
      </c>
      <c r="U358" s="145" t="s">
        <v>180</v>
      </c>
      <c r="V358" s="145" t="str">
        <f t="shared" si="344"/>
        <v>Pixel Mechanics</v>
      </c>
      <c r="AB358" s="33">
        <v>2012</v>
      </c>
      <c r="AC358" s="140">
        <f t="shared" si="345"/>
        <v>0</v>
      </c>
      <c r="AD358" s="140">
        <f t="shared" si="345"/>
        <v>16</v>
      </c>
      <c r="AE358" s="140">
        <f t="shared" si="345"/>
        <v>0</v>
      </c>
      <c r="AF358" s="140">
        <f t="shared" si="345"/>
        <v>0</v>
      </c>
      <c r="AG358" s="140">
        <f t="shared" si="345"/>
        <v>0</v>
      </c>
      <c r="AH358" s="251">
        <f t="shared" si="346"/>
        <v>0</v>
      </c>
      <c r="AI358" s="252"/>
      <c r="AJ358" s="140"/>
      <c r="AK358" s="140"/>
      <c r="AL358" s="176"/>
      <c r="AM358" s="139">
        <f t="shared" si="347"/>
        <v>0</v>
      </c>
      <c r="AN358" s="140">
        <f t="shared" si="347"/>
        <v>0</v>
      </c>
      <c r="AO358" s="140">
        <f t="shared" si="347"/>
        <v>0</v>
      </c>
      <c r="AP358" s="140">
        <f t="shared" si="347"/>
        <v>0</v>
      </c>
      <c r="AQ358" s="140">
        <f t="shared" si="347"/>
        <v>0</v>
      </c>
      <c r="AR358" s="140">
        <f t="shared" si="348"/>
        <v>0</v>
      </c>
      <c r="AS358" s="252"/>
    </row>
    <row r="359" spans="1:45" s="20" customFormat="1">
      <c r="A359" s="20" t="s">
        <v>21</v>
      </c>
      <c r="B359" s="20" t="s">
        <v>32</v>
      </c>
      <c r="C359" s="175">
        <v>1</v>
      </c>
      <c r="D359" s="100"/>
      <c r="E359" s="176">
        <v>1500</v>
      </c>
      <c r="F359" s="177">
        <f t="shared" si="339"/>
        <v>1500</v>
      </c>
      <c r="G359" s="178">
        <v>0</v>
      </c>
      <c r="H359" s="178">
        <v>0</v>
      </c>
      <c r="I359" s="178">
        <v>0</v>
      </c>
      <c r="J359" s="178">
        <v>0</v>
      </c>
      <c r="K359" s="179">
        <v>0</v>
      </c>
      <c r="L359" s="100" t="s">
        <v>8</v>
      </c>
      <c r="M359" s="176">
        <f t="shared" si="340"/>
        <v>0</v>
      </c>
      <c r="N359" s="96">
        <v>2</v>
      </c>
      <c r="O359" s="176">
        <f t="shared" si="341"/>
        <v>3000</v>
      </c>
      <c r="P359" s="285"/>
      <c r="Q359" s="52" t="s">
        <v>46</v>
      </c>
      <c r="R359" s="75" t="s">
        <v>77</v>
      </c>
      <c r="S359" s="145" t="str">
        <f t="shared" si="342"/>
        <v>BPD2012</v>
      </c>
      <c r="T359" s="145" t="str">
        <f t="shared" si="343"/>
        <v>B1.2.12012</v>
      </c>
      <c r="U359" s="145" t="s">
        <v>180</v>
      </c>
      <c r="V359" s="145" t="str">
        <f t="shared" si="344"/>
        <v>Pixel Mechanics</v>
      </c>
      <c r="AB359" s="33">
        <v>2012</v>
      </c>
      <c r="AC359" s="140">
        <f t="shared" si="345"/>
        <v>0</v>
      </c>
      <c r="AD359" s="140">
        <f t="shared" si="345"/>
        <v>0</v>
      </c>
      <c r="AE359" s="140">
        <f t="shared" si="345"/>
        <v>0</v>
      </c>
      <c r="AF359" s="140">
        <f t="shared" si="345"/>
        <v>0</v>
      </c>
      <c r="AG359" s="140">
        <f t="shared" si="345"/>
        <v>0</v>
      </c>
      <c r="AH359" s="251">
        <f t="shared" si="346"/>
        <v>3000</v>
      </c>
      <c r="AI359" s="289"/>
      <c r="AJ359" s="96" t="s">
        <v>70</v>
      </c>
      <c r="AK359" s="96"/>
      <c r="AL359" s="176" t="s">
        <v>71</v>
      </c>
      <c r="AM359" s="290">
        <f t="shared" si="347"/>
        <v>0</v>
      </c>
      <c r="AN359" s="291">
        <f t="shared" si="347"/>
        <v>0</v>
      </c>
      <c r="AO359" s="291">
        <f t="shared" si="347"/>
        <v>0</v>
      </c>
      <c r="AP359" s="291">
        <f t="shared" si="347"/>
        <v>0</v>
      </c>
      <c r="AQ359" s="291">
        <f t="shared" si="347"/>
        <v>0</v>
      </c>
      <c r="AR359" s="291">
        <f t="shared" si="348"/>
        <v>0</v>
      </c>
      <c r="AS359" s="289"/>
    </row>
    <row r="360" spans="1:45" s="20" customFormat="1">
      <c r="A360" s="20" t="s">
        <v>379</v>
      </c>
      <c r="C360" s="175"/>
      <c r="D360" s="100"/>
      <c r="E360" s="176"/>
      <c r="F360" s="177"/>
      <c r="G360" s="178"/>
      <c r="H360" s="178"/>
      <c r="I360" s="178"/>
      <c r="J360" s="178"/>
      <c r="K360" s="179"/>
      <c r="L360" s="234" t="s">
        <v>66</v>
      </c>
      <c r="M360" s="188">
        <f>SUMIF(Q353:Q359,"B",M353:M359)</f>
        <v>3280.5</v>
      </c>
      <c r="N360" s="69" t="s">
        <v>66</v>
      </c>
      <c r="O360" s="251"/>
      <c r="P360" s="285"/>
      <c r="Q360" s="52"/>
      <c r="R360" s="75"/>
      <c r="S360" s="145"/>
      <c r="T360" s="145"/>
      <c r="U360" s="145"/>
      <c r="V360" s="145"/>
      <c r="AB360" s="33"/>
      <c r="AC360" s="140"/>
      <c r="AD360" s="140"/>
      <c r="AE360" s="140"/>
      <c r="AF360" s="140"/>
      <c r="AG360" s="140"/>
      <c r="AH360" s="251"/>
      <c r="AI360" s="252"/>
      <c r="AJ360" s="140"/>
      <c r="AK360" s="140"/>
      <c r="AL360" s="176"/>
      <c r="AM360" s="139"/>
      <c r="AN360" s="140"/>
      <c r="AO360" s="140"/>
      <c r="AP360" s="140"/>
      <c r="AQ360" s="140"/>
      <c r="AR360" s="140"/>
      <c r="AS360" s="252"/>
    </row>
    <row r="361" spans="1:45" s="20" customFormat="1">
      <c r="A361" s="20" t="s">
        <v>17</v>
      </c>
      <c r="B361" s="20" t="s">
        <v>22</v>
      </c>
      <c r="C361" s="175">
        <v>4</v>
      </c>
      <c r="D361" s="100" t="s">
        <v>13</v>
      </c>
      <c r="E361" s="176">
        <v>10</v>
      </c>
      <c r="F361" s="177">
        <f t="shared" ref="F361:F367" si="349">E361*C361</f>
        <v>40</v>
      </c>
      <c r="G361" s="178">
        <v>0</v>
      </c>
      <c r="H361" s="178">
        <v>0</v>
      </c>
      <c r="I361" s="178">
        <v>0</v>
      </c>
      <c r="J361" s="178">
        <v>0</v>
      </c>
      <c r="K361" s="179">
        <v>0</v>
      </c>
      <c r="L361" s="100" t="s">
        <v>8</v>
      </c>
      <c r="M361" s="176">
        <f t="shared" ref="M361:M367" si="350">IF(R361="PD",((Shop*G361)+(M_Tech*H361)+(CMM*I361)+(ENG*J361)+(DES*K361))*N361,((Shop_RD*G361)+(MTECH_RD*H361)+(CMM_RD*I361)+(ENG_RD*J361)+(DES_RD*K361))*N361)</f>
        <v>0</v>
      </c>
      <c r="N361" s="96">
        <v>4</v>
      </c>
      <c r="O361" s="176">
        <f t="shared" ref="O361:O367" si="351">M361+(F361*N361)</f>
        <v>160</v>
      </c>
      <c r="P361" s="285"/>
      <c r="Q361" s="52" t="s">
        <v>46</v>
      </c>
      <c r="R361" s="75" t="s">
        <v>77</v>
      </c>
      <c r="S361" s="145" t="str">
        <f t="shared" ref="S361:S367" si="352">CONCATENATE(Q361,R361,AB361)</f>
        <v>BPD2013</v>
      </c>
      <c r="T361" s="145" t="str">
        <f t="shared" ref="T361:T367" si="353">CONCATENATE(Q361,U361,AB361)</f>
        <v>B1.2.12013</v>
      </c>
      <c r="U361" s="145" t="s">
        <v>180</v>
      </c>
      <c r="V361" s="145" t="str">
        <f t="shared" ref="V361:V367" si="354">LOOKUP(U361,$B$383:$B$420,$A$383:$A$420)</f>
        <v>Pixel Mechanics</v>
      </c>
      <c r="AB361" s="33">
        <v>2013</v>
      </c>
      <c r="AC361" s="140">
        <f t="shared" ref="AC361:AG367" si="355">IF($Q361="B", (G361*$N361),0)</f>
        <v>0</v>
      </c>
      <c r="AD361" s="140">
        <f t="shared" si="355"/>
        <v>0</v>
      </c>
      <c r="AE361" s="140">
        <f t="shared" si="355"/>
        <v>0</v>
      </c>
      <c r="AF361" s="140">
        <f t="shared" si="355"/>
        <v>0</v>
      </c>
      <c r="AG361" s="140">
        <f t="shared" si="355"/>
        <v>0</v>
      </c>
      <c r="AH361" s="251">
        <f t="shared" ref="AH361:AH367" si="356">IF($Q361="B", (F361*$N361),0)</f>
        <v>160</v>
      </c>
      <c r="AI361" s="252"/>
      <c r="AJ361" s="140"/>
      <c r="AK361" s="140"/>
      <c r="AL361" s="176"/>
      <c r="AM361" s="139">
        <f t="shared" ref="AM361:AQ367" si="357">IF($Q361="C", (G361*$N361),0)</f>
        <v>0</v>
      </c>
      <c r="AN361" s="140">
        <f t="shared" si="357"/>
        <v>0</v>
      </c>
      <c r="AO361" s="140">
        <f t="shared" si="357"/>
        <v>0</v>
      </c>
      <c r="AP361" s="140">
        <f t="shared" si="357"/>
        <v>0</v>
      </c>
      <c r="AQ361" s="140">
        <f t="shared" si="357"/>
        <v>0</v>
      </c>
      <c r="AR361" s="140">
        <f t="shared" ref="AR361:AR367" si="358">IF($Q361="C", (F361*$N361),0)</f>
        <v>0</v>
      </c>
      <c r="AS361" s="252"/>
    </row>
    <row r="362" spans="1:45" s="20" customFormat="1">
      <c r="A362" s="20" t="s">
        <v>18</v>
      </c>
      <c r="B362" s="20" t="s">
        <v>446</v>
      </c>
      <c r="C362" s="175">
        <v>1</v>
      </c>
      <c r="D362" s="100" t="s">
        <v>23</v>
      </c>
      <c r="E362" s="176">
        <v>100</v>
      </c>
      <c r="F362" s="177">
        <f t="shared" si="349"/>
        <v>100</v>
      </c>
      <c r="G362" s="178">
        <v>0</v>
      </c>
      <c r="H362" s="178">
        <v>0</v>
      </c>
      <c r="I362" s="178">
        <v>0</v>
      </c>
      <c r="J362" s="178">
        <v>0</v>
      </c>
      <c r="K362" s="179">
        <v>0</v>
      </c>
      <c r="L362" s="100" t="s">
        <v>8</v>
      </c>
      <c r="M362" s="176">
        <f t="shared" si="350"/>
        <v>0</v>
      </c>
      <c r="N362" s="96">
        <v>4</v>
      </c>
      <c r="O362" s="176">
        <f t="shared" si="351"/>
        <v>400</v>
      </c>
      <c r="P362" s="285"/>
      <c r="Q362" s="52" t="s">
        <v>46</v>
      </c>
      <c r="R362" s="75" t="s">
        <v>77</v>
      </c>
      <c r="S362" s="145" t="str">
        <f t="shared" si="352"/>
        <v>BPD2013</v>
      </c>
      <c r="T362" s="145" t="str">
        <f t="shared" si="353"/>
        <v>B1.2.12013</v>
      </c>
      <c r="U362" s="145" t="s">
        <v>180</v>
      </c>
      <c r="V362" s="145" t="str">
        <f t="shared" si="354"/>
        <v>Pixel Mechanics</v>
      </c>
      <c r="AB362" s="33">
        <v>2013</v>
      </c>
      <c r="AC362" s="140">
        <f t="shared" si="355"/>
        <v>0</v>
      </c>
      <c r="AD362" s="140">
        <f t="shared" si="355"/>
        <v>0</v>
      </c>
      <c r="AE362" s="140">
        <f t="shared" si="355"/>
        <v>0</v>
      </c>
      <c r="AF362" s="140">
        <f t="shared" si="355"/>
        <v>0</v>
      </c>
      <c r="AG362" s="140">
        <f t="shared" si="355"/>
        <v>0</v>
      </c>
      <c r="AH362" s="251">
        <f t="shared" si="356"/>
        <v>400</v>
      </c>
      <c r="AI362" s="252"/>
      <c r="AJ362" s="96"/>
      <c r="AK362" s="96"/>
      <c r="AL362" s="176"/>
      <c r="AM362" s="139">
        <f t="shared" si="357"/>
        <v>0</v>
      </c>
      <c r="AN362" s="140">
        <f t="shared" si="357"/>
        <v>0</v>
      </c>
      <c r="AO362" s="140">
        <f t="shared" si="357"/>
        <v>0</v>
      </c>
      <c r="AP362" s="140">
        <f t="shared" si="357"/>
        <v>0</v>
      </c>
      <c r="AQ362" s="140">
        <f t="shared" si="357"/>
        <v>0</v>
      </c>
      <c r="AR362" s="140">
        <f t="shared" si="358"/>
        <v>0</v>
      </c>
      <c r="AS362" s="252"/>
    </row>
    <row r="363" spans="1:45" s="20" customFormat="1">
      <c r="A363" s="20" t="s">
        <v>19</v>
      </c>
      <c r="B363" s="20" t="s">
        <v>24</v>
      </c>
      <c r="C363" s="175">
        <v>5</v>
      </c>
      <c r="D363" s="100" t="s">
        <v>25</v>
      </c>
      <c r="E363" s="176">
        <v>3</v>
      </c>
      <c r="F363" s="177">
        <f t="shared" si="349"/>
        <v>15</v>
      </c>
      <c r="G363" s="178">
        <v>0</v>
      </c>
      <c r="H363" s="178">
        <v>0</v>
      </c>
      <c r="I363" s="178">
        <v>0</v>
      </c>
      <c r="J363" s="178">
        <v>0</v>
      </c>
      <c r="K363" s="179">
        <v>0</v>
      </c>
      <c r="L363" s="100" t="s">
        <v>8</v>
      </c>
      <c r="M363" s="176">
        <f t="shared" si="350"/>
        <v>0</v>
      </c>
      <c r="N363" s="96">
        <v>4</v>
      </c>
      <c r="O363" s="176">
        <f t="shared" si="351"/>
        <v>60</v>
      </c>
      <c r="P363" s="285"/>
      <c r="Q363" s="52" t="s">
        <v>46</v>
      </c>
      <c r="R363" s="75" t="s">
        <v>77</v>
      </c>
      <c r="S363" s="145" t="str">
        <f t="shared" si="352"/>
        <v>BPD2013</v>
      </c>
      <c r="T363" s="145" t="str">
        <f t="shared" si="353"/>
        <v>B1.2.12013</v>
      </c>
      <c r="U363" s="145" t="s">
        <v>180</v>
      </c>
      <c r="V363" s="145" t="str">
        <f t="shared" si="354"/>
        <v>Pixel Mechanics</v>
      </c>
      <c r="AB363" s="33">
        <v>2013</v>
      </c>
      <c r="AC363" s="140">
        <f t="shared" si="355"/>
        <v>0</v>
      </c>
      <c r="AD363" s="140">
        <f t="shared" si="355"/>
        <v>0</v>
      </c>
      <c r="AE363" s="140">
        <f t="shared" si="355"/>
        <v>0</v>
      </c>
      <c r="AF363" s="140">
        <f t="shared" si="355"/>
        <v>0</v>
      </c>
      <c r="AG363" s="140">
        <f t="shared" si="355"/>
        <v>0</v>
      </c>
      <c r="AH363" s="251">
        <f t="shared" si="356"/>
        <v>60</v>
      </c>
      <c r="AI363" s="252"/>
      <c r="AJ363" s="96"/>
      <c r="AK363" s="96"/>
      <c r="AL363" s="176"/>
      <c r="AM363" s="139">
        <f t="shared" si="357"/>
        <v>0</v>
      </c>
      <c r="AN363" s="140">
        <f t="shared" si="357"/>
        <v>0</v>
      </c>
      <c r="AO363" s="140">
        <f t="shared" si="357"/>
        <v>0</v>
      </c>
      <c r="AP363" s="140">
        <f t="shared" si="357"/>
        <v>0</v>
      </c>
      <c r="AQ363" s="140">
        <f t="shared" si="357"/>
        <v>0</v>
      </c>
      <c r="AR363" s="140">
        <f t="shared" si="358"/>
        <v>0</v>
      </c>
      <c r="AS363" s="252"/>
    </row>
    <row r="364" spans="1:45" s="20" customFormat="1">
      <c r="A364" s="20" t="s">
        <v>68</v>
      </c>
      <c r="B364" s="20" t="s">
        <v>446</v>
      </c>
      <c r="C364" s="175">
        <v>1</v>
      </c>
      <c r="D364" s="100" t="s">
        <v>23</v>
      </c>
      <c r="E364" s="176">
        <v>150</v>
      </c>
      <c r="F364" s="177">
        <f t="shared" si="349"/>
        <v>150</v>
      </c>
      <c r="G364" s="178">
        <v>0</v>
      </c>
      <c r="H364" s="178">
        <v>5</v>
      </c>
      <c r="I364" s="178">
        <v>0</v>
      </c>
      <c r="J364" s="178">
        <v>0</v>
      </c>
      <c r="K364" s="179">
        <v>0</v>
      </c>
      <c r="L364" s="100" t="s">
        <v>8</v>
      </c>
      <c r="M364" s="176">
        <f t="shared" si="350"/>
        <v>1895.4</v>
      </c>
      <c r="N364" s="96">
        <v>4</v>
      </c>
      <c r="O364" s="176">
        <f t="shared" si="351"/>
        <v>2495.4</v>
      </c>
      <c r="P364" s="285"/>
      <c r="Q364" s="52" t="s">
        <v>46</v>
      </c>
      <c r="R364" s="75" t="s">
        <v>77</v>
      </c>
      <c r="S364" s="145" t="str">
        <f t="shared" si="352"/>
        <v>BPD2013</v>
      </c>
      <c r="T364" s="145" t="str">
        <f t="shared" si="353"/>
        <v>B1.2.12013</v>
      </c>
      <c r="U364" s="145" t="s">
        <v>180</v>
      </c>
      <c r="V364" s="145" t="str">
        <f t="shared" si="354"/>
        <v>Pixel Mechanics</v>
      </c>
      <c r="AB364" s="33">
        <v>2013</v>
      </c>
      <c r="AC364" s="140">
        <f t="shared" si="355"/>
        <v>0</v>
      </c>
      <c r="AD364" s="140">
        <f t="shared" si="355"/>
        <v>20</v>
      </c>
      <c r="AE364" s="140">
        <f t="shared" si="355"/>
        <v>0</v>
      </c>
      <c r="AF364" s="140">
        <f t="shared" si="355"/>
        <v>0</v>
      </c>
      <c r="AG364" s="140">
        <f t="shared" si="355"/>
        <v>0</v>
      </c>
      <c r="AH364" s="251">
        <f t="shared" si="356"/>
        <v>600</v>
      </c>
      <c r="AI364" s="252"/>
      <c r="AJ364" s="140"/>
      <c r="AK364" s="140"/>
      <c r="AL364" s="176"/>
      <c r="AM364" s="139">
        <f t="shared" si="357"/>
        <v>0</v>
      </c>
      <c r="AN364" s="140">
        <f t="shared" si="357"/>
        <v>0</v>
      </c>
      <c r="AO364" s="140">
        <f t="shared" si="357"/>
        <v>0</v>
      </c>
      <c r="AP364" s="140">
        <f t="shared" si="357"/>
        <v>0</v>
      </c>
      <c r="AQ364" s="140">
        <f t="shared" si="357"/>
        <v>0</v>
      </c>
      <c r="AR364" s="140">
        <f t="shared" si="358"/>
        <v>0</v>
      </c>
      <c r="AS364" s="252"/>
    </row>
    <row r="365" spans="1:45" s="20" customFormat="1">
      <c r="A365" s="20" t="s">
        <v>67</v>
      </c>
      <c r="B365" s="20" t="s">
        <v>26</v>
      </c>
      <c r="C365" s="175">
        <v>1</v>
      </c>
      <c r="D365" s="100" t="s">
        <v>27</v>
      </c>
      <c r="E365" s="176">
        <v>50</v>
      </c>
      <c r="F365" s="177">
        <f t="shared" si="349"/>
        <v>50</v>
      </c>
      <c r="G365" s="178">
        <v>4</v>
      </c>
      <c r="H365" s="178">
        <v>0</v>
      </c>
      <c r="I365" s="178">
        <v>0</v>
      </c>
      <c r="J365" s="178">
        <v>0</v>
      </c>
      <c r="K365" s="179">
        <v>0</v>
      </c>
      <c r="L365" s="100" t="s">
        <v>8</v>
      </c>
      <c r="M365" s="176">
        <f t="shared" si="350"/>
        <v>1632.96</v>
      </c>
      <c r="N365" s="96">
        <v>4</v>
      </c>
      <c r="O365" s="176">
        <f t="shared" si="351"/>
        <v>1832.96</v>
      </c>
      <c r="P365" s="285"/>
      <c r="Q365" s="52" t="s">
        <v>46</v>
      </c>
      <c r="R365" s="75" t="s">
        <v>77</v>
      </c>
      <c r="S365" s="145" t="str">
        <f t="shared" si="352"/>
        <v>BPD2013</v>
      </c>
      <c r="T365" s="145" t="str">
        <f t="shared" si="353"/>
        <v>B1.2.12013</v>
      </c>
      <c r="U365" s="145" t="s">
        <v>180</v>
      </c>
      <c r="V365" s="145" t="str">
        <f t="shared" si="354"/>
        <v>Pixel Mechanics</v>
      </c>
      <c r="AB365" s="33">
        <v>2013</v>
      </c>
      <c r="AC365" s="140">
        <f t="shared" si="355"/>
        <v>16</v>
      </c>
      <c r="AD365" s="140">
        <f t="shared" si="355"/>
        <v>0</v>
      </c>
      <c r="AE365" s="140">
        <f t="shared" si="355"/>
        <v>0</v>
      </c>
      <c r="AF365" s="140">
        <f t="shared" si="355"/>
        <v>0</v>
      </c>
      <c r="AG365" s="140">
        <f t="shared" si="355"/>
        <v>0</v>
      </c>
      <c r="AH365" s="251">
        <f t="shared" si="356"/>
        <v>200</v>
      </c>
      <c r="AI365" s="252"/>
      <c r="AJ365" s="96"/>
      <c r="AK365" s="96"/>
      <c r="AL365" s="176"/>
      <c r="AM365" s="139">
        <f t="shared" si="357"/>
        <v>0</v>
      </c>
      <c r="AN365" s="140">
        <f t="shared" si="357"/>
        <v>0</v>
      </c>
      <c r="AO365" s="140">
        <f t="shared" si="357"/>
        <v>0</v>
      </c>
      <c r="AP365" s="140">
        <f t="shared" si="357"/>
        <v>0</v>
      </c>
      <c r="AQ365" s="140">
        <f t="shared" si="357"/>
        <v>0</v>
      </c>
      <c r="AR365" s="140">
        <f t="shared" si="358"/>
        <v>0</v>
      </c>
      <c r="AS365" s="252"/>
    </row>
    <row r="366" spans="1:45" s="20" customFormat="1">
      <c r="A366" s="20" t="s">
        <v>20</v>
      </c>
      <c r="B366" s="20" t="s">
        <v>33</v>
      </c>
      <c r="C366" s="175"/>
      <c r="D366" s="100"/>
      <c r="E366" s="176">
        <v>0</v>
      </c>
      <c r="F366" s="177">
        <f t="shared" si="349"/>
        <v>0</v>
      </c>
      <c r="G366" s="178">
        <v>0</v>
      </c>
      <c r="H366" s="178">
        <v>8</v>
      </c>
      <c r="I366" s="178">
        <v>0</v>
      </c>
      <c r="J366" s="178">
        <v>0</v>
      </c>
      <c r="K366" s="179">
        <v>0</v>
      </c>
      <c r="L366" s="100" t="s">
        <v>8</v>
      </c>
      <c r="M366" s="176">
        <f t="shared" si="350"/>
        <v>3032.6400000000003</v>
      </c>
      <c r="N366" s="96">
        <v>4</v>
      </c>
      <c r="O366" s="176">
        <f t="shared" si="351"/>
        <v>3032.6400000000003</v>
      </c>
      <c r="P366" s="285"/>
      <c r="Q366" s="52" t="s">
        <v>46</v>
      </c>
      <c r="R366" s="75" t="s">
        <v>77</v>
      </c>
      <c r="S366" s="145" t="str">
        <f t="shared" si="352"/>
        <v>BPD2013</v>
      </c>
      <c r="T366" s="145" t="str">
        <f t="shared" si="353"/>
        <v>B1.2.12013</v>
      </c>
      <c r="U366" s="145" t="s">
        <v>180</v>
      </c>
      <c r="V366" s="145" t="str">
        <f t="shared" si="354"/>
        <v>Pixel Mechanics</v>
      </c>
      <c r="AB366" s="33">
        <v>2013</v>
      </c>
      <c r="AC366" s="140">
        <f t="shared" si="355"/>
        <v>0</v>
      </c>
      <c r="AD366" s="140">
        <f t="shared" si="355"/>
        <v>32</v>
      </c>
      <c r="AE366" s="140">
        <f t="shared" si="355"/>
        <v>0</v>
      </c>
      <c r="AF366" s="140">
        <f t="shared" si="355"/>
        <v>0</v>
      </c>
      <c r="AG366" s="140">
        <f t="shared" si="355"/>
        <v>0</v>
      </c>
      <c r="AH366" s="251">
        <f t="shared" si="356"/>
        <v>0</v>
      </c>
      <c r="AI366" s="252"/>
      <c r="AJ366" s="140"/>
      <c r="AK366" s="140"/>
      <c r="AL366" s="176"/>
      <c r="AM366" s="139">
        <f t="shared" si="357"/>
        <v>0</v>
      </c>
      <c r="AN366" s="140">
        <f t="shared" si="357"/>
        <v>0</v>
      </c>
      <c r="AO366" s="140">
        <f t="shared" si="357"/>
        <v>0</v>
      </c>
      <c r="AP366" s="140">
        <f t="shared" si="357"/>
        <v>0</v>
      </c>
      <c r="AQ366" s="140">
        <f t="shared" si="357"/>
        <v>0</v>
      </c>
      <c r="AR366" s="140">
        <f t="shared" si="358"/>
        <v>0</v>
      </c>
      <c r="AS366" s="252"/>
    </row>
    <row r="367" spans="1:45" s="20" customFormat="1">
      <c r="A367" s="20" t="s">
        <v>21</v>
      </c>
      <c r="B367" s="20" t="s">
        <v>32</v>
      </c>
      <c r="C367" s="175">
        <v>1</v>
      </c>
      <c r="D367" s="100"/>
      <c r="E367" s="176">
        <v>1500</v>
      </c>
      <c r="F367" s="177">
        <f t="shared" si="349"/>
        <v>1500</v>
      </c>
      <c r="G367" s="178">
        <v>0</v>
      </c>
      <c r="H367" s="178">
        <v>0</v>
      </c>
      <c r="I367" s="178">
        <v>0</v>
      </c>
      <c r="J367" s="178">
        <v>0</v>
      </c>
      <c r="K367" s="179">
        <v>0</v>
      </c>
      <c r="L367" s="100" t="s">
        <v>8</v>
      </c>
      <c r="M367" s="176">
        <f t="shared" si="350"/>
        <v>0</v>
      </c>
      <c r="N367" s="96">
        <v>4</v>
      </c>
      <c r="O367" s="176">
        <f t="shared" si="351"/>
        <v>6000</v>
      </c>
      <c r="P367" s="285"/>
      <c r="Q367" s="52" t="s">
        <v>46</v>
      </c>
      <c r="R367" s="75" t="s">
        <v>77</v>
      </c>
      <c r="S367" s="145" t="str">
        <f t="shared" si="352"/>
        <v>BPD2013</v>
      </c>
      <c r="T367" s="145" t="str">
        <f t="shared" si="353"/>
        <v>B1.2.12013</v>
      </c>
      <c r="U367" s="145" t="s">
        <v>180</v>
      </c>
      <c r="V367" s="145" t="str">
        <f t="shared" si="354"/>
        <v>Pixel Mechanics</v>
      </c>
      <c r="AB367" s="33">
        <v>2013</v>
      </c>
      <c r="AC367" s="140">
        <f t="shared" si="355"/>
        <v>0</v>
      </c>
      <c r="AD367" s="140">
        <f t="shared" si="355"/>
        <v>0</v>
      </c>
      <c r="AE367" s="140">
        <f t="shared" si="355"/>
        <v>0</v>
      </c>
      <c r="AF367" s="140">
        <f t="shared" si="355"/>
        <v>0</v>
      </c>
      <c r="AG367" s="140">
        <f t="shared" si="355"/>
        <v>0</v>
      </c>
      <c r="AH367" s="251">
        <f t="shared" si="356"/>
        <v>6000</v>
      </c>
      <c r="AI367" s="289"/>
      <c r="AJ367" s="96" t="s">
        <v>70</v>
      </c>
      <c r="AK367" s="96"/>
      <c r="AL367" s="176" t="s">
        <v>71</v>
      </c>
      <c r="AM367" s="290">
        <f t="shared" si="357"/>
        <v>0</v>
      </c>
      <c r="AN367" s="291">
        <f t="shared" si="357"/>
        <v>0</v>
      </c>
      <c r="AO367" s="291">
        <f t="shared" si="357"/>
        <v>0</v>
      </c>
      <c r="AP367" s="291">
        <f t="shared" si="357"/>
        <v>0</v>
      </c>
      <c r="AQ367" s="291">
        <f t="shared" si="357"/>
        <v>0</v>
      </c>
      <c r="AR367" s="291">
        <f t="shared" si="358"/>
        <v>0</v>
      </c>
      <c r="AS367" s="289"/>
    </row>
    <row r="368" spans="1:45" s="20" customFormat="1">
      <c r="A368" s="20" t="s">
        <v>379</v>
      </c>
      <c r="C368" s="175"/>
      <c r="D368" s="100"/>
      <c r="E368" s="176"/>
      <c r="F368" s="177"/>
      <c r="G368" s="178"/>
      <c r="H368" s="178"/>
      <c r="I368" s="178"/>
      <c r="J368" s="178"/>
      <c r="K368" s="179"/>
      <c r="L368" s="234" t="s">
        <v>66</v>
      </c>
      <c r="M368" s="188">
        <f>SUMIF(Q361:Q367,"B",M361:M367)</f>
        <v>6561</v>
      </c>
      <c r="N368" s="69" t="s">
        <v>66</v>
      </c>
      <c r="O368" s="251"/>
      <c r="P368" s="285"/>
      <c r="Q368" s="52"/>
      <c r="R368" s="75"/>
      <c r="S368" s="145"/>
      <c r="T368" s="145"/>
      <c r="U368" s="145"/>
      <c r="V368" s="145"/>
      <c r="AB368" s="33"/>
      <c r="AC368" s="140"/>
      <c r="AD368" s="140"/>
      <c r="AE368" s="140"/>
      <c r="AF368" s="140"/>
      <c r="AG368" s="140"/>
      <c r="AH368" s="251"/>
      <c r="AI368" s="252"/>
      <c r="AJ368" s="140"/>
      <c r="AK368" s="140"/>
      <c r="AL368" s="176"/>
      <c r="AM368" s="139"/>
      <c r="AN368" s="140"/>
      <c r="AO368" s="140"/>
      <c r="AP368" s="140"/>
      <c r="AQ368" s="140"/>
      <c r="AR368" s="140"/>
      <c r="AS368" s="252"/>
    </row>
    <row r="369" spans="1:46" s="20" customFormat="1">
      <c r="A369" s="20" t="s">
        <v>17</v>
      </c>
      <c r="B369" s="20" t="s">
        <v>22</v>
      </c>
      <c r="C369" s="175">
        <v>4</v>
      </c>
      <c r="D369" s="100" t="s">
        <v>13</v>
      </c>
      <c r="E369" s="176">
        <v>10</v>
      </c>
      <c r="F369" s="177">
        <f t="shared" ref="F369:F375" si="359">E369*C369</f>
        <v>40</v>
      </c>
      <c r="G369" s="178">
        <v>0</v>
      </c>
      <c r="H369" s="178">
        <v>0</v>
      </c>
      <c r="I369" s="178">
        <v>0</v>
      </c>
      <c r="J369" s="178">
        <v>0</v>
      </c>
      <c r="K369" s="179">
        <v>0</v>
      </c>
      <c r="L369" s="100" t="s">
        <v>8</v>
      </c>
      <c r="M369" s="176">
        <f t="shared" ref="M369:M375" si="360">IF(R369="PD",((Shop*G369)+(M_Tech*H369)+(CMM*I369)+(ENG*J369)+(DES*K369))*N369,((Shop_RD*G369)+(MTECH_RD*H369)+(CMM_RD*I369)+(ENG_RD*J369)+(DES_RD*K369))*N369)</f>
        <v>0</v>
      </c>
      <c r="N369" s="96">
        <v>4</v>
      </c>
      <c r="O369" s="176">
        <f t="shared" ref="O369:O375" si="361">M369+(F369*N369)</f>
        <v>160</v>
      </c>
      <c r="P369" s="285"/>
      <c r="Q369" s="52" t="s">
        <v>46</v>
      </c>
      <c r="R369" s="75" t="s">
        <v>77</v>
      </c>
      <c r="S369" s="145" t="str">
        <f t="shared" ref="S369:S375" si="362">CONCATENATE(Q369,R369,AB369)</f>
        <v>BPD2014</v>
      </c>
      <c r="T369" s="145" t="str">
        <f t="shared" ref="T369:T375" si="363">CONCATENATE(Q369,U369,AB369)</f>
        <v>B1.2.12014</v>
      </c>
      <c r="U369" s="145" t="s">
        <v>180</v>
      </c>
      <c r="V369" s="145" t="str">
        <f t="shared" ref="V369:V375" si="364">LOOKUP(U369,$B$383:$B$420,$A$383:$A$420)</f>
        <v>Pixel Mechanics</v>
      </c>
      <c r="AB369" s="33">
        <v>2014</v>
      </c>
      <c r="AC369" s="140">
        <f t="shared" ref="AC369:AG375" si="365">IF($Q369="B", (G369*$N369),0)</f>
        <v>0</v>
      </c>
      <c r="AD369" s="140">
        <f t="shared" si="365"/>
        <v>0</v>
      </c>
      <c r="AE369" s="140">
        <f t="shared" si="365"/>
        <v>0</v>
      </c>
      <c r="AF369" s="140">
        <f t="shared" si="365"/>
        <v>0</v>
      </c>
      <c r="AG369" s="140">
        <f t="shared" si="365"/>
        <v>0</v>
      </c>
      <c r="AH369" s="251">
        <f t="shared" ref="AH369:AH375" si="366">IF($Q369="B", (F369*$N369),0)</f>
        <v>160</v>
      </c>
      <c r="AI369" s="252"/>
      <c r="AJ369" s="140"/>
      <c r="AK369" s="140"/>
      <c r="AL369" s="176"/>
      <c r="AM369" s="139">
        <f t="shared" ref="AM369:AQ375" si="367">IF($Q369="C", (G369*$N369),0)</f>
        <v>0</v>
      </c>
      <c r="AN369" s="140">
        <f t="shared" si="367"/>
        <v>0</v>
      </c>
      <c r="AO369" s="140">
        <f t="shared" si="367"/>
        <v>0</v>
      </c>
      <c r="AP369" s="140">
        <f t="shared" si="367"/>
        <v>0</v>
      </c>
      <c r="AQ369" s="140">
        <f t="shared" si="367"/>
        <v>0</v>
      </c>
      <c r="AR369" s="140">
        <f t="shared" ref="AR369:AR375" si="368">IF($Q369="C", (F369*$N369),0)</f>
        <v>0</v>
      </c>
      <c r="AS369" s="252"/>
    </row>
    <row r="370" spans="1:46" s="20" customFormat="1">
      <c r="A370" s="20" t="s">
        <v>18</v>
      </c>
      <c r="B370" s="20" t="s">
        <v>446</v>
      </c>
      <c r="C370" s="175">
        <v>1</v>
      </c>
      <c r="D370" s="100" t="s">
        <v>23</v>
      </c>
      <c r="E370" s="176">
        <v>100</v>
      </c>
      <c r="F370" s="177">
        <f t="shared" si="359"/>
        <v>100</v>
      </c>
      <c r="G370" s="178">
        <v>0</v>
      </c>
      <c r="H370" s="178">
        <v>0</v>
      </c>
      <c r="I370" s="178">
        <v>0</v>
      </c>
      <c r="J370" s="178">
        <v>0</v>
      </c>
      <c r="K370" s="179">
        <v>0</v>
      </c>
      <c r="L370" s="100" t="s">
        <v>8</v>
      </c>
      <c r="M370" s="176">
        <f t="shared" si="360"/>
        <v>0</v>
      </c>
      <c r="N370" s="96">
        <v>4</v>
      </c>
      <c r="O370" s="176">
        <f t="shared" si="361"/>
        <v>400</v>
      </c>
      <c r="P370" s="285"/>
      <c r="Q370" s="52" t="s">
        <v>46</v>
      </c>
      <c r="R370" s="75" t="s">
        <v>77</v>
      </c>
      <c r="S370" s="145" t="str">
        <f t="shared" si="362"/>
        <v>BPD2014</v>
      </c>
      <c r="T370" s="145" t="str">
        <f t="shared" si="363"/>
        <v>B1.2.12014</v>
      </c>
      <c r="U370" s="145" t="s">
        <v>180</v>
      </c>
      <c r="V370" s="145" t="str">
        <f t="shared" si="364"/>
        <v>Pixel Mechanics</v>
      </c>
      <c r="AB370" s="33">
        <v>2014</v>
      </c>
      <c r="AC370" s="140">
        <f t="shared" si="365"/>
        <v>0</v>
      </c>
      <c r="AD370" s="140">
        <f t="shared" si="365"/>
        <v>0</v>
      </c>
      <c r="AE370" s="140">
        <f t="shared" si="365"/>
        <v>0</v>
      </c>
      <c r="AF370" s="140">
        <f t="shared" si="365"/>
        <v>0</v>
      </c>
      <c r="AG370" s="140">
        <f t="shared" si="365"/>
        <v>0</v>
      </c>
      <c r="AH370" s="251">
        <f t="shared" si="366"/>
        <v>400</v>
      </c>
      <c r="AI370" s="252"/>
      <c r="AJ370" s="96"/>
      <c r="AK370" s="96"/>
      <c r="AL370" s="176"/>
      <c r="AM370" s="139">
        <f t="shared" si="367"/>
        <v>0</v>
      </c>
      <c r="AN370" s="140">
        <f t="shared" si="367"/>
        <v>0</v>
      </c>
      <c r="AO370" s="140">
        <f t="shared" si="367"/>
        <v>0</v>
      </c>
      <c r="AP370" s="140">
        <f t="shared" si="367"/>
        <v>0</v>
      </c>
      <c r="AQ370" s="140">
        <f t="shared" si="367"/>
        <v>0</v>
      </c>
      <c r="AR370" s="140">
        <f t="shared" si="368"/>
        <v>0</v>
      </c>
      <c r="AS370" s="252"/>
    </row>
    <row r="371" spans="1:46" s="20" customFormat="1">
      <c r="A371" s="20" t="s">
        <v>19</v>
      </c>
      <c r="B371" s="20" t="s">
        <v>24</v>
      </c>
      <c r="C371" s="175">
        <v>5</v>
      </c>
      <c r="D371" s="100" t="s">
        <v>25</v>
      </c>
      <c r="E371" s="176">
        <v>3</v>
      </c>
      <c r="F371" s="177">
        <f t="shared" si="359"/>
        <v>15</v>
      </c>
      <c r="G371" s="178">
        <v>0</v>
      </c>
      <c r="H371" s="178">
        <v>0</v>
      </c>
      <c r="I371" s="178">
        <v>0</v>
      </c>
      <c r="J371" s="178">
        <v>0</v>
      </c>
      <c r="K371" s="179">
        <v>0</v>
      </c>
      <c r="L371" s="100" t="s">
        <v>8</v>
      </c>
      <c r="M371" s="176">
        <f t="shared" si="360"/>
        <v>0</v>
      </c>
      <c r="N371" s="96">
        <v>4</v>
      </c>
      <c r="O371" s="176">
        <f t="shared" si="361"/>
        <v>60</v>
      </c>
      <c r="P371" s="285"/>
      <c r="Q371" s="52" t="s">
        <v>46</v>
      </c>
      <c r="R371" s="75" t="s">
        <v>77</v>
      </c>
      <c r="S371" s="145" t="str">
        <f t="shared" si="362"/>
        <v>BPD2014</v>
      </c>
      <c r="T371" s="145" t="str">
        <f t="shared" si="363"/>
        <v>B1.2.12014</v>
      </c>
      <c r="U371" s="145" t="s">
        <v>180</v>
      </c>
      <c r="V371" s="145" t="str">
        <f t="shared" si="364"/>
        <v>Pixel Mechanics</v>
      </c>
      <c r="AB371" s="33">
        <v>2014</v>
      </c>
      <c r="AC371" s="140">
        <f t="shared" si="365"/>
        <v>0</v>
      </c>
      <c r="AD371" s="140">
        <f t="shared" si="365"/>
        <v>0</v>
      </c>
      <c r="AE371" s="140">
        <f t="shared" si="365"/>
        <v>0</v>
      </c>
      <c r="AF371" s="140">
        <f t="shared" si="365"/>
        <v>0</v>
      </c>
      <c r="AG371" s="140">
        <f t="shared" si="365"/>
        <v>0</v>
      </c>
      <c r="AH371" s="251">
        <f t="shared" si="366"/>
        <v>60</v>
      </c>
      <c r="AI371" s="252"/>
      <c r="AJ371" s="96"/>
      <c r="AK371" s="96"/>
      <c r="AL371" s="176"/>
      <c r="AM371" s="139">
        <f t="shared" si="367"/>
        <v>0</v>
      </c>
      <c r="AN371" s="140">
        <f t="shared" si="367"/>
        <v>0</v>
      </c>
      <c r="AO371" s="140">
        <f t="shared" si="367"/>
        <v>0</v>
      </c>
      <c r="AP371" s="140">
        <f t="shared" si="367"/>
        <v>0</v>
      </c>
      <c r="AQ371" s="140">
        <f t="shared" si="367"/>
        <v>0</v>
      </c>
      <c r="AR371" s="140">
        <f t="shared" si="368"/>
        <v>0</v>
      </c>
      <c r="AS371" s="252"/>
    </row>
    <row r="372" spans="1:46" s="20" customFormat="1">
      <c r="A372" s="20" t="s">
        <v>68</v>
      </c>
      <c r="B372" s="20" t="s">
        <v>446</v>
      </c>
      <c r="C372" s="175">
        <v>1</v>
      </c>
      <c r="D372" s="100" t="s">
        <v>23</v>
      </c>
      <c r="E372" s="176">
        <v>150</v>
      </c>
      <c r="F372" s="177">
        <f t="shared" si="359"/>
        <v>150</v>
      </c>
      <c r="G372" s="178">
        <v>0</v>
      </c>
      <c r="H372" s="178">
        <v>5</v>
      </c>
      <c r="I372" s="178">
        <v>0</v>
      </c>
      <c r="J372" s="178">
        <v>0</v>
      </c>
      <c r="K372" s="179">
        <v>0</v>
      </c>
      <c r="L372" s="100" t="s">
        <v>8</v>
      </c>
      <c r="M372" s="176">
        <f t="shared" si="360"/>
        <v>1895.4</v>
      </c>
      <c r="N372" s="96">
        <v>4</v>
      </c>
      <c r="O372" s="176">
        <f t="shared" si="361"/>
        <v>2495.4</v>
      </c>
      <c r="P372" s="285"/>
      <c r="Q372" s="52" t="s">
        <v>46</v>
      </c>
      <c r="R372" s="75" t="s">
        <v>77</v>
      </c>
      <c r="S372" s="145" t="str">
        <f t="shared" si="362"/>
        <v>BPD2014</v>
      </c>
      <c r="T372" s="145" t="str">
        <f t="shared" si="363"/>
        <v>B1.2.12014</v>
      </c>
      <c r="U372" s="145" t="s">
        <v>180</v>
      </c>
      <c r="V372" s="145" t="str">
        <f t="shared" si="364"/>
        <v>Pixel Mechanics</v>
      </c>
      <c r="AB372" s="33">
        <v>2014</v>
      </c>
      <c r="AC372" s="140">
        <f t="shared" si="365"/>
        <v>0</v>
      </c>
      <c r="AD372" s="140">
        <f t="shared" si="365"/>
        <v>20</v>
      </c>
      <c r="AE372" s="140">
        <f t="shared" si="365"/>
        <v>0</v>
      </c>
      <c r="AF372" s="140">
        <f t="shared" si="365"/>
        <v>0</v>
      </c>
      <c r="AG372" s="140">
        <f t="shared" si="365"/>
        <v>0</v>
      </c>
      <c r="AH372" s="251">
        <f t="shared" si="366"/>
        <v>600</v>
      </c>
      <c r="AI372" s="252"/>
      <c r="AJ372" s="140"/>
      <c r="AK372" s="140"/>
      <c r="AL372" s="176"/>
      <c r="AM372" s="139">
        <f t="shared" si="367"/>
        <v>0</v>
      </c>
      <c r="AN372" s="140">
        <f t="shared" si="367"/>
        <v>0</v>
      </c>
      <c r="AO372" s="140">
        <f t="shared" si="367"/>
        <v>0</v>
      </c>
      <c r="AP372" s="140">
        <f t="shared" si="367"/>
        <v>0</v>
      </c>
      <c r="AQ372" s="140">
        <f t="shared" si="367"/>
        <v>0</v>
      </c>
      <c r="AR372" s="140">
        <f t="shared" si="368"/>
        <v>0</v>
      </c>
      <c r="AS372" s="252"/>
    </row>
    <row r="373" spans="1:46" s="20" customFormat="1">
      <c r="A373" s="20" t="s">
        <v>67</v>
      </c>
      <c r="B373" s="20" t="s">
        <v>26</v>
      </c>
      <c r="C373" s="175">
        <v>1</v>
      </c>
      <c r="D373" s="100" t="s">
        <v>27</v>
      </c>
      <c r="E373" s="176">
        <v>50</v>
      </c>
      <c r="F373" s="177">
        <f t="shared" si="359"/>
        <v>50</v>
      </c>
      <c r="G373" s="178">
        <v>4</v>
      </c>
      <c r="H373" s="178">
        <v>0</v>
      </c>
      <c r="I373" s="178">
        <v>0</v>
      </c>
      <c r="J373" s="178">
        <v>0</v>
      </c>
      <c r="K373" s="179">
        <v>0</v>
      </c>
      <c r="L373" s="100" t="s">
        <v>8</v>
      </c>
      <c r="M373" s="176">
        <f t="shared" si="360"/>
        <v>1632.96</v>
      </c>
      <c r="N373" s="96">
        <v>4</v>
      </c>
      <c r="O373" s="176">
        <f t="shared" si="361"/>
        <v>1832.96</v>
      </c>
      <c r="P373" s="285"/>
      <c r="Q373" s="52" t="s">
        <v>46</v>
      </c>
      <c r="R373" s="75" t="s">
        <v>77</v>
      </c>
      <c r="S373" s="145" t="str">
        <f t="shared" si="362"/>
        <v>BPD2014</v>
      </c>
      <c r="T373" s="145" t="str">
        <f t="shared" si="363"/>
        <v>B1.2.12014</v>
      </c>
      <c r="U373" s="145" t="s">
        <v>180</v>
      </c>
      <c r="V373" s="145" t="str">
        <f t="shared" si="364"/>
        <v>Pixel Mechanics</v>
      </c>
      <c r="AB373" s="33">
        <v>2014</v>
      </c>
      <c r="AC373" s="140">
        <f t="shared" si="365"/>
        <v>16</v>
      </c>
      <c r="AD373" s="140">
        <f t="shared" si="365"/>
        <v>0</v>
      </c>
      <c r="AE373" s="140">
        <f t="shared" si="365"/>
        <v>0</v>
      </c>
      <c r="AF373" s="140">
        <f t="shared" si="365"/>
        <v>0</v>
      </c>
      <c r="AG373" s="140">
        <f t="shared" si="365"/>
        <v>0</v>
      </c>
      <c r="AH373" s="251">
        <f t="shared" si="366"/>
        <v>200</v>
      </c>
      <c r="AI373" s="252"/>
      <c r="AJ373" s="96"/>
      <c r="AK373" s="96"/>
      <c r="AL373" s="176"/>
      <c r="AM373" s="139">
        <f t="shared" si="367"/>
        <v>0</v>
      </c>
      <c r="AN373" s="140">
        <f t="shared" si="367"/>
        <v>0</v>
      </c>
      <c r="AO373" s="140">
        <f t="shared" si="367"/>
        <v>0</v>
      </c>
      <c r="AP373" s="140">
        <f t="shared" si="367"/>
        <v>0</v>
      </c>
      <c r="AQ373" s="140">
        <f t="shared" si="367"/>
        <v>0</v>
      </c>
      <c r="AR373" s="140">
        <f t="shared" si="368"/>
        <v>0</v>
      </c>
      <c r="AS373" s="252"/>
    </row>
    <row r="374" spans="1:46" s="20" customFormat="1">
      <c r="A374" s="20" t="s">
        <v>20</v>
      </c>
      <c r="B374" s="20" t="s">
        <v>33</v>
      </c>
      <c r="C374" s="175"/>
      <c r="D374" s="100"/>
      <c r="E374" s="176">
        <v>0</v>
      </c>
      <c r="F374" s="177">
        <f t="shared" si="359"/>
        <v>0</v>
      </c>
      <c r="G374" s="178">
        <v>0</v>
      </c>
      <c r="H374" s="178">
        <v>8</v>
      </c>
      <c r="I374" s="178">
        <v>0</v>
      </c>
      <c r="J374" s="178">
        <v>0</v>
      </c>
      <c r="K374" s="179">
        <v>0</v>
      </c>
      <c r="L374" s="100" t="s">
        <v>8</v>
      </c>
      <c r="M374" s="176">
        <f t="shared" si="360"/>
        <v>3032.6400000000003</v>
      </c>
      <c r="N374" s="96">
        <v>4</v>
      </c>
      <c r="O374" s="176">
        <f t="shared" si="361"/>
        <v>3032.6400000000003</v>
      </c>
      <c r="P374" s="285"/>
      <c r="Q374" s="52" t="s">
        <v>46</v>
      </c>
      <c r="R374" s="75" t="s">
        <v>77</v>
      </c>
      <c r="S374" s="145" t="str">
        <f t="shared" si="362"/>
        <v>BPD2014</v>
      </c>
      <c r="T374" s="145" t="str">
        <f t="shared" si="363"/>
        <v>B1.2.12014</v>
      </c>
      <c r="U374" s="145" t="s">
        <v>180</v>
      </c>
      <c r="V374" s="145" t="str">
        <f t="shared" si="364"/>
        <v>Pixel Mechanics</v>
      </c>
      <c r="AB374" s="33">
        <v>2014</v>
      </c>
      <c r="AC374" s="140">
        <f t="shared" si="365"/>
        <v>0</v>
      </c>
      <c r="AD374" s="140">
        <f t="shared" si="365"/>
        <v>32</v>
      </c>
      <c r="AE374" s="140">
        <f t="shared" si="365"/>
        <v>0</v>
      </c>
      <c r="AF374" s="140">
        <f t="shared" si="365"/>
        <v>0</v>
      </c>
      <c r="AG374" s="140">
        <f t="shared" si="365"/>
        <v>0</v>
      </c>
      <c r="AH374" s="251">
        <f t="shared" si="366"/>
        <v>0</v>
      </c>
      <c r="AI374" s="252"/>
      <c r="AJ374" s="140"/>
      <c r="AK374" s="140"/>
      <c r="AL374" s="176"/>
      <c r="AM374" s="139">
        <f t="shared" si="367"/>
        <v>0</v>
      </c>
      <c r="AN374" s="140">
        <f t="shared" si="367"/>
        <v>0</v>
      </c>
      <c r="AO374" s="140">
        <f t="shared" si="367"/>
        <v>0</v>
      </c>
      <c r="AP374" s="140">
        <f t="shared" si="367"/>
        <v>0</v>
      </c>
      <c r="AQ374" s="140">
        <f t="shared" si="367"/>
        <v>0</v>
      </c>
      <c r="AR374" s="140">
        <f t="shared" si="368"/>
        <v>0</v>
      </c>
      <c r="AS374" s="252"/>
    </row>
    <row r="375" spans="1:46" s="20" customFormat="1">
      <c r="A375" s="20" t="s">
        <v>21</v>
      </c>
      <c r="B375" s="20" t="s">
        <v>32</v>
      </c>
      <c r="C375" s="175">
        <v>1</v>
      </c>
      <c r="D375" s="100"/>
      <c r="E375" s="176">
        <v>1500</v>
      </c>
      <c r="F375" s="286">
        <f t="shared" si="359"/>
        <v>1500</v>
      </c>
      <c r="G375" s="287">
        <v>0</v>
      </c>
      <c r="H375" s="287">
        <v>0</v>
      </c>
      <c r="I375" s="287">
        <v>0</v>
      </c>
      <c r="J375" s="287">
        <v>0</v>
      </c>
      <c r="K375" s="288">
        <v>0</v>
      </c>
      <c r="L375" s="100" t="s">
        <v>8</v>
      </c>
      <c r="M375" s="176">
        <f t="shared" si="360"/>
        <v>0</v>
      </c>
      <c r="N375" s="96">
        <v>4</v>
      </c>
      <c r="O375" s="176">
        <f t="shared" si="361"/>
        <v>6000</v>
      </c>
      <c r="P375" s="285"/>
      <c r="Q375" s="52" t="s">
        <v>46</v>
      </c>
      <c r="R375" s="75" t="s">
        <v>77</v>
      </c>
      <c r="S375" s="145" t="str">
        <f t="shared" si="362"/>
        <v>BPD2014</v>
      </c>
      <c r="T375" s="145" t="str">
        <f t="shared" si="363"/>
        <v>B1.2.12014</v>
      </c>
      <c r="U375" s="145" t="s">
        <v>180</v>
      </c>
      <c r="V375" s="145" t="str">
        <f t="shared" si="364"/>
        <v>Pixel Mechanics</v>
      </c>
      <c r="AB375" s="33">
        <v>2014</v>
      </c>
      <c r="AC375" s="140">
        <f t="shared" si="365"/>
        <v>0</v>
      </c>
      <c r="AD375" s="140">
        <f t="shared" si="365"/>
        <v>0</v>
      </c>
      <c r="AE375" s="140">
        <f t="shared" si="365"/>
        <v>0</v>
      </c>
      <c r="AF375" s="140">
        <f t="shared" si="365"/>
        <v>0</v>
      </c>
      <c r="AG375" s="140">
        <f t="shared" si="365"/>
        <v>0</v>
      </c>
      <c r="AH375" s="251">
        <f t="shared" si="366"/>
        <v>6000</v>
      </c>
      <c r="AI375" s="289"/>
      <c r="AJ375" s="96" t="s">
        <v>70</v>
      </c>
      <c r="AK375" s="96"/>
      <c r="AL375" s="176" t="s">
        <v>71</v>
      </c>
      <c r="AM375" s="290">
        <f t="shared" si="367"/>
        <v>0</v>
      </c>
      <c r="AN375" s="291">
        <f t="shared" si="367"/>
        <v>0</v>
      </c>
      <c r="AO375" s="291">
        <f t="shared" si="367"/>
        <v>0</v>
      </c>
      <c r="AP375" s="291">
        <f t="shared" si="367"/>
        <v>0</v>
      </c>
      <c r="AQ375" s="291">
        <f t="shared" si="367"/>
        <v>0</v>
      </c>
      <c r="AR375" s="291">
        <f t="shared" si="368"/>
        <v>0</v>
      </c>
      <c r="AS375" s="289"/>
    </row>
    <row r="376" spans="1:46" ht="13.5" thickBot="1">
      <c r="A376" s="21" t="s">
        <v>69</v>
      </c>
      <c r="B376" s="3"/>
      <c r="C376" s="181"/>
      <c r="D376" s="15"/>
      <c r="E376" s="182"/>
      <c r="F376" s="182"/>
      <c r="G376" s="181"/>
      <c r="H376" s="181"/>
      <c r="I376" s="181"/>
      <c r="J376" s="181"/>
      <c r="K376" s="181"/>
      <c r="L376" s="15"/>
      <c r="M376" s="182">
        <f>SUM(M353:M375)</f>
        <v>26244</v>
      </c>
      <c r="N376" s="379" t="s">
        <v>65</v>
      </c>
      <c r="O376" s="380"/>
      <c r="P376" s="381"/>
      <c r="Q376" s="53"/>
      <c r="R376" s="78"/>
      <c r="S376" s="146"/>
      <c r="T376" s="146"/>
      <c r="U376" s="146"/>
      <c r="V376" s="146"/>
      <c r="W376" s="15"/>
      <c r="X376" s="12"/>
      <c r="Y376" s="12"/>
      <c r="Z376" s="12"/>
      <c r="AA376" s="12"/>
      <c r="AB376" s="34"/>
      <c r="AC376" s="248">
        <f>SUM(AC353:AC375)</f>
        <v>40</v>
      </c>
      <c r="AD376" s="248">
        <f>SUM(AD353:AD375)</f>
        <v>130</v>
      </c>
      <c r="AE376" s="248">
        <f>SUM(AE353:AE375)</f>
        <v>0</v>
      </c>
      <c r="AF376" s="248">
        <f>SUM(AF353:AF375)</f>
        <v>0</v>
      </c>
      <c r="AG376" s="248">
        <f>SUM(AG353:AG375)</f>
        <v>0</v>
      </c>
      <c r="AH376" s="248"/>
      <c r="AI376" s="292">
        <f>SUM(AH353:AH359)</f>
        <v>3710</v>
      </c>
      <c r="AJ376" s="261">
        <f>(Shop*AC376)+M_Tech*AD376+CMM*AE376+ENG*AF376+DES*AG376+AI376</f>
        <v>20112.500000000004</v>
      </c>
      <c r="AK376" s="182"/>
      <c r="AL376" s="183">
        <f>Shop*AM376+M_Tech*AN376+CMM*AO376+ENG*AP376+DES*AQ376+AS376</f>
        <v>0</v>
      </c>
      <c r="AM376" s="248">
        <f>SUM(AM353:AM359)</f>
        <v>0</v>
      </c>
      <c r="AN376" s="248">
        <f>SUM(AN353:AN359)</f>
        <v>0</v>
      </c>
      <c r="AO376" s="248">
        <f>AC376*SUM(AO353:AO359)</f>
        <v>0</v>
      </c>
      <c r="AP376" s="248">
        <f>SUM(AP353:AP359)</f>
        <v>0</v>
      </c>
      <c r="AQ376" s="248">
        <f>SUM(AQ353:AQ359)</f>
        <v>0</v>
      </c>
      <c r="AR376" s="248"/>
      <c r="AS376" s="292">
        <f>SUM(AR353:AR359)</f>
        <v>0</v>
      </c>
    </row>
    <row r="377" spans="1:46" ht="13.5" thickBot="1">
      <c r="J377" s="162"/>
      <c r="K377" s="162"/>
      <c r="N377" s="7"/>
      <c r="O377" s="361"/>
      <c r="P377" s="56"/>
      <c r="Q377" s="38"/>
      <c r="R377" s="38"/>
      <c r="S377" s="148"/>
      <c r="T377" s="148"/>
      <c r="U377" s="148"/>
      <c r="V377" s="148"/>
      <c r="W377" s="39"/>
      <c r="X377" s="40"/>
      <c r="Y377" s="40"/>
      <c r="Z377" s="40"/>
      <c r="AA377" s="40">
        <f>SUM(AA5:AA376)</f>
        <v>0</v>
      </c>
      <c r="AB377" s="41"/>
      <c r="AC377" s="265">
        <f>SUMIF($Q5:$Q375,"B",AC5:AC375)</f>
        <v>1932.25</v>
      </c>
      <c r="AD377" s="262">
        <f>SUMIF($Q5:$Q375,"B",AD5:AD375)</f>
        <v>4749</v>
      </c>
      <c r="AE377" s="262">
        <f>SUMIF($Q5:$Q375,"B",AE5:AE375)</f>
        <v>620</v>
      </c>
      <c r="AF377" s="262">
        <f>SUMIF($Q5:$Q375,"B",AF5:AF375)</f>
        <v>4685</v>
      </c>
      <c r="AG377" s="262">
        <f>SUMIF($Q5:$Q375,"B",AG5:AG375)</f>
        <v>16</v>
      </c>
      <c r="AH377" s="262"/>
      <c r="AI377" s="264">
        <f ca="1">SUM(AI4:AI376)</f>
        <v>144282</v>
      </c>
      <c r="AJ377" s="39"/>
      <c r="AK377" s="39"/>
      <c r="AM377" s="265">
        <f>SUMIF($Q5:$Q375,"C",AM5:AM375)</f>
        <v>1311.25</v>
      </c>
      <c r="AN377" s="262">
        <f>SUMIF($Q5:$Q375,"C",AN5:AN375)</f>
        <v>1422</v>
      </c>
      <c r="AO377" s="262">
        <f>SUMIF($Q5:$Q375,"C",AO5:AO375)</f>
        <v>156</v>
      </c>
      <c r="AP377" s="262">
        <f>SUMIF($Q5:$Q375,"C",AP5:AP375)</f>
        <v>1528</v>
      </c>
      <c r="AQ377" s="262">
        <f>SUMIF($Q5:$Q375,"C",AQ5:AQ375)</f>
        <v>0</v>
      </c>
      <c r="AR377" s="293"/>
      <c r="AS377" s="264">
        <f>SUM(AS4:AS376)</f>
        <v>57757</v>
      </c>
    </row>
    <row r="378" spans="1:46" ht="13.5" thickBot="1">
      <c r="A378" s="17"/>
      <c r="B378" s="17"/>
      <c r="C378" s="204"/>
      <c r="D378" s="238"/>
      <c r="E378" s="205"/>
      <c r="F378" s="205"/>
      <c r="G378" s="204"/>
      <c r="H378" s="206"/>
      <c r="I378" s="206"/>
      <c r="J378" s="207"/>
      <c r="K378" s="207"/>
      <c r="L378" s="232"/>
      <c r="M378" s="6"/>
      <c r="N378" s="208"/>
      <c r="O378" s="362"/>
      <c r="P378" s="6"/>
      <c r="W378" s="6"/>
      <c r="X378" s="11"/>
      <c r="Y378" s="11"/>
      <c r="Z378" s="11"/>
      <c r="AA378" s="11"/>
      <c r="AB378" s="23"/>
      <c r="AC378" s="6" t="s">
        <v>11</v>
      </c>
      <c r="AD378" s="6" t="s">
        <v>10</v>
      </c>
      <c r="AE378" s="6" t="s">
        <v>37</v>
      </c>
      <c r="AF378" s="6" t="s">
        <v>30</v>
      </c>
      <c r="AG378" s="6" t="s">
        <v>31</v>
      </c>
      <c r="AH378" s="6"/>
      <c r="AI378" s="6" t="s">
        <v>16</v>
      </c>
      <c r="AJ378" s="6"/>
      <c r="AK378" s="6"/>
      <c r="AM378" s="6" t="s">
        <v>11</v>
      </c>
      <c r="AN378" s="6" t="s">
        <v>10</v>
      </c>
      <c r="AO378" s="6" t="s">
        <v>37</v>
      </c>
      <c r="AP378" s="6" t="s">
        <v>30</v>
      </c>
      <c r="AQ378" s="6" t="s">
        <v>31</v>
      </c>
      <c r="AR378" s="6"/>
      <c r="AS378" s="6" t="s">
        <v>16</v>
      </c>
    </row>
    <row r="379" spans="1:46" s="20" customFormat="1" ht="13.5" thickBot="1">
      <c r="A379" s="18"/>
      <c r="B379" s="18"/>
      <c r="C379" s="209"/>
      <c r="D379" s="239"/>
      <c r="E379" s="210"/>
      <c r="F379" s="210"/>
      <c r="G379" s="209"/>
      <c r="H379" s="211"/>
      <c r="I379" s="211"/>
      <c r="J379" s="212"/>
      <c r="K379" s="212"/>
      <c r="L379" s="235"/>
      <c r="M379" s="153"/>
      <c r="N379" s="213"/>
      <c r="O379" s="363"/>
      <c r="P379" s="153"/>
      <c r="Q379" s="80"/>
      <c r="R379" s="80"/>
      <c r="S379" s="100"/>
      <c r="T379" s="100"/>
      <c r="U379" s="100"/>
      <c r="V379" s="100"/>
      <c r="W379" s="153"/>
      <c r="X379" s="154"/>
      <c r="Y379" s="154"/>
      <c r="Z379" s="154"/>
      <c r="AA379" s="154"/>
      <c r="AB379" s="155" t="s">
        <v>332</v>
      </c>
      <c r="AC379" s="265">
        <f>AC46+AC93+AC233+AC376+AC295+AC349+AC155</f>
        <v>1932.25</v>
      </c>
      <c r="AD379" s="262">
        <f>AD46+AD93+AD233+AD376+AD295+AD349+AD155</f>
        <v>4749</v>
      </c>
      <c r="AE379" s="262">
        <f>AE46+AE93+AE233+AE376+AE295+AE349+AE155</f>
        <v>620</v>
      </c>
      <c r="AF379" s="262">
        <f>AF46+AF93+AF233+AF376+AF295+AF349+AF155</f>
        <v>4685</v>
      </c>
      <c r="AG379" s="262">
        <f>AG46+AG93+AG233+AG376+AG295+AG349+AG155</f>
        <v>16</v>
      </c>
      <c r="AH379" s="263"/>
      <c r="AI379" s="264">
        <f ca="1">SUM(AI4:AI376)</f>
        <v>144282</v>
      </c>
      <c r="AJ379" s="153"/>
      <c r="AK379" s="153"/>
      <c r="AL379" s="176"/>
      <c r="AM379" s="265">
        <f>AM46+AM93+AM233+AM376+AM295+AM349+AM155</f>
        <v>1311.25</v>
      </c>
      <c r="AN379" s="262">
        <f>AN46+AN93+AN233+AN376+AN295+AN349+AN155</f>
        <v>1422</v>
      </c>
      <c r="AO379" s="262">
        <f>AO46+AO93+AO233+AO376+AO295+AO349+AO155</f>
        <v>156</v>
      </c>
      <c r="AP379" s="262">
        <f>AP46+AP93+AP233+AP376+AP295+AP349+AP155</f>
        <v>1528</v>
      </c>
      <c r="AQ379" s="262">
        <f>AQ46+AQ93+AQ233+AQ376+AQ295+AQ349+AQ155</f>
        <v>0</v>
      </c>
      <c r="AR379" s="263"/>
      <c r="AS379" s="264">
        <f>SUM(AS4:AS376)</f>
        <v>57757</v>
      </c>
      <c r="AT379" s="156" t="s">
        <v>332</v>
      </c>
    </row>
    <row r="380" spans="1:46" ht="13.5" thickBot="1">
      <c r="A380" s="16"/>
      <c r="B380" s="17"/>
      <c r="C380" s="204"/>
      <c r="D380" s="238"/>
      <c r="E380" s="205"/>
      <c r="F380" s="205"/>
      <c r="G380" s="204"/>
      <c r="H380" s="206"/>
      <c r="I380" s="206"/>
      <c r="J380" s="207"/>
      <c r="K380" s="207"/>
      <c r="L380" s="232"/>
      <c r="M380" s="214"/>
      <c r="N380" s="208"/>
      <c r="O380" s="362"/>
      <c r="P380" s="215"/>
      <c r="W380" s="6"/>
      <c r="X380" s="11"/>
      <c r="Y380" s="11"/>
      <c r="Z380" s="11"/>
      <c r="AA380" s="11"/>
      <c r="AB380" s="23"/>
      <c r="AC380" s="6"/>
      <c r="AD380" s="6"/>
      <c r="AE380" s="6"/>
      <c r="AF380" s="6"/>
      <c r="AG380" s="6"/>
    </row>
    <row r="381" spans="1:46" ht="13.5" thickBot="1">
      <c r="A381" s="16"/>
      <c r="B381" s="9"/>
      <c r="C381" s="216"/>
      <c r="D381" s="240"/>
      <c r="E381" s="217"/>
      <c r="F381" s="217"/>
      <c r="G381" s="216"/>
      <c r="AH381" s="6" t="s">
        <v>72</v>
      </c>
      <c r="AI381" s="266">
        <f ca="1">(AC379*Shop)+(AD379*M_Tech)+(AE379*CMM)+(AF379*ENG)+(AG379*DES)+AI377+(Shop*AM379)+(M_Tech*AN379)+(CMM*AO379)+(ENG*AP379)+(DES*AQ379)+AS379</f>
        <v>1953594.3400000003</v>
      </c>
      <c r="AJ381" s="267">
        <f ca="1">AI402+AS402</f>
        <v>1976466.9850000001</v>
      </c>
      <c r="AK381" s="267"/>
      <c r="AL381" s="160" t="s">
        <v>174</v>
      </c>
    </row>
    <row r="382" spans="1:46" ht="13.5" thickBot="1">
      <c r="A382" s="16" t="str">
        <f>'WBS in Estimate'!E7</f>
        <v>Description</v>
      </c>
      <c r="B382" s="9" t="str">
        <f>'WBS in Estimate'!D7</f>
        <v>WBS</v>
      </c>
      <c r="C382" s="216"/>
      <c r="D382" s="240"/>
      <c r="E382" s="217"/>
      <c r="F382" s="217"/>
      <c r="G382" s="216"/>
      <c r="O382" s="364">
        <v>2009</v>
      </c>
      <c r="Q382" s="52" t="s">
        <v>46</v>
      </c>
      <c r="U382" s="145" t="s">
        <v>184</v>
      </c>
      <c r="V382" s="100">
        <f>SUMIF(T4:T375,CONCATENATE(Q382,U382,O382),AC4:AC375)</f>
        <v>0</v>
      </c>
      <c r="W382" s="116">
        <f>SUMIF($T$5:$T$359,CONCATENATE(Q382,#REF!,O382),$O$5:$O$359)</f>
        <v>0</v>
      </c>
      <c r="X382" s="116">
        <f>SUMIF($T$5:$T$359,CONCATENATE(Q382,#REF!,Y382),$O$5:$O$359)</f>
        <v>0</v>
      </c>
      <c r="Y382" s="33">
        <v>2009</v>
      </c>
    </row>
    <row r="383" spans="1:46" ht="15.75" thickTop="1">
      <c r="A383" s="16" t="str">
        <f>'WBS in Estimate'!E8</f>
        <v>Pixel Mechanics</v>
      </c>
      <c r="B383" s="9" t="str">
        <f>'WBS in Estimate'!D8</f>
        <v>1.2.1</v>
      </c>
      <c r="C383" s="408" t="s">
        <v>212</v>
      </c>
      <c r="D383" s="409"/>
      <c r="E383" s="409"/>
      <c r="F383" s="409"/>
      <c r="G383" s="409"/>
      <c r="H383" s="409"/>
      <c r="I383" s="409"/>
      <c r="J383" s="409"/>
      <c r="K383" s="409"/>
      <c r="L383" s="409"/>
      <c r="O383" s="364">
        <v>2009</v>
      </c>
      <c r="Q383" s="52" t="s">
        <v>46</v>
      </c>
      <c r="U383" s="145" t="s">
        <v>180</v>
      </c>
      <c r="W383" s="116">
        <f>SUMIF($T$5:$T$359,CONCATENATE(Q383,#REF!,O383),$O$5:$O$359)</f>
        <v>0</v>
      </c>
      <c r="X383" s="116">
        <f>SUMIF($T$5:$T$359,CONCATENATE(Q383,#REF!,Y383),$O$5:$O$359)</f>
        <v>0</v>
      </c>
      <c r="Y383" s="33">
        <v>2009</v>
      </c>
      <c r="AC383" s="422" t="s">
        <v>48</v>
      </c>
      <c r="AD383" s="423"/>
      <c r="AE383" s="423"/>
      <c r="AF383" s="423"/>
      <c r="AG383" s="423"/>
      <c r="AH383" s="423"/>
      <c r="AI383" s="424"/>
      <c r="AJ383" s="244"/>
      <c r="AK383" s="244"/>
      <c r="AM383" s="425" t="s">
        <v>49</v>
      </c>
      <c r="AN383" s="426"/>
      <c r="AO383" s="426"/>
      <c r="AP383" s="426"/>
      <c r="AQ383" s="426"/>
      <c r="AR383" s="426"/>
      <c r="AS383" s="427"/>
    </row>
    <row r="384" spans="1:46">
      <c r="A384" s="16" t="str">
        <f>'WBS in Estimate'!E9</f>
        <v>Module Support (Sector)</v>
      </c>
      <c r="B384" s="9" t="str">
        <f>'WBS in Estimate'!D9</f>
        <v>1.2.1.1</v>
      </c>
      <c r="C384" s="218"/>
      <c r="D384" s="240"/>
      <c r="E384" s="217"/>
      <c r="F384" s="217"/>
      <c r="G384" s="218"/>
      <c r="L384" s="236"/>
      <c r="O384" s="364">
        <v>2009</v>
      </c>
      <c r="Q384" s="52" t="s">
        <v>46</v>
      </c>
      <c r="U384" s="145" t="s">
        <v>180</v>
      </c>
      <c r="W384" s="116">
        <f>SUMIF($T$5:$T$359,CONCATENATE(Q384,#REF!,O384),$O$5:$O$359)</f>
        <v>0</v>
      </c>
      <c r="X384" s="116">
        <f>SUMIF($T$5:$T$359,CONCATENATE(Q384,#REF!,Y384),$O$5:$O$359)</f>
        <v>0</v>
      </c>
      <c r="Y384" s="33">
        <v>2009</v>
      </c>
      <c r="AB384" s="24"/>
      <c r="AC384" s="25" t="s">
        <v>11</v>
      </c>
      <c r="AD384" s="14" t="s">
        <v>10</v>
      </c>
      <c r="AE384" s="14" t="s">
        <v>37</v>
      </c>
      <c r="AF384" s="14" t="s">
        <v>30</v>
      </c>
      <c r="AG384" s="14" t="s">
        <v>31</v>
      </c>
      <c r="AH384" s="14" t="s">
        <v>16</v>
      </c>
      <c r="AI384" s="268"/>
      <c r="AL384" s="82"/>
      <c r="AM384" s="28" t="s">
        <v>11</v>
      </c>
      <c r="AN384" s="14" t="s">
        <v>10</v>
      </c>
      <c r="AO384" s="14" t="s">
        <v>37</v>
      </c>
      <c r="AP384" s="14" t="s">
        <v>30</v>
      </c>
      <c r="AQ384" s="14" t="s">
        <v>31</v>
      </c>
      <c r="AR384" s="14" t="s">
        <v>16</v>
      </c>
      <c r="AS384" s="269"/>
    </row>
    <row r="385" spans="1:45">
      <c r="A385" s="16" t="str">
        <f>'WBS in Estimate'!E10</f>
        <v>Sector Mechanical Prototypes</v>
      </c>
      <c r="B385" s="9" t="str">
        <f>'WBS in Estimate'!D10</f>
        <v>1.2.1.1.1</v>
      </c>
      <c r="C385" s="218"/>
      <c r="D385" s="240"/>
      <c r="E385" s="217"/>
      <c r="F385" s="217"/>
      <c r="G385" s="218"/>
      <c r="L385" s="236"/>
      <c r="O385" s="364">
        <v>2009</v>
      </c>
      <c r="Q385" s="52" t="s">
        <v>46</v>
      </c>
      <c r="U385" s="145" t="s">
        <v>180</v>
      </c>
      <c r="W385" s="116">
        <f>SUMIF($T$5:$T$359,CONCATENATE(Q385,#REF!,O385),$O$5:$O$359)</f>
        <v>0</v>
      </c>
      <c r="X385" s="116">
        <f>SUMIF($T$5:$T$359,CONCATENATE(Q385,#REF!,Y385),$O$5:$O$359)</f>
        <v>0</v>
      </c>
      <c r="Y385" s="33">
        <v>2009</v>
      </c>
      <c r="AB385" s="22">
        <v>2009</v>
      </c>
      <c r="AC385" s="270">
        <f>SUMIF($AB$5:$AB376,$AB385,AC$5:AC376)</f>
        <v>0</v>
      </c>
      <c r="AD385" s="271">
        <f>SUMIF($AB$5:$AB376,$AB385,AD$5:AD376)</f>
        <v>0</v>
      </c>
      <c r="AE385" s="271">
        <f>SUMIF($AB$5:$AB376,$AB385,AE$5:AE376)</f>
        <v>0</v>
      </c>
      <c r="AF385" s="271">
        <f>SUMIF($AB$5:$AB376,$AB385,AF$5:AF376)</f>
        <v>0</v>
      </c>
      <c r="AG385" s="271">
        <f>SUMIF($AB$5:$AB376,$AB385,AG$5:AG376)</f>
        <v>0</v>
      </c>
      <c r="AH385" s="272">
        <f>SUMIF($AB$5:$AB376,$AB385,AH$5:AH376)</f>
        <v>0</v>
      </c>
      <c r="AI385" s="268"/>
      <c r="AL385" s="82">
        <f>AB385</f>
        <v>2009</v>
      </c>
      <c r="AM385" s="273">
        <f>SUMIF($AB$5:$AB376,$AB385,AM$5:AM376)</f>
        <v>0</v>
      </c>
      <c r="AN385" s="271">
        <f>SUMIF($AB$5:$AB376,$AB385,AN$5:AN376)</f>
        <v>0</v>
      </c>
      <c r="AO385" s="271">
        <f>SUMIF($AB$5:$AB376,$AB385,AO$5:AO376)</f>
        <v>0</v>
      </c>
      <c r="AP385" s="271">
        <f>SUMIF($AB$5:$AB376,$AB385,AP$5:AP376)</f>
        <v>0</v>
      </c>
      <c r="AQ385" s="271">
        <f>SUMIF($AB$5:$AB376,$AB385,AQ$5:AQ376)</f>
        <v>0</v>
      </c>
      <c r="AR385" s="272">
        <f>SUMIF($AB$5:$AB376,$AB385,AR$5:AR376)</f>
        <v>0</v>
      </c>
      <c r="AS385" s="269"/>
    </row>
    <row r="386" spans="1:45">
      <c r="A386" s="16" t="str">
        <f>'WBS in Estimate'!E11</f>
        <v>Production Sectors</v>
      </c>
      <c r="B386" s="9" t="str">
        <f>'WBS in Estimate'!D11</f>
        <v>1.2.1.1.2</v>
      </c>
      <c r="C386" s="219"/>
      <c r="D386" s="241"/>
      <c r="E386" s="220"/>
      <c r="F386" s="220"/>
      <c r="G386" s="219"/>
      <c r="L386" s="236"/>
      <c r="O386" s="364">
        <v>2009</v>
      </c>
      <c r="Q386" s="52" t="s">
        <v>46</v>
      </c>
      <c r="U386" s="145" t="s">
        <v>180</v>
      </c>
      <c r="W386" s="116">
        <f>SUMIF($T$5:$T$359,CONCATENATE(Q386,#REF!,O386),$O$5:$O$359)</f>
        <v>0</v>
      </c>
      <c r="X386" s="116">
        <f>SUMIF($T$5:$T$359,CONCATENATE(Q386,#REF!,Y386),$O$5:$O$359)</f>
        <v>0</v>
      </c>
      <c r="Y386" s="33">
        <v>2009</v>
      </c>
      <c r="AB386" s="22">
        <v>2010</v>
      </c>
      <c r="AC386" s="270">
        <f>SUMIF($AB$5:$AB377,$AB386,AC$5:AC379)</f>
        <v>234</v>
      </c>
      <c r="AD386" s="271">
        <f>SUMIF($AB$5:$AB377,$AB386,AD$5:AD379)</f>
        <v>721</v>
      </c>
      <c r="AE386" s="271">
        <f>SUMIF($AB$5:$AB377,$AB386,AE$5:AE379)</f>
        <v>108</v>
      </c>
      <c r="AF386" s="271">
        <f>SUMIF($AB$5:$AB359,$AB386,AF$5:AF359)</f>
        <v>1115</v>
      </c>
      <c r="AG386" s="271">
        <f>SUMIF($AB$5:$AB377,$AB386,AG$5:AG379)</f>
        <v>0</v>
      </c>
      <c r="AH386" s="272">
        <f>SUMIF($AB$5:$AB377,$AB386,AH$5:AH379)</f>
        <v>31556.5</v>
      </c>
      <c r="AI386" s="268"/>
      <c r="AL386" s="82">
        <f t="shared" ref="AL386:AL392" si="369">AB386</f>
        <v>2010</v>
      </c>
      <c r="AM386" s="273">
        <f>SUMIF($AB$5:$AB377,$AB386,AM$5:AM379)</f>
        <v>48</v>
      </c>
      <c r="AN386" s="271">
        <f>SUMIF($AB$5:$AB377,$AB386,AN$5:AN379)</f>
        <v>32</v>
      </c>
      <c r="AO386" s="271">
        <f>SUMIF($AB$5:$AB377,$AB386,AO$5:AO379)</f>
        <v>0</v>
      </c>
      <c r="AP386" s="271">
        <f>SUMIF($AB$5:$AB377,$AB386,AP$5:AP379)</f>
        <v>12</v>
      </c>
      <c r="AQ386" s="271">
        <f>SUMIF($AB$5:$AB377,$AB386,AQ$5:AQ379)</f>
        <v>0</v>
      </c>
      <c r="AR386" s="272">
        <f>SUMIF($AB$5:$AB377,$AB386,AR$5:AR379)</f>
        <v>153</v>
      </c>
      <c r="AS386" s="269"/>
    </row>
    <row r="387" spans="1:45">
      <c r="A387" s="16" t="str">
        <f>'WBS in Estimate'!E12</f>
        <v>D-Tube and Kinematic Mounts</v>
      </c>
      <c r="B387" s="9" t="str">
        <f>'WBS in Estimate'!D12</f>
        <v>1.2.1.2</v>
      </c>
      <c r="C387" s="219"/>
      <c r="D387" s="241"/>
      <c r="E387" s="220"/>
      <c r="F387" s="220"/>
      <c r="G387" s="219"/>
      <c r="L387" s="236"/>
      <c r="O387" s="364">
        <v>2009</v>
      </c>
      <c r="Q387" s="52" t="s">
        <v>46</v>
      </c>
      <c r="U387" s="145" t="s">
        <v>180</v>
      </c>
      <c r="W387" s="116">
        <f>SUMIF($T$5:$T$359,CONCATENATE(Q387,#REF!,O387),$O$5:$O$359)</f>
        <v>0</v>
      </c>
      <c r="X387" s="116">
        <f>SUMIF($T$5:$T$359,CONCATENATE(Q387,#REF!,Y387),$O$5:$O$359)</f>
        <v>0</v>
      </c>
      <c r="Y387" s="33">
        <v>2009</v>
      </c>
      <c r="AB387" s="22">
        <v>2011</v>
      </c>
      <c r="AC387" s="270">
        <f>SUMIF($AB$5:$AB378,$AB387,AC$5:AC378)</f>
        <v>224</v>
      </c>
      <c r="AD387" s="271">
        <f>SUMIF($AB$5:$AB378,$AB387,AD$5:AD378)</f>
        <v>787</v>
      </c>
      <c r="AE387" s="271">
        <f>SUMIF($AB$5:$AB378,$AB387,AE$5:AE378)</f>
        <v>96</v>
      </c>
      <c r="AF387" s="271">
        <f>SUMIF($AB$5:$AB378,$AB387,AF$5:AF378)</f>
        <v>1140</v>
      </c>
      <c r="AG387" s="271">
        <f>SUMIF($AB$5:$AB378,$AB387,AG$5:AG378)</f>
        <v>0</v>
      </c>
      <c r="AH387" s="272">
        <f ca="1">SUMIF($AB$5:$AB378,$AB387,AH$5:AH378)</f>
        <v>22027.5</v>
      </c>
      <c r="AI387" s="268"/>
      <c r="AL387" s="82">
        <f t="shared" si="369"/>
        <v>2011</v>
      </c>
      <c r="AM387" s="273">
        <f>SUMIF($AB$5:$AB378,$AB387,AM$5:AM378)</f>
        <v>215.75</v>
      </c>
      <c r="AN387" s="271">
        <f>SUMIF($AB$5:$AB378,$AB387,AN$5:AN378)</f>
        <v>124</v>
      </c>
      <c r="AO387" s="271">
        <f>SUMIF($AB$5:$AB378,$AB387,AO$5:AO378)</f>
        <v>64</v>
      </c>
      <c r="AP387" s="271">
        <f>SUMIF($AB$5:$AB378,$AB387,AP$5:AP378)</f>
        <v>318</v>
      </c>
      <c r="AQ387" s="271">
        <f>SUMIF($AB$5:$AB378,$AB387,AQ$5:AQ378)</f>
        <v>0</v>
      </c>
      <c r="AR387" s="272">
        <f>SUMIF($AB$5:$AB378,$AB387,AR$5:AR378)</f>
        <v>28945</v>
      </c>
      <c r="AS387" s="269"/>
    </row>
    <row r="388" spans="1:45">
      <c r="A388" s="16" t="str">
        <f>'WBS in Estimate'!E13</f>
        <v>Prototype D-Tube</v>
      </c>
      <c r="B388" s="9" t="str">
        <f>'WBS in Estimate'!D13</f>
        <v>1.2.1.2.1</v>
      </c>
      <c r="C388" s="219"/>
      <c r="D388" s="241"/>
      <c r="E388" s="220"/>
      <c r="F388" s="220"/>
      <c r="G388" s="219"/>
      <c r="L388" s="236"/>
      <c r="O388" s="364">
        <v>2009</v>
      </c>
      <c r="Q388" s="52" t="s">
        <v>46</v>
      </c>
      <c r="U388" s="145" t="s">
        <v>180</v>
      </c>
      <c r="W388" s="116">
        <f>SUM(W382:W387)</f>
        <v>0</v>
      </c>
      <c r="X388" s="116">
        <f>SUM(X382:X387)</f>
        <v>0</v>
      </c>
      <c r="Y388" s="33">
        <v>2009</v>
      </c>
      <c r="AB388" s="24">
        <v>2012</v>
      </c>
      <c r="AC388" s="270">
        <f>SUMIF($AB$5:$AB380,$AB388,AC$5:AC380)</f>
        <v>694.75</v>
      </c>
      <c r="AD388" s="271">
        <f>SUMIF($AB$5:$AB380,$AB388,AD$5:AD380)</f>
        <v>1021</v>
      </c>
      <c r="AE388" s="271">
        <f>SUMIF($AB$5:$AB380,$AB388,AE$5:AE380)</f>
        <v>124</v>
      </c>
      <c r="AF388" s="271">
        <f>SUMIF($AB$5:$AB380,$AB388,AF$5:AF380)</f>
        <v>1135</v>
      </c>
      <c r="AG388" s="271">
        <f>SUMIF($AB$5:$AB380,$AB388,AG$5:AG380)</f>
        <v>16</v>
      </c>
      <c r="AH388" s="272">
        <f ca="1">SUMIF($AB$5:$AB380,$AB388,AH$5:AH380)</f>
        <v>48703.5</v>
      </c>
      <c r="AI388" s="268"/>
      <c r="AL388" s="82">
        <f t="shared" si="369"/>
        <v>2012</v>
      </c>
      <c r="AM388" s="273">
        <f>SUMIF($AB$5:$AB380,$AB388,AM$5:AM380)</f>
        <v>226</v>
      </c>
      <c r="AN388" s="271">
        <f>SUMIF($AB$5:$AB380,$AB388,AN$5:AN380)</f>
        <v>356</v>
      </c>
      <c r="AO388" s="271">
        <f>SUMIF($AB$5:$AB380,$AB388,AO$5:AO380)</f>
        <v>60</v>
      </c>
      <c r="AP388" s="271">
        <f>SUMIF($AB$5:$AB380,$AB388,AP$5:AP380)</f>
        <v>454</v>
      </c>
      <c r="AQ388" s="271">
        <f>SUMIF($AB$5:$AB380,$AB388,AQ$5:AQ380)</f>
        <v>0</v>
      </c>
      <c r="AR388" s="272">
        <f>SUMIF($AB$5:$AB380,$AB388,AR$5:AR380)</f>
        <v>1820</v>
      </c>
      <c r="AS388" s="269"/>
    </row>
    <row r="389" spans="1:45">
      <c r="A389" s="16" t="str">
        <f>'WBS in Estimate'!E14</f>
        <v>Prototype Kinematic Mounts</v>
      </c>
      <c r="B389" s="9" t="str">
        <f>'WBS in Estimate'!D14</f>
        <v>1.2.1.2.2</v>
      </c>
      <c r="C389" s="219"/>
      <c r="D389" s="241"/>
      <c r="E389" s="220"/>
      <c r="F389" s="220"/>
      <c r="G389" s="219"/>
      <c r="L389" s="236"/>
      <c r="O389" s="364">
        <v>2009</v>
      </c>
      <c r="Q389" s="52" t="s">
        <v>46</v>
      </c>
      <c r="U389" s="145" t="s">
        <v>180</v>
      </c>
      <c r="W389" s="116"/>
      <c r="X389" s="116"/>
      <c r="Y389" s="33">
        <v>2009</v>
      </c>
      <c r="AB389" s="24">
        <v>2013</v>
      </c>
      <c r="AC389" s="270">
        <f>SUMIF($AB$5:$AB381,$AB389,AC$5:AC381)</f>
        <v>763.5</v>
      </c>
      <c r="AD389" s="271">
        <f>SUMIF($AB$5:$AB381,$AB389,AD$5:AD381)</f>
        <v>1804</v>
      </c>
      <c r="AE389" s="271">
        <f>SUMIF($AB$5:$AB381,$AB389,AE$5:AE381)</f>
        <v>252</v>
      </c>
      <c r="AF389" s="271">
        <f>SUMIF($AB$5:$AB381,$AB389,AF$5:AF381)</f>
        <v>843</v>
      </c>
      <c r="AG389" s="271">
        <f>SUMIF($AB$5:$AB381,$AB389,AG$5:AG381)</f>
        <v>0</v>
      </c>
      <c r="AH389" s="272">
        <f>SUMIF($AB$5:$AB381,$AB389,AH$5:AH381)</f>
        <v>49654.5</v>
      </c>
      <c r="AI389" s="268"/>
      <c r="AL389" s="82">
        <f t="shared" si="369"/>
        <v>2013</v>
      </c>
      <c r="AM389" s="273">
        <f>SUMIF($AB$5:$AB381,$AB389,AM$5:AM381)</f>
        <v>733.5</v>
      </c>
      <c r="AN389" s="271">
        <f>SUMIF($AB$5:$AB381,$AB389,AN$5:AN381)</f>
        <v>802</v>
      </c>
      <c r="AO389" s="271">
        <f>SUMIF($AB$5:$AB381,$AB389,AO$5:AO381)</f>
        <v>32</v>
      </c>
      <c r="AP389" s="271">
        <f>SUMIF($AB$5:$AB381,$AB389,AP$5:AP381)</f>
        <v>552</v>
      </c>
      <c r="AQ389" s="271">
        <f>SUMIF($AB$5:$AB381,$AB389,AQ$5:AQ381)</f>
        <v>0</v>
      </c>
      <c r="AR389" s="272">
        <f>SUMIF($AB$5:$AB381,$AB389,AR$5:AR381)</f>
        <v>23639</v>
      </c>
      <c r="AS389" s="269"/>
    </row>
    <row r="390" spans="1:45" s="367" customFormat="1">
      <c r="A390" s="16"/>
      <c r="B390" s="9"/>
      <c r="C390" s="219"/>
      <c r="D390" s="241"/>
      <c r="E390" s="220"/>
      <c r="F390" s="220"/>
      <c r="G390" s="219"/>
      <c r="H390" s="162"/>
      <c r="I390" s="162"/>
      <c r="J390" s="163"/>
      <c r="K390" s="163"/>
      <c r="L390" s="236"/>
      <c r="M390" s="7"/>
      <c r="N390" s="164"/>
      <c r="O390" s="364"/>
      <c r="P390" s="7"/>
      <c r="Q390" s="52"/>
      <c r="R390" s="54"/>
      <c r="S390" s="100"/>
      <c r="T390" s="100"/>
      <c r="U390" s="145"/>
      <c r="V390" s="100"/>
      <c r="W390" s="116"/>
      <c r="X390" s="116"/>
      <c r="Y390" s="33"/>
      <c r="Z390" s="10"/>
      <c r="AA390" s="10"/>
      <c r="AB390" s="24">
        <v>2014</v>
      </c>
      <c r="AC390" s="270">
        <f>SUMIF($AB$5:$AB382,$AB390,AC$5:AC382)</f>
        <v>16</v>
      </c>
      <c r="AD390" s="271">
        <f>SUMIF($AB$5:$AB382,$AB390,AD$5:AD382)</f>
        <v>280</v>
      </c>
      <c r="AE390" s="271">
        <f>SUMIF($AB$5:$AB382,$AB390,AE$5:AE382)</f>
        <v>40</v>
      </c>
      <c r="AF390" s="271">
        <f>SUMIF($AB$5:$AB382,$AB390,AF$5:AF382)</f>
        <v>148</v>
      </c>
      <c r="AG390" s="271">
        <f>SUMIF($AB$5:$AB382,$AB390,AG$5:AG382)</f>
        <v>0</v>
      </c>
      <c r="AH390" s="272">
        <f>SUMIF($AB$5:$AB382,$AB390,AH$5:AH382)</f>
        <v>7420</v>
      </c>
      <c r="AI390" s="268"/>
      <c r="AJ390" s="7"/>
      <c r="AK390" s="7"/>
      <c r="AL390" s="82">
        <f t="shared" ref="AL390" si="370">AB390</f>
        <v>2014</v>
      </c>
      <c r="AM390" s="273">
        <f>SUMIF($AB$5:$AB382,$AB390,AM$5:AM382)</f>
        <v>88</v>
      </c>
      <c r="AN390" s="271">
        <f>SUMIF($AB$5:$AB382,$AB390,AN$5:AN382)</f>
        <v>108</v>
      </c>
      <c r="AO390" s="271">
        <f>SUMIF($AB$5:$AB382,$AB390,AO$5:AO382)</f>
        <v>0</v>
      </c>
      <c r="AP390" s="271">
        <f>SUMIF($AB$5:$AB382,$AB390,AP$5:AP382)</f>
        <v>72</v>
      </c>
      <c r="AQ390" s="271">
        <f>SUMIF($AB$5:$AB382,$AB390,AQ$5:AQ382)</f>
        <v>0</v>
      </c>
      <c r="AR390" s="272">
        <f>SUMIF($AB$5:$AB382,$AB390,AR$5:AR382)</f>
        <v>3440</v>
      </c>
      <c r="AS390" s="269"/>
    </row>
    <row r="391" spans="1:45">
      <c r="A391" s="16" t="str">
        <f>'WBS in Estimate'!E15</f>
        <v>Production D-Tube and Kinematic Mounts</v>
      </c>
      <c r="B391" s="9" t="str">
        <f>'WBS in Estimate'!D15</f>
        <v>1.2.1.2.3</v>
      </c>
      <c r="C391" s="219"/>
      <c r="D391" s="241"/>
      <c r="E391" s="220"/>
      <c r="F391" s="220"/>
      <c r="G391" s="219"/>
      <c r="L391" s="236"/>
      <c r="O391" s="364">
        <v>2009</v>
      </c>
      <c r="Q391" s="52" t="s">
        <v>46</v>
      </c>
      <c r="U391" s="145" t="s">
        <v>180</v>
      </c>
      <c r="W391" s="116"/>
      <c r="X391" s="116"/>
      <c r="Y391" s="33">
        <v>2009</v>
      </c>
      <c r="AB391" s="24" t="s">
        <v>177</v>
      </c>
      <c r="AC391" s="270">
        <f>SUMIF($AB$5:$AB382,$AB391,AC$5:AC382)</f>
        <v>0</v>
      </c>
      <c r="AD391" s="271">
        <f>SUMIF($AB$5:$AB382,$AB391,AD$5:AD382)</f>
        <v>0</v>
      </c>
      <c r="AE391" s="271">
        <f>SUMIF($AB$5:$AB382,$AB391,AE$5:AE382)</f>
        <v>0</v>
      </c>
      <c r="AF391" s="271">
        <f>SUMIF($AB$5:$AB382,$AB391,AF$5:AF382)</f>
        <v>0</v>
      </c>
      <c r="AG391" s="271">
        <f>SUMIF($AB$5:$AB382,$AB391,AG$5:AG382)</f>
        <v>0</v>
      </c>
      <c r="AH391" s="272">
        <f>SUMIF($AB$5:$AB382,$AB391,AH$5:AH382)</f>
        <v>0</v>
      </c>
      <c r="AI391" s="268"/>
      <c r="AL391" s="82" t="str">
        <f t="shared" si="369"/>
        <v>CONT</v>
      </c>
      <c r="AM391" s="273">
        <f>SUMIF($AB$5:$AB382,$AB391,AM$5:AM382)</f>
        <v>0</v>
      </c>
      <c r="AN391" s="271">
        <f>SUMIF($AB$5:$AB382,$AB391,AN$5:AN382)</f>
        <v>0</v>
      </c>
      <c r="AO391" s="271">
        <f>SUMIF($AB$5:$AB382,$AB391,AO$5:AO382)</f>
        <v>0</v>
      </c>
      <c r="AP391" s="271">
        <f>SUMIF($AB$5:$AB382,$AB391,AP$5:AP382)</f>
        <v>0</v>
      </c>
      <c r="AQ391" s="271">
        <f>SUMIF($AB$5:$AB382,$AB391,AQ$5:AQ382)</f>
        <v>0</v>
      </c>
      <c r="AR391" s="272">
        <f>SUMIF($AB$5:$AB382,$AB391,AR$5:AR382)</f>
        <v>0</v>
      </c>
      <c r="AS391" s="269"/>
    </row>
    <row r="392" spans="1:45">
      <c r="A392" s="16" t="str">
        <f>'WBS in Estimate'!E16</f>
        <v>Insertion Mechanism and Internal Service Supports</v>
      </c>
      <c r="B392" s="9" t="str">
        <f>'WBS in Estimate'!D16</f>
        <v>1.2.1.3</v>
      </c>
      <c r="C392" s="221"/>
      <c r="D392" s="239"/>
      <c r="E392" s="210"/>
      <c r="F392" s="217"/>
      <c r="G392" s="221"/>
      <c r="L392" s="236"/>
      <c r="O392" s="364">
        <v>2009</v>
      </c>
      <c r="Q392" s="52" t="s">
        <v>46</v>
      </c>
      <c r="U392" s="145" t="s">
        <v>180</v>
      </c>
      <c r="W392" s="116">
        <f>SUMIF($T$5:$T$359,CONCATENATE(Q392,#REF!,O392),$O$5:$O$359)</f>
        <v>0</v>
      </c>
      <c r="X392" s="116">
        <f>SUMIF($T$5:$T$359,CONCATENATE(Q392,#REF!,Y392),$O$5:$O$359)</f>
        <v>0</v>
      </c>
      <c r="Y392" s="33">
        <v>2009</v>
      </c>
      <c r="AB392" s="24" t="s">
        <v>173</v>
      </c>
      <c r="AC392" s="270">
        <f>SUMIF($AB$5:$AB378,$AB392,AC$5:AC378)</f>
        <v>0</v>
      </c>
      <c r="AD392" s="271">
        <f>SUMIF($AB$5:$AB378,$AB392,AD$5:AD378)</f>
        <v>136</v>
      </c>
      <c r="AE392" s="271">
        <f>SUMIF($AB$5:$AB378,$AB392,AE$5:AE378)</f>
        <v>0</v>
      </c>
      <c r="AF392" s="271">
        <f>SUMIF($AB$5:$AB378,$AB392,AF$5:AF378)</f>
        <v>304</v>
      </c>
      <c r="AG392" s="271">
        <f>SUMIF($AB$5:$AB378,$AB392,AG$5:AG378)</f>
        <v>0</v>
      </c>
      <c r="AH392" s="272">
        <f>SUMIF($AB$5:$AB378,$AB392,AH$5:AH378)</f>
        <v>0</v>
      </c>
      <c r="AI392" s="268"/>
      <c r="AL392" s="82" t="str">
        <f t="shared" si="369"/>
        <v>STAR</v>
      </c>
      <c r="AM392" s="273">
        <f>SUMIF($AB$5:$AB378,$AB392,AM$5:AM378)</f>
        <v>0</v>
      </c>
      <c r="AN392" s="271">
        <f>SUMIF($AB$5:$AB378,$AB392,AN$5:AN378)</f>
        <v>0</v>
      </c>
      <c r="AO392" s="271">
        <f>SUMIF($AB$5:$AB378,$AB392,AO$5:AO378)</f>
        <v>0</v>
      </c>
      <c r="AP392" s="271">
        <f>SUMIF($AB$5:$AB378,$AB392,AP$5:AP378)</f>
        <v>120</v>
      </c>
      <c r="AQ392" s="271">
        <f>SUMIF($AB$5:$AB378,$AB392,AQ$5:AQ378)</f>
        <v>0</v>
      </c>
      <c r="AR392" s="272">
        <f>SUMIF($AB$5:$AB378,$AB392,AR$5:AR378)</f>
        <v>0</v>
      </c>
      <c r="AS392" s="269"/>
    </row>
    <row r="393" spans="1:45" ht="15.75">
      <c r="A393" s="16" t="str">
        <f>'WBS in Estimate'!E17</f>
        <v>Thermal Prototype</v>
      </c>
      <c r="B393" s="9" t="str">
        <f>'WBS in Estimate'!D17</f>
        <v>1.2.1.3.1</v>
      </c>
      <c r="C393" s="218"/>
      <c r="D393" s="240"/>
      <c r="E393" s="217"/>
      <c r="F393" s="217"/>
      <c r="G393" s="222"/>
      <c r="L393" s="236"/>
      <c r="O393" s="364">
        <v>2009</v>
      </c>
      <c r="Q393" s="52" t="s">
        <v>46</v>
      </c>
      <c r="U393" s="145" t="s">
        <v>180</v>
      </c>
      <c r="W393" s="116">
        <f>SUMIF($T$5:$T$359,CONCATENATE(Q393,#REF!,O393),$O$5:$O$359)</f>
        <v>0</v>
      </c>
      <c r="X393" s="116">
        <f>SUMIF($T$5:$T$359,CONCATENATE(Q393,#REF!,Y393),$O$5:$O$359)</f>
        <v>0</v>
      </c>
      <c r="Y393" s="33">
        <v>2009</v>
      </c>
      <c r="AC393" s="411" t="s">
        <v>175</v>
      </c>
      <c r="AD393" s="412"/>
      <c r="AE393" s="412"/>
      <c r="AF393" s="412"/>
      <c r="AG393" s="412"/>
      <c r="AH393" s="412"/>
      <c r="AI393" s="413"/>
      <c r="AL393" s="82"/>
      <c r="AM393" s="414" t="s">
        <v>176</v>
      </c>
      <c r="AN393" s="412"/>
      <c r="AO393" s="412"/>
      <c r="AP393" s="412"/>
      <c r="AQ393" s="412"/>
      <c r="AR393" s="412"/>
      <c r="AS393" s="415"/>
    </row>
    <row r="394" spans="1:45">
      <c r="A394" s="16" t="str">
        <f>'WBS in Estimate'!E18</f>
        <v>Insertion Test Bed</v>
      </c>
      <c r="B394" s="9" t="str">
        <f>'WBS in Estimate'!D18</f>
        <v>1.2.1.3.2</v>
      </c>
      <c r="C394" s="218"/>
      <c r="D394" s="240"/>
      <c r="E394" s="217"/>
      <c r="F394" s="217"/>
      <c r="G394" s="222"/>
      <c r="L394" s="236"/>
      <c r="O394" s="364">
        <v>2009</v>
      </c>
      <c r="Q394" s="52" t="s">
        <v>46</v>
      </c>
      <c r="U394" s="145" t="s">
        <v>180</v>
      </c>
      <c r="W394" s="116">
        <f>SUMIF($T$5:$T$359,CONCATENATE(Q394,#REF!,O394),$O$5:$O$359)</f>
        <v>0</v>
      </c>
      <c r="X394" s="116">
        <f>SUMIF($T$5:$T$359,CONCATENATE(Q394,#REF!,Y394),$O$5:$O$359)</f>
        <v>0</v>
      </c>
      <c r="Y394" s="33">
        <v>2009</v>
      </c>
      <c r="AC394" s="25" t="s">
        <v>50</v>
      </c>
      <c r="AD394" s="14" t="s">
        <v>51</v>
      </c>
      <c r="AE394" s="14" t="s">
        <v>37</v>
      </c>
      <c r="AF394" s="14" t="s">
        <v>30</v>
      </c>
      <c r="AG394" s="14" t="s">
        <v>31</v>
      </c>
      <c r="AH394" s="14" t="s">
        <v>16</v>
      </c>
      <c r="AI394" s="27" t="s">
        <v>52</v>
      </c>
      <c r="AL394" s="82"/>
      <c r="AM394" s="28" t="s">
        <v>50</v>
      </c>
      <c r="AN394" s="14" t="s">
        <v>51</v>
      </c>
      <c r="AO394" s="14" t="s">
        <v>37</v>
      </c>
      <c r="AP394" s="14" t="s">
        <v>30</v>
      </c>
      <c r="AQ394" s="14" t="s">
        <v>31</v>
      </c>
      <c r="AR394" s="14" t="s">
        <v>16</v>
      </c>
      <c r="AS394" s="29" t="s">
        <v>52</v>
      </c>
    </row>
    <row r="395" spans="1:45">
      <c r="A395" s="16" t="str">
        <f>'WBS in Estimate'!E19</f>
        <v>Prototype Insertion Mechanism</v>
      </c>
      <c r="B395" s="9" t="str">
        <f>'WBS in Estimate'!D19</f>
        <v>1.2.1.3.3</v>
      </c>
      <c r="C395" s="218"/>
      <c r="D395" s="240"/>
      <c r="E395" s="217"/>
      <c r="F395" s="217"/>
      <c r="G395" s="218"/>
      <c r="L395" s="236"/>
      <c r="O395" s="364">
        <v>2009</v>
      </c>
      <c r="Q395" s="52" t="s">
        <v>46</v>
      </c>
      <c r="U395" s="145" t="s">
        <v>180</v>
      </c>
      <c r="W395" s="116">
        <f>SUMIF($T$5:$T$359,CONCATENATE(Q395,#REF!,O395),$O$5:$O$359)</f>
        <v>0</v>
      </c>
      <c r="X395" s="116">
        <f>SUMIF($T$5:$T$359,CONCATENATE(Q395,#REF!,Y395),$O$5:$O$359)</f>
        <v>0</v>
      </c>
      <c r="Y395" s="33">
        <v>2009</v>
      </c>
      <c r="AB395" s="22">
        <f>AB385</f>
        <v>2009</v>
      </c>
      <c r="AC395" s="274">
        <f>AC417+AC439</f>
        <v>0</v>
      </c>
      <c r="AD395" s="272">
        <f t="shared" ref="AD395:AI395" si="371">AD417+AD439</f>
        <v>0</v>
      </c>
      <c r="AE395" s="272">
        <f t="shared" si="371"/>
        <v>0</v>
      </c>
      <c r="AF395" s="272">
        <f t="shared" si="371"/>
        <v>0</v>
      </c>
      <c r="AG395" s="272">
        <f t="shared" si="371"/>
        <v>0</v>
      </c>
      <c r="AH395" s="272">
        <f t="shared" si="371"/>
        <v>0</v>
      </c>
      <c r="AI395" s="275">
        <f t="shared" si="371"/>
        <v>0</v>
      </c>
      <c r="AL395" s="82">
        <f>AL385</f>
        <v>2009</v>
      </c>
      <c r="AM395" s="276">
        <f t="shared" ref="AM395:AS395" si="372">AM417+AM439</f>
        <v>0</v>
      </c>
      <c r="AN395" s="272">
        <f t="shared" si="372"/>
        <v>0</v>
      </c>
      <c r="AO395" s="272">
        <f t="shared" si="372"/>
        <v>0</v>
      </c>
      <c r="AP395" s="272">
        <f t="shared" si="372"/>
        <v>0</v>
      </c>
      <c r="AQ395" s="272">
        <f t="shared" si="372"/>
        <v>0</v>
      </c>
      <c r="AR395" s="272">
        <f t="shared" si="372"/>
        <v>0</v>
      </c>
      <c r="AS395" s="277">
        <f t="shared" si="372"/>
        <v>0</v>
      </c>
    </row>
    <row r="396" spans="1:45">
      <c r="A396" s="16" t="str">
        <f>'WBS in Estimate'!E20</f>
        <v>Production Insertion Mechanism</v>
      </c>
      <c r="B396" s="9" t="str">
        <f>'WBS in Estimate'!D20</f>
        <v>1.2.1.3.4</v>
      </c>
      <c r="C396" s="218"/>
      <c r="D396" s="240"/>
      <c r="E396" s="217"/>
      <c r="F396" s="217"/>
      <c r="G396" s="218"/>
      <c r="L396" s="236"/>
      <c r="O396" s="364">
        <v>2009</v>
      </c>
      <c r="Q396" s="52" t="s">
        <v>46</v>
      </c>
      <c r="U396" s="145" t="s">
        <v>180</v>
      </c>
      <c r="W396" s="116"/>
      <c r="X396" s="116"/>
      <c r="Y396" s="33">
        <v>2009</v>
      </c>
      <c r="AB396" s="22">
        <v>2010</v>
      </c>
      <c r="AC396" s="274">
        <f t="shared" ref="AC396:AI396" si="373">AC418+AC440</f>
        <v>28526.400000000001</v>
      </c>
      <c r="AD396" s="272">
        <f t="shared" si="373"/>
        <v>82445.22</v>
      </c>
      <c r="AE396" s="272">
        <f t="shared" si="373"/>
        <v>12267.36</v>
      </c>
      <c r="AF396" s="272">
        <f t="shared" si="373"/>
        <v>164029.5</v>
      </c>
      <c r="AG396" s="272">
        <f t="shared" si="373"/>
        <v>0</v>
      </c>
      <c r="AH396" s="272">
        <f t="shared" si="373"/>
        <v>31556.5</v>
      </c>
      <c r="AI396" s="275">
        <f t="shared" si="373"/>
        <v>318824.98</v>
      </c>
      <c r="AL396" s="82">
        <f t="shared" ref="AL396:AL399" si="374">AL386</f>
        <v>2010</v>
      </c>
      <c r="AM396" s="276">
        <f t="shared" ref="AM396:AS396" si="375">AM418+AM440</f>
        <v>6048</v>
      </c>
      <c r="AN396" s="272">
        <f t="shared" si="375"/>
        <v>3744</v>
      </c>
      <c r="AO396" s="272">
        <f t="shared" si="375"/>
        <v>0</v>
      </c>
      <c r="AP396" s="272">
        <f t="shared" si="375"/>
        <v>1800</v>
      </c>
      <c r="AQ396" s="272">
        <f t="shared" si="375"/>
        <v>0</v>
      </c>
      <c r="AR396" s="272">
        <f t="shared" si="375"/>
        <v>153</v>
      </c>
      <c r="AS396" s="277">
        <f t="shared" si="375"/>
        <v>11745</v>
      </c>
    </row>
    <row r="397" spans="1:45">
      <c r="A397" s="16" t="str">
        <f>'WBS in Estimate'!E21</f>
        <v>Prototype Patch Panel Bulkhead</v>
      </c>
      <c r="B397" s="9" t="str">
        <f>'WBS in Estimate'!D21</f>
        <v>1.2.1.3.5</v>
      </c>
      <c r="C397" s="218"/>
      <c r="D397" s="240"/>
      <c r="E397" s="217"/>
      <c r="F397" s="217"/>
      <c r="G397" s="218"/>
      <c r="L397" s="236"/>
      <c r="O397" s="364">
        <v>2009</v>
      </c>
      <c r="Q397" s="52" t="s">
        <v>46</v>
      </c>
      <c r="U397" s="145" t="s">
        <v>180</v>
      </c>
      <c r="W397" s="116"/>
      <c r="X397" s="116"/>
      <c r="Y397" s="33">
        <v>2009</v>
      </c>
      <c r="AB397" s="22">
        <v>2011</v>
      </c>
      <c r="AC397" s="274">
        <f>AC419+AC441</f>
        <v>25925.760000000002</v>
      </c>
      <c r="AD397" s="272">
        <f t="shared" ref="AD397:AI397" si="376">AD419+AD441</f>
        <v>83164.77</v>
      </c>
      <c r="AE397" s="272">
        <f t="shared" si="376"/>
        <v>10563.84</v>
      </c>
      <c r="AF397" s="272">
        <f t="shared" si="376"/>
        <v>165300</v>
      </c>
      <c r="AG397" s="272">
        <f t="shared" si="376"/>
        <v>0</v>
      </c>
      <c r="AH397" s="272">
        <f t="shared" ca="1" si="376"/>
        <v>22027.5</v>
      </c>
      <c r="AI397" s="275">
        <f t="shared" ca="1" si="376"/>
        <v>306981.87</v>
      </c>
      <c r="AL397" s="82">
        <f t="shared" si="374"/>
        <v>2011</v>
      </c>
      <c r="AM397" s="276">
        <f t="shared" ref="AM397:AS397" si="377">AM419+AM441</f>
        <v>23838.885000000002</v>
      </c>
      <c r="AN397" s="272">
        <f t="shared" si="377"/>
        <v>13707.720000000001</v>
      </c>
      <c r="AO397" s="272">
        <f t="shared" si="377"/>
        <v>6914.88</v>
      </c>
      <c r="AP397" s="272">
        <f t="shared" si="377"/>
        <v>42057</v>
      </c>
      <c r="AQ397" s="272">
        <f t="shared" si="377"/>
        <v>0</v>
      </c>
      <c r="AR397" s="272">
        <f t="shared" si="377"/>
        <v>28945</v>
      </c>
      <c r="AS397" s="277">
        <f t="shared" si="377"/>
        <v>115463.485</v>
      </c>
    </row>
    <row r="398" spans="1:45">
      <c r="A398" s="16" t="str">
        <f>'WBS in Estimate'!E22</f>
        <v>Production Patch Panel Bulkhead</v>
      </c>
      <c r="B398" s="9" t="str">
        <f>'WBS in Estimate'!D22</f>
        <v>1.2.1.3.6</v>
      </c>
      <c r="C398" s="218"/>
      <c r="D398" s="240"/>
      <c r="E398" s="217"/>
      <c r="F398" s="217"/>
      <c r="G398" s="218"/>
      <c r="L398" s="236"/>
      <c r="O398" s="364">
        <v>2009</v>
      </c>
      <c r="Q398" s="52" t="s">
        <v>46</v>
      </c>
      <c r="U398" s="145" t="s">
        <v>180</v>
      </c>
      <c r="W398" s="116">
        <f>SUMIF($T$5:$T$359,CONCATENATE(Q398,#REF!,O398),$O$5:$O$359)</f>
        <v>0</v>
      </c>
      <c r="X398" s="116">
        <f>SUMIF($T$5:$T$359,CONCATENATE(Q398,#REF!,Y398),$O$5:$O$359)</f>
        <v>0</v>
      </c>
      <c r="Y398" s="33">
        <v>2009</v>
      </c>
      <c r="AB398" s="22">
        <f>AB388</f>
        <v>2012</v>
      </c>
      <c r="AC398" s="274">
        <f t="shared" ref="AC398:AI399" si="378">AC420+AC442</f>
        <v>71833.86</v>
      </c>
      <c r="AD398" s="272">
        <f t="shared" si="378"/>
        <v>96804.63</v>
      </c>
      <c r="AE398" s="272">
        <f t="shared" si="378"/>
        <v>12655.44</v>
      </c>
      <c r="AF398" s="272">
        <f t="shared" si="378"/>
        <v>139612.5</v>
      </c>
      <c r="AG398" s="272">
        <f t="shared" si="378"/>
        <v>1620</v>
      </c>
      <c r="AH398" s="272">
        <f t="shared" ca="1" si="378"/>
        <v>48703.5</v>
      </c>
      <c r="AI398" s="275">
        <f t="shared" ca="1" si="378"/>
        <v>371229.93</v>
      </c>
      <c r="AL398" s="82">
        <f t="shared" si="374"/>
        <v>2012</v>
      </c>
      <c r="AM398" s="276">
        <f>AM420+AM442</f>
        <v>23065.56</v>
      </c>
      <c r="AN398" s="272">
        <f t="shared" ref="AM398:AS399" si="379">AN420+AN442</f>
        <v>33738.120000000003</v>
      </c>
      <c r="AO398" s="272">
        <f t="shared" si="379"/>
        <v>6123.6</v>
      </c>
      <c r="AP398" s="272">
        <f t="shared" si="379"/>
        <v>56301.000000000007</v>
      </c>
      <c r="AQ398" s="272">
        <f t="shared" si="379"/>
        <v>0</v>
      </c>
      <c r="AR398" s="272">
        <f t="shared" si="379"/>
        <v>1820</v>
      </c>
      <c r="AS398" s="277">
        <f t="shared" si="379"/>
        <v>121048.28000000001</v>
      </c>
    </row>
    <row r="399" spans="1:45" s="367" customFormat="1">
      <c r="A399" s="16"/>
      <c r="B399" s="9"/>
      <c r="C399" s="218"/>
      <c r="D399" s="240"/>
      <c r="E399" s="217"/>
      <c r="F399" s="217"/>
      <c r="G399" s="218"/>
      <c r="H399" s="162"/>
      <c r="I399" s="162"/>
      <c r="J399" s="163"/>
      <c r="K399" s="163"/>
      <c r="L399" s="236"/>
      <c r="M399" s="7"/>
      <c r="N399" s="164"/>
      <c r="O399" s="364"/>
      <c r="P399" s="7"/>
      <c r="Q399" s="52"/>
      <c r="R399" s="54"/>
      <c r="S399" s="100"/>
      <c r="T399" s="100"/>
      <c r="U399" s="145"/>
      <c r="V399" s="100"/>
      <c r="W399" s="116"/>
      <c r="X399" s="116"/>
      <c r="Y399" s="33"/>
      <c r="Z399" s="10"/>
      <c r="AA399" s="10"/>
      <c r="AB399" s="22">
        <f>AB389</f>
        <v>2013</v>
      </c>
      <c r="AC399" s="274">
        <f t="shared" si="378"/>
        <v>78305.850000000006</v>
      </c>
      <c r="AD399" s="272">
        <f t="shared" si="378"/>
        <v>171009.54</v>
      </c>
      <c r="AE399" s="272">
        <f t="shared" si="378"/>
        <v>25719.119999999999</v>
      </c>
      <c r="AF399" s="272">
        <f t="shared" si="378"/>
        <v>102424.50000000001</v>
      </c>
      <c r="AG399" s="272">
        <f t="shared" si="378"/>
        <v>0</v>
      </c>
      <c r="AH399" s="272">
        <f t="shared" si="378"/>
        <v>49654.5</v>
      </c>
      <c r="AI399" s="275">
        <f t="shared" si="378"/>
        <v>427113.51</v>
      </c>
      <c r="AJ399" s="7"/>
      <c r="AK399" s="7"/>
      <c r="AL399" s="82">
        <f t="shared" si="374"/>
        <v>2013</v>
      </c>
      <c r="AM399" s="276">
        <f t="shared" si="379"/>
        <v>75244.05</v>
      </c>
      <c r="AN399" s="272">
        <f t="shared" si="379"/>
        <v>76050.000000000015</v>
      </c>
      <c r="AO399" s="272">
        <f t="shared" si="379"/>
        <v>3265.92</v>
      </c>
      <c r="AP399" s="272">
        <f t="shared" si="379"/>
        <v>68208</v>
      </c>
      <c r="AQ399" s="272">
        <f t="shared" si="379"/>
        <v>0</v>
      </c>
      <c r="AR399" s="272">
        <f t="shared" si="379"/>
        <v>23639</v>
      </c>
      <c r="AS399" s="277">
        <f t="shared" si="379"/>
        <v>246406.97000000003</v>
      </c>
    </row>
    <row r="400" spans="1:45" ht="13.5" thickBot="1">
      <c r="A400" s="16" t="str">
        <f>'WBS in Estimate'!E23</f>
        <v>Detector Assembly</v>
      </c>
      <c r="B400" s="9" t="str">
        <f>'WBS in Estimate'!D23</f>
        <v>1.2.3</v>
      </c>
      <c r="C400" s="218"/>
      <c r="D400" s="240"/>
      <c r="E400" s="217"/>
      <c r="F400" s="217"/>
      <c r="G400" s="218"/>
      <c r="L400" s="236"/>
      <c r="O400" s="364">
        <v>2009</v>
      </c>
      <c r="Q400" s="52" t="s">
        <v>46</v>
      </c>
      <c r="U400" s="145" t="s">
        <v>180</v>
      </c>
      <c r="W400" s="116">
        <f>SUMIF($T$5:$T$359,CONCATENATE(Q400,#REF!,O400),$O$5:$O$359)</f>
        <v>0</v>
      </c>
      <c r="X400" s="116">
        <f>SUMIF($T$5:$T$359,CONCATENATE(Q400,#REF!,Y400),$O$5:$O$359)</f>
        <v>0</v>
      </c>
      <c r="Y400" s="33">
        <v>2009</v>
      </c>
      <c r="AB400" s="22">
        <f>AB390</f>
        <v>2014</v>
      </c>
      <c r="AC400" s="278">
        <f>AC422+AC444</f>
        <v>1632.96</v>
      </c>
      <c r="AD400" s="279">
        <f t="shared" ref="AD400:AI400" si="380">AD422+AD444</f>
        <v>26535.600000000002</v>
      </c>
      <c r="AE400" s="279">
        <f t="shared" si="380"/>
        <v>4082.4</v>
      </c>
      <c r="AF400" s="279">
        <f t="shared" si="380"/>
        <v>17982.000000000004</v>
      </c>
      <c r="AG400" s="279">
        <f t="shared" si="380"/>
        <v>0</v>
      </c>
      <c r="AH400" s="279">
        <f t="shared" si="380"/>
        <v>7420</v>
      </c>
      <c r="AI400" s="280">
        <f t="shared" si="380"/>
        <v>57652.960000000006</v>
      </c>
      <c r="AL400" s="82">
        <f>AL390</f>
        <v>2014</v>
      </c>
      <c r="AM400" s="281">
        <f>AM422+AM444</f>
        <v>0</v>
      </c>
      <c r="AN400" s="282">
        <f t="shared" ref="AN400:AS400" si="381">AN422+AN444</f>
        <v>0</v>
      </c>
      <c r="AO400" s="282">
        <f t="shared" si="381"/>
        <v>0</v>
      </c>
      <c r="AP400" s="282">
        <f t="shared" si="381"/>
        <v>0</v>
      </c>
      <c r="AQ400" s="282">
        <f t="shared" si="381"/>
        <v>0</v>
      </c>
      <c r="AR400" s="282">
        <f t="shared" si="381"/>
        <v>0</v>
      </c>
      <c r="AS400" s="283">
        <f t="shared" si="381"/>
        <v>0</v>
      </c>
    </row>
    <row r="401" spans="1:47" s="367" customFormat="1" ht="13.5" thickTop="1">
      <c r="A401" s="16"/>
      <c r="B401" s="9"/>
      <c r="C401" s="218"/>
      <c r="D401" s="240"/>
      <c r="E401" s="217"/>
      <c r="F401" s="217"/>
      <c r="G401" s="218"/>
      <c r="H401" s="162"/>
      <c r="I401" s="162"/>
      <c r="J401" s="163"/>
      <c r="K401" s="163"/>
      <c r="L401" s="236"/>
      <c r="M401" s="7"/>
      <c r="N401" s="164"/>
      <c r="O401" s="364"/>
      <c r="P401" s="7"/>
      <c r="Q401" s="52"/>
      <c r="R401" s="54"/>
      <c r="S401" s="100"/>
      <c r="T401" s="100"/>
      <c r="U401" s="145"/>
      <c r="V401" s="100"/>
      <c r="W401" s="116"/>
      <c r="X401" s="116"/>
      <c r="Y401" s="33"/>
      <c r="Z401" s="10"/>
      <c r="AA401" s="10"/>
      <c r="AB401" s="22"/>
      <c r="AC401" s="169"/>
      <c r="AD401" s="169"/>
      <c r="AE401" s="169"/>
      <c r="AF401" s="169"/>
      <c r="AG401" s="169"/>
      <c r="AH401" s="169"/>
      <c r="AI401" s="169"/>
      <c r="AJ401" s="7"/>
      <c r="AK401" s="7"/>
      <c r="AL401" s="82"/>
      <c r="AM401" s="169"/>
      <c r="AN401" s="169"/>
      <c r="AO401" s="169"/>
      <c r="AP401" s="169"/>
      <c r="AQ401" s="169"/>
      <c r="AR401" s="169"/>
      <c r="AS401" s="169"/>
    </row>
    <row r="402" spans="1:47" ht="15">
      <c r="A402" s="16" t="str">
        <f>'WBS in Estimate'!E24</f>
        <v>Sector Assembly</v>
      </c>
      <c r="B402" s="9" t="str">
        <f>'WBS in Estimate'!D24</f>
        <v>1.2.3.1</v>
      </c>
      <c r="C402" s="218"/>
      <c r="D402" s="240"/>
      <c r="E402" s="217"/>
      <c r="F402" s="217"/>
      <c r="G402" s="218"/>
      <c r="L402" s="236"/>
      <c r="O402" s="364">
        <v>2009</v>
      </c>
      <c r="Q402" s="52" t="s">
        <v>46</v>
      </c>
      <c r="U402" s="145" t="s">
        <v>180</v>
      </c>
      <c r="W402" s="116">
        <f>SUM(W392:W400)</f>
        <v>0</v>
      </c>
      <c r="X402" s="116">
        <f>SUM(X392:X400)</f>
        <v>0</v>
      </c>
      <c r="Y402" s="33">
        <v>2009</v>
      </c>
      <c r="AC402" s="116"/>
      <c r="AD402" s="116"/>
      <c r="AE402" s="116"/>
      <c r="AF402" s="116"/>
      <c r="AG402" s="116"/>
      <c r="AH402" s="71" t="s">
        <v>73</v>
      </c>
      <c r="AI402" s="71">
        <f ca="1">SUM(AI395:AI400)</f>
        <v>1481803.25</v>
      </c>
      <c r="AM402" s="116"/>
      <c r="AN402" s="116"/>
      <c r="AO402" s="116"/>
      <c r="AP402" s="116"/>
      <c r="AQ402" s="116"/>
      <c r="AR402" s="71" t="s">
        <v>71</v>
      </c>
      <c r="AS402" s="71">
        <f>SUM(AS395:AS400)</f>
        <v>494663.73500000004</v>
      </c>
    </row>
    <row r="403" spans="1:47" ht="15">
      <c r="A403" s="16" t="str">
        <f>'WBS in Estimate'!E25</f>
        <v>Mechanical Sector Assemblies</v>
      </c>
      <c r="B403" s="9" t="str">
        <f>'WBS in Estimate'!D25</f>
        <v>1.2.3.1.1</v>
      </c>
      <c r="C403" s="218"/>
      <c r="D403" s="240"/>
      <c r="E403" s="217"/>
      <c r="F403" s="217"/>
      <c r="G403" s="218"/>
      <c r="L403" s="236"/>
      <c r="O403" s="364">
        <v>2009</v>
      </c>
      <c r="Q403" s="52" t="s">
        <v>46</v>
      </c>
      <c r="U403" s="145" t="s">
        <v>180</v>
      </c>
      <c r="W403" s="116">
        <f>W388+W402</f>
        <v>0</v>
      </c>
      <c r="X403" s="116">
        <f>X388+X402</f>
        <v>0</v>
      </c>
      <c r="Y403" s="33">
        <v>2009</v>
      </c>
      <c r="AC403" s="116"/>
      <c r="AD403" s="116"/>
      <c r="AE403" s="116"/>
      <c r="AF403" s="116"/>
      <c r="AG403" s="116"/>
      <c r="AH403" s="71"/>
      <c r="AM403" s="116"/>
      <c r="AN403" s="116"/>
      <c r="AO403" s="116"/>
      <c r="AP403" s="116"/>
      <c r="AQ403" s="116"/>
      <c r="AR403" s="71" t="s">
        <v>86</v>
      </c>
      <c r="AS403" s="284">
        <f ca="1">AS402/AI402</f>
        <v>0.33382551630926716</v>
      </c>
    </row>
    <row r="404" spans="1:47" ht="13.5" thickBot="1">
      <c r="A404" s="16" t="str">
        <f>'WBS in Estimate'!E26</f>
        <v>Electrical Sector Assemblies</v>
      </c>
      <c r="B404" s="9" t="str">
        <f>'WBS in Estimate'!D26</f>
        <v>1.2.3.1.2</v>
      </c>
      <c r="C404" s="218"/>
      <c r="D404" s="240"/>
      <c r="E404" s="217"/>
      <c r="F404" s="217"/>
      <c r="G404" s="218"/>
      <c r="L404" s="236"/>
      <c r="V404" s="160"/>
    </row>
    <row r="405" spans="1:47" ht="15.75" thickTop="1">
      <c r="A405" s="16" t="str">
        <f>'WBS in Estimate'!E27</f>
        <v>D-Tube Assembly and Survey Tool</v>
      </c>
      <c r="B405" s="9" t="str">
        <f>'WBS in Estimate'!D27</f>
        <v>1.2.3.2</v>
      </c>
      <c r="C405" s="218"/>
      <c r="G405" s="218"/>
      <c r="L405" s="236"/>
      <c r="AC405" s="422" t="s">
        <v>88</v>
      </c>
      <c r="AD405" s="423"/>
      <c r="AE405" s="423"/>
      <c r="AF405" s="423"/>
      <c r="AG405" s="423"/>
      <c r="AH405" s="423"/>
      <c r="AI405" s="424"/>
      <c r="AK405" s="96"/>
      <c r="AL405" s="84"/>
      <c r="AM405" s="422" t="s">
        <v>89</v>
      </c>
      <c r="AN405" s="423"/>
      <c r="AO405" s="423"/>
      <c r="AP405" s="423"/>
      <c r="AQ405" s="423"/>
      <c r="AR405" s="423"/>
      <c r="AS405" s="424"/>
    </row>
    <row r="406" spans="1:47">
      <c r="A406" s="16" t="str">
        <f>'WBS in Estimate'!E28</f>
        <v>Sector Mount And Survey</v>
      </c>
      <c r="B406" s="9" t="str">
        <f>'WBS in Estimate'!D28</f>
        <v>1.2.3.3</v>
      </c>
      <c r="C406" s="218"/>
      <c r="G406" s="218"/>
      <c r="L406" s="236"/>
      <c r="AC406" s="25" t="s">
        <v>11</v>
      </c>
      <c r="AD406" s="14" t="s">
        <v>10</v>
      </c>
      <c r="AE406" s="14" t="s">
        <v>37</v>
      </c>
      <c r="AF406" s="14" t="s">
        <v>30</v>
      </c>
      <c r="AG406" s="14" t="s">
        <v>31</v>
      </c>
      <c r="AH406" s="14" t="s">
        <v>16</v>
      </c>
      <c r="AI406" s="268"/>
      <c r="AK406" s="96"/>
      <c r="AL406" s="84"/>
      <c r="AM406" s="25" t="s">
        <v>11</v>
      </c>
      <c r="AN406" s="14" t="s">
        <v>10</v>
      </c>
      <c r="AO406" s="14" t="s">
        <v>37</v>
      </c>
      <c r="AP406" s="14" t="s">
        <v>30</v>
      </c>
      <c r="AQ406" s="14" t="s">
        <v>31</v>
      </c>
      <c r="AR406" s="14" t="s">
        <v>16</v>
      </c>
      <c r="AS406" s="268"/>
    </row>
    <row r="407" spans="1:47">
      <c r="A407" s="16" t="str">
        <f>'WBS in Estimate'!E29</f>
        <v>Final Assembly</v>
      </c>
      <c r="B407" s="9" t="str">
        <f>'WBS in Estimate'!D29</f>
        <v>1.2.3.4</v>
      </c>
      <c r="C407" s="218"/>
      <c r="D407" s="240"/>
      <c r="E407" s="223"/>
      <c r="F407" s="217"/>
      <c r="G407" s="218"/>
      <c r="L407" s="236"/>
      <c r="S407" s="100" t="s">
        <v>81</v>
      </c>
      <c r="AB407" s="22">
        <v>2009</v>
      </c>
      <c r="AC407" s="270">
        <f>SUMIF($S$5:$S359,CONCATENATE($S407,$AB407),AC$5:AC359)</f>
        <v>0</v>
      </c>
      <c r="AD407" s="271">
        <f>SUMIF($S$5:$S359,CONCATENATE($S407,$AB407),AD$5:AD359)</f>
        <v>0</v>
      </c>
      <c r="AE407" s="271">
        <f>SUMIF($S$5:$S359,CONCATENATE($S407,$AB407),AE$5:AE359)</f>
        <v>0</v>
      </c>
      <c r="AF407" s="271">
        <f>SUMIF($S$5:$S359,CONCATENATE($S407,$AB407),AF$5:AF359)</f>
        <v>0</v>
      </c>
      <c r="AG407" s="271">
        <f>SUMIF($S$5:$S359,CONCATENATE($S407,$AB407),AG$5:AG359)</f>
        <v>0</v>
      </c>
      <c r="AH407" s="271">
        <f>SUMIF($S$5:$S359,CONCATENATE($S407,$AB407),AH$5:AH359)</f>
        <v>0</v>
      </c>
      <c r="AI407" s="268"/>
      <c r="AK407" s="96" t="s">
        <v>82</v>
      </c>
      <c r="AL407" s="82">
        <f>AB407</f>
        <v>2009</v>
      </c>
      <c r="AM407" s="270">
        <f>SUMIF($S$5:$S359,CONCATENATE($AK407,$AL407),AM$5:AM359)</f>
        <v>0</v>
      </c>
      <c r="AN407" s="271">
        <f>SUMIF($S$5:$S359,CONCATENATE($AK407,$AL407),AN$5:AN359)</f>
        <v>0</v>
      </c>
      <c r="AO407" s="271">
        <f>SUMIF($S$5:$S359,CONCATENATE($AK407,$AL407),AO$5:AO359)</f>
        <v>0</v>
      </c>
      <c r="AP407" s="271">
        <f>SUMIF($S$5:$S359,CONCATENATE($AK407,$AL407),AP$5:AP359)</f>
        <v>0</v>
      </c>
      <c r="AQ407" s="271">
        <f>SUMIF($S$5:$S359,CONCATENATE($AK407,$AL407),AQ$5:AQ359)</f>
        <v>0</v>
      </c>
      <c r="AR407" s="271">
        <f>SUMIF($S$5:$S359,CONCATENATE($AK407,$AL407),AR$5:AR359)</f>
        <v>0</v>
      </c>
      <c r="AS407" s="268"/>
    </row>
    <row r="408" spans="1:47">
      <c r="A408" s="16" t="str">
        <f>'WBS in Estimate'!E30</f>
        <v>Detector Half Enclosure</v>
      </c>
      <c r="B408" s="9" t="str">
        <f>'WBS in Estimate'!D30</f>
        <v>1.2.3.4.1</v>
      </c>
      <c r="C408" s="218"/>
      <c r="D408" s="240"/>
      <c r="E408" s="223"/>
      <c r="F408" s="217"/>
      <c r="G408" s="218"/>
      <c r="L408" s="236"/>
      <c r="S408" s="100" t="s">
        <v>81</v>
      </c>
      <c r="AB408" s="22">
        <v>2010</v>
      </c>
      <c r="AC408" s="270">
        <f>SUMIF($S$5:$S376,CONCATENATE($S408,$AB408),AC$5:AC376)</f>
        <v>194</v>
      </c>
      <c r="AD408" s="271">
        <f>SUMIF($S$5:$S376,CONCATENATE($S408,$AB408),AD$5:AD376)</f>
        <v>635</v>
      </c>
      <c r="AE408" s="271">
        <f>SUMIF($S$5:$S376,CONCATENATE($S408,$AB408),AE$5:AE376)</f>
        <v>52</v>
      </c>
      <c r="AF408" s="271">
        <f>SUMIF($S$5:$S376,CONCATENATE($S408,$AB408),AF$5:AF376)</f>
        <v>1002</v>
      </c>
      <c r="AG408" s="271">
        <f>SUMIF($S$5:$S376,CONCATENATE($S408,$AB408),AG$5:AG376)</f>
        <v>0</v>
      </c>
      <c r="AH408" s="271">
        <f>SUMIF($S$5:$S376,CONCATENATE($S408,$AB408),AH$5:AH376)</f>
        <v>21134</v>
      </c>
      <c r="AI408" s="268"/>
      <c r="AK408" s="96" t="s">
        <v>82</v>
      </c>
      <c r="AL408" s="82">
        <f t="shared" ref="AL408:AL414" si="382">AB408</f>
        <v>2010</v>
      </c>
      <c r="AM408" s="270">
        <f>SUMIF($S$5:$S376,CONCATENATE($AK408,$AL408),AM$5:AM376)</f>
        <v>48</v>
      </c>
      <c r="AN408" s="271">
        <f>SUMIF($S$5:$S376,CONCATENATE($AK408,$AL408),AN$5:AN376)</f>
        <v>32</v>
      </c>
      <c r="AO408" s="271">
        <f>SUMIF($S$5:$S376,CONCATENATE($AK408,$AL408),AO$5:AO376)</f>
        <v>0</v>
      </c>
      <c r="AP408" s="271">
        <f>SUMIF($S$5:$S376,CONCATENATE($AK408,$AL408),AP$5:AP376)</f>
        <v>12</v>
      </c>
      <c r="AQ408" s="271">
        <f>SUMIF($S$5:$S376,CONCATENATE($AK408,$AL408),AQ$5:AQ376)</f>
        <v>0</v>
      </c>
      <c r="AR408" s="271">
        <f>SUMIF($S$5:$S376,CONCATENATE($AK408,$AL408),AR$5:AR376)</f>
        <v>153</v>
      </c>
      <c r="AS408" s="268"/>
    </row>
    <row r="409" spans="1:47">
      <c r="A409" s="16" t="str">
        <f>'WBS in Estimate'!E31</f>
        <v>Half Detector Assembly</v>
      </c>
      <c r="B409" s="9" t="str">
        <f>'WBS in Estimate'!D31</f>
        <v>1.2.3.4.2</v>
      </c>
      <c r="C409" s="218"/>
      <c r="G409" s="218"/>
      <c r="L409" s="236"/>
      <c r="S409" s="100" t="s">
        <v>81</v>
      </c>
      <c r="AB409" s="22">
        <v>2011</v>
      </c>
      <c r="AC409" s="270">
        <f>SUMIF($S$5:$S377,CONCATENATE($S409,$AB409),AC$5:AC379)</f>
        <v>128</v>
      </c>
      <c r="AD409" s="271">
        <f>SUMIF($S$5:$S377,CONCATENATE($S409,$AB409),AD$5:AD379)</f>
        <v>386</v>
      </c>
      <c r="AE409" s="271">
        <f>SUMIF($S$5:$S377,CONCATENATE($S409,$AB409),AE$5:AE379)</f>
        <v>32</v>
      </c>
      <c r="AF409" s="271">
        <f>SUMIF($S$5:$S377,CONCATENATE($S409,$AB409),AF$5:AF379)</f>
        <v>940</v>
      </c>
      <c r="AG409" s="271">
        <f>SUMIF($S$5:$S377,CONCATENATE($S409,$AB409),AG$5:AG379)</f>
        <v>0</v>
      </c>
      <c r="AH409" s="271">
        <f ca="1">SUMIF($S$5:$S377,CONCATENATE($S409,$AB409),AH$5:AH379)</f>
        <v>7827.5</v>
      </c>
      <c r="AI409" s="268"/>
      <c r="AK409" s="96" t="s">
        <v>82</v>
      </c>
      <c r="AL409" s="82">
        <f t="shared" si="382"/>
        <v>2011</v>
      </c>
      <c r="AM409" s="270">
        <f>SUMIF($S$5:$S377,CONCATENATE($AK409,$AL409),AM$5:AM379)</f>
        <v>76</v>
      </c>
      <c r="AN409" s="271">
        <f>SUMIF($S$5:$S377,CONCATENATE($AK409,$AL409),AN$5:AN379)</f>
        <v>88</v>
      </c>
      <c r="AO409" s="271">
        <f>SUMIF($S$5:$S377,CONCATENATE($AK409,$AL409),AO$5:AO379)</f>
        <v>16</v>
      </c>
      <c r="AP409" s="271">
        <f>SUMIF($S$5:$S377,CONCATENATE($AK409,$AL409),AP$5:AP379)</f>
        <v>120</v>
      </c>
      <c r="AQ409" s="271">
        <f>SUMIF($S$5:$S377,CONCATENATE($AK409,$AL409),AQ$5:AQ379)</f>
        <v>0</v>
      </c>
      <c r="AR409" s="271">
        <f>SUMIF($S$5:$S377,CONCATENATE($AK409,$AL409),AR$5:AR379)</f>
        <v>1080</v>
      </c>
      <c r="AS409" s="268"/>
    </row>
    <row r="410" spans="1:47">
      <c r="A410" s="16" t="str">
        <f>'WBS in Estimate'!E32</f>
        <v>System Test</v>
      </c>
      <c r="B410" s="9" t="str">
        <f>'WBS in Estimate'!D32</f>
        <v>1.2.3.5</v>
      </c>
      <c r="C410" s="218"/>
      <c r="G410" s="218"/>
      <c r="L410" s="236"/>
      <c r="S410" s="100" t="s">
        <v>81</v>
      </c>
      <c r="AB410" s="22">
        <v>2012</v>
      </c>
      <c r="AC410" s="270">
        <f>SUMIF($S$5:$S359,CONCATENATE($S410,$AB410),AC$5:AC359)</f>
        <v>38.75</v>
      </c>
      <c r="AD410" s="271">
        <f>SUMIF($S$5:$S359,CONCATENATE($S410,$AB410),AD$5:AD359)</f>
        <v>2</v>
      </c>
      <c r="AE410" s="271">
        <f>SUMIF($S$5:$S359,CONCATENATE($S410,$AB410),AE$5:AE359)</f>
        <v>0</v>
      </c>
      <c r="AF410" s="271">
        <f>SUMIF($S$5:$S359,CONCATENATE($S410,$AB410),AF$5:AF359)</f>
        <v>60</v>
      </c>
      <c r="AG410" s="271">
        <f>SUMIF($S$5:$S359,CONCATENATE($S410,$AB410),AG$5:AG359)</f>
        <v>0</v>
      </c>
      <c r="AH410" s="271">
        <f ca="1">SUMIF($S$5:$S359,CONCATENATE($S410,$AB410),AH$5:AH359)</f>
        <v>2285</v>
      </c>
      <c r="AI410" s="268"/>
      <c r="AK410" s="96" t="s">
        <v>82</v>
      </c>
      <c r="AL410" s="82">
        <f t="shared" si="382"/>
        <v>2012</v>
      </c>
      <c r="AM410" s="270">
        <f>SUMIF($S$5:$S359,CONCATENATE($AK410,$AL410),AM$5:AM359)</f>
        <v>0</v>
      </c>
      <c r="AN410" s="271">
        <f>SUMIF($S$5:$S359,CONCATENATE($AK410,$AL410),AN$5:AN359)</f>
        <v>0</v>
      </c>
      <c r="AO410" s="271">
        <f>SUMIF($S$5:$S359,CONCATENATE($AK410,$AL410),AO$5:AO359)</f>
        <v>0</v>
      </c>
      <c r="AP410" s="271">
        <f>SUMIF($S$5:$S359,CONCATENATE($AK410,$AL410),AP$5:AP359)</f>
        <v>40</v>
      </c>
      <c r="AQ410" s="271">
        <f>SUMIF($S$5:$S359,CONCATENATE($AK410,$AL410),AQ$5:AQ359)</f>
        <v>0</v>
      </c>
      <c r="AR410" s="271">
        <f>SUMIF($S$5:$S359,CONCATENATE($AK410,$AL410),AR$5:AR359)</f>
        <v>8</v>
      </c>
      <c r="AS410" s="268"/>
    </row>
    <row r="411" spans="1:47">
      <c r="A411" s="16" t="str">
        <f>'WBS in Estimate'!E33</f>
        <v>Installation</v>
      </c>
      <c r="B411" s="9" t="str">
        <f>'WBS in Estimate'!D33</f>
        <v>1.2.5</v>
      </c>
      <c r="C411" s="218"/>
      <c r="D411" s="240"/>
      <c r="E411" s="223"/>
      <c r="F411" s="217"/>
      <c r="G411" s="218"/>
      <c r="L411" s="236"/>
      <c r="S411" s="100" t="s">
        <v>81</v>
      </c>
      <c r="AB411" s="22">
        <v>2013</v>
      </c>
      <c r="AC411" s="270">
        <f>SUMIF($S$5:$S359,CONCATENATE($S411,$AB411),AC$5:AC359)</f>
        <v>16</v>
      </c>
      <c r="AD411" s="271">
        <f>SUMIF($S$5:$S359,CONCATENATE($S411,$AB411),AD$5:AD359)</f>
        <v>2</v>
      </c>
      <c r="AE411" s="271">
        <f>SUMIF($S$5:$S359,CONCATENATE($S411,$AB411),AE$5:AE359)</f>
        <v>0</v>
      </c>
      <c r="AF411" s="271">
        <f>SUMIF($S$5:$S359,CONCATENATE($S411,$AB411),AF$5:AF359)</f>
        <v>0</v>
      </c>
      <c r="AG411" s="271">
        <f>SUMIF($S$5:$S359,CONCATENATE($S411,$AB411),AG$5:AG359)</f>
        <v>0</v>
      </c>
      <c r="AH411" s="271">
        <f>SUMIF($S$5:$S359,CONCATENATE($S411,$AB411),AH$5:AH359)</f>
        <v>160</v>
      </c>
      <c r="AI411" s="268"/>
      <c r="AK411" s="96" t="s">
        <v>82</v>
      </c>
      <c r="AL411" s="82">
        <f t="shared" si="382"/>
        <v>2013</v>
      </c>
      <c r="AM411" s="270">
        <f>SUMIF($S$5:$S359,CONCATENATE($AK411,$AL411),AM$5:AM359)</f>
        <v>16</v>
      </c>
      <c r="AN411" s="271">
        <f>SUMIF($S$5:$S359,CONCATENATE($AK411,$AL411),AN$5:AN359)</f>
        <v>2</v>
      </c>
      <c r="AO411" s="271">
        <f>SUMIF($S$5:$S359,CONCATENATE($AK411,$AL411),AO$5:AO359)</f>
        <v>0</v>
      </c>
      <c r="AP411" s="271">
        <f>SUMIF($S$5:$S359,CONCATENATE($AK411,$AL411),AP$5:AP359)</f>
        <v>40</v>
      </c>
      <c r="AQ411" s="271">
        <f>SUMIF($S$5:$S359,CONCATENATE($AK411,$AL411),AQ$5:AQ359)</f>
        <v>0</v>
      </c>
      <c r="AR411" s="271">
        <f>SUMIF($S$5:$S359,CONCATENATE($AK411,$AL411),AR$5:AR359)</f>
        <v>160</v>
      </c>
      <c r="AS411" s="268"/>
    </row>
    <row r="412" spans="1:47" s="367" customFormat="1">
      <c r="A412" s="16"/>
      <c r="B412" s="9"/>
      <c r="C412" s="218"/>
      <c r="D412" s="240"/>
      <c r="E412" s="223"/>
      <c r="F412" s="217"/>
      <c r="G412" s="218"/>
      <c r="H412" s="162"/>
      <c r="I412" s="162"/>
      <c r="J412" s="163"/>
      <c r="K412" s="163"/>
      <c r="L412" s="236"/>
      <c r="M412" s="7"/>
      <c r="N412" s="164"/>
      <c r="O412" s="186"/>
      <c r="P412" s="7"/>
      <c r="Q412" s="54"/>
      <c r="R412" s="54"/>
      <c r="S412" s="100" t="s">
        <v>81</v>
      </c>
      <c r="T412" s="100"/>
      <c r="U412" s="100"/>
      <c r="V412" s="100"/>
      <c r="W412" s="7"/>
      <c r="X412" s="10"/>
      <c r="Y412" s="10"/>
      <c r="Z412" s="10"/>
      <c r="AA412" s="10"/>
      <c r="AB412" s="22">
        <v>2014</v>
      </c>
      <c r="AC412" s="270">
        <f>SUMIF($S$5:$S360,CONCATENATE($S412,$AB412),AC$5:AC360)</f>
        <v>0</v>
      </c>
      <c r="AD412" s="271">
        <f>SUMIF($S$5:$S360,CONCATENATE($S412,$AB412),AD$5:AD360)</f>
        <v>0</v>
      </c>
      <c r="AE412" s="271">
        <f>SUMIF($S$5:$S360,CONCATENATE($S412,$AB412),AE$5:AE360)</f>
        <v>0</v>
      </c>
      <c r="AF412" s="271">
        <f>SUMIF($S$5:$S360,CONCATENATE($S412,$AB412),AF$5:AF360)</f>
        <v>0</v>
      </c>
      <c r="AG412" s="271">
        <f>SUMIF($S$5:$S360,CONCATENATE($S412,$AB412),AG$5:AG360)</f>
        <v>0</v>
      </c>
      <c r="AH412" s="271">
        <f>SUMIF($S$5:$S360,CONCATENATE($S412,$AB412),AH$5:AH360)</f>
        <v>0</v>
      </c>
      <c r="AI412" s="268"/>
      <c r="AJ412" s="7"/>
      <c r="AK412" s="96"/>
      <c r="AL412" s="82">
        <f t="shared" ref="AL412" si="383">AB412</f>
        <v>2014</v>
      </c>
      <c r="AM412" s="270">
        <f>SUMIF($S$5:$S360,CONCATENATE($AK412,$AL412),AM$5:AM360)</f>
        <v>0</v>
      </c>
      <c r="AN412" s="271">
        <f>SUMIF($S$5:$S360,CONCATENATE($AK412,$AL412),AN$5:AN360)</f>
        <v>0</v>
      </c>
      <c r="AO412" s="271">
        <f>SUMIF($S$5:$S360,CONCATENATE($AK412,$AL412),AO$5:AO360)</f>
        <v>0</v>
      </c>
      <c r="AP412" s="271">
        <f>SUMIF($S$5:$S360,CONCATENATE($AK412,$AL412),AP$5:AP360)</f>
        <v>0</v>
      </c>
      <c r="AQ412" s="271">
        <f>SUMIF($S$5:$S360,CONCATENATE($AK412,$AL412),AQ$5:AQ360)</f>
        <v>0</v>
      </c>
      <c r="AR412" s="271">
        <f>SUMIF($S$5:$S360,CONCATENATE($AK412,$AL412),AR$5:AR360)</f>
        <v>0</v>
      </c>
      <c r="AS412" s="268"/>
    </row>
    <row r="413" spans="1:47">
      <c r="A413" s="16" t="str">
        <f>'WBS in Estimate'!E34</f>
        <v>Pixel Installation In-Situ</v>
      </c>
      <c r="B413" s="9" t="str">
        <f>'WBS in Estimate'!D34</f>
        <v>1.2.5.1</v>
      </c>
      <c r="C413" s="218"/>
      <c r="D413" s="240"/>
      <c r="E413" s="217"/>
      <c r="F413" s="217"/>
      <c r="G413" s="218"/>
      <c r="L413" s="236"/>
      <c r="S413" s="100" t="s">
        <v>81</v>
      </c>
      <c r="AB413" s="24" t="s">
        <v>177</v>
      </c>
      <c r="AC413" s="270">
        <f>SUMIF($S$5:$S359,CONCATENATE($S413,$AB413),AC$5:AC359)</f>
        <v>0</v>
      </c>
      <c r="AD413" s="271">
        <f>SUMIF($S$5:$S359,CONCATENATE($S413,$AB413),AD$5:AD359)</f>
        <v>0</v>
      </c>
      <c r="AE413" s="271">
        <f>SUMIF($S$5:$S359,CONCATENATE($S413,$AB413),AE$5:AE359)</f>
        <v>0</v>
      </c>
      <c r="AF413" s="271">
        <f>SUMIF($S$5:$S359,CONCATENATE($S413,$AB413),AF$5:AF359)</f>
        <v>0</v>
      </c>
      <c r="AG413" s="271">
        <f>SUMIF($S$5:$S359,CONCATENATE($S413,$AB413),AG$5:AG359)</f>
        <v>0</v>
      </c>
      <c r="AH413" s="271">
        <f>SUMIF($S$5:$S359,CONCATENATE($S413,$AB413),AH$5:AH359)</f>
        <v>0</v>
      </c>
      <c r="AI413" s="268"/>
      <c r="AK413" s="96" t="s">
        <v>82</v>
      </c>
      <c r="AL413" s="82" t="str">
        <f t="shared" si="382"/>
        <v>CONT</v>
      </c>
      <c r="AM413" s="270">
        <f>SUMIF($S$5:$S359,CONCATENATE($AK413,$AL413),AM$5:AM359)</f>
        <v>0</v>
      </c>
      <c r="AN413" s="271">
        <f>SUMIF($S$5:$S359,CONCATENATE($AK413,$AL413),AN$5:AN359)</f>
        <v>0</v>
      </c>
      <c r="AO413" s="271">
        <f>SUMIF($S$5:$S359,CONCATENATE($AK413,$AL413),AO$5:AO359)</f>
        <v>0</v>
      </c>
      <c r="AP413" s="271">
        <f>SUMIF($S$5:$S359,CONCATENATE($AK413,$AL413),AP$5:AP359)</f>
        <v>0</v>
      </c>
      <c r="AQ413" s="271">
        <f>SUMIF($S$5:$S359,CONCATENATE($AK413,$AL413),AQ$5:AQ359)</f>
        <v>0</v>
      </c>
      <c r="AR413" s="271">
        <f>SUMIF($S$5:$S359,CONCATENATE($AK413,$AL413),AR$5:AR359)</f>
        <v>0</v>
      </c>
      <c r="AS413" s="268"/>
    </row>
    <row r="414" spans="1:47">
      <c r="A414" s="16" t="str">
        <f>'WBS in Estimate'!E35</f>
        <v>Work Platform</v>
      </c>
      <c r="B414" s="9" t="str">
        <f>'WBS in Estimate'!D35</f>
        <v>1.2.5.1.1</v>
      </c>
      <c r="C414" s="218"/>
      <c r="D414" s="242"/>
      <c r="E414" s="223"/>
      <c r="F414" s="217"/>
      <c r="G414" s="218"/>
      <c r="L414" s="236"/>
      <c r="S414" s="100" t="s">
        <v>81</v>
      </c>
      <c r="AB414" s="24" t="s">
        <v>173</v>
      </c>
      <c r="AC414" s="270">
        <f>SUMIF($S$5:$S359,CONCATENATE($S414,$AB414),AC$5:AC359)</f>
        <v>0</v>
      </c>
      <c r="AD414" s="271">
        <f>SUMIF($S$5:$S359,CONCATENATE($S414,$AB414),AD$5:AD359)</f>
        <v>0</v>
      </c>
      <c r="AE414" s="271">
        <f>SUMIF($S$5:$S359,CONCATENATE($S414,$AB414),AE$5:AE359)</f>
        <v>0</v>
      </c>
      <c r="AF414" s="271">
        <f>SUMIF($S$5:$S359,CONCATENATE($S414,$AB414),AF$5:AF359)</f>
        <v>0</v>
      </c>
      <c r="AG414" s="271">
        <f>SUMIF($S$5:$S359,CONCATENATE($S414,$AB414),AG$5:AG359)</f>
        <v>0</v>
      </c>
      <c r="AH414" s="271">
        <f>SUMIF($S$5:$S359,CONCATENATE($S414,$AB414),AH$5:AH359)</f>
        <v>0</v>
      </c>
      <c r="AI414" s="268"/>
      <c r="AK414" s="96" t="s">
        <v>82</v>
      </c>
      <c r="AL414" s="82" t="str">
        <f t="shared" si="382"/>
        <v>STAR</v>
      </c>
      <c r="AM414" s="270">
        <f>SUMIF($S$5:$S359,CONCATENATE($AK414,$AL414),AM$5:AM359)</f>
        <v>0</v>
      </c>
      <c r="AN414" s="271">
        <f>SUMIF($S$5:$S359,CONCATENATE($AK414,$AL414),AN$5:AN359)</f>
        <v>0</v>
      </c>
      <c r="AO414" s="271">
        <f>SUMIF($S$5:$S359,CONCATENATE($AK414,$AL414),AO$5:AO359)</f>
        <v>0</v>
      </c>
      <c r="AP414" s="271">
        <f>SUMIF($S$5:$S359,CONCATENATE($AK414,$AL414),AP$5:AP359)</f>
        <v>0</v>
      </c>
      <c r="AQ414" s="271">
        <f>SUMIF($S$5:$S359,CONCATENATE($AK414,$AL414),AQ$5:AQ359)</f>
        <v>0</v>
      </c>
      <c r="AR414" s="271">
        <f>SUMIF($S$5:$S359,CONCATENATE($AK414,$AL414),AR$5:AR359)</f>
        <v>0</v>
      </c>
      <c r="AS414" s="268"/>
    </row>
    <row r="415" spans="1:47" ht="15.75">
      <c r="A415" s="16" t="str">
        <f>'WBS in Estimate'!E36</f>
        <v>Detector Installation</v>
      </c>
      <c r="B415" s="9" t="str">
        <f>'WBS in Estimate'!D36</f>
        <v>1.2.5.1.2</v>
      </c>
      <c r="C415" s="218"/>
      <c r="D415" s="243"/>
      <c r="E415" s="217"/>
      <c r="F415" s="217"/>
      <c r="G415" s="218"/>
      <c r="L415" s="236"/>
      <c r="AC415" s="411" t="s">
        <v>175</v>
      </c>
      <c r="AD415" s="412"/>
      <c r="AE415" s="412"/>
      <c r="AF415" s="412"/>
      <c r="AG415" s="412"/>
      <c r="AH415" s="412"/>
      <c r="AI415" s="413"/>
      <c r="AK415" s="96"/>
      <c r="AL415" s="84"/>
      <c r="AM415" s="411" t="s">
        <v>175</v>
      </c>
      <c r="AN415" s="412"/>
      <c r="AO415" s="412"/>
      <c r="AP415" s="412"/>
      <c r="AQ415" s="412"/>
      <c r="AR415" s="412"/>
      <c r="AS415" s="413"/>
      <c r="AU415" s="26"/>
    </row>
    <row r="416" spans="1:47">
      <c r="A416" s="16" t="str">
        <f>'WBS in Estimate'!E37</f>
        <v>Service Termination</v>
      </c>
      <c r="B416" s="9" t="str">
        <f>'WBS in Estimate'!D37</f>
        <v>1.2.5.1.3</v>
      </c>
      <c r="C416" s="218"/>
      <c r="D416" s="243"/>
      <c r="E416" s="224"/>
      <c r="F416" s="225"/>
      <c r="G416" s="218"/>
      <c r="L416" s="236"/>
      <c r="AC416" s="25" t="s">
        <v>50</v>
      </c>
      <c r="AD416" s="14" t="s">
        <v>51</v>
      </c>
      <c r="AE416" s="14" t="s">
        <v>37</v>
      </c>
      <c r="AF416" s="14" t="s">
        <v>30</v>
      </c>
      <c r="AG416" s="14" t="s">
        <v>31</v>
      </c>
      <c r="AH416" s="14" t="s">
        <v>16</v>
      </c>
      <c r="AI416" s="27" t="s">
        <v>52</v>
      </c>
      <c r="AK416" s="96"/>
      <c r="AL416" s="84"/>
      <c r="AM416" s="25" t="s">
        <v>50</v>
      </c>
      <c r="AN416" s="14" t="s">
        <v>51</v>
      </c>
      <c r="AO416" s="14" t="s">
        <v>37</v>
      </c>
      <c r="AP416" s="14" t="s">
        <v>30</v>
      </c>
      <c r="AQ416" s="14" t="s">
        <v>31</v>
      </c>
      <c r="AR416" s="14" t="s">
        <v>16</v>
      </c>
      <c r="AS416" s="27" t="s">
        <v>52</v>
      </c>
    </row>
    <row r="417" spans="1:50">
      <c r="A417" s="16" t="str">
        <f>'WBS in Estimate'!E38</f>
        <v>Pixel Auxiliary Acess</v>
      </c>
      <c r="B417" s="9" t="str">
        <f>'WBS in Estimate'!D38</f>
        <v>1.2.5.2</v>
      </c>
      <c r="C417" s="218"/>
      <c r="D417" s="240"/>
      <c r="E417" s="224"/>
      <c r="F417" s="217"/>
      <c r="G417" s="218"/>
      <c r="L417" s="236"/>
      <c r="S417" s="100" t="s">
        <v>81</v>
      </c>
      <c r="AB417" s="22">
        <f>AB407</f>
        <v>2009</v>
      </c>
      <c r="AC417" s="274">
        <f t="shared" ref="AC417:AC422" si="384">Shop_RD*AC407</f>
        <v>0</v>
      </c>
      <c r="AD417" s="272">
        <f t="shared" ref="AD417:AD422" si="385">MTECH_RD*AD407</f>
        <v>0</v>
      </c>
      <c r="AE417" s="272">
        <f t="shared" ref="AE417:AE422" si="386">CMM_RD*AE407</f>
        <v>0</v>
      </c>
      <c r="AF417" s="272">
        <f t="shared" ref="AF417:AF422" si="387">ENG_RD*AF407</f>
        <v>0</v>
      </c>
      <c r="AG417" s="272">
        <f t="shared" ref="AG417:AG422" si="388">DES_RD*AG407</f>
        <v>0</v>
      </c>
      <c r="AH417" s="272">
        <f t="shared" ref="AH417:AH422" si="389">AH407</f>
        <v>0</v>
      </c>
      <c r="AI417" s="275">
        <f>SUM(AC417:AH417)</f>
        <v>0</v>
      </c>
      <c r="AK417" s="96" t="s">
        <v>82</v>
      </c>
      <c r="AL417" s="82">
        <f t="shared" ref="AL417:AL422" si="390">AB417</f>
        <v>2009</v>
      </c>
      <c r="AM417" s="274">
        <f t="shared" ref="AM417:AM422" si="391">Shop_RD*AM407</f>
        <v>0</v>
      </c>
      <c r="AN417" s="272">
        <f>MTECH_RD*AN407</f>
        <v>0</v>
      </c>
      <c r="AO417" s="272">
        <f>CMM_RD*AO407</f>
        <v>0</v>
      </c>
      <c r="AP417" s="272">
        <f>ENG_RD*AP407</f>
        <v>0</v>
      </c>
      <c r="AQ417" s="272">
        <f>DES_RD*AQ407</f>
        <v>0</v>
      </c>
      <c r="AR417" s="272">
        <f>AR407</f>
        <v>0</v>
      </c>
      <c r="AS417" s="275">
        <f>SUM(AM417:AR417)</f>
        <v>0</v>
      </c>
    </row>
    <row r="418" spans="1:50">
      <c r="A418" s="16" t="str">
        <f>'WBS in Estimate'!E39</f>
        <v>Work Platform</v>
      </c>
      <c r="B418" s="9" t="str">
        <f>'WBS in Estimate'!D39</f>
        <v>1.2.5.2.1</v>
      </c>
      <c r="C418" s="218"/>
      <c r="D418" s="240"/>
      <c r="E418" s="224"/>
      <c r="F418" s="217"/>
      <c r="G418" s="218"/>
      <c r="L418" s="236"/>
      <c r="S418" s="100" t="s">
        <v>81</v>
      </c>
      <c r="AB418" s="22">
        <v>2010</v>
      </c>
      <c r="AC418" s="274">
        <f t="shared" si="384"/>
        <v>24444</v>
      </c>
      <c r="AD418" s="272">
        <f t="shared" si="385"/>
        <v>74295</v>
      </c>
      <c r="AE418" s="272">
        <f t="shared" si="386"/>
        <v>6552</v>
      </c>
      <c r="AF418" s="272">
        <f t="shared" si="387"/>
        <v>150300</v>
      </c>
      <c r="AG418" s="272">
        <f t="shared" si="388"/>
        <v>0</v>
      </c>
      <c r="AH418" s="272">
        <f t="shared" si="389"/>
        <v>21134</v>
      </c>
      <c r="AI418" s="275">
        <f t="shared" ref="AI418" si="392">SUM(AC418:AH418)</f>
        <v>276725</v>
      </c>
      <c r="AK418" s="96" t="s">
        <v>82</v>
      </c>
      <c r="AL418" s="82">
        <f t="shared" si="390"/>
        <v>2010</v>
      </c>
      <c r="AM418" s="274">
        <f t="shared" si="391"/>
        <v>6048</v>
      </c>
      <c r="AN418" s="272">
        <f>MTECH_RD*AN408</f>
        <v>3744</v>
      </c>
      <c r="AO418" s="272">
        <f>CMM_RD*AO408</f>
        <v>0</v>
      </c>
      <c r="AP418" s="272">
        <f>ENG_RD*AP408</f>
        <v>1800</v>
      </c>
      <c r="AQ418" s="272">
        <f>DES_RD*AQ408</f>
        <v>0</v>
      </c>
      <c r="AR418" s="272">
        <f t="shared" ref="AR418:AR421" si="393">AR408</f>
        <v>153</v>
      </c>
      <c r="AS418" s="275">
        <f t="shared" ref="AS418:AS419" si="394">SUM(AM418:AR418)</f>
        <v>11745</v>
      </c>
    </row>
    <row r="419" spans="1:50">
      <c r="A419" s="16" t="str">
        <f>'WBS in Estimate'!E40</f>
        <v>Detector Installation</v>
      </c>
      <c r="B419" s="9" t="str">
        <f>'WBS in Estimate'!D40</f>
        <v>1.2.5.2.2</v>
      </c>
      <c r="C419" s="410" t="s">
        <v>213</v>
      </c>
      <c r="D419" s="410"/>
      <c r="E419" s="410"/>
      <c r="F419" s="410"/>
      <c r="G419" s="410"/>
      <c r="H419" s="410"/>
      <c r="I419" s="410"/>
      <c r="J419" s="410"/>
      <c r="K419" s="410"/>
      <c r="L419" s="410"/>
      <c r="S419" s="100" t="s">
        <v>81</v>
      </c>
      <c r="AB419" s="22">
        <v>2011</v>
      </c>
      <c r="AC419" s="274">
        <f t="shared" si="384"/>
        <v>16128</v>
      </c>
      <c r="AD419" s="272">
        <f t="shared" si="385"/>
        <v>45162</v>
      </c>
      <c r="AE419" s="272">
        <f t="shared" si="386"/>
        <v>4032</v>
      </c>
      <c r="AF419" s="272">
        <f t="shared" si="387"/>
        <v>141000</v>
      </c>
      <c r="AG419" s="272">
        <f t="shared" si="388"/>
        <v>0</v>
      </c>
      <c r="AH419" s="272">
        <f t="shared" ca="1" si="389"/>
        <v>7827.5</v>
      </c>
      <c r="AI419" s="275">
        <f ca="1">SUM(AC419:AH419)</f>
        <v>214149.5</v>
      </c>
      <c r="AK419" s="96" t="s">
        <v>82</v>
      </c>
      <c r="AL419" s="82">
        <f t="shared" si="390"/>
        <v>2011</v>
      </c>
      <c r="AM419" s="274">
        <f t="shared" si="391"/>
        <v>9576</v>
      </c>
      <c r="AN419" s="272">
        <f>MTECH_RD*AN409</f>
        <v>10296</v>
      </c>
      <c r="AO419" s="272">
        <f>CMM_RD*AO409</f>
        <v>2016</v>
      </c>
      <c r="AP419" s="272">
        <f>ENG_RD*AP409</f>
        <v>18000</v>
      </c>
      <c r="AQ419" s="272">
        <f>DES_RD*AQ409</f>
        <v>0</v>
      </c>
      <c r="AR419" s="272">
        <f t="shared" si="393"/>
        <v>1080</v>
      </c>
      <c r="AS419" s="275">
        <f t="shared" si="394"/>
        <v>40968</v>
      </c>
    </row>
    <row r="420" spans="1:50">
      <c r="A420" s="16" t="str">
        <f>'WBS in Estimate'!E41</f>
        <v>Service Termination</v>
      </c>
      <c r="B420" s="9" t="str">
        <f>'WBS in Estimate'!D41</f>
        <v>1.2.5.2.3</v>
      </c>
      <c r="C420" s="410"/>
      <c r="D420" s="410"/>
      <c r="E420" s="410"/>
      <c r="F420" s="410"/>
      <c r="G420" s="410"/>
      <c r="H420" s="410"/>
      <c r="I420" s="410"/>
      <c r="J420" s="410"/>
      <c r="K420" s="410"/>
      <c r="L420" s="410"/>
      <c r="S420" s="100" t="s">
        <v>81</v>
      </c>
      <c r="AB420" s="22">
        <f>AB410</f>
        <v>2012</v>
      </c>
      <c r="AC420" s="274">
        <f t="shared" si="384"/>
        <v>4882.5</v>
      </c>
      <c r="AD420" s="272">
        <f t="shared" si="385"/>
        <v>234</v>
      </c>
      <c r="AE420" s="272">
        <f t="shared" si="386"/>
        <v>0</v>
      </c>
      <c r="AF420" s="272">
        <f t="shared" si="387"/>
        <v>9000</v>
      </c>
      <c r="AG420" s="272">
        <f t="shared" si="388"/>
        <v>0</v>
      </c>
      <c r="AH420" s="272">
        <f t="shared" ca="1" si="389"/>
        <v>2285</v>
      </c>
      <c r="AI420" s="275">
        <f ca="1">SUM(AC420:AH420)</f>
        <v>16401.5</v>
      </c>
      <c r="AK420" s="96" t="s">
        <v>82</v>
      </c>
      <c r="AL420" s="82">
        <f t="shared" si="390"/>
        <v>2012</v>
      </c>
      <c r="AM420" s="274">
        <f t="shared" si="391"/>
        <v>0</v>
      </c>
      <c r="AN420" s="272">
        <f>MTECH_RD*AN410</f>
        <v>0</v>
      </c>
      <c r="AO420" s="272">
        <f>CMM_RD*AO410</f>
        <v>0</v>
      </c>
      <c r="AP420" s="272">
        <f>ENG_RD*AP410</f>
        <v>6000</v>
      </c>
      <c r="AQ420" s="272">
        <f>DES_RD*AQ410</f>
        <v>0</v>
      </c>
      <c r="AR420" s="272">
        <f t="shared" si="393"/>
        <v>8</v>
      </c>
      <c r="AS420" s="275">
        <f t="shared" ref="AS420:AS422" si="395">SUM(AM420:AR420)</f>
        <v>6008</v>
      </c>
    </row>
    <row r="421" spans="1:50" s="367" customFormat="1">
      <c r="A421" s="16"/>
      <c r="B421" s="9"/>
      <c r="C421" s="368"/>
      <c r="D421" s="368"/>
      <c r="E421" s="368"/>
      <c r="F421" s="368"/>
      <c r="G421" s="368"/>
      <c r="H421" s="368"/>
      <c r="I421" s="368"/>
      <c r="J421" s="368"/>
      <c r="K421" s="368"/>
      <c r="L421" s="368"/>
      <c r="M421" s="7"/>
      <c r="N421" s="164"/>
      <c r="O421" s="186"/>
      <c r="P421" s="7"/>
      <c r="Q421" s="54"/>
      <c r="R421" s="54"/>
      <c r="S421" s="100" t="s">
        <v>81</v>
      </c>
      <c r="T421" s="100"/>
      <c r="U421" s="100"/>
      <c r="V421" s="100"/>
      <c r="W421" s="7"/>
      <c r="X421" s="10"/>
      <c r="Y421" s="10"/>
      <c r="Z421" s="10"/>
      <c r="AA421" s="10"/>
      <c r="AB421" s="22">
        <f>AB411</f>
        <v>2013</v>
      </c>
      <c r="AC421" s="274">
        <f t="shared" si="384"/>
        <v>2016</v>
      </c>
      <c r="AD421" s="272">
        <f t="shared" si="385"/>
        <v>234</v>
      </c>
      <c r="AE421" s="272">
        <f t="shared" si="386"/>
        <v>0</v>
      </c>
      <c r="AF421" s="272">
        <f t="shared" si="387"/>
        <v>0</v>
      </c>
      <c r="AG421" s="272">
        <f t="shared" si="388"/>
        <v>0</v>
      </c>
      <c r="AH421" s="272">
        <f t="shared" si="389"/>
        <v>160</v>
      </c>
      <c r="AI421" s="275">
        <f>SUM(AC421:AH421)</f>
        <v>2410</v>
      </c>
      <c r="AJ421" s="7"/>
      <c r="AK421" s="96"/>
      <c r="AL421" s="82">
        <f t="shared" ref="AL421" si="396">AB421</f>
        <v>2013</v>
      </c>
      <c r="AM421" s="274">
        <f t="shared" si="391"/>
        <v>2016</v>
      </c>
      <c r="AN421" s="272">
        <f>MTECH_RD*AN411</f>
        <v>234</v>
      </c>
      <c r="AO421" s="272">
        <f>CMM_RD*AO411</f>
        <v>0</v>
      </c>
      <c r="AP421" s="272">
        <f>ENG_RD*AP411</f>
        <v>6000</v>
      </c>
      <c r="AQ421" s="272">
        <f>DES_RD*AQ411</f>
        <v>0</v>
      </c>
      <c r="AR421" s="272">
        <f t="shared" si="393"/>
        <v>160</v>
      </c>
      <c r="AS421" s="275">
        <f t="shared" ref="AS421" si="397">SUM(AM421:AR421)</f>
        <v>8410</v>
      </c>
    </row>
    <row r="422" spans="1:50" ht="13.5" thickBot="1">
      <c r="A422" s="16"/>
      <c r="B422" s="9"/>
      <c r="S422" s="100" t="s">
        <v>81</v>
      </c>
      <c r="AB422" s="22">
        <f>AB412</f>
        <v>2014</v>
      </c>
      <c r="AC422" s="278">
        <f t="shared" si="384"/>
        <v>0</v>
      </c>
      <c r="AD422" s="279">
        <f t="shared" si="385"/>
        <v>0</v>
      </c>
      <c r="AE422" s="279">
        <f t="shared" si="386"/>
        <v>0</v>
      </c>
      <c r="AF422" s="279">
        <f t="shared" si="387"/>
        <v>0</v>
      </c>
      <c r="AG422" s="279">
        <f t="shared" si="388"/>
        <v>0</v>
      </c>
      <c r="AH422" s="279">
        <f t="shared" si="389"/>
        <v>0</v>
      </c>
      <c r="AI422" s="280">
        <f>SUM(AC422:AH422)</f>
        <v>0</v>
      </c>
      <c r="AK422" s="96" t="s">
        <v>82</v>
      </c>
      <c r="AL422" s="82">
        <f t="shared" si="390"/>
        <v>2014</v>
      </c>
      <c r="AM422" s="278">
        <f t="shared" si="391"/>
        <v>0</v>
      </c>
      <c r="AN422" s="279">
        <f>Shop_RD*AN412</f>
        <v>0</v>
      </c>
      <c r="AO422" s="279">
        <f>Shop_RD*AO412</f>
        <v>0</v>
      </c>
      <c r="AP422" s="279">
        <f>Shop_RD*AP412</f>
        <v>0</v>
      </c>
      <c r="AQ422" s="279">
        <f>Shop_RD*AQ412</f>
        <v>0</v>
      </c>
      <c r="AR422" s="279">
        <f>Shop_RD*AR412</f>
        <v>0</v>
      </c>
      <c r="AS422" s="280">
        <f t="shared" si="395"/>
        <v>0</v>
      </c>
    </row>
    <row r="423" spans="1:50" s="367" customFormat="1" ht="13.5" thickTop="1">
      <c r="A423" s="16"/>
      <c r="B423" s="9"/>
      <c r="C423" s="162"/>
      <c r="D423" s="87"/>
      <c r="E423" s="116"/>
      <c r="F423" s="116"/>
      <c r="G423" s="162"/>
      <c r="H423" s="162"/>
      <c r="I423" s="162"/>
      <c r="J423" s="163"/>
      <c r="K423" s="163"/>
      <c r="L423" s="87"/>
      <c r="M423" s="7"/>
      <c r="N423" s="164"/>
      <c r="O423" s="186"/>
      <c r="P423" s="7"/>
      <c r="Q423" s="54"/>
      <c r="R423" s="54"/>
      <c r="S423" s="100"/>
      <c r="T423" s="100"/>
      <c r="U423" s="100"/>
      <c r="V423" s="100"/>
      <c r="W423" s="7"/>
      <c r="X423" s="10"/>
      <c r="Y423" s="10"/>
      <c r="Z423" s="10"/>
      <c r="AA423" s="10"/>
      <c r="AB423" s="22"/>
      <c r="AC423" s="169"/>
      <c r="AD423" s="169"/>
      <c r="AE423" s="169"/>
      <c r="AF423" s="169"/>
      <c r="AG423" s="169"/>
      <c r="AH423" s="169"/>
      <c r="AI423" s="169"/>
      <c r="AJ423" s="7"/>
      <c r="AK423" s="96"/>
      <c r="AL423" s="82"/>
      <c r="AM423" s="169"/>
      <c r="AN423" s="169"/>
      <c r="AO423" s="169"/>
      <c r="AP423" s="169"/>
      <c r="AQ423" s="169"/>
      <c r="AR423" s="169"/>
      <c r="AS423" s="169"/>
    </row>
    <row r="424" spans="1:50" ht="15">
      <c r="A424" s="16"/>
      <c r="B424" s="9"/>
      <c r="AH424" s="71" t="s">
        <v>73</v>
      </c>
      <c r="AI424" s="71">
        <f ca="1">SUM(AI417:AI422)</f>
        <v>509686</v>
      </c>
      <c r="AK424" s="96"/>
      <c r="AL424" s="7"/>
      <c r="AM424" s="151"/>
      <c r="AN424" s="151"/>
      <c r="AO424" s="151"/>
      <c r="AP424" s="151"/>
      <c r="AQ424" s="84"/>
      <c r="AR424" s="71" t="s">
        <v>71</v>
      </c>
      <c r="AS424" s="71">
        <f>SUM(AS417:AS422)</f>
        <v>67131</v>
      </c>
      <c r="AW424" s="70"/>
      <c r="AX424" s="70"/>
    </row>
    <row r="425" spans="1:50">
      <c r="A425" s="16"/>
      <c r="B425" s="9"/>
      <c r="AR425" s="83" t="s">
        <v>86</v>
      </c>
      <c r="AS425" s="284">
        <f ca="1">AS424/AI424</f>
        <v>0.13171050411429783</v>
      </c>
    </row>
    <row r="426" spans="1:50" ht="13.5" thickBot="1">
      <c r="A426" s="16"/>
      <c r="B426" s="9"/>
    </row>
    <row r="427" spans="1:50" ht="15.75" thickTop="1">
      <c r="A427" s="16"/>
      <c r="B427" s="9"/>
      <c r="AC427" s="422" t="s">
        <v>84</v>
      </c>
      <c r="AD427" s="423"/>
      <c r="AE427" s="423"/>
      <c r="AF427" s="423"/>
      <c r="AG427" s="423"/>
      <c r="AH427" s="423"/>
      <c r="AI427" s="424"/>
      <c r="AK427" s="96"/>
      <c r="AL427" s="84"/>
      <c r="AM427" s="422" t="s">
        <v>85</v>
      </c>
      <c r="AN427" s="423"/>
      <c r="AO427" s="423"/>
      <c r="AP427" s="423"/>
      <c r="AQ427" s="423"/>
      <c r="AR427" s="423"/>
      <c r="AS427" s="424"/>
    </row>
    <row r="428" spans="1:50">
      <c r="A428" s="16"/>
      <c r="B428" s="9"/>
      <c r="AC428" s="25" t="s">
        <v>11</v>
      </c>
      <c r="AD428" s="14" t="s">
        <v>10</v>
      </c>
      <c r="AE428" s="14" t="s">
        <v>37</v>
      </c>
      <c r="AF428" s="14" t="s">
        <v>30</v>
      </c>
      <c r="AG428" s="14" t="s">
        <v>31</v>
      </c>
      <c r="AH428" s="14" t="s">
        <v>16</v>
      </c>
      <c r="AI428" s="268"/>
      <c r="AK428" s="96"/>
      <c r="AL428" s="84"/>
      <c r="AM428" s="25" t="s">
        <v>11</v>
      </c>
      <c r="AN428" s="14" t="s">
        <v>10</v>
      </c>
      <c r="AO428" s="14" t="s">
        <v>37</v>
      </c>
      <c r="AP428" s="14" t="s">
        <v>30</v>
      </c>
      <c r="AQ428" s="14" t="s">
        <v>31</v>
      </c>
      <c r="AR428" s="14" t="s">
        <v>16</v>
      </c>
      <c r="AS428" s="268"/>
    </row>
    <row r="429" spans="1:50">
      <c r="A429" s="16"/>
      <c r="B429" s="9"/>
      <c r="S429" s="100" t="s">
        <v>80</v>
      </c>
      <c r="AB429" s="22">
        <v>2009</v>
      </c>
      <c r="AC429" s="270">
        <f>SUMIF($S$5:$S359,CONCATENATE($S429,$AB429),AC$5:AC359)</f>
        <v>0</v>
      </c>
      <c r="AD429" s="271">
        <f>SUMIF($S$5:$S359,CONCATENATE($S429,$AB429),AD$5:AD359)</f>
        <v>0</v>
      </c>
      <c r="AE429" s="271">
        <f>SUMIF($S$5:$S359,CONCATENATE($S429,$AB429),AE$5:AE359)</f>
        <v>0</v>
      </c>
      <c r="AF429" s="271">
        <f>SUMIF($S$5:$S359,CONCATENATE($S429,$AB429),AF$5:AF359)</f>
        <v>0</v>
      </c>
      <c r="AG429" s="271">
        <f>SUMIF($S$5:$S359,CONCATENATE($S429,$AB429),AG$5:AG359)</f>
        <v>0</v>
      </c>
      <c r="AH429" s="271">
        <f>SUMIF($S$5:$S359,CONCATENATE($S429,$AB429),AH$5:AH359)</f>
        <v>0</v>
      </c>
      <c r="AI429" s="268"/>
      <c r="AK429" s="96" t="s">
        <v>83</v>
      </c>
      <c r="AL429" s="82">
        <f>AB429</f>
        <v>2009</v>
      </c>
      <c r="AM429" s="270">
        <f>SUMIF($S$5:$S359,CONCATENATE($AK429,$AL429),AM$5:AM359)</f>
        <v>0</v>
      </c>
      <c r="AN429" s="271">
        <f>SUMIF($S$5:$S359,CONCATENATE($AK429,$AL429),AN$5:AN359)</f>
        <v>0</v>
      </c>
      <c r="AO429" s="271">
        <f>SUMIF($S$5:$S359,CONCATENATE($AK429,$AL429),AO$5:AO359)</f>
        <v>0</v>
      </c>
      <c r="AP429" s="271">
        <f>SUMIF($S$5:$S359,CONCATENATE($AK429,$AL429),AP$5:AP359)</f>
        <v>0</v>
      </c>
      <c r="AQ429" s="271">
        <f>SUMIF($S$5:$S359,CONCATENATE($AK429,$AL429),AQ$5:AQ359)</f>
        <v>0</v>
      </c>
      <c r="AR429" s="271">
        <f>SUMIF($S$5:$S359,CONCATENATE($AK429,$AL429),AR$5:AR359)</f>
        <v>0</v>
      </c>
      <c r="AS429" s="268"/>
    </row>
    <row r="430" spans="1:50">
      <c r="A430" s="16"/>
      <c r="B430" s="9"/>
      <c r="S430" s="100" t="s">
        <v>80</v>
      </c>
      <c r="AB430" s="22">
        <v>2010</v>
      </c>
      <c r="AC430" s="270">
        <f>SUMIF($S$4:$S359,CONCATENATE($S430,$AB430),AC$4:AC359)</f>
        <v>40</v>
      </c>
      <c r="AD430" s="271">
        <f>SUMIF($S$4:$S359,CONCATENATE($S430,$AB430),AD$4:AD359)</f>
        <v>86</v>
      </c>
      <c r="AE430" s="271">
        <f>SUMIF($S$4:$S359,CONCATENATE($S430,$AB430),AE$4:AE359)</f>
        <v>56</v>
      </c>
      <c r="AF430" s="271">
        <f>SUMIF($S$4:$S359,CONCATENATE($S430,$AB430),AF$4:AF359)</f>
        <v>113</v>
      </c>
      <c r="AG430" s="271">
        <f>SUMIF($S$4:$S359,CONCATENATE($S430,$AB430),AG$4:AG359)</f>
        <v>0</v>
      </c>
      <c r="AH430" s="271">
        <f>SUMIF($S$4:$S359,CONCATENATE($S430,$AB430),AH$4:AH359)</f>
        <v>10422.5</v>
      </c>
      <c r="AI430" s="268"/>
      <c r="AK430" s="96" t="s">
        <v>83</v>
      </c>
      <c r="AL430" s="82">
        <f t="shared" ref="AL430:AL435" si="398">AB430</f>
        <v>2010</v>
      </c>
      <c r="AM430" s="270">
        <f>SUMIF($S$5:$S376,CONCATENATE($AK430,$AL430),AM$5:AM376)</f>
        <v>0</v>
      </c>
      <c r="AN430" s="271">
        <f>SUMIF($S$5:$S376,CONCATENATE($AK430,$AL430),AN$5:AN376)</f>
        <v>0</v>
      </c>
      <c r="AO430" s="271">
        <f>SUMIF($S$5:$S376,CONCATENATE($AK430,$AL430),AO$5:AO376)</f>
        <v>0</v>
      </c>
      <c r="AP430" s="271">
        <f>SUMIF($S$5:$S376,CONCATENATE($AK430,$AL430),AP$5:AP376)</f>
        <v>0</v>
      </c>
      <c r="AQ430" s="271">
        <f>SUMIF($S$5:$S376,CONCATENATE($AK430,$AL430),AQ$5:AQ376)</f>
        <v>0</v>
      </c>
      <c r="AR430" s="271">
        <f>SUMIF($S$5:$S376,CONCATENATE($AK430,$AL430),AR$5:AR376)</f>
        <v>0</v>
      </c>
      <c r="AS430" s="268"/>
    </row>
    <row r="431" spans="1:50">
      <c r="A431" s="16"/>
      <c r="B431" s="9"/>
      <c r="S431" s="100" t="s">
        <v>80</v>
      </c>
      <c r="AB431" s="22">
        <v>2011</v>
      </c>
      <c r="AC431" s="270">
        <f>SUMIF($S$4:$S376,CONCATENATE($S431,$AB431),AC$4:AC376)</f>
        <v>96</v>
      </c>
      <c r="AD431" s="271">
        <f>SUMIF($S$4:$S376,CONCATENATE($S431,$AB431),AD$4:AD376)</f>
        <v>401</v>
      </c>
      <c r="AE431" s="271">
        <f>SUMIF($S$4:$S376,CONCATENATE($S431,$AB431),AE$4:AE376)</f>
        <v>64</v>
      </c>
      <c r="AF431" s="271">
        <f>SUMIF($S$4:$S376,CONCATENATE($S431,$AB431),AF$4:AF376)</f>
        <v>200</v>
      </c>
      <c r="AG431" s="271">
        <f>SUMIF($S$4:$S376,CONCATENATE($S431,$AB431),AG$4:AG376)</f>
        <v>0</v>
      </c>
      <c r="AH431" s="271">
        <f>SUMIF($S$4:$S376,CONCATENATE($S431,$AB431),AH$4:AH376)</f>
        <v>14200</v>
      </c>
      <c r="AI431" s="268"/>
      <c r="AK431" s="96" t="s">
        <v>83</v>
      </c>
      <c r="AL431" s="82">
        <f t="shared" si="398"/>
        <v>2011</v>
      </c>
      <c r="AM431" s="270">
        <f>SUMIF($S$4:$S376,CONCATENATE($AK431,$AL431),AM$4:AM376)</f>
        <v>139.75</v>
      </c>
      <c r="AN431" s="271">
        <f>SUMIF($S$4:$S376,CONCATENATE($AK431,$AL431),AN$4:AN376)</f>
        <v>36</v>
      </c>
      <c r="AO431" s="271">
        <f>SUMIF($S$4:$S376,CONCATENATE($AK431,$AL431),AO$4:AO376)</f>
        <v>48</v>
      </c>
      <c r="AP431" s="271">
        <f>SUMIF($S$4:$S376,CONCATENATE($AK431,$AL431),AP$4:AP376)</f>
        <v>198</v>
      </c>
      <c r="AQ431" s="271">
        <f>SUMIF($S$4:$S376,CONCATENATE($AK431,$AL431),AQ$4:AQ376)</f>
        <v>0</v>
      </c>
      <c r="AR431" s="271">
        <f>SUMIF($S$4:$S376,CONCATENATE($AK431,$AL431),AR$4:AR376)</f>
        <v>27865</v>
      </c>
      <c r="AS431" s="268"/>
    </row>
    <row r="432" spans="1:50">
      <c r="S432" s="100" t="s">
        <v>80</v>
      </c>
      <c r="AB432" s="22">
        <v>2012</v>
      </c>
      <c r="AC432" s="270">
        <f>SUMIF($S$4:$S377,CONCATENATE($S432,$AB432),AC$4:AC379)</f>
        <v>656</v>
      </c>
      <c r="AD432" s="271">
        <f>SUMIF($S$4:$S377,CONCATENATE($S432,$AB432),AD$4:AD379)</f>
        <v>1019</v>
      </c>
      <c r="AE432" s="271">
        <f>SUMIF($S$4:$S377,CONCATENATE($S432,$AB432),AE$4:AE379)</f>
        <v>124</v>
      </c>
      <c r="AF432" s="271">
        <f>SUMIF($S$4:$S377,CONCATENATE($S432,$AB432),AF$4:AF379)</f>
        <v>1075</v>
      </c>
      <c r="AG432" s="271">
        <f>SUMIF($S$4:$S377,CONCATENATE($S432,$AB432),AG$4:AG379)</f>
        <v>16</v>
      </c>
      <c r="AH432" s="271">
        <f>SUMIF($S$4:$S377,CONCATENATE($S432,$AB432),AH$4:AH379)</f>
        <v>46418.5</v>
      </c>
      <c r="AI432" s="268"/>
      <c r="AK432" s="96" t="s">
        <v>83</v>
      </c>
      <c r="AL432" s="82">
        <f t="shared" si="398"/>
        <v>2012</v>
      </c>
      <c r="AM432" s="270">
        <f>SUMIF($S$4:$S377,CONCATENATE($AK432,$AL432),AM$4:AM379)</f>
        <v>226</v>
      </c>
      <c r="AN432" s="271">
        <f>SUMIF($S$4:$S377,CONCATENATE($AK432,$AL432),AN$4:AN379)</f>
        <v>356</v>
      </c>
      <c r="AO432" s="271">
        <f>SUMIF($S$4:$S377,CONCATENATE($AK432,$AL432),AO$4:AO379)</f>
        <v>60</v>
      </c>
      <c r="AP432" s="271">
        <f>SUMIF($S$4:$S377,CONCATENATE($AK432,$AL432),AP$4:AP379)</f>
        <v>414</v>
      </c>
      <c r="AQ432" s="271">
        <f>SUMIF($S$4:$S377,CONCATENATE($AK432,$AL432),AQ$4:AQ379)</f>
        <v>0</v>
      </c>
      <c r="AR432" s="271">
        <f>SUMIF($S$4:$S377,CONCATENATE($AK432,$AL432),AR$4:AR379)</f>
        <v>1812</v>
      </c>
      <c r="AS432" s="268"/>
    </row>
    <row r="433" spans="3:45">
      <c r="S433" s="100" t="s">
        <v>80</v>
      </c>
      <c r="AB433" s="22">
        <v>2013</v>
      </c>
      <c r="AC433" s="270">
        <f>SUMIF($S$4:$S378,CONCATENATE($S433,$AB433),AC$4:AC378)</f>
        <v>747.5</v>
      </c>
      <c r="AD433" s="271">
        <f>SUMIF($S$4:$S378,CONCATENATE($S433,$AB433),AD$4:AD378)</f>
        <v>1802</v>
      </c>
      <c r="AE433" s="271">
        <f>SUMIF($S$4:$S378,CONCATENATE($S433,$AB433),AE$4:AE378)</f>
        <v>252</v>
      </c>
      <c r="AF433" s="271">
        <f>SUMIF($S$4:$S378,CONCATENATE($S433,$AB433),AF$4:AF378)</f>
        <v>843</v>
      </c>
      <c r="AG433" s="271">
        <f>SUMIF($S$4:$S378,CONCATENATE($S433,$AB433),AG$4:AG378)</f>
        <v>0</v>
      </c>
      <c r="AH433" s="271">
        <f>SUMIF($S$4:$S378,CONCATENATE($S433,$AB433),AH$4:AH378)</f>
        <v>49494.5</v>
      </c>
      <c r="AI433" s="268"/>
      <c r="AK433" s="96" t="s">
        <v>83</v>
      </c>
      <c r="AL433" s="82">
        <f t="shared" si="398"/>
        <v>2013</v>
      </c>
      <c r="AM433" s="270">
        <f>SUMIF($S$4:$S378,CONCATENATE($AK433,$AL433),AM$4:AM378)</f>
        <v>717.5</v>
      </c>
      <c r="AN433" s="271">
        <f>SUMIF($S$4:$S378,CONCATENATE($AK433,$AL433),AN$4:AN378)</f>
        <v>800</v>
      </c>
      <c r="AO433" s="271">
        <f>SUMIF($S$4:$S378,CONCATENATE($AK433,$AL433),AO$4:AO378)</f>
        <v>32</v>
      </c>
      <c r="AP433" s="271">
        <f>SUMIF($S$4:$S378,CONCATENATE($AK433,$AL433),AP$4:AP378)</f>
        <v>512</v>
      </c>
      <c r="AQ433" s="271">
        <f>SUMIF($S$4:$S378,CONCATENATE($AK433,$AL433),AQ$4:AQ378)</f>
        <v>0</v>
      </c>
      <c r="AR433" s="271">
        <f>SUMIF($S$4:$S378,CONCATENATE($AK433,$AL433),AR$4:AR378)</f>
        <v>23479</v>
      </c>
      <c r="AS433" s="268"/>
    </row>
    <row r="434" spans="3:45" s="367" customFormat="1">
      <c r="C434" s="162"/>
      <c r="D434" s="87"/>
      <c r="E434" s="116"/>
      <c r="F434" s="116"/>
      <c r="G434" s="162"/>
      <c r="H434" s="162"/>
      <c r="I434" s="162"/>
      <c r="J434" s="163"/>
      <c r="K434" s="163"/>
      <c r="L434" s="87"/>
      <c r="M434" s="7"/>
      <c r="N434" s="164"/>
      <c r="O434" s="186"/>
      <c r="P434" s="7"/>
      <c r="Q434" s="54"/>
      <c r="R434" s="54"/>
      <c r="S434" s="100" t="s">
        <v>80</v>
      </c>
      <c r="T434" s="100"/>
      <c r="U434" s="100"/>
      <c r="V434" s="100"/>
      <c r="W434" s="7"/>
      <c r="X434" s="10"/>
      <c r="Y434" s="10"/>
      <c r="Z434" s="10"/>
      <c r="AA434" s="10"/>
      <c r="AB434" s="22">
        <v>2014</v>
      </c>
      <c r="AC434" s="270">
        <f>SUMIF($S$4:$S379,CONCATENATE($S434,$AB434),AC$4:AC379)</f>
        <v>16</v>
      </c>
      <c r="AD434" s="271">
        <f>SUMIF($S$4:$S379,CONCATENATE($S434,$AB434),AD$4:AD379)</f>
        <v>280</v>
      </c>
      <c r="AE434" s="271">
        <f>SUMIF($S$4:$S379,CONCATENATE($S434,$AB434),AE$4:AE379)</f>
        <v>40</v>
      </c>
      <c r="AF434" s="271">
        <f>SUMIF($S$4:$S379,CONCATENATE($S434,$AB434),AF$4:AF379)</f>
        <v>148</v>
      </c>
      <c r="AG434" s="271">
        <f>SUMIF($S$4:$S379,CONCATENATE($S434,$AB434),AG$4:AG379)</f>
        <v>0</v>
      </c>
      <c r="AH434" s="271">
        <f>SUMIF($S$4:$S379,CONCATENATE($S434,$AB434),AH$4:AH379)</f>
        <v>7420</v>
      </c>
      <c r="AI434" s="268"/>
      <c r="AJ434" s="7"/>
      <c r="AK434" s="96"/>
      <c r="AL434" s="82">
        <f t="shared" ref="AL434" si="399">AB434</f>
        <v>2014</v>
      </c>
      <c r="AM434" s="270">
        <f>SUMIF($S$4:$S379,CONCATENATE($AK434,$AL434),AM$4:AM379)</f>
        <v>0</v>
      </c>
      <c r="AN434" s="271">
        <f>SUMIF($S$4:$S379,CONCATENATE($AK434,$AL434),AN$4:AN379)</f>
        <v>0</v>
      </c>
      <c r="AO434" s="271">
        <f>SUMIF($S$4:$S379,CONCATENATE($AK434,$AL434),AO$4:AO379)</f>
        <v>0</v>
      </c>
      <c r="AP434" s="271">
        <f>SUMIF($S$4:$S379,CONCATENATE($AK434,$AL434),AP$4:AP379)</f>
        <v>0</v>
      </c>
      <c r="AQ434" s="271">
        <f>SUMIF($S$4:$S379,CONCATENATE($AK434,$AL434),AQ$4:AQ379)</f>
        <v>0</v>
      </c>
      <c r="AR434" s="271">
        <f>SUMIF($S$4:$S379,CONCATENATE($AK434,$AL434),AR$4:AR379)</f>
        <v>0</v>
      </c>
      <c r="AS434" s="268"/>
    </row>
    <row r="435" spans="3:45">
      <c r="S435" s="100" t="s">
        <v>80</v>
      </c>
      <c r="AB435" s="24" t="s">
        <v>177</v>
      </c>
      <c r="AC435" s="270">
        <f>SUMIF($S$4:$S359,CONCATENATE($S435,$AB435),AC$4:AC359)</f>
        <v>0</v>
      </c>
      <c r="AD435" s="271">
        <f>SUMIF($S$4:$S359,CONCATENATE($S435,$AB435),AD$4:AD359)</f>
        <v>0</v>
      </c>
      <c r="AE435" s="271">
        <f>SUMIF($S$4:$S359,CONCATENATE($S435,$AB435),AE$4:AE359)</f>
        <v>0</v>
      </c>
      <c r="AF435" s="271">
        <f>SUMIF($S$4:$S359,CONCATENATE($S435,$AB435),AF$4:AF359)</f>
        <v>0</v>
      </c>
      <c r="AG435" s="271">
        <f>SUMIF($S$4:$S359,CONCATENATE($S435,$AB435),AG$4:AG359)</f>
        <v>0</v>
      </c>
      <c r="AH435" s="271">
        <f>SUMIF($S$4:$S359,CONCATENATE($S435,$AB435),AH$4:AH359)</f>
        <v>0</v>
      </c>
      <c r="AI435" s="268"/>
      <c r="AK435" s="96" t="s">
        <v>83</v>
      </c>
      <c r="AL435" s="82" t="str">
        <f t="shared" si="398"/>
        <v>CONT</v>
      </c>
      <c r="AM435" s="270">
        <f>SUMIF($S$4:$S359,CONCATENATE($AK435,$AL435),AM$4:AM359)</f>
        <v>0</v>
      </c>
      <c r="AN435" s="271">
        <f>SUMIF($S$4:$S359,CONCATENATE($AK435,$AL435),AN$4:AN359)</f>
        <v>0</v>
      </c>
      <c r="AO435" s="271">
        <f>SUMIF($S$4:$S359,CONCATENATE($AK435,$AL435),AO$4:AO359)</f>
        <v>0</v>
      </c>
      <c r="AP435" s="271">
        <f>SUMIF($S$4:$S359,CONCATENATE($AK435,$AL435),AP$4:AP359)</f>
        <v>0</v>
      </c>
      <c r="AQ435" s="271">
        <f>SUMIF($S$4:$S359,CONCATENATE($AK435,$AL435),AQ$4:AQ359)</f>
        <v>0</v>
      </c>
      <c r="AR435" s="271">
        <f>SUMIF($S$4:$S359,CONCATENATE($AK435,$AL435),AR$4:AR359)</f>
        <v>0</v>
      </c>
      <c r="AS435" s="268"/>
    </row>
    <row r="436" spans="3:45">
      <c r="S436" s="100" t="s">
        <v>80</v>
      </c>
      <c r="AB436" s="24" t="s">
        <v>173</v>
      </c>
      <c r="AC436" s="270">
        <f>SUMIF($S$4:$S376,CONCATENATE($S436,$AB436),AC$4:AC376)</f>
        <v>0</v>
      </c>
      <c r="AD436" s="271">
        <f>SUMIF($S$4:$S376,CONCATENATE($S436,$AB436),AD$4:AD376)</f>
        <v>136</v>
      </c>
      <c r="AE436" s="271">
        <f>SUMIF($S$4:$S376,CONCATENATE($S436,$AB436),AE$4:AE376)</f>
        <v>0</v>
      </c>
      <c r="AF436" s="271">
        <f>SUMIF($S$4:$S376,CONCATENATE($S436,$AB436),AF$4:AF376)</f>
        <v>304</v>
      </c>
      <c r="AG436" s="271">
        <f>SUMIF($S$4:$S376,CONCATENATE($S436,$AB436),AG$4:AG376)</f>
        <v>0</v>
      </c>
      <c r="AH436" s="271">
        <f>SUMIF($S$4:$S376,CONCATENATE($S436,$AB436),AH$4:AH376)</f>
        <v>0</v>
      </c>
      <c r="AI436" s="268"/>
      <c r="AK436" s="96" t="s">
        <v>83</v>
      </c>
      <c r="AL436" s="82" t="str">
        <f t="shared" ref="AL436" si="400">AB436</f>
        <v>STAR</v>
      </c>
      <c r="AM436" s="270">
        <f>SUMIF($S$4:$S381,CONCATENATE($AK436,$AL436),AM$4:AM381)</f>
        <v>0</v>
      </c>
      <c r="AN436" s="271">
        <f>SUMIF($S$4:$S381,CONCATENATE($AK436,$AL436),AN$4:AN381)</f>
        <v>0</v>
      </c>
      <c r="AO436" s="271">
        <f>SUMIF($S$4:$S381,CONCATENATE($AK436,$AL436),AO$4:AO381)</f>
        <v>0</v>
      </c>
      <c r="AP436" s="271">
        <f>SUMIF($S$4:$S381,CONCATENATE($AK436,$AL436),AP$4:AP381)</f>
        <v>120</v>
      </c>
      <c r="AQ436" s="271">
        <f>SUMIF($S$4:$S381,CONCATENATE($AK436,$AL436),AQ$4:AQ381)</f>
        <v>0</v>
      </c>
      <c r="AR436" s="271">
        <f>SUMIF($S$4:$S381,CONCATENATE($AK436,$AL436),AR$4:AR381)</f>
        <v>0</v>
      </c>
      <c r="AS436" s="268"/>
    </row>
    <row r="437" spans="3:45" ht="15.75">
      <c r="AC437" s="411" t="s">
        <v>175</v>
      </c>
      <c r="AD437" s="412"/>
      <c r="AE437" s="412"/>
      <c r="AF437" s="412"/>
      <c r="AG437" s="412"/>
      <c r="AH437" s="412"/>
      <c r="AI437" s="413"/>
      <c r="AK437" s="96"/>
      <c r="AL437" s="84"/>
      <c r="AM437" s="411" t="s">
        <v>175</v>
      </c>
      <c r="AN437" s="412"/>
      <c r="AO437" s="412"/>
      <c r="AP437" s="412"/>
      <c r="AQ437" s="412"/>
      <c r="AR437" s="412"/>
      <c r="AS437" s="413"/>
    </row>
    <row r="438" spans="3:45">
      <c r="AC438" s="25" t="s">
        <v>50</v>
      </c>
      <c r="AD438" s="14" t="s">
        <v>51</v>
      </c>
      <c r="AE438" s="14" t="s">
        <v>37</v>
      </c>
      <c r="AF438" s="14" t="s">
        <v>30</v>
      </c>
      <c r="AG438" s="14" t="s">
        <v>31</v>
      </c>
      <c r="AH438" s="14" t="s">
        <v>16</v>
      </c>
      <c r="AI438" s="27" t="s">
        <v>52</v>
      </c>
      <c r="AK438" s="96"/>
      <c r="AL438" s="84"/>
      <c r="AM438" s="25" t="s">
        <v>50</v>
      </c>
      <c r="AN438" s="14" t="s">
        <v>51</v>
      </c>
      <c r="AO438" s="14" t="s">
        <v>37</v>
      </c>
      <c r="AP438" s="14" t="s">
        <v>30</v>
      </c>
      <c r="AQ438" s="14" t="s">
        <v>31</v>
      </c>
      <c r="AR438" s="14" t="s">
        <v>16</v>
      </c>
      <c r="AS438" s="27" t="s">
        <v>52</v>
      </c>
    </row>
    <row r="439" spans="3:45">
      <c r="S439" s="100" t="s">
        <v>80</v>
      </c>
      <c r="AB439" s="22">
        <f>AB429</f>
        <v>2009</v>
      </c>
      <c r="AC439" s="274">
        <f t="shared" ref="AC439:AC444" si="401">Shop*AC429</f>
        <v>0</v>
      </c>
      <c r="AD439" s="272">
        <f t="shared" ref="AD439:AD444" si="402">M_Tech*AD429</f>
        <v>0</v>
      </c>
      <c r="AE439" s="272">
        <f t="shared" ref="AE439:AE444" si="403">CMM*AE429</f>
        <v>0</v>
      </c>
      <c r="AF439" s="272">
        <f t="shared" ref="AF439:AF444" si="404">ENG*AF429</f>
        <v>0</v>
      </c>
      <c r="AG439" s="272">
        <f t="shared" ref="AG439:AG444" si="405">DES*AG429</f>
        <v>0</v>
      </c>
      <c r="AH439" s="272">
        <f>AH429</f>
        <v>0</v>
      </c>
      <c r="AI439" s="275">
        <f>SUM(AC439:AH439)</f>
        <v>0</v>
      </c>
      <c r="AK439" s="96" t="s">
        <v>83</v>
      </c>
      <c r="AL439" s="82">
        <f t="shared" ref="AL439:AL444" si="406">AB439</f>
        <v>2009</v>
      </c>
      <c r="AM439" s="274">
        <f t="shared" ref="AM439:AM444" si="407">Shop*AM429</f>
        <v>0</v>
      </c>
      <c r="AN439" s="272">
        <f t="shared" ref="AN439:AN444" si="408">M_Tech*AN429</f>
        <v>0</v>
      </c>
      <c r="AO439" s="272">
        <f t="shared" ref="AO439:AO444" si="409">CMM*AO429</f>
        <v>0</v>
      </c>
      <c r="AP439" s="272">
        <f t="shared" ref="AP439:AP444" si="410">ENG*AP429</f>
        <v>0</v>
      </c>
      <c r="AQ439" s="272">
        <f t="shared" ref="AQ439:AQ444" si="411">DES*AQ429</f>
        <v>0</v>
      </c>
      <c r="AR439" s="272">
        <f>AR429</f>
        <v>0</v>
      </c>
      <c r="AS439" s="275">
        <f>SUM(AM439:AR439)</f>
        <v>0</v>
      </c>
    </row>
    <row r="440" spans="3:45">
      <c r="S440" s="100" t="s">
        <v>80</v>
      </c>
      <c r="AB440" s="22">
        <v>2010</v>
      </c>
      <c r="AC440" s="274">
        <f t="shared" si="401"/>
        <v>4082.4</v>
      </c>
      <c r="AD440" s="272">
        <f t="shared" si="402"/>
        <v>8150.2200000000012</v>
      </c>
      <c r="AE440" s="272">
        <f t="shared" si="403"/>
        <v>5715.3600000000006</v>
      </c>
      <c r="AF440" s="272">
        <f t="shared" si="404"/>
        <v>13729.500000000002</v>
      </c>
      <c r="AG440" s="272">
        <f t="shared" si="405"/>
        <v>0</v>
      </c>
      <c r="AH440" s="272">
        <f t="shared" ref="AH440:AH443" si="412">AH430</f>
        <v>10422.5</v>
      </c>
      <c r="AI440" s="275">
        <f t="shared" ref="AI440:AI441" si="413">SUM(AC440:AH440)</f>
        <v>42099.98</v>
      </c>
      <c r="AK440" s="96" t="s">
        <v>83</v>
      </c>
      <c r="AL440" s="82">
        <f t="shared" si="406"/>
        <v>2010</v>
      </c>
      <c r="AM440" s="274">
        <f t="shared" si="407"/>
        <v>0</v>
      </c>
      <c r="AN440" s="272">
        <f t="shared" si="408"/>
        <v>0</v>
      </c>
      <c r="AO440" s="272">
        <f t="shared" si="409"/>
        <v>0</v>
      </c>
      <c r="AP440" s="272">
        <f t="shared" si="410"/>
        <v>0</v>
      </c>
      <c r="AQ440" s="272">
        <f t="shared" si="411"/>
        <v>0</v>
      </c>
      <c r="AR440" s="272">
        <f t="shared" ref="AR440:AR443" si="414">AR430</f>
        <v>0</v>
      </c>
      <c r="AS440" s="275">
        <f t="shared" ref="AS440:AS441" si="415">SUM(AM440:AR440)</f>
        <v>0</v>
      </c>
    </row>
    <row r="441" spans="3:45">
      <c r="S441" s="100" t="s">
        <v>80</v>
      </c>
      <c r="AB441" s="22">
        <v>2011</v>
      </c>
      <c r="AC441" s="274">
        <f t="shared" si="401"/>
        <v>9797.76</v>
      </c>
      <c r="AD441" s="272">
        <f t="shared" si="402"/>
        <v>38002.770000000004</v>
      </c>
      <c r="AE441" s="272">
        <f t="shared" si="403"/>
        <v>6531.84</v>
      </c>
      <c r="AF441" s="272">
        <f t="shared" si="404"/>
        <v>24300.000000000004</v>
      </c>
      <c r="AG441" s="272">
        <f t="shared" si="405"/>
        <v>0</v>
      </c>
      <c r="AH441" s="272">
        <f t="shared" si="412"/>
        <v>14200</v>
      </c>
      <c r="AI441" s="275">
        <f t="shared" si="413"/>
        <v>92832.37000000001</v>
      </c>
      <c r="AK441" s="96" t="s">
        <v>83</v>
      </c>
      <c r="AL441" s="82">
        <f t="shared" si="406"/>
        <v>2011</v>
      </c>
      <c r="AM441" s="274">
        <f t="shared" si="407"/>
        <v>14262.885</v>
      </c>
      <c r="AN441" s="272">
        <f t="shared" si="408"/>
        <v>3411.7200000000003</v>
      </c>
      <c r="AO441" s="272">
        <f t="shared" si="409"/>
        <v>4898.88</v>
      </c>
      <c r="AP441" s="272">
        <f t="shared" si="410"/>
        <v>24057.000000000004</v>
      </c>
      <c r="AQ441" s="272">
        <f t="shared" si="411"/>
        <v>0</v>
      </c>
      <c r="AR441" s="272">
        <f t="shared" si="414"/>
        <v>27865</v>
      </c>
      <c r="AS441" s="275">
        <f t="shared" si="415"/>
        <v>74495.485000000001</v>
      </c>
    </row>
    <row r="442" spans="3:45">
      <c r="S442" s="100" t="s">
        <v>80</v>
      </c>
      <c r="AB442" s="22">
        <f>AB432</f>
        <v>2012</v>
      </c>
      <c r="AC442" s="274">
        <f t="shared" si="401"/>
        <v>66951.360000000001</v>
      </c>
      <c r="AD442" s="272">
        <f t="shared" si="402"/>
        <v>96570.63</v>
      </c>
      <c r="AE442" s="272">
        <f t="shared" si="403"/>
        <v>12655.44</v>
      </c>
      <c r="AF442" s="272">
        <f t="shared" si="404"/>
        <v>130612.50000000001</v>
      </c>
      <c r="AG442" s="272">
        <f t="shared" si="405"/>
        <v>1620</v>
      </c>
      <c r="AH442" s="272">
        <f t="shared" si="412"/>
        <v>46418.5</v>
      </c>
      <c r="AI442" s="275">
        <f t="shared" ref="AI442:AI444" si="416">SUM(AC442:AH442)</f>
        <v>354828.43</v>
      </c>
      <c r="AK442" s="96" t="s">
        <v>83</v>
      </c>
      <c r="AL442" s="82">
        <f t="shared" si="406"/>
        <v>2012</v>
      </c>
      <c r="AM442" s="274">
        <f t="shared" si="407"/>
        <v>23065.56</v>
      </c>
      <c r="AN442" s="272">
        <f t="shared" si="408"/>
        <v>33738.120000000003</v>
      </c>
      <c r="AO442" s="272">
        <f t="shared" si="409"/>
        <v>6123.6</v>
      </c>
      <c r="AP442" s="272">
        <f t="shared" si="410"/>
        <v>50301.000000000007</v>
      </c>
      <c r="AQ442" s="272">
        <f t="shared" si="411"/>
        <v>0</v>
      </c>
      <c r="AR442" s="272">
        <f t="shared" si="414"/>
        <v>1812</v>
      </c>
      <c r="AS442" s="275">
        <f t="shared" ref="AS442:AS444" si="417">SUM(AM442:AR442)</f>
        <v>115040.28000000001</v>
      </c>
    </row>
    <row r="443" spans="3:45" s="367" customFormat="1">
      <c r="C443" s="162"/>
      <c r="D443" s="87"/>
      <c r="E443" s="116"/>
      <c r="F443" s="116"/>
      <c r="G443" s="162"/>
      <c r="H443" s="162"/>
      <c r="I443" s="162"/>
      <c r="J443" s="163"/>
      <c r="K443" s="163"/>
      <c r="L443" s="87"/>
      <c r="M443" s="7"/>
      <c r="N443" s="164"/>
      <c r="O443" s="186"/>
      <c r="P443" s="7"/>
      <c r="Q443" s="54"/>
      <c r="R443" s="54"/>
      <c r="S443" s="100" t="s">
        <v>80</v>
      </c>
      <c r="T443" s="100"/>
      <c r="U443" s="100"/>
      <c r="V443" s="100"/>
      <c r="W443" s="7"/>
      <c r="X443" s="10"/>
      <c r="Y443" s="10"/>
      <c r="Z443" s="10"/>
      <c r="AA443" s="10"/>
      <c r="AB443" s="22">
        <f>AB433</f>
        <v>2013</v>
      </c>
      <c r="AC443" s="274">
        <f t="shared" si="401"/>
        <v>76289.850000000006</v>
      </c>
      <c r="AD443" s="272">
        <f t="shared" si="402"/>
        <v>170775.54</v>
      </c>
      <c r="AE443" s="272">
        <f t="shared" si="403"/>
        <v>25719.119999999999</v>
      </c>
      <c r="AF443" s="272">
        <f t="shared" si="404"/>
        <v>102424.50000000001</v>
      </c>
      <c r="AG443" s="272">
        <f t="shared" si="405"/>
        <v>0</v>
      </c>
      <c r="AH443" s="272">
        <f t="shared" si="412"/>
        <v>49494.5</v>
      </c>
      <c r="AI443" s="275">
        <f t="shared" ref="AI443" si="418">SUM(AC443:AH443)</f>
        <v>424703.51</v>
      </c>
      <c r="AJ443" s="7"/>
      <c r="AK443" s="96"/>
      <c r="AL443" s="82">
        <f t="shared" ref="AL443" si="419">AB443</f>
        <v>2013</v>
      </c>
      <c r="AM443" s="274">
        <f t="shared" si="407"/>
        <v>73228.05</v>
      </c>
      <c r="AN443" s="272">
        <f t="shared" si="408"/>
        <v>75816.000000000015</v>
      </c>
      <c r="AO443" s="272">
        <f t="shared" si="409"/>
        <v>3265.92</v>
      </c>
      <c r="AP443" s="272">
        <f t="shared" si="410"/>
        <v>62208.000000000007</v>
      </c>
      <c r="AQ443" s="272">
        <f t="shared" si="411"/>
        <v>0</v>
      </c>
      <c r="AR443" s="272">
        <f t="shared" si="414"/>
        <v>23479</v>
      </c>
      <c r="AS443" s="275">
        <f t="shared" ref="AS443" si="420">SUM(AM443:AR443)</f>
        <v>237996.97000000003</v>
      </c>
    </row>
    <row r="444" spans="3:45" ht="13.5" thickBot="1">
      <c r="S444" s="100" t="s">
        <v>80</v>
      </c>
      <c r="AB444" s="22">
        <f>AB434</f>
        <v>2014</v>
      </c>
      <c r="AC444" s="278">
        <f t="shared" si="401"/>
        <v>1632.96</v>
      </c>
      <c r="AD444" s="279">
        <f t="shared" si="402"/>
        <v>26535.600000000002</v>
      </c>
      <c r="AE444" s="279">
        <f t="shared" si="403"/>
        <v>4082.4</v>
      </c>
      <c r="AF444" s="279">
        <f t="shared" si="404"/>
        <v>17982.000000000004</v>
      </c>
      <c r="AG444" s="279">
        <f t="shared" si="405"/>
        <v>0</v>
      </c>
      <c r="AH444" s="279">
        <f>AH434</f>
        <v>7420</v>
      </c>
      <c r="AI444" s="280">
        <f t="shared" si="416"/>
        <v>57652.960000000006</v>
      </c>
      <c r="AK444" s="96" t="s">
        <v>83</v>
      </c>
      <c r="AL444" s="82">
        <f t="shared" si="406"/>
        <v>2014</v>
      </c>
      <c r="AM444" s="278">
        <f t="shared" si="407"/>
        <v>0</v>
      </c>
      <c r="AN444" s="279">
        <f t="shared" si="408"/>
        <v>0</v>
      </c>
      <c r="AO444" s="279">
        <f t="shared" si="409"/>
        <v>0</v>
      </c>
      <c r="AP444" s="279">
        <f t="shared" si="410"/>
        <v>0</v>
      </c>
      <c r="AQ444" s="279">
        <f t="shared" si="411"/>
        <v>0</v>
      </c>
      <c r="AR444" s="279">
        <f>AR434</f>
        <v>0</v>
      </c>
      <c r="AS444" s="280">
        <f t="shared" si="417"/>
        <v>0</v>
      </c>
    </row>
    <row r="445" spans="3:45" s="367" customFormat="1" ht="13.5" thickTop="1">
      <c r="C445" s="162"/>
      <c r="D445" s="87"/>
      <c r="E445" s="116"/>
      <c r="F445" s="116"/>
      <c r="G445" s="162"/>
      <c r="H445" s="162"/>
      <c r="I445" s="162"/>
      <c r="J445" s="163"/>
      <c r="K445" s="163"/>
      <c r="L445" s="87"/>
      <c r="M445" s="7"/>
      <c r="N445" s="164"/>
      <c r="O445" s="186"/>
      <c r="P445" s="7"/>
      <c r="Q445" s="54"/>
      <c r="R445" s="54"/>
      <c r="S445" s="100"/>
      <c r="T445" s="100"/>
      <c r="U445" s="100"/>
      <c r="V445" s="100"/>
      <c r="W445" s="7"/>
      <c r="X445" s="10"/>
      <c r="Y445" s="10"/>
      <c r="Z445" s="10"/>
      <c r="AA445" s="10"/>
      <c r="AB445" s="22"/>
      <c r="AC445" s="169"/>
      <c r="AD445" s="169"/>
      <c r="AE445" s="169"/>
      <c r="AF445" s="169"/>
      <c r="AG445" s="169"/>
      <c r="AH445" s="169"/>
      <c r="AI445" s="169"/>
      <c r="AJ445" s="7"/>
      <c r="AK445" s="96"/>
      <c r="AL445" s="82"/>
      <c r="AM445" s="169"/>
      <c r="AN445" s="169"/>
      <c r="AO445" s="169"/>
      <c r="AP445" s="169"/>
      <c r="AQ445" s="169"/>
      <c r="AR445" s="169"/>
      <c r="AS445" s="169"/>
    </row>
    <row r="446" spans="3:45" ht="15">
      <c r="AH446" s="71" t="s">
        <v>73</v>
      </c>
      <c r="AI446" s="71">
        <f>SUM(AI439:AI444)</f>
        <v>972117.25</v>
      </c>
      <c r="AK446" s="96"/>
      <c r="AL446" s="7"/>
      <c r="AM446" s="151"/>
      <c r="AN446" s="151"/>
      <c r="AO446" s="151"/>
      <c r="AP446" s="151"/>
      <c r="AQ446" s="84"/>
      <c r="AR446" s="71" t="s">
        <v>71</v>
      </c>
      <c r="AS446" s="71">
        <f>SUM(AS439:AS444)</f>
        <v>427532.73500000004</v>
      </c>
    </row>
    <row r="447" spans="3:45">
      <c r="AR447" s="83" t="s">
        <v>86</v>
      </c>
      <c r="AS447" s="284">
        <f>AS446/AI446</f>
        <v>0.43979544134208093</v>
      </c>
    </row>
  </sheetData>
  <mergeCells count="19">
    <mergeCell ref="AC437:AI437"/>
    <mergeCell ref="AM427:AS427"/>
    <mergeCell ref="AM437:AS437"/>
    <mergeCell ref="AC405:AI405"/>
    <mergeCell ref="AC415:AI415"/>
    <mergeCell ref="AM405:AS405"/>
    <mergeCell ref="AM415:AS415"/>
    <mergeCell ref="AC427:AI427"/>
    <mergeCell ref="AM393:AS393"/>
    <mergeCell ref="Q2:AB2"/>
    <mergeCell ref="AC2:AI2"/>
    <mergeCell ref="AM2:AS2"/>
    <mergeCell ref="AC383:AI383"/>
    <mergeCell ref="AM383:AS383"/>
    <mergeCell ref="S1:T1"/>
    <mergeCell ref="W1:AA1"/>
    <mergeCell ref="C383:L383"/>
    <mergeCell ref="C419:L420"/>
    <mergeCell ref="AC393:AI393"/>
  </mergeCells>
  <phoneticPr fontId="0" type="noConversion"/>
  <conditionalFormatting sqref="A234:N235 N47 A353:M377 N377 M353:N375 L158:M158 O158 O167 L234:O234 L176:N176 O237 O245 AC44:XFD44 P44:Q44 P41:Q42 AC41:XFD42 W41:AA42 W44:AA44 L63:N63 N63:N75 A63:E75 A177:N185 A45:M47 O252 O284 O290 A369:N375 L368:N368 A49:N62 A64:N92 A160:N171 B189:N232 A187:N188 A188:A198 A190:N196 A198:N232 A360:N367 A261:O262 A5:N45 L110:N110 A96:N109 A237:N294 L156:N156 N94:N156 A93:M156 O298 O302 O309 O323 O340 A316:O316 O331 A296:N351 A111:N154 A173:N175">
    <cfRule type="expression" dxfId="7" priority="62">
      <formula>IF($N5=0,TRUE,FALSE)</formula>
    </cfRule>
  </conditionalFormatting>
  <conditionalFormatting sqref="M353:M375">
    <cfRule type="expression" dxfId="6" priority="58">
      <formula>IF($N353=0,TRUE,FALSE)</formula>
    </cfRule>
  </conditionalFormatting>
  <conditionalFormatting sqref="A186:K186">
    <cfRule type="expression" dxfId="5" priority="64">
      <formula>IF($N176=0,TRUE,FALSE)</formula>
    </cfRule>
  </conditionalFormatting>
  <conditionalFormatting sqref="A214:K214 O214 A176:K176 O176">
    <cfRule type="expression" dxfId="4" priority="69">
      <formula>IF(#REF!=0,TRUE,FALSE)</formula>
    </cfRule>
  </conditionalFormatting>
  <conditionalFormatting sqref="L186:N186">
    <cfRule type="expression" dxfId="3" priority="5">
      <formula>IF($N186=0,TRUE,FALSE)</formula>
    </cfRule>
  </conditionalFormatting>
  <conditionalFormatting sqref="L172:O172">
    <cfRule type="expression" dxfId="2" priority="4">
      <formula>IF($N172=0,TRUE,FALSE)</formula>
    </cfRule>
  </conditionalFormatting>
  <conditionalFormatting sqref="L176:N176">
    <cfRule type="expression" dxfId="1" priority="3">
      <formula>IF($N176=0,TRUE,FALSE)</formula>
    </cfRule>
  </conditionalFormatting>
  <conditionalFormatting sqref="L214:N214">
    <cfRule type="expression" dxfId="0" priority="1">
      <formula>IF($N214=0,TRUE,FALSE)</formula>
    </cfRule>
  </conditionalFormatting>
  <dataValidations count="7">
    <dataValidation type="list" allowBlank="1" showInputMessage="1" showErrorMessage="1" sqref="Y382:Y403 O382:O403">
      <formula1>"2009, 2010, 2011, 2012, 2013, 2014, STAR, LBNL,"</formula1>
    </dataValidation>
    <dataValidation type="list" allowBlank="1" showInputMessage="1" showErrorMessage="1" sqref="AB353:AB359 AB361:AB367 AB310:AB315 AB317:AB322 AB332:AB339 AB324:AB330 AB238:AB244 AB224:AB232 AB246:AB251 AB160:AB166 AB111:AB121 AB168:AB171 AB177:AB185 AB207:AB213 AB187:AB197 AB199:AB205 AB215:AB222 AB253:AB260 AB5:AB45 AB291:AB294 AB142:AB154 AB56:AB59 AB50:AB54 AB64:AB73 AB80:AB88 AB75:AB78 AB341:AB348 AB90:AB92 AB128:AB136 AB173:AB175 AB123:AB126 AB97:AB100 AB108:AB109 AB102:AB106 AB138:AB140 AB61:AB62 AB299:AB301 AB262:AB283 AB303:AB308 AB285:AB289 AB369:AB375">
      <formula1>"2009, 2010, 2011, 2012, 2013, 2014, STAR, CONT,"</formula1>
    </dataValidation>
    <dataValidation type="list" allowBlank="1" showInputMessage="1" showErrorMessage="1" sqref="Q369:Q375 Q361:Q367 Q353:Q359 Q382:Q403 Q317:Q322 Q332:Q339 Q324:Q330 Q97:Q154 Q246:Q251 Q285:Q289 Q168:Q171 R176:U176 Q160:Q166 Q158:U158 R186:U186 R223:U223 R214:U214 R198:U198 R206:U206 Q253:Q260 Q262:Q283 Q291:Q294 Q341:Q348 R63:U63 R60:U60 R55:U55 R49:U49 R74:U74 R89:U89 Q5:Q45 Q96:U96 Q49:Q92 R122:U122 R101:U101 R107:U107 R110:U110 R127:U127 R137:U137 R141:U141 R79:U79 Q299:Q301 Q238:Q244 Q310:Q315 Q303:Q308 Q173:Q232">
      <formula1>"B,C"</formula1>
    </dataValidation>
    <dataValidation type="list" allowBlank="1" showInputMessage="1" showErrorMessage="1" sqref="R369:R375 R361:R367 R353:R359 R317:R322 R332:R339 R324:R330 R238:R244 R246:R251 R224:R232 R160:R166 R111:R121 R168:R171 R177:R185 R207:R213 R187:R197 R199:R205 R215:R222 R253:R260 R262:R283 R291:R294 R142:R154 R61:R62 R56:R59 R50:R54 R64:R73 R80:R88 R5:R45 R90:R92 R341:R348 R128:R136 R97:R100 R108:R109 R123:R126 R102:R106 R138:R140 R75:R78 R299:R301 R303:R308 R285:R289 R310:R315 R173:R175">
      <formula1>"PD, PT"</formula1>
    </dataValidation>
    <dataValidation type="list" allowBlank="1" showInputMessage="1" showErrorMessage="1" sqref="U382:U403">
      <formula1>$B$383:$B$398</formula1>
    </dataValidation>
    <dataValidation type="list" allowBlank="1" showInputMessage="1" showErrorMessage="1" sqref="AB340 AB331 AB284 AB245 AB186 AB158 AB176 AB223 AB198 AB206 AB214 AB252 AB290 AB79 AB63 AB60 AB55 AB49 AB74 AB89 AB96 AB137 AB122 AB101 AB107 AB110 AB127 AB141 AB302 AB309 AB323">
      <formula1>"2007, 2008, 2009, 2010, Hytec, LANL"</formula1>
    </dataValidation>
    <dataValidation type="list" allowBlank="1" showInputMessage="1" showErrorMessage="1" sqref="U361:U367 U111:U121 U317:U322 U138:U140 U56:U59 U61:U62 U64:U73 U5:U45 U75:U78 U80:U88 U90:U92 U97:U100 U102:U106 U108:U109 U50:U54 U332:U339 U128:U136 U123:U126 U160:U166 U168:U171 U341:U348 U177:U185 U187:U197 U199:U205 U207:U213 U215:U222 U369:U375 U238:U244 U246:U251 U253:U260 U262:U283 U285:U289 U291:U294 U353:U359 U142:U154 U224:U232 U299:U301 U324:U330 U310:U315 U303:U308 U173:U175">
      <formula1>$B$383:$B$420</formula1>
    </dataValidation>
  </dataValidations>
  <printOptions headings="1"/>
  <pageMargins left="0.12" right="0.13" top="0.33" bottom="0.25" header="0.18" footer="0.12"/>
  <pageSetup scale="51" fitToHeight="5" orientation="landscape" r:id="rId1"/>
  <headerFooter alignWithMargins="0">
    <oddHeader>&amp;LHFT&amp;CFull Project Estimate&amp;RSeptember 2009</oddHeader>
    <oddFooter>&amp;RE Anderssen, LBNL</oddFooter>
  </headerFooter>
</worksheet>
</file>

<file path=xl/worksheets/sheet6.xml><?xml version="1.0" encoding="utf-8"?>
<worksheet xmlns="http://schemas.openxmlformats.org/spreadsheetml/2006/main" xmlns:r="http://schemas.openxmlformats.org/officeDocument/2006/relationships">
  <dimension ref="B2:M24"/>
  <sheetViews>
    <sheetView workbookViewId="0">
      <selection activeCell="D8" sqref="D8"/>
    </sheetView>
  </sheetViews>
  <sheetFormatPr defaultRowHeight="12.75"/>
  <cols>
    <col min="2" max="2" width="11.140625" customWidth="1"/>
    <col min="3" max="3" width="11.42578125" bestFit="1" customWidth="1"/>
    <col min="7" max="7" width="14.28515625" bestFit="1" customWidth="1"/>
    <col min="13" max="13" width="10.28515625" customWidth="1"/>
  </cols>
  <sheetData>
    <row r="2" spans="2:13">
      <c r="G2" s="428" t="s">
        <v>216</v>
      </c>
      <c r="H2" s="428"/>
      <c r="I2" s="428"/>
      <c r="J2" s="428"/>
      <c r="K2" s="428"/>
      <c r="L2" s="428"/>
      <c r="M2" s="428"/>
    </row>
    <row r="3" spans="2:13">
      <c r="C3" s="20" t="s">
        <v>217</v>
      </c>
      <c r="D3" s="80" t="s">
        <v>215</v>
      </c>
      <c r="H3" s="20" t="s">
        <v>141</v>
      </c>
      <c r="I3" s="20" t="s">
        <v>142</v>
      </c>
      <c r="J3" s="20" t="s">
        <v>143</v>
      </c>
      <c r="L3" s="112" t="s">
        <v>142</v>
      </c>
    </row>
    <row r="4" spans="2:13" ht="15">
      <c r="B4" s="20" t="s">
        <v>41</v>
      </c>
      <c r="C4" s="136">
        <f>D4*$C$14</f>
        <v>102.06</v>
      </c>
      <c r="D4" s="135">
        <v>126</v>
      </c>
      <c r="G4" s="20" t="s">
        <v>6</v>
      </c>
      <c r="H4" s="20" t="s">
        <v>144</v>
      </c>
      <c r="I4" s="20" t="s">
        <v>145</v>
      </c>
      <c r="J4" s="20" t="s">
        <v>146</v>
      </c>
      <c r="K4" s="20" t="s">
        <v>32</v>
      </c>
      <c r="L4" s="112" t="s">
        <v>146</v>
      </c>
      <c r="M4" s="20" t="s">
        <v>32</v>
      </c>
    </row>
    <row r="5" spans="2:13" ht="15">
      <c r="B5" s="20" t="s">
        <v>37</v>
      </c>
      <c r="C5" s="136">
        <f t="shared" ref="C5:C8" si="0">D5*$C$14</f>
        <v>102.06</v>
      </c>
      <c r="D5" s="135">
        <v>126</v>
      </c>
      <c r="G5" s="20" t="s">
        <v>7</v>
      </c>
      <c r="H5" s="20">
        <v>9.8000000000000004E-2</v>
      </c>
      <c r="I5" s="113">
        <f t="shared" ref="I5:I22" si="1">H5*454/(2.54^3)</f>
        <v>2.7150684222628292</v>
      </c>
      <c r="J5">
        <v>8</v>
      </c>
      <c r="K5" s="20" t="s">
        <v>147</v>
      </c>
      <c r="L5" s="114">
        <f t="shared" ref="L5:L16" si="2">J5/484</f>
        <v>1.6528925619834711E-2</v>
      </c>
      <c r="M5" s="20" t="s">
        <v>148</v>
      </c>
    </row>
    <row r="6" spans="2:13" ht="15">
      <c r="B6" s="20" t="s">
        <v>42</v>
      </c>
      <c r="C6" s="136">
        <f t="shared" si="0"/>
        <v>94.77000000000001</v>
      </c>
      <c r="D6" s="135">
        <v>117</v>
      </c>
      <c r="G6" s="20" t="s">
        <v>149</v>
      </c>
      <c r="H6" s="20">
        <v>9.8000000000000004E-2</v>
      </c>
      <c r="I6" s="113">
        <f t="shared" si="1"/>
        <v>2.7150684222628292</v>
      </c>
      <c r="J6">
        <v>10</v>
      </c>
      <c r="K6" s="20" t="s">
        <v>147</v>
      </c>
      <c r="L6" s="114">
        <f t="shared" si="2"/>
        <v>2.0661157024793389E-2</v>
      </c>
      <c r="M6" s="20" t="s">
        <v>148</v>
      </c>
    </row>
    <row r="7" spans="2:13" ht="15">
      <c r="B7" s="20" t="s">
        <v>43</v>
      </c>
      <c r="C7" s="136">
        <f t="shared" si="0"/>
        <v>121.50000000000001</v>
      </c>
      <c r="D7" s="135">
        <v>150</v>
      </c>
      <c r="G7" s="20" t="s">
        <v>138</v>
      </c>
      <c r="H7" s="20">
        <v>9.8000000000000004E-2</v>
      </c>
      <c r="I7" s="113">
        <f t="shared" si="1"/>
        <v>2.7150684222628292</v>
      </c>
      <c r="J7">
        <v>8</v>
      </c>
      <c r="K7" s="20" t="s">
        <v>147</v>
      </c>
      <c r="L7" s="114">
        <f t="shared" si="2"/>
        <v>1.6528925619834711E-2</v>
      </c>
      <c r="M7" s="20" t="s">
        <v>148</v>
      </c>
    </row>
    <row r="8" spans="2:13" ht="15">
      <c r="B8" s="20" t="s">
        <v>44</v>
      </c>
      <c r="C8" s="136">
        <f t="shared" si="0"/>
        <v>101.25</v>
      </c>
      <c r="D8" s="135">
        <v>125</v>
      </c>
      <c r="G8" s="20" t="s">
        <v>150</v>
      </c>
      <c r="H8" s="20">
        <v>9.8000000000000004E-2</v>
      </c>
      <c r="I8" s="113">
        <f t="shared" si="1"/>
        <v>2.7150684222628292</v>
      </c>
      <c r="J8">
        <v>10</v>
      </c>
      <c r="K8" s="20" t="s">
        <v>147</v>
      </c>
      <c r="L8" s="114">
        <f t="shared" si="2"/>
        <v>2.0661157024793389E-2</v>
      </c>
      <c r="M8" s="20" t="s">
        <v>148</v>
      </c>
    </row>
    <row r="9" spans="2:13">
      <c r="G9" s="20" t="s">
        <v>151</v>
      </c>
      <c r="H9">
        <v>0.19800000000000001</v>
      </c>
      <c r="I9" s="113">
        <f t="shared" si="1"/>
        <v>5.4855464041636752</v>
      </c>
      <c r="J9">
        <v>15</v>
      </c>
      <c r="K9" s="20" t="s">
        <v>147</v>
      </c>
      <c r="L9" s="114">
        <f t="shared" si="2"/>
        <v>3.0991735537190084E-2</v>
      </c>
      <c r="M9" s="20" t="s">
        <v>148</v>
      </c>
    </row>
    <row r="10" spans="2:13">
      <c r="B10" s="386" t="s">
        <v>220</v>
      </c>
      <c r="C10" s="429"/>
      <c r="D10" s="429"/>
      <c r="G10" s="20" t="s">
        <v>152</v>
      </c>
      <c r="H10">
        <v>0.19800000000000001</v>
      </c>
      <c r="I10" s="113">
        <f t="shared" si="1"/>
        <v>5.4855464041636752</v>
      </c>
      <c r="J10">
        <v>20</v>
      </c>
      <c r="K10" s="20" t="s">
        <v>147</v>
      </c>
      <c r="L10" s="114">
        <f t="shared" si="2"/>
        <v>4.1322314049586778E-2</v>
      </c>
      <c r="M10" s="20" t="s">
        <v>148</v>
      </c>
    </row>
    <row r="11" spans="2:13">
      <c r="B11" s="429"/>
      <c r="C11" s="429"/>
      <c r="D11" s="429"/>
      <c r="G11" s="20" t="s">
        <v>93</v>
      </c>
      <c r="H11">
        <v>0.29799999999999999</v>
      </c>
      <c r="I11" s="113">
        <f t="shared" si="1"/>
        <v>8.2560243860645208</v>
      </c>
      <c r="J11">
        <v>3</v>
      </c>
      <c r="K11" s="20" t="s">
        <v>147</v>
      </c>
      <c r="L11" s="114">
        <f t="shared" si="2"/>
        <v>6.1983471074380167E-3</v>
      </c>
      <c r="M11" s="20" t="s">
        <v>148</v>
      </c>
    </row>
    <row r="12" spans="2:13">
      <c r="B12" s="429"/>
      <c r="C12" s="429"/>
      <c r="D12" s="429"/>
      <c r="G12" s="20" t="s">
        <v>153</v>
      </c>
      <c r="H12">
        <v>0.29799999999999999</v>
      </c>
      <c r="I12" s="113">
        <f t="shared" si="1"/>
        <v>8.2560243860645208</v>
      </c>
      <c r="J12">
        <v>15</v>
      </c>
      <c r="K12" s="20" t="s">
        <v>147</v>
      </c>
      <c r="L12" s="114">
        <f t="shared" si="2"/>
        <v>3.0991735537190084E-2</v>
      </c>
      <c r="M12" s="20" t="s">
        <v>148</v>
      </c>
    </row>
    <row r="13" spans="2:13">
      <c r="G13" s="20" t="s">
        <v>154</v>
      </c>
      <c r="H13">
        <v>6.5000000000000002E-2</v>
      </c>
      <c r="I13" s="113">
        <f t="shared" si="1"/>
        <v>1.8008106882355499</v>
      </c>
      <c r="J13">
        <v>100</v>
      </c>
      <c r="K13" s="20" t="s">
        <v>147</v>
      </c>
      <c r="L13" s="114">
        <f t="shared" si="2"/>
        <v>0.20661157024793389</v>
      </c>
      <c r="M13" s="20" t="s">
        <v>148</v>
      </c>
    </row>
    <row r="14" spans="2:13" ht="15">
      <c r="B14" s="20" t="s">
        <v>218</v>
      </c>
      <c r="C14" s="137">
        <v>0.81</v>
      </c>
      <c r="G14" s="20" t="s">
        <v>155</v>
      </c>
      <c r="H14">
        <v>6.5000000000000002E-2</v>
      </c>
      <c r="I14" s="113">
        <f t="shared" si="1"/>
        <v>1.8008106882355499</v>
      </c>
      <c r="J14">
        <v>800</v>
      </c>
      <c r="K14" s="20" t="s">
        <v>147</v>
      </c>
      <c r="L14" s="114">
        <f t="shared" si="2"/>
        <v>1.6528925619834711</v>
      </c>
      <c r="M14" s="20" t="s">
        <v>148</v>
      </c>
    </row>
    <row r="15" spans="2:13" ht="15">
      <c r="B15" s="430" t="s">
        <v>219</v>
      </c>
      <c r="C15" s="430"/>
      <c r="D15" s="430"/>
      <c r="G15" s="20" t="s">
        <v>156</v>
      </c>
      <c r="H15">
        <v>6.5000000000000002E-2</v>
      </c>
      <c r="I15" s="113">
        <f t="shared" si="1"/>
        <v>1.8008106882355499</v>
      </c>
      <c r="J15">
        <v>500</v>
      </c>
      <c r="K15" s="20" t="s">
        <v>147</v>
      </c>
      <c r="L15" s="114">
        <f t="shared" si="2"/>
        <v>1.0330578512396693</v>
      </c>
      <c r="M15" s="20" t="s">
        <v>148</v>
      </c>
    </row>
    <row r="16" spans="2:13">
      <c r="B16" s="20"/>
      <c r="G16" s="20" t="s">
        <v>157</v>
      </c>
      <c r="H16">
        <v>6.5000000000000002E-2</v>
      </c>
      <c r="I16" s="113">
        <f t="shared" si="1"/>
        <v>1.8008106882355499</v>
      </c>
      <c r="J16">
        <v>1200</v>
      </c>
      <c r="K16" s="20" t="s">
        <v>147</v>
      </c>
      <c r="L16" s="114">
        <f t="shared" si="2"/>
        <v>2.4793388429752068</v>
      </c>
      <c r="M16" s="20" t="s">
        <v>148</v>
      </c>
    </row>
    <row r="17" spans="7:13">
      <c r="G17" s="20" t="s">
        <v>135</v>
      </c>
      <c r="H17">
        <v>5.5E-2</v>
      </c>
      <c r="I17" s="113">
        <f>H17*454/(2.54^3)</f>
        <v>1.5237628900454652</v>
      </c>
      <c r="J17">
        <v>400</v>
      </c>
      <c r="K17" s="20" t="s">
        <v>158</v>
      </c>
      <c r="L17" s="114">
        <f>J17/946</f>
        <v>0.42283298097251587</v>
      </c>
      <c r="M17" s="20" t="s">
        <v>159</v>
      </c>
    </row>
    <row r="18" spans="7:13">
      <c r="G18" s="20" t="s">
        <v>134</v>
      </c>
      <c r="H18">
        <v>5.5E-2</v>
      </c>
      <c r="I18" s="113">
        <f t="shared" si="1"/>
        <v>1.5237628900454652</v>
      </c>
      <c r="J18">
        <v>350</v>
      </c>
      <c r="K18" s="20" t="s">
        <v>158</v>
      </c>
      <c r="L18" s="114">
        <f>J18/946</f>
        <v>0.3699788583509514</v>
      </c>
      <c r="M18" s="20" t="s">
        <v>159</v>
      </c>
    </row>
    <row r="19" spans="7:13">
      <c r="G19" s="20" t="s">
        <v>160</v>
      </c>
      <c r="H19">
        <v>7.4999999999999997E-2</v>
      </c>
      <c r="I19" s="113">
        <f t="shared" si="1"/>
        <v>2.0778584864256344</v>
      </c>
      <c r="J19">
        <v>450</v>
      </c>
      <c r="K19" s="20" t="s">
        <v>158</v>
      </c>
      <c r="L19" s="114">
        <f>J19/946</f>
        <v>0.47568710359408034</v>
      </c>
      <c r="M19" s="20" t="s">
        <v>159</v>
      </c>
    </row>
    <row r="20" spans="7:13">
      <c r="G20" s="20" t="s">
        <v>137</v>
      </c>
      <c r="H20">
        <f>3/12^3</f>
        <v>1.736111111111111E-3</v>
      </c>
      <c r="I20" s="113">
        <f t="shared" si="1"/>
        <v>4.8098576074667464E-2</v>
      </c>
      <c r="J20">
        <v>600</v>
      </c>
      <c r="K20" s="20" t="s">
        <v>161</v>
      </c>
      <c r="L20" s="114">
        <f>J20/2360</f>
        <v>0.25423728813559321</v>
      </c>
      <c r="M20" s="20" t="s">
        <v>159</v>
      </c>
    </row>
    <row r="21" spans="7:13">
      <c r="G21" s="20" t="s">
        <v>162</v>
      </c>
      <c r="H21">
        <f t="shared" ref="H21" si="3">3/12^3</f>
        <v>1.736111111111111E-3</v>
      </c>
      <c r="I21" s="113">
        <f t="shared" si="1"/>
        <v>4.8098576074667464E-2</v>
      </c>
      <c r="J21">
        <v>75</v>
      </c>
      <c r="K21" s="20" t="s">
        <v>161</v>
      </c>
      <c r="L21" s="114">
        <f t="shared" ref="L21:L22" si="4">J21/2360</f>
        <v>3.1779661016949151E-2</v>
      </c>
      <c r="M21" s="20" t="s">
        <v>159</v>
      </c>
    </row>
    <row r="22" spans="7:13">
      <c r="G22" s="20" t="s">
        <v>163</v>
      </c>
      <c r="H22">
        <f>4/12^3</f>
        <v>2.3148148148148147E-3</v>
      </c>
      <c r="I22" s="113">
        <f t="shared" si="1"/>
        <v>6.413143476622328E-2</v>
      </c>
      <c r="J22">
        <v>100</v>
      </c>
      <c r="K22" s="20" t="s">
        <v>161</v>
      </c>
      <c r="L22" s="114">
        <f t="shared" si="4"/>
        <v>4.2372881355932202E-2</v>
      </c>
      <c r="M22" s="20" t="s">
        <v>159</v>
      </c>
    </row>
    <row r="23" spans="7:13">
      <c r="G23" s="20" t="s">
        <v>167</v>
      </c>
      <c r="H23">
        <v>5.5E-2</v>
      </c>
      <c r="I23" s="113">
        <f>H23*454/(2.54^3)</f>
        <v>1.5237628900454652</v>
      </c>
      <c r="J23">
        <v>400</v>
      </c>
      <c r="K23" s="20" t="s">
        <v>147</v>
      </c>
      <c r="L23" s="114">
        <f>J23/484</f>
        <v>0.82644628099173556</v>
      </c>
      <c r="M23" s="20" t="s">
        <v>148</v>
      </c>
    </row>
    <row r="24" spans="7:13">
      <c r="G24" s="20" t="s">
        <v>92</v>
      </c>
      <c r="H24">
        <v>5.5E-2</v>
      </c>
      <c r="I24" s="113">
        <f>H24*454/(2.54^3)</f>
        <v>1.5237628900454652</v>
      </c>
      <c r="J24">
        <v>600</v>
      </c>
      <c r="K24" s="20" t="s">
        <v>147</v>
      </c>
      <c r="L24" s="114">
        <f t="shared" ref="L24" si="5">J24/484</f>
        <v>1.2396694214876034</v>
      </c>
      <c r="M24" s="20" t="s">
        <v>148</v>
      </c>
    </row>
  </sheetData>
  <mergeCells count="3">
    <mergeCell ref="G2:M2"/>
    <mergeCell ref="B10:D12"/>
    <mergeCell ref="B15:D15"/>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F32"/>
  <sheetViews>
    <sheetView workbookViewId="0">
      <selection activeCell="N35" sqref="N35"/>
    </sheetView>
  </sheetViews>
  <sheetFormatPr defaultRowHeight="12.75"/>
  <cols>
    <col min="1" max="1" width="30" bestFit="1" customWidth="1"/>
    <col min="2" max="2" width="14.28515625" bestFit="1" customWidth="1"/>
    <col min="3" max="3" width="11" bestFit="1" customWidth="1"/>
    <col min="4" max="4" width="9.85546875" style="103" bestFit="1" customWidth="1"/>
    <col min="5" max="5" width="11.140625" style="103" bestFit="1" customWidth="1"/>
    <col min="6" max="6" width="12" style="7" bestFit="1" customWidth="1"/>
    <col min="7" max="7" width="8" bestFit="1" customWidth="1"/>
    <col min="8" max="8" width="8.7109375" style="95" bestFit="1" customWidth="1"/>
    <col min="9" max="9" width="5.5703125" style="158" bestFit="1" customWidth="1"/>
    <col min="10" max="10" width="4.5703125" style="158" bestFit="1" customWidth="1"/>
    <col min="11" max="11" width="5.140625" style="158" bestFit="1" customWidth="1"/>
    <col min="12" max="12" width="11" style="106" bestFit="1" customWidth="1"/>
    <col min="13" max="13" width="9" style="106" bestFit="1" customWidth="1"/>
    <col min="14" max="14" width="10.42578125" style="107" bestFit="1" customWidth="1"/>
    <col min="15" max="15" width="8.28515625" style="108" bestFit="1" customWidth="1"/>
    <col min="16" max="16" width="7.28515625" style="95" bestFit="1" customWidth="1"/>
    <col min="17" max="17" width="11.140625" style="95" bestFit="1" customWidth="1"/>
    <col min="18" max="18" width="9" style="85" bestFit="1" customWidth="1"/>
    <col min="19" max="19" width="9" style="86" bestFit="1" customWidth="1"/>
    <col min="20" max="20" width="10.85546875" style="85" bestFit="1" customWidth="1"/>
    <col min="21" max="21" width="12.5703125" customWidth="1"/>
    <col min="22" max="22" width="4.85546875" style="87" bestFit="1" customWidth="1"/>
    <col min="23" max="23" width="6.28515625" style="87" bestFit="1" customWidth="1"/>
    <col min="24" max="24" width="2" style="87" bestFit="1" customWidth="1"/>
  </cols>
  <sheetData>
    <row r="1" spans="1:32" ht="18">
      <c r="A1" s="431" t="s">
        <v>102</v>
      </c>
      <c r="B1" s="387"/>
      <c r="C1" s="387"/>
      <c r="D1" s="432" t="s">
        <v>103</v>
      </c>
      <c r="E1" s="387"/>
      <c r="F1" s="387"/>
      <c r="G1" s="387"/>
      <c r="H1" s="387"/>
      <c r="I1" s="387"/>
      <c r="J1" s="387"/>
      <c r="K1" s="387"/>
      <c r="L1" s="387"/>
      <c r="M1" s="387"/>
      <c r="N1" s="387"/>
      <c r="O1" s="387"/>
      <c r="P1" s="387"/>
      <c r="Q1" s="387"/>
    </row>
    <row r="2" spans="1:32" ht="96.75">
      <c r="A2" s="20" t="s">
        <v>0</v>
      </c>
      <c r="B2" s="20" t="s">
        <v>6</v>
      </c>
      <c r="C2" s="20" t="s">
        <v>104</v>
      </c>
      <c r="D2" s="80" t="s">
        <v>105</v>
      </c>
      <c r="E2" s="88" t="s">
        <v>106</v>
      </c>
      <c r="F2" s="88" t="s">
        <v>107</v>
      </c>
      <c r="G2" s="88" t="s">
        <v>108</v>
      </c>
      <c r="H2" s="88" t="s">
        <v>109</v>
      </c>
      <c r="I2" s="157" t="s">
        <v>110</v>
      </c>
      <c r="J2" s="157" t="s">
        <v>111</v>
      </c>
      <c r="K2" s="157" t="s">
        <v>112</v>
      </c>
      <c r="L2" s="89" t="s">
        <v>113</v>
      </c>
      <c r="M2" s="89" t="s">
        <v>114</v>
      </c>
      <c r="N2" s="90" t="s">
        <v>115</v>
      </c>
      <c r="O2" s="91" t="s">
        <v>116</v>
      </c>
      <c r="P2" s="88" t="s">
        <v>117</v>
      </c>
      <c r="Q2" s="92" t="s">
        <v>118</v>
      </c>
      <c r="R2" s="93" t="s">
        <v>119</v>
      </c>
      <c r="S2" s="94" t="s">
        <v>120</v>
      </c>
      <c r="T2" s="93" t="s">
        <v>139</v>
      </c>
      <c r="U2" s="92"/>
      <c r="Y2" s="95"/>
      <c r="Z2" s="95"/>
      <c r="AA2" s="95"/>
      <c r="AB2" s="95"/>
      <c r="AC2" s="95"/>
      <c r="AD2" s="95"/>
      <c r="AE2" s="95"/>
      <c r="AF2" s="95"/>
    </row>
    <row r="3" spans="1:32" ht="15.75">
      <c r="A3" s="49" t="s">
        <v>222</v>
      </c>
      <c r="B3" s="20"/>
      <c r="C3" s="20"/>
      <c r="D3" s="80"/>
      <c r="E3" s="80"/>
      <c r="F3" s="96"/>
      <c r="G3" s="88"/>
      <c r="H3" s="92"/>
      <c r="I3" s="157"/>
      <c r="J3" s="157"/>
      <c r="K3" s="157"/>
      <c r="L3" s="97"/>
      <c r="M3" s="97"/>
      <c r="N3" s="98"/>
      <c r="O3" s="99"/>
      <c r="P3" s="92"/>
      <c r="Q3" s="92"/>
      <c r="U3" s="95"/>
      <c r="V3" s="100" t="s">
        <v>121</v>
      </c>
      <c r="W3" s="100" t="s">
        <v>122</v>
      </c>
      <c r="X3" s="87">
        <v>1</v>
      </c>
      <c r="Y3" s="95"/>
      <c r="Z3" s="95"/>
      <c r="AA3" s="95"/>
      <c r="AB3" s="95"/>
      <c r="AC3" s="95"/>
      <c r="AD3" s="95"/>
      <c r="AE3" s="95"/>
      <c r="AF3" s="95"/>
    </row>
    <row r="4" spans="1:32" ht="15">
      <c r="A4" s="101" t="s">
        <v>267</v>
      </c>
      <c r="B4" s="20"/>
      <c r="C4" s="20"/>
      <c r="D4" s="80"/>
      <c r="E4" s="80"/>
      <c r="F4" s="96"/>
      <c r="G4" s="88"/>
      <c r="H4" s="92"/>
      <c r="I4" s="157"/>
      <c r="J4" s="157"/>
      <c r="K4" s="157"/>
      <c r="L4" s="97"/>
      <c r="M4" s="97"/>
      <c r="N4" s="98"/>
      <c r="O4" s="99"/>
      <c r="P4" s="92"/>
      <c r="Q4" s="92"/>
      <c r="U4" s="95"/>
      <c r="V4" s="100" t="s">
        <v>123</v>
      </c>
      <c r="W4" s="100" t="s">
        <v>124</v>
      </c>
      <c r="X4" s="87">
        <v>2</v>
      </c>
      <c r="Y4" s="95"/>
      <c r="Z4" s="95"/>
      <c r="AA4" s="95"/>
      <c r="AB4" s="95"/>
      <c r="AC4" s="95"/>
      <c r="AD4" s="95"/>
      <c r="AE4" s="95"/>
      <c r="AF4" s="95"/>
    </row>
    <row r="5" spans="1:32">
      <c r="A5" s="47" t="s">
        <v>64</v>
      </c>
      <c r="B5" s="20"/>
      <c r="C5" s="20"/>
      <c r="D5" s="80"/>
      <c r="E5" s="80"/>
      <c r="F5" s="96"/>
      <c r="G5" s="88"/>
      <c r="H5" s="92"/>
      <c r="I5" s="157"/>
      <c r="J5" s="157"/>
      <c r="K5" s="157"/>
      <c r="L5" s="97"/>
      <c r="M5" s="97"/>
      <c r="N5" s="98"/>
      <c r="O5" s="99"/>
      <c r="P5" s="92"/>
      <c r="Q5" s="92"/>
      <c r="U5" s="95"/>
      <c r="V5" s="100" t="s">
        <v>125</v>
      </c>
      <c r="W5" s="100" t="s">
        <v>126</v>
      </c>
      <c r="X5" s="87">
        <v>3</v>
      </c>
      <c r="Y5" s="95"/>
      <c r="Z5" s="95"/>
      <c r="AA5" s="95"/>
      <c r="AB5" s="95"/>
      <c r="AC5" s="95"/>
      <c r="AD5" s="95"/>
      <c r="AE5" s="95"/>
      <c r="AF5" s="95"/>
    </row>
    <row r="6" spans="1:32" s="104" customFormat="1">
      <c r="A6" s="46" t="s">
        <v>127</v>
      </c>
      <c r="B6" s="102" t="s">
        <v>93</v>
      </c>
      <c r="C6" s="102" t="s">
        <v>128</v>
      </c>
      <c r="D6" s="103">
        <v>1</v>
      </c>
      <c r="E6" s="80" t="s">
        <v>129</v>
      </c>
      <c r="F6" s="7">
        <v>8.3000000000000007</v>
      </c>
      <c r="G6" s="104" t="s">
        <v>130</v>
      </c>
      <c r="H6" s="105">
        <v>0</v>
      </c>
      <c r="I6" s="158">
        <v>60</v>
      </c>
      <c r="J6" s="158">
        <v>20</v>
      </c>
      <c r="K6" s="158">
        <v>1.5</v>
      </c>
      <c r="L6" s="106">
        <f>CHOOSE(LOOKUP(G6,$W$3:$X$6), "Enter Value", I6*D6*J6*K6*(1+H6), (PI()/4)*D6*I6*(1+H6)*J6^2, PI()*(1+H6)*D6*I6*J6*K6)</f>
        <v>5654.8667764616275</v>
      </c>
      <c r="M6" s="106">
        <f>L6*F6</f>
        <v>46935.394244631512</v>
      </c>
      <c r="N6" s="107" t="e">
        <f>L6/E6</f>
        <v>#VALUE!</v>
      </c>
      <c r="O6" s="108">
        <v>6.0000000000000001E-3</v>
      </c>
      <c r="P6" s="95" t="s">
        <v>123</v>
      </c>
      <c r="Q6" s="109">
        <f>CHOOSE(LOOKUP(P6,$V$3:$V$5,$X$3:$X$5), O6*L6, O6*M6, O6*N6)</f>
        <v>281.61236546778906</v>
      </c>
      <c r="R6" s="110">
        <f>IF(C6="Test", M6, 0)</f>
        <v>0</v>
      </c>
      <c r="S6" s="110">
        <f>IF(C6="Test", N6, 0)</f>
        <v>0</v>
      </c>
      <c r="T6" s="85">
        <f t="shared" ref="T6:T20" si="0">IF(C6="Test", Q6, 0)</f>
        <v>0</v>
      </c>
      <c r="V6" s="87"/>
      <c r="W6" s="100" t="s">
        <v>130</v>
      </c>
      <c r="X6" s="87">
        <v>4</v>
      </c>
    </row>
    <row r="7" spans="1:32">
      <c r="A7" s="46" t="s">
        <v>131</v>
      </c>
      <c r="B7" s="102" t="s">
        <v>93</v>
      </c>
      <c r="C7" s="102" t="s">
        <v>124</v>
      </c>
      <c r="D7" s="103">
        <v>1</v>
      </c>
      <c r="E7" s="80" t="s">
        <v>129</v>
      </c>
      <c r="F7" s="7">
        <v>8.3000000000000007</v>
      </c>
      <c r="G7" s="104" t="s">
        <v>124</v>
      </c>
      <c r="H7" s="105">
        <v>0</v>
      </c>
      <c r="I7" s="158">
        <v>60</v>
      </c>
      <c r="J7" s="158">
        <v>25</v>
      </c>
      <c r="K7" s="158">
        <v>3</v>
      </c>
      <c r="L7" s="106">
        <f>CHOOSE(LOOKUP(G7,$W$3:$X$6), "Enter Value", I7*D7*J7*K7*(1+H7), (PI()/4)*D7*I7*(1+H7)*J7^2, PI()*(1+H7)*D7*I7*J7*K7)</f>
        <v>4500</v>
      </c>
      <c r="M7" s="106">
        <f>L7*F7</f>
        <v>37350</v>
      </c>
      <c r="N7" s="107" t="e">
        <f>L7/E7</f>
        <v>#VALUE!</v>
      </c>
      <c r="O7" s="108">
        <v>6.0000000000000001E-3</v>
      </c>
      <c r="P7" s="95" t="s">
        <v>123</v>
      </c>
      <c r="Q7" s="109">
        <f>CHOOSE(LOOKUP(P7,$V$3:$V$5,$X$3:$X$5), O7*L7, O7*M7, O7*N7)</f>
        <v>224.1</v>
      </c>
      <c r="R7" s="110">
        <f t="shared" ref="R7:R20" si="1">IF(C7="Test", M7, 0)</f>
        <v>0</v>
      </c>
      <c r="S7" s="110">
        <f t="shared" ref="S7:S20" si="2">IF(C7="Test", N7, 0)</f>
        <v>0</v>
      </c>
      <c r="T7" s="85">
        <f t="shared" si="0"/>
        <v>0</v>
      </c>
    </row>
    <row r="8" spans="1:32" ht="15">
      <c r="A8" s="101" t="s">
        <v>272</v>
      </c>
      <c r="B8" s="20"/>
      <c r="C8" s="20"/>
      <c r="D8" s="80"/>
      <c r="E8" s="80"/>
      <c r="F8" s="96"/>
      <c r="G8" s="88"/>
      <c r="H8" s="92"/>
      <c r="I8" s="157"/>
      <c r="J8" s="157"/>
      <c r="K8" s="157"/>
      <c r="L8" s="97"/>
      <c r="M8" s="97"/>
      <c r="N8" s="98"/>
      <c r="O8" s="99"/>
      <c r="P8" s="92"/>
      <c r="Q8" s="92"/>
      <c r="R8" s="110"/>
      <c r="S8" s="110"/>
    </row>
    <row r="9" spans="1:32">
      <c r="A9" s="47" t="s">
        <v>64</v>
      </c>
      <c r="B9" s="20"/>
      <c r="C9" s="20"/>
      <c r="D9" s="80"/>
      <c r="E9" s="80"/>
      <c r="F9" s="96"/>
      <c r="G9" s="88"/>
      <c r="H9" s="92"/>
      <c r="I9" s="157"/>
      <c r="J9" s="157"/>
      <c r="K9" s="157"/>
      <c r="L9" s="97"/>
      <c r="M9" s="97"/>
      <c r="N9" s="98"/>
      <c r="O9" s="99"/>
      <c r="P9" s="92"/>
      <c r="Q9" s="92"/>
      <c r="R9" s="110"/>
      <c r="S9" s="110"/>
    </row>
    <row r="10" spans="1:32">
      <c r="A10" s="46" t="s">
        <v>140</v>
      </c>
      <c r="B10" s="102" t="s">
        <v>7</v>
      </c>
      <c r="C10" s="102" t="s">
        <v>124</v>
      </c>
      <c r="D10" s="103">
        <v>1</v>
      </c>
      <c r="E10" s="80" t="s">
        <v>129</v>
      </c>
      <c r="F10" s="7">
        <v>2.7</v>
      </c>
      <c r="G10" s="104" t="s">
        <v>124</v>
      </c>
      <c r="H10" s="105">
        <v>0</v>
      </c>
      <c r="I10" s="158">
        <v>100</v>
      </c>
      <c r="J10" s="158">
        <v>30</v>
      </c>
      <c r="K10" s="158">
        <v>3</v>
      </c>
      <c r="L10" s="106">
        <f>CHOOSE(LOOKUP(G10,$W$3:$X$6), "Enter Value", I10*D10*J10*K10*(1+H10), (PI()/4)*D10*I10*(1+H10)*J10^2, PI()*(1+H10)*D10*I10*J10*K10)</f>
        <v>9000</v>
      </c>
      <c r="M10" s="106">
        <f>L10*F10</f>
        <v>24300</v>
      </c>
      <c r="N10" s="107" t="e">
        <f>L10/E10</f>
        <v>#VALUE!</v>
      </c>
      <c r="O10" s="108">
        <v>1.7000000000000001E-2</v>
      </c>
      <c r="P10" s="95" t="s">
        <v>123</v>
      </c>
      <c r="Q10" s="109">
        <f>CHOOSE(LOOKUP(P10,$V$3:$V$5,$X$3:$X$5), O10*L10, O10*M10, O10*N10)</f>
        <v>413.1</v>
      </c>
      <c r="R10" s="110">
        <f>IF(C10="Test", M10, 0)</f>
        <v>0</v>
      </c>
      <c r="S10" s="110">
        <f>IF(C10="Test", N10, 0)</f>
        <v>0</v>
      </c>
      <c r="T10" s="85">
        <f>IF(C10="Test", Q10, 0)</f>
        <v>0</v>
      </c>
    </row>
    <row r="11" spans="1:32">
      <c r="A11" s="46" t="s">
        <v>164</v>
      </c>
      <c r="B11" s="102" t="s">
        <v>7</v>
      </c>
      <c r="C11" s="102" t="s">
        <v>124</v>
      </c>
      <c r="D11" s="103">
        <v>2</v>
      </c>
      <c r="E11" s="80" t="s">
        <v>129</v>
      </c>
      <c r="F11" s="7">
        <v>2.7</v>
      </c>
      <c r="G11" s="104" t="s">
        <v>124</v>
      </c>
      <c r="H11" s="105">
        <v>0</v>
      </c>
      <c r="I11" s="158">
        <v>30</v>
      </c>
      <c r="J11" s="158">
        <v>15</v>
      </c>
      <c r="K11" s="158">
        <v>5</v>
      </c>
      <c r="L11" s="106">
        <f>CHOOSE(LOOKUP(G11,$W$3:$X$6), "Enter Value", I11*D11*J11*K11*(1+H11), (PI()/4)*D11*I11*(1+H11)*J11^2, PI()*(1+H11)*D11*I11*J11*K11)</f>
        <v>4500</v>
      </c>
      <c r="M11" s="106">
        <f>L11*F11</f>
        <v>12150</v>
      </c>
      <c r="N11" s="107" t="e">
        <f>L11/E11</f>
        <v>#VALUE!</v>
      </c>
      <c r="O11" s="108">
        <v>1.7000000000000001E-2</v>
      </c>
      <c r="P11" s="95" t="s">
        <v>123</v>
      </c>
      <c r="Q11" s="109">
        <f>CHOOSE(LOOKUP(P11,$V$3:$V$5,$X$3:$X$5), O11*L11, O11*M11, O11*N11)</f>
        <v>206.55</v>
      </c>
      <c r="R11" s="110">
        <f>IF(C11="Test", M11, 0)</f>
        <v>0</v>
      </c>
      <c r="S11" s="110">
        <f>IF(C11="Test", N11, 0)</f>
        <v>0</v>
      </c>
      <c r="T11" s="85">
        <f>IF(C11="Test", Q11, 0)</f>
        <v>0</v>
      </c>
    </row>
    <row r="12" spans="1:32" ht="15">
      <c r="A12" s="47" t="s">
        <v>136</v>
      </c>
      <c r="M12" s="152">
        <f>(M10+M11)/454</f>
        <v>80.286343612334804</v>
      </c>
      <c r="R12" s="110"/>
      <c r="S12" s="110"/>
    </row>
    <row r="13" spans="1:32">
      <c r="A13" s="46" t="s">
        <v>165</v>
      </c>
      <c r="B13" s="20" t="s">
        <v>132</v>
      </c>
      <c r="C13" s="102" t="s">
        <v>133</v>
      </c>
      <c r="D13" s="103">
        <v>5</v>
      </c>
      <c r="E13" s="103">
        <v>330</v>
      </c>
      <c r="F13" s="7">
        <v>1.8</v>
      </c>
      <c r="G13" s="104" t="s">
        <v>124</v>
      </c>
      <c r="H13" s="105">
        <v>0.3</v>
      </c>
      <c r="I13" s="158">
        <v>80</v>
      </c>
      <c r="J13" s="158">
        <v>2.5</v>
      </c>
      <c r="K13" s="158">
        <v>0.8</v>
      </c>
      <c r="L13" s="106">
        <f>CHOOSE(LOOKUP(G13,$W$3:$X$6), "Enter Value", I13*D13*J13*K13*(1+H13), (PI()/4)*D13*I13*(1+H13)*J13^2, PI()*(1+H13)*D13*I13*J13*K13)</f>
        <v>1040</v>
      </c>
      <c r="M13" s="106">
        <f>L13*F13</f>
        <v>1872</v>
      </c>
      <c r="N13" s="107">
        <f>L13/E13</f>
        <v>3.1515151515151514</v>
      </c>
      <c r="O13" s="108">
        <v>1.0329999999999999</v>
      </c>
      <c r="P13" s="95" t="s">
        <v>123</v>
      </c>
      <c r="Q13" s="109">
        <f>CHOOSE(LOOKUP(P13,$V$3:$V$5,$X$3:$X$5), O13*L13, O13*M13, O13*N13)</f>
        <v>1933.7759999999998</v>
      </c>
      <c r="R13" s="110">
        <f t="shared" si="1"/>
        <v>0</v>
      </c>
      <c r="S13" s="110">
        <f t="shared" si="2"/>
        <v>0</v>
      </c>
      <c r="T13" s="85">
        <f t="shared" si="0"/>
        <v>0</v>
      </c>
    </row>
    <row r="14" spans="1:32">
      <c r="A14" s="46" t="s">
        <v>166</v>
      </c>
      <c r="B14" s="20" t="s">
        <v>132</v>
      </c>
      <c r="C14" s="102" t="s">
        <v>56</v>
      </c>
      <c r="D14" s="103">
        <v>2</v>
      </c>
      <c r="E14" s="103">
        <v>330</v>
      </c>
      <c r="F14" s="7">
        <v>1.8</v>
      </c>
      <c r="G14" s="104" t="s">
        <v>124</v>
      </c>
      <c r="H14" s="105">
        <v>0.5</v>
      </c>
      <c r="I14" s="158">
        <v>20</v>
      </c>
      <c r="J14" s="158">
        <v>3</v>
      </c>
      <c r="K14" s="158">
        <v>0.8</v>
      </c>
      <c r="L14" s="106">
        <f>CHOOSE(LOOKUP(G14,$W$3:$X$6), "Enter Value", I14*D14*J14*K14*(1+H14), (PI()/4)*D14*I14*(1+H14)*J14^2, PI()*(1+H14)*D14*I14*J14*K14)</f>
        <v>144</v>
      </c>
      <c r="M14" s="106">
        <f>L14*F14</f>
        <v>259.2</v>
      </c>
      <c r="N14" s="107">
        <f>L14/E14</f>
        <v>0.43636363636363634</v>
      </c>
      <c r="O14" s="108">
        <v>1.0329999999999999</v>
      </c>
      <c r="P14" s="95" t="s">
        <v>123</v>
      </c>
      <c r="Q14" s="109">
        <f>CHOOSE(LOOKUP(P14,$V$3:$V$5,$X$3:$X$5), O14*L14, O14*M14, O14*N14)</f>
        <v>267.75359999999995</v>
      </c>
      <c r="R14" s="110">
        <f t="shared" si="1"/>
        <v>259.2</v>
      </c>
      <c r="S14" s="110">
        <f t="shared" si="2"/>
        <v>0.43636363636363634</v>
      </c>
      <c r="T14" s="85">
        <f t="shared" si="0"/>
        <v>267.75359999999995</v>
      </c>
    </row>
    <row r="15" spans="1:32" ht="15">
      <c r="A15" s="101" t="s">
        <v>203</v>
      </c>
      <c r="B15" s="20"/>
      <c r="C15" s="20"/>
      <c r="D15" s="80"/>
      <c r="E15" s="80"/>
      <c r="F15" s="96"/>
      <c r="G15" s="88"/>
      <c r="H15" s="92"/>
      <c r="I15" s="157"/>
      <c r="J15" s="157"/>
      <c r="K15" s="157"/>
      <c r="L15" s="97"/>
      <c r="M15" s="97"/>
      <c r="N15" s="98"/>
      <c r="O15" s="99"/>
      <c r="P15" s="92"/>
      <c r="Q15" s="92"/>
      <c r="R15" s="110"/>
      <c r="S15" s="110"/>
    </row>
    <row r="16" spans="1:32">
      <c r="A16" s="47" t="s">
        <v>348</v>
      </c>
      <c r="B16" s="20"/>
      <c r="C16" s="20"/>
      <c r="D16" s="80"/>
      <c r="E16" s="80"/>
      <c r="F16" s="96"/>
      <c r="G16" s="88"/>
      <c r="H16" s="92"/>
      <c r="I16" s="157"/>
      <c r="J16" s="157"/>
      <c r="K16" s="157"/>
      <c r="L16" s="97"/>
      <c r="M16" s="97"/>
      <c r="N16" s="98"/>
      <c r="O16" s="99"/>
      <c r="P16" s="92"/>
      <c r="Q16" s="92"/>
      <c r="R16" s="110"/>
      <c r="S16" s="110"/>
    </row>
    <row r="17" spans="1:20">
      <c r="A17" s="46" t="s">
        <v>343</v>
      </c>
      <c r="B17" s="102" t="s">
        <v>7</v>
      </c>
      <c r="C17" s="102" t="s">
        <v>124</v>
      </c>
      <c r="D17" s="103">
        <v>4</v>
      </c>
      <c r="E17" s="80" t="s">
        <v>129</v>
      </c>
      <c r="F17" s="7">
        <v>2.7</v>
      </c>
      <c r="G17" s="104" t="s">
        <v>124</v>
      </c>
      <c r="H17" s="105">
        <v>0.3</v>
      </c>
      <c r="I17" s="158">
        <v>250</v>
      </c>
      <c r="J17" s="158">
        <v>7.5</v>
      </c>
      <c r="K17" s="158">
        <v>7.5</v>
      </c>
      <c r="L17" s="106">
        <f>CHOOSE(LOOKUP(G17,$W$3:$X$6), "Enter Value", I17*D17*J17*K17*(1+H17), (PI()/4)*D17*I17*(1+H17)*J17^2, PI()*(1+H17)*D17*I17*J17*K17)</f>
        <v>73125</v>
      </c>
      <c r="M17" s="106">
        <f>L17*F17</f>
        <v>197437.5</v>
      </c>
      <c r="N17" s="107" t="e">
        <f>L17/E17</f>
        <v>#VALUE!</v>
      </c>
      <c r="O17" s="108">
        <v>1.7000000000000001E-2</v>
      </c>
      <c r="P17" s="95" t="s">
        <v>123</v>
      </c>
      <c r="Q17" s="109">
        <f>CHOOSE(LOOKUP(P17,$V$3:$V$5,$X$3:$X$5), O17*L17, O17*M17, O17*N17)</f>
        <v>3356.4375000000005</v>
      </c>
      <c r="R17" s="110">
        <f t="shared" si="1"/>
        <v>0</v>
      </c>
      <c r="S17" s="110">
        <f t="shared" si="2"/>
        <v>0</v>
      </c>
      <c r="T17" s="85">
        <f t="shared" si="0"/>
        <v>0</v>
      </c>
    </row>
    <row r="18" spans="1:20">
      <c r="A18" s="46" t="s">
        <v>344</v>
      </c>
      <c r="B18" s="118" t="s">
        <v>7</v>
      </c>
      <c r="C18" s="118" t="s">
        <v>124</v>
      </c>
      <c r="D18" s="103">
        <v>3</v>
      </c>
      <c r="E18" s="80" t="s">
        <v>129</v>
      </c>
      <c r="F18" s="7">
        <v>2.7</v>
      </c>
      <c r="G18" s="104" t="s">
        <v>124</v>
      </c>
      <c r="H18" s="105">
        <v>0.3</v>
      </c>
      <c r="I18" s="158">
        <v>50</v>
      </c>
      <c r="J18" s="158">
        <v>50</v>
      </c>
      <c r="K18" s="158">
        <v>5</v>
      </c>
      <c r="L18" s="106">
        <f>CHOOSE(LOOKUP(G18,$W$3:$X$6), "Enter Value", I18*D18*J18*K18*(1+H18), (PI()/4)*D18*I18*(1+H18)*J18^2, PI()*(1+H18)*D18*I18*J18*K18)</f>
        <v>48750</v>
      </c>
      <c r="M18" s="106">
        <f>L18*F18</f>
        <v>131625</v>
      </c>
      <c r="N18" s="107" t="e">
        <f>L18/E18</f>
        <v>#VALUE!</v>
      </c>
      <c r="O18" s="108">
        <v>1.7000000000000001E-2</v>
      </c>
      <c r="P18" s="117" t="s">
        <v>123</v>
      </c>
      <c r="Q18" s="109">
        <f>CHOOSE(LOOKUP(P18,$V$3:$V$5,$X$3:$X$5), O18*L18, O18*M18, O18*N18)</f>
        <v>2237.625</v>
      </c>
      <c r="R18" s="110">
        <f t="shared" si="1"/>
        <v>0</v>
      </c>
      <c r="S18" s="110">
        <f t="shared" si="2"/>
        <v>0</v>
      </c>
      <c r="T18" s="85">
        <f t="shared" si="0"/>
        <v>0</v>
      </c>
    </row>
    <row r="19" spans="1:20">
      <c r="A19" s="46" t="s">
        <v>345</v>
      </c>
      <c r="B19" s="118" t="s">
        <v>7</v>
      </c>
      <c r="C19" s="118" t="s">
        <v>124</v>
      </c>
      <c r="D19" s="103">
        <v>2</v>
      </c>
      <c r="E19" s="80" t="s">
        <v>129</v>
      </c>
      <c r="F19" s="7">
        <v>2.7</v>
      </c>
      <c r="G19" s="104" t="s">
        <v>124</v>
      </c>
      <c r="H19" s="105">
        <v>0.3</v>
      </c>
      <c r="I19" s="158">
        <v>50</v>
      </c>
      <c r="J19" s="158">
        <v>10</v>
      </c>
      <c r="K19" s="158">
        <v>5</v>
      </c>
      <c r="L19" s="106">
        <f>CHOOSE(LOOKUP(G19,$W$3:$X$6), "Enter Value", I19*D19*J19*K19*(1+H19), (PI()/4)*D19*I19*(1+H19)*J19^2, PI()*(1+H19)*D19*I19*J19*K19)</f>
        <v>6500</v>
      </c>
      <c r="M19" s="106">
        <f>L19*F19</f>
        <v>17550</v>
      </c>
      <c r="N19" s="107" t="e">
        <f>L19/E19</f>
        <v>#VALUE!</v>
      </c>
      <c r="O19" s="108">
        <v>1.7000000000000001E-2</v>
      </c>
      <c r="P19" s="117" t="s">
        <v>123</v>
      </c>
      <c r="Q19" s="109">
        <f>CHOOSE(LOOKUP(P19,$V$3:$V$5,$X$3:$X$5), O19*L19, O19*M19, O19*N19)</f>
        <v>298.35000000000002</v>
      </c>
      <c r="R19" s="110">
        <f t="shared" ref="R19" si="3">IF(C19="Test", M19, 0)</f>
        <v>0</v>
      </c>
      <c r="S19" s="110">
        <f t="shared" ref="S19" si="4">IF(C19="Test", N19, 0)</f>
        <v>0</v>
      </c>
      <c r="T19" s="85">
        <f t="shared" ref="T19" si="5">IF(C19="Test", Q19, 0)</f>
        <v>0</v>
      </c>
    </row>
    <row r="20" spans="1:20">
      <c r="A20" s="46" t="s">
        <v>346</v>
      </c>
      <c r="B20" s="102" t="s">
        <v>7</v>
      </c>
      <c r="C20" s="102" t="s">
        <v>124</v>
      </c>
      <c r="D20" s="103">
        <v>4</v>
      </c>
      <c r="E20" s="80" t="s">
        <v>129</v>
      </c>
      <c r="F20" s="7">
        <v>2.7</v>
      </c>
      <c r="G20" s="104" t="s">
        <v>124</v>
      </c>
      <c r="H20" s="105">
        <v>0.3</v>
      </c>
      <c r="I20" s="158">
        <v>50</v>
      </c>
      <c r="J20" s="158">
        <v>10</v>
      </c>
      <c r="K20" s="158">
        <v>5</v>
      </c>
      <c r="L20" s="106">
        <f>CHOOSE(LOOKUP(G20,$W$3:$X$6), "Enter Value", I20*D20*J20*K20*(1+H20), (PI()/4)*D20*I20*(1+H20)*J20^2, PI()*(1+H20)*D20*I20*J20*K20)</f>
        <v>13000</v>
      </c>
      <c r="M20" s="106">
        <f>L20*F20</f>
        <v>35100</v>
      </c>
      <c r="N20" s="107" t="e">
        <f>L20/E20</f>
        <v>#VALUE!</v>
      </c>
      <c r="O20" s="108">
        <v>1.7000000000000001E-2</v>
      </c>
      <c r="P20" s="95" t="s">
        <v>123</v>
      </c>
      <c r="Q20" s="109">
        <f>CHOOSE(LOOKUP(P20,$V$3:$V$5,$X$3:$X$5), O20*L20, O20*M20, O20*N20)</f>
        <v>596.70000000000005</v>
      </c>
      <c r="R20" s="110">
        <f t="shared" si="1"/>
        <v>0</v>
      </c>
      <c r="S20" s="110">
        <f t="shared" si="2"/>
        <v>0</v>
      </c>
      <c r="T20" s="85">
        <f t="shared" si="0"/>
        <v>0</v>
      </c>
    </row>
    <row r="21" spans="1:20" ht="15">
      <c r="A21" s="47" t="s">
        <v>347</v>
      </c>
      <c r="M21" s="152">
        <f>SUM(M17:M20)/454</f>
        <v>840.77643171806164</v>
      </c>
      <c r="Q21" s="152">
        <f>SUM(Q17:Q20)</f>
        <v>6489.1125000000002</v>
      </c>
      <c r="R21" s="110"/>
      <c r="S21" s="110"/>
    </row>
    <row r="22" spans="1:20">
      <c r="A22" s="46" t="s">
        <v>345</v>
      </c>
      <c r="B22" s="118" t="s">
        <v>7</v>
      </c>
      <c r="C22" s="118" t="s">
        <v>124</v>
      </c>
      <c r="D22" s="103">
        <v>2</v>
      </c>
      <c r="E22" s="80" t="s">
        <v>129</v>
      </c>
      <c r="F22" s="7">
        <v>2.7</v>
      </c>
      <c r="G22" s="104" t="s">
        <v>124</v>
      </c>
      <c r="H22" s="105">
        <v>0.3</v>
      </c>
      <c r="I22" s="158">
        <v>50</v>
      </c>
      <c r="J22" s="158">
        <v>10</v>
      </c>
      <c r="K22" s="158">
        <v>5</v>
      </c>
      <c r="L22" s="106">
        <f>CHOOSE(LOOKUP(G22,$W$3:$X$6), "Enter Value", I22*D22*J22*K22*(1+H22), (PI()/4)*D22*I22*(1+H22)*J22^2, PI()*(1+H22)*D22*I22*J22*K22)</f>
        <v>6500</v>
      </c>
      <c r="M22" s="106">
        <f>L22*F22</f>
        <v>17550</v>
      </c>
      <c r="N22" s="107" t="e">
        <f>L22/E22</f>
        <v>#VALUE!</v>
      </c>
      <c r="O22" s="108">
        <v>1.7000000000000001E-2</v>
      </c>
      <c r="P22" s="117" t="s">
        <v>123</v>
      </c>
      <c r="Q22" s="109">
        <f>CHOOSE(LOOKUP(P22,$V$3:$V$5,$X$3:$X$5), O22*L22, O22*M22, O22*N22)</f>
        <v>298.35000000000002</v>
      </c>
      <c r="R22" s="110">
        <f t="shared" ref="R22:R23" si="6">IF(C22="Test", M22, 0)</f>
        <v>0</v>
      </c>
      <c r="S22" s="110">
        <f t="shared" ref="S22:S23" si="7">IF(C22="Test", N22, 0)</f>
        <v>0</v>
      </c>
      <c r="T22" s="85">
        <f t="shared" ref="T22:T23" si="8">IF(C22="Test", Q22, 0)</f>
        <v>0</v>
      </c>
    </row>
    <row r="23" spans="1:20">
      <c r="A23" s="46" t="s">
        <v>346</v>
      </c>
      <c r="B23" s="118" t="s">
        <v>7</v>
      </c>
      <c r="C23" s="118" t="s">
        <v>124</v>
      </c>
      <c r="D23" s="103">
        <v>4</v>
      </c>
      <c r="E23" s="80" t="s">
        <v>129</v>
      </c>
      <c r="F23" s="7">
        <v>2.7</v>
      </c>
      <c r="G23" s="104" t="s">
        <v>124</v>
      </c>
      <c r="H23" s="105">
        <v>0.3</v>
      </c>
      <c r="I23" s="158">
        <v>50</v>
      </c>
      <c r="J23" s="158">
        <v>10</v>
      </c>
      <c r="K23" s="158">
        <v>5</v>
      </c>
      <c r="L23" s="106">
        <f>CHOOSE(LOOKUP(G23,$W$3:$X$6), "Enter Value", I23*D23*J23*K23*(1+H23), (PI()/4)*D23*I23*(1+H23)*J23^2, PI()*(1+H23)*D23*I23*J23*K23)</f>
        <v>13000</v>
      </c>
      <c r="M23" s="106">
        <f>L23*F23</f>
        <v>35100</v>
      </c>
      <c r="N23" s="107" t="e">
        <f>L23/E23</f>
        <v>#VALUE!</v>
      </c>
      <c r="O23" s="108">
        <v>1.7000000000000001E-2</v>
      </c>
      <c r="P23" s="117" t="s">
        <v>123</v>
      </c>
      <c r="Q23" s="109">
        <f>CHOOSE(LOOKUP(P23,$V$3:$V$5,$X$3:$X$5), O23*L23, O23*M23, O23*N23)</f>
        <v>596.70000000000005</v>
      </c>
      <c r="R23" s="110">
        <f t="shared" si="6"/>
        <v>0</v>
      </c>
      <c r="S23" s="110">
        <f t="shared" si="7"/>
        <v>0</v>
      </c>
      <c r="T23" s="85">
        <f t="shared" si="8"/>
        <v>0</v>
      </c>
    </row>
    <row r="24" spans="1:20" ht="15">
      <c r="A24" s="47" t="s">
        <v>350</v>
      </c>
      <c r="H24" s="117"/>
      <c r="M24" s="152">
        <f>SUM(M22:M23)/454</f>
        <v>115.96916299559471</v>
      </c>
      <c r="P24" s="117"/>
      <c r="Q24" s="152">
        <f>SUM(Q22:Q23)</f>
        <v>895.05000000000007</v>
      </c>
      <c r="R24" s="110"/>
      <c r="S24" s="110"/>
    </row>
    <row r="25" spans="1:20">
      <c r="A25" s="46" t="s">
        <v>351</v>
      </c>
      <c r="B25" s="20" t="s">
        <v>7</v>
      </c>
      <c r="C25" s="118" t="s">
        <v>124</v>
      </c>
      <c r="D25" s="103">
        <v>1</v>
      </c>
      <c r="E25" s="103">
        <v>330</v>
      </c>
      <c r="F25" s="7">
        <v>2.7</v>
      </c>
      <c r="G25" s="104" t="s">
        <v>124</v>
      </c>
      <c r="H25" s="105">
        <v>0.3</v>
      </c>
      <c r="I25" s="158">
        <v>50</v>
      </c>
      <c r="J25" s="158">
        <v>20</v>
      </c>
      <c r="K25" s="158">
        <v>10</v>
      </c>
      <c r="L25" s="106">
        <f t="shared" ref="L25:L30" si="9">CHOOSE(LOOKUP(G25,$W$3:$X$6), "Enter Value", I25*D25*J25*K25*(1+H25), (PI()/4)*D25*I25*(1+H25)*J25^2, PI()*(1+H25)*D25*I25*J25*K25)</f>
        <v>13000</v>
      </c>
      <c r="M25" s="106">
        <f t="shared" ref="M25:M30" si="10">L25*F25</f>
        <v>35100</v>
      </c>
      <c r="N25" s="107">
        <f t="shared" ref="N25" si="11">L25/E25</f>
        <v>39.393939393939391</v>
      </c>
      <c r="O25" s="108">
        <v>1.7000000000000001E-2</v>
      </c>
      <c r="P25" s="95" t="s">
        <v>123</v>
      </c>
      <c r="Q25" s="109">
        <f t="shared" ref="Q25:Q30" si="12">CHOOSE(LOOKUP(P25,$V$3:$V$5,$X$3:$X$5), O25*L25, O25*M25, O25*N25)</f>
        <v>596.70000000000005</v>
      </c>
      <c r="R25" s="110">
        <f t="shared" ref="R25:R30" si="13">IF(C25="Test", M25, 0)</f>
        <v>0</v>
      </c>
      <c r="S25" s="110">
        <f>IF(C25="Test", N25, 0)</f>
        <v>0</v>
      </c>
      <c r="T25" s="85">
        <f t="shared" ref="T25:T30" si="14">IF(C25="Test", Q25, 0)</f>
        <v>0</v>
      </c>
    </row>
    <row r="26" spans="1:20">
      <c r="A26" s="46" t="s">
        <v>352</v>
      </c>
      <c r="B26" s="20" t="s">
        <v>7</v>
      </c>
      <c r="C26" s="118" t="s">
        <v>124</v>
      </c>
      <c r="D26" s="103">
        <v>1</v>
      </c>
      <c r="E26" s="103">
        <v>330</v>
      </c>
      <c r="F26" s="7">
        <v>2.7</v>
      </c>
      <c r="G26" s="104" t="s">
        <v>124</v>
      </c>
      <c r="H26" s="105">
        <v>0.3</v>
      </c>
      <c r="I26" s="158">
        <v>50</v>
      </c>
      <c r="J26" s="158">
        <v>20</v>
      </c>
      <c r="K26" s="158">
        <v>10</v>
      </c>
      <c r="L26" s="106">
        <f t="shared" ref="L26" si="15">CHOOSE(LOOKUP(G26,$W$3:$X$6), "Enter Value", I26*D26*J26*K26*(1+H26), (PI()/4)*D26*I26*(1+H26)*J26^2, PI()*(1+H26)*D26*I26*J26*K26)</f>
        <v>13000</v>
      </c>
      <c r="M26" s="106">
        <f t="shared" ref="M26" si="16">L26*F26</f>
        <v>35100</v>
      </c>
      <c r="N26" s="107">
        <f t="shared" ref="N26" si="17">L26/E26</f>
        <v>39.393939393939391</v>
      </c>
      <c r="O26" s="108">
        <v>1.7000000000000001E-2</v>
      </c>
      <c r="P26" s="117" t="s">
        <v>123</v>
      </c>
      <c r="Q26" s="109">
        <f t="shared" ref="Q26" si="18">CHOOSE(LOOKUP(P26,$V$3:$V$5,$X$3:$X$5), O26*L26, O26*M26, O26*N26)</f>
        <v>596.70000000000005</v>
      </c>
      <c r="R26" s="110">
        <f t="shared" ref="R26" si="19">IF(C26="Test", M26, 0)</f>
        <v>0</v>
      </c>
      <c r="S26" s="110">
        <f>IF(C26="Test", N26, 0)</f>
        <v>0</v>
      </c>
      <c r="T26" s="85">
        <f t="shared" ref="T26" si="20">IF(C26="Test", Q26, 0)</f>
        <v>0</v>
      </c>
    </row>
    <row r="27" spans="1:20" ht="15">
      <c r="A27" s="47" t="s">
        <v>363</v>
      </c>
      <c r="H27" s="117"/>
      <c r="M27" s="152">
        <f>SUM(M25:M26)/454</f>
        <v>154.62555066079295</v>
      </c>
      <c r="P27" s="117"/>
      <c r="Q27" s="152">
        <f>SUM(Q25:Q26)</f>
        <v>1193.4000000000001</v>
      </c>
      <c r="R27" s="110"/>
      <c r="S27" s="110"/>
    </row>
    <row r="28" spans="1:20">
      <c r="A28" s="46" t="s">
        <v>364</v>
      </c>
      <c r="B28" s="20" t="s">
        <v>7</v>
      </c>
      <c r="C28" s="118" t="s">
        <v>124</v>
      </c>
      <c r="D28" s="103">
        <v>1</v>
      </c>
      <c r="E28" s="103">
        <v>330</v>
      </c>
      <c r="F28" s="7">
        <v>2.7</v>
      </c>
      <c r="G28" s="104" t="s">
        <v>124</v>
      </c>
      <c r="H28" s="105">
        <v>0.3</v>
      </c>
      <c r="I28" s="158">
        <v>10</v>
      </c>
      <c r="J28" s="158">
        <v>20</v>
      </c>
      <c r="K28" s="158">
        <v>10</v>
      </c>
      <c r="L28" s="106">
        <f t="shared" ref="L28:L29" si="21">CHOOSE(LOOKUP(G28,$W$3:$X$6), "Enter Value", I28*D28*J28*K28*(1+H28), (PI()/4)*D28*I28*(1+H28)*J28^2, PI()*(1+H28)*D28*I28*J28*K28)</f>
        <v>2600</v>
      </c>
      <c r="M28" s="106">
        <f t="shared" ref="M28:M29" si="22">L28*F28</f>
        <v>7020.0000000000009</v>
      </c>
      <c r="N28" s="107">
        <f t="shared" ref="N28:N29" si="23">L28/E28</f>
        <v>7.8787878787878789</v>
      </c>
      <c r="O28" s="108">
        <v>1.7000000000000001E-2</v>
      </c>
      <c r="P28" s="117" t="s">
        <v>123</v>
      </c>
      <c r="Q28" s="109">
        <f t="shared" ref="Q28:Q29" si="24">CHOOSE(LOOKUP(P28,$V$3:$V$5,$X$3:$X$5), O28*L28, O28*M28, O28*N28)</f>
        <v>119.34000000000002</v>
      </c>
      <c r="R28" s="110">
        <f t="shared" ref="R28:R29" si="25">IF(C28="Test", M28, 0)</f>
        <v>0</v>
      </c>
      <c r="S28" s="110">
        <f>IF(C28="Test", N28, 0)</f>
        <v>0</v>
      </c>
      <c r="T28" s="85">
        <f t="shared" ref="T28:T29" si="26">IF(C28="Test", Q28, 0)</f>
        <v>0</v>
      </c>
    </row>
    <row r="29" spans="1:20">
      <c r="A29" s="46" t="s">
        <v>352</v>
      </c>
      <c r="B29" s="20" t="s">
        <v>7</v>
      </c>
      <c r="C29" s="118" t="s">
        <v>124</v>
      </c>
      <c r="D29" s="103">
        <v>1</v>
      </c>
      <c r="E29" s="103">
        <v>330</v>
      </c>
      <c r="F29" s="7">
        <v>2.7</v>
      </c>
      <c r="G29" s="104" t="s">
        <v>124</v>
      </c>
      <c r="H29" s="105">
        <v>0.3</v>
      </c>
      <c r="I29" s="158">
        <v>10</v>
      </c>
      <c r="J29" s="158">
        <v>20</v>
      </c>
      <c r="K29" s="158">
        <v>10</v>
      </c>
      <c r="L29" s="106">
        <f t="shared" si="21"/>
        <v>2600</v>
      </c>
      <c r="M29" s="106">
        <f t="shared" si="22"/>
        <v>7020.0000000000009</v>
      </c>
      <c r="N29" s="107">
        <f t="shared" si="23"/>
        <v>7.8787878787878789</v>
      </c>
      <c r="O29" s="108">
        <v>1.7000000000000001E-2</v>
      </c>
      <c r="P29" s="117" t="s">
        <v>123</v>
      </c>
      <c r="Q29" s="109">
        <f t="shared" si="24"/>
        <v>119.34000000000002</v>
      </c>
      <c r="R29" s="110">
        <f t="shared" si="25"/>
        <v>0</v>
      </c>
      <c r="S29" s="110">
        <f>IF(C29="Test", N29, 0)</f>
        <v>0</v>
      </c>
      <c r="T29" s="85">
        <f t="shared" si="26"/>
        <v>0</v>
      </c>
    </row>
    <row r="30" spans="1:20">
      <c r="A30" s="46" t="s">
        <v>64</v>
      </c>
      <c r="B30" s="20" t="s">
        <v>7</v>
      </c>
      <c r="C30" s="118" t="s">
        <v>124</v>
      </c>
      <c r="D30" s="103">
        <v>1</v>
      </c>
      <c r="E30" s="103">
        <v>330</v>
      </c>
      <c r="F30" s="7">
        <v>2.7</v>
      </c>
      <c r="G30" s="104" t="s">
        <v>124</v>
      </c>
      <c r="H30" s="105">
        <v>0.3</v>
      </c>
      <c r="I30" s="158">
        <v>60</v>
      </c>
      <c r="J30" s="158">
        <v>30</v>
      </c>
      <c r="K30" s="158">
        <v>5</v>
      </c>
      <c r="L30" s="106">
        <f t="shared" si="9"/>
        <v>11700</v>
      </c>
      <c r="M30" s="106">
        <f t="shared" si="10"/>
        <v>31590.000000000004</v>
      </c>
      <c r="N30" s="107">
        <f>L30/E30</f>
        <v>35.454545454545453</v>
      </c>
      <c r="O30" s="108">
        <v>1.7000000000000001E-2</v>
      </c>
      <c r="P30" s="95" t="s">
        <v>123</v>
      </c>
      <c r="Q30" s="109">
        <f t="shared" si="12"/>
        <v>537.03000000000009</v>
      </c>
      <c r="R30" s="110">
        <f t="shared" si="13"/>
        <v>0</v>
      </c>
      <c r="S30" s="110">
        <f t="shared" ref="S30" si="27">IF(C30="Test", N30, 0)</f>
        <v>0</v>
      </c>
      <c r="T30" s="85">
        <f t="shared" si="14"/>
        <v>0</v>
      </c>
    </row>
    <row r="32" spans="1:20">
      <c r="P32" s="111"/>
      <c r="Q32" s="109"/>
    </row>
  </sheetData>
  <mergeCells count="2">
    <mergeCell ref="A1:C1"/>
    <mergeCell ref="D1:Q1"/>
  </mergeCells>
  <dataValidations count="2">
    <dataValidation type="list" allowBlank="1" showInputMessage="1" showErrorMessage="1" sqref="P22:P23 P10:P11 P13:P14 P17:P20 P6:P7 P25:P26 P28:P30">
      <formula1>$V$3:$V$5</formula1>
    </dataValidation>
    <dataValidation type="list" allowBlank="1" showInputMessage="1" showErrorMessage="1" sqref="G22:G23 G10:G11 G13:G14 G17:G20 G6:G7 G25:G26 G28:G30">
      <formula1>$W$3:$W$6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2</vt:i4>
      </vt:variant>
      <vt:variant>
        <vt:lpstr>Named Ranges</vt:lpstr>
      </vt:variant>
      <vt:variant>
        <vt:i4>16</vt:i4>
      </vt:variant>
    </vt:vector>
  </HeadingPairs>
  <TitlesOfParts>
    <vt:vector size="25" baseType="lpstr">
      <vt:lpstr>WBS in Estimate</vt:lpstr>
      <vt:lpstr>WBS Summary</vt:lpstr>
      <vt:lpstr>WBS Summary by Year</vt:lpstr>
      <vt:lpstr>SUMMARY</vt:lpstr>
      <vt:lpstr>Pre- and Production</vt:lpstr>
      <vt:lpstr>Rates</vt:lpstr>
      <vt:lpstr>Material Estimates</vt:lpstr>
      <vt:lpstr>Cost Profile Chart</vt:lpstr>
      <vt:lpstr>Cost by Category</vt:lpstr>
      <vt:lpstr>CMM</vt:lpstr>
      <vt:lpstr>CMM_RD</vt:lpstr>
      <vt:lpstr>DES</vt:lpstr>
      <vt:lpstr>DES_RD</vt:lpstr>
      <vt:lpstr>ENG</vt:lpstr>
      <vt:lpstr>ENG_RD</vt:lpstr>
      <vt:lpstr>M_Tech</vt:lpstr>
      <vt:lpstr>MT</vt:lpstr>
      <vt:lpstr>MTECH_RD</vt:lpstr>
      <vt:lpstr>'Pre- and Production'!Print_Area</vt:lpstr>
      <vt:lpstr>SUMMARY!Print_Area</vt:lpstr>
      <vt:lpstr>'WBS Summary'!Print_Area</vt:lpstr>
      <vt:lpstr>'WBS Summary by Year'!Print_Area</vt:lpstr>
      <vt:lpstr>'Pre- and Production'!Print_Titles</vt:lpstr>
      <vt:lpstr>Shop</vt:lpstr>
      <vt:lpstr>Shop_RD</vt:lpstr>
    </vt:vector>
  </TitlesOfParts>
  <Company>LBNL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Anderssen</dc:creator>
  <dc:description>Shifted Contributed onto Project</dc:description>
  <cp:lastModifiedBy>ECAnderssen_local</cp:lastModifiedBy>
  <cp:lastPrinted>2009-11-05T20:39:30Z</cp:lastPrinted>
  <dcterms:created xsi:type="dcterms:W3CDTF">2000-10-18T16:25:26Z</dcterms:created>
  <dcterms:modified xsi:type="dcterms:W3CDTF">2009-11-05T22:21:10Z</dcterms:modified>
</cp:coreProperties>
</file>