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20" yWindow="15" windowWidth="28575" windowHeight="14490" activeTab="1"/>
  </bookViews>
  <sheets>
    <sheet name="WBS in Estimate" sheetId="18" r:id="rId1"/>
    <sheet name="SUMMARY" sheetId="16" r:id="rId2"/>
    <sheet name="Cost Profile Chart" sheetId="19" r:id="rId3"/>
    <sheet name="Pre- and Production" sheetId="13" r:id="rId4"/>
    <sheet name="Rates" sheetId="15" r:id="rId5"/>
    <sheet name="Material Estimates" sheetId="17" r:id="rId6"/>
  </sheets>
  <definedNames>
    <definedName name="CMM">Rates!$C$5</definedName>
    <definedName name="CMM_RD">Rates!$D$5</definedName>
    <definedName name="DES">Rates!$C$8</definedName>
    <definedName name="DES_RD">Rates!$D$8</definedName>
    <definedName name="ENG">Rates!$C$7</definedName>
    <definedName name="ENG_RD">Rates!$D$7</definedName>
    <definedName name="M_Tech">Rates!$C$6</definedName>
    <definedName name="MT">Rates!$C$6</definedName>
    <definedName name="MTECH_RD">Rates!$D$6</definedName>
    <definedName name="_xlnm.Print_Area" localSheetId="1">SUMMARY!$A$1:$R$61</definedName>
    <definedName name="Shop">Rates!$C$4</definedName>
    <definedName name="Shop_RD">Rates!$D$4</definedName>
  </definedNames>
  <calcPr calcId="125725"/>
  <fileRecoveryPr repairLoad="1"/>
</workbook>
</file>

<file path=xl/calcChain.xml><?xml version="1.0" encoding="utf-8"?>
<calcChain xmlns="http://schemas.openxmlformats.org/spreadsheetml/2006/main">
  <c r="W20" i="16"/>
  <c r="W15"/>
  <c r="W16"/>
  <c r="W17"/>
  <c r="W18"/>
  <c r="W19"/>
  <c r="W14"/>
  <c r="K9" l="1"/>
  <c r="A9"/>
  <c r="K29"/>
  <c r="A29"/>
  <c r="K49"/>
  <c r="A49"/>
  <c r="K18"/>
  <c r="A18"/>
  <c r="A38"/>
  <c r="K38"/>
  <c r="K58"/>
  <c r="A58"/>
  <c r="AB216" i="13"/>
  <c r="AB195"/>
  <c r="AL206"/>
  <c r="AL172"/>
  <c r="AB172"/>
  <c r="AL163"/>
  <c r="AM163"/>
  <c r="L9" i="16" s="1"/>
  <c r="AN163" i="13"/>
  <c r="M9" i="16" s="1"/>
  <c r="AO163" i="13"/>
  <c r="N9" i="16" s="1"/>
  <c r="AP163" i="13"/>
  <c r="O9" i="16" s="1"/>
  <c r="AQ163" i="13"/>
  <c r="P9" i="16" s="1"/>
  <c r="AR163" i="13"/>
  <c r="Q9" i="16" s="1"/>
  <c r="AC163" i="13"/>
  <c r="B9" i="16" s="1"/>
  <c r="AD163" i="13"/>
  <c r="C9" i="16" s="1"/>
  <c r="AE163" i="13"/>
  <c r="D9" i="16" s="1"/>
  <c r="AF163" i="13"/>
  <c r="E9" i="16" s="1"/>
  <c r="AG163" i="13"/>
  <c r="F9" i="16" s="1"/>
  <c r="AH163" i="13"/>
  <c r="G9" i="16" s="1"/>
  <c r="AL215" i="13"/>
  <c r="AB215"/>
  <c r="AL194"/>
  <c r="AB194"/>
  <c r="AL185"/>
  <c r="AR32"/>
  <c r="AQ32"/>
  <c r="AP32"/>
  <c r="AO32"/>
  <c r="AN32"/>
  <c r="AM32"/>
  <c r="AG32"/>
  <c r="AF32"/>
  <c r="AE32"/>
  <c r="AD32"/>
  <c r="AC32"/>
  <c r="V32"/>
  <c r="T32"/>
  <c r="S32"/>
  <c r="M32"/>
  <c r="O32" s="1"/>
  <c r="F32"/>
  <c r="AH32" s="1"/>
  <c r="AR19"/>
  <c r="AQ19"/>
  <c r="AP19"/>
  <c r="AO19"/>
  <c r="AN19"/>
  <c r="AM19"/>
  <c r="AG19"/>
  <c r="AF19"/>
  <c r="AE19"/>
  <c r="AD19"/>
  <c r="AC19"/>
  <c r="V19"/>
  <c r="T19"/>
  <c r="S19"/>
  <c r="M19"/>
  <c r="F19"/>
  <c r="AH19" s="1"/>
  <c r="AR35"/>
  <c r="AQ35"/>
  <c r="AP35"/>
  <c r="AO35"/>
  <c r="AN35"/>
  <c r="AM35"/>
  <c r="AG35"/>
  <c r="AF35"/>
  <c r="AE35"/>
  <c r="AD35"/>
  <c r="AC35"/>
  <c r="V35"/>
  <c r="T35"/>
  <c r="S35"/>
  <c r="M35"/>
  <c r="O35" s="1"/>
  <c r="F35"/>
  <c r="AH35" s="1"/>
  <c r="AR127"/>
  <c r="AQ127"/>
  <c r="AP127"/>
  <c r="AO127"/>
  <c r="AN127"/>
  <c r="AM127"/>
  <c r="AG127"/>
  <c r="AF127"/>
  <c r="AE127"/>
  <c r="AD127"/>
  <c r="AC127"/>
  <c r="V127"/>
  <c r="T127"/>
  <c r="S127"/>
  <c r="M127"/>
  <c r="F127"/>
  <c r="AH127" s="1"/>
  <c r="AR63"/>
  <c r="AQ63"/>
  <c r="AP63"/>
  <c r="AO63"/>
  <c r="AN63"/>
  <c r="AM63"/>
  <c r="AG63"/>
  <c r="AF63"/>
  <c r="AE63"/>
  <c r="AD63"/>
  <c r="AC63"/>
  <c r="V63"/>
  <c r="T63"/>
  <c r="S63"/>
  <c r="M63"/>
  <c r="F63"/>
  <c r="AH63" s="1"/>
  <c r="F64"/>
  <c r="AR64" s="1"/>
  <c r="M64"/>
  <c r="S64"/>
  <c r="T64"/>
  <c r="V64"/>
  <c r="AC64"/>
  <c r="AD64"/>
  <c r="AE64"/>
  <c r="AF64"/>
  <c r="AG64"/>
  <c r="AH64"/>
  <c r="AM64"/>
  <c r="AN64"/>
  <c r="AO64"/>
  <c r="AP64"/>
  <c r="AQ64"/>
  <c r="F53"/>
  <c r="AH53" s="1"/>
  <c r="M53"/>
  <c r="S53"/>
  <c r="T53"/>
  <c r="V53"/>
  <c r="AC53"/>
  <c r="AD53"/>
  <c r="AE53"/>
  <c r="AF53"/>
  <c r="AG53"/>
  <c r="AM53"/>
  <c r="AN53"/>
  <c r="AO53"/>
  <c r="AP53"/>
  <c r="AQ53"/>
  <c r="AR53"/>
  <c r="AR89"/>
  <c r="AQ89"/>
  <c r="AP89"/>
  <c r="AO89"/>
  <c r="AN89"/>
  <c r="AM89"/>
  <c r="F89"/>
  <c r="AH89" s="1"/>
  <c r="AG89"/>
  <c r="AF89"/>
  <c r="AE89"/>
  <c r="AD89"/>
  <c r="AC89"/>
  <c r="V89"/>
  <c r="T89"/>
  <c r="S89"/>
  <c r="AR112"/>
  <c r="AQ112"/>
  <c r="AP112"/>
  <c r="AO112"/>
  <c r="AN112"/>
  <c r="AM112"/>
  <c r="F112"/>
  <c r="AG112"/>
  <c r="AF112"/>
  <c r="AE112"/>
  <c r="AD112"/>
  <c r="AC112"/>
  <c r="V112"/>
  <c r="T112"/>
  <c r="S112"/>
  <c r="M112"/>
  <c r="F146"/>
  <c r="F145"/>
  <c r="AH145" s="1"/>
  <c r="AR142"/>
  <c r="AQ142"/>
  <c r="AP142"/>
  <c r="AO142"/>
  <c r="AN142"/>
  <c r="AM142"/>
  <c r="AG142"/>
  <c r="AF142"/>
  <c r="AE142"/>
  <c r="AD142"/>
  <c r="AC142"/>
  <c r="V142"/>
  <c r="T142"/>
  <c r="S142"/>
  <c r="M142"/>
  <c r="F142"/>
  <c r="AH142" s="1"/>
  <c r="AR62"/>
  <c r="AQ62"/>
  <c r="AP62"/>
  <c r="AO62"/>
  <c r="AN62"/>
  <c r="AM62"/>
  <c r="AG62"/>
  <c r="AF62"/>
  <c r="AE62"/>
  <c r="AD62"/>
  <c r="AC62"/>
  <c r="V62"/>
  <c r="T62"/>
  <c r="S62"/>
  <c r="F62"/>
  <c r="AH62" s="1"/>
  <c r="AQ94"/>
  <c r="AP94"/>
  <c r="AO94"/>
  <c r="AN94"/>
  <c r="AM94"/>
  <c r="AG94"/>
  <c r="AF94"/>
  <c r="AE94"/>
  <c r="AD94"/>
  <c r="AC94"/>
  <c r="V94"/>
  <c r="T94"/>
  <c r="S94"/>
  <c r="M94"/>
  <c r="F94"/>
  <c r="AR94" s="1"/>
  <c r="AH94"/>
  <c r="AR99"/>
  <c r="AQ99"/>
  <c r="AP99"/>
  <c r="AO99"/>
  <c r="AN99"/>
  <c r="AM99"/>
  <c r="AG99"/>
  <c r="AF99"/>
  <c r="AE99"/>
  <c r="AD99"/>
  <c r="AC99"/>
  <c r="V99"/>
  <c r="T99"/>
  <c r="S99"/>
  <c r="M99"/>
  <c r="F99"/>
  <c r="AH99" s="1"/>
  <c r="AR90"/>
  <c r="AQ90"/>
  <c r="AP90"/>
  <c r="AO90"/>
  <c r="AN90"/>
  <c r="AM90"/>
  <c r="F90"/>
  <c r="AH90" s="1"/>
  <c r="AG90"/>
  <c r="AF90"/>
  <c r="AE90"/>
  <c r="AD90"/>
  <c r="AC90"/>
  <c r="V90"/>
  <c r="T90"/>
  <c r="S90"/>
  <c r="AR91"/>
  <c r="AQ91"/>
  <c r="AP91"/>
  <c r="AO91"/>
  <c r="AN91"/>
  <c r="AM91"/>
  <c r="F91"/>
  <c r="AH91" s="1"/>
  <c r="AG91"/>
  <c r="AF91"/>
  <c r="AE91"/>
  <c r="AD91"/>
  <c r="AC91"/>
  <c r="V91"/>
  <c r="T91"/>
  <c r="S91"/>
  <c r="AR92"/>
  <c r="AQ92"/>
  <c r="AP92"/>
  <c r="AO92"/>
  <c r="AN92"/>
  <c r="AM92"/>
  <c r="F92"/>
  <c r="AH92" s="1"/>
  <c r="AG92"/>
  <c r="AF92"/>
  <c r="AE92"/>
  <c r="AD92"/>
  <c r="AC92"/>
  <c r="V92"/>
  <c r="T92"/>
  <c r="S92"/>
  <c r="AR93"/>
  <c r="AQ93"/>
  <c r="AP93"/>
  <c r="AO93"/>
  <c r="AN93"/>
  <c r="AM93"/>
  <c r="F93"/>
  <c r="AH93" s="1"/>
  <c r="AG93"/>
  <c r="AF93"/>
  <c r="AE93"/>
  <c r="AD93"/>
  <c r="AC93"/>
  <c r="V93"/>
  <c r="T93"/>
  <c r="S93"/>
  <c r="AR124"/>
  <c r="AQ124"/>
  <c r="AP124"/>
  <c r="AO124"/>
  <c r="AN124"/>
  <c r="AM124"/>
  <c r="F124"/>
  <c r="AH124" s="1"/>
  <c r="AG124"/>
  <c r="AF124"/>
  <c r="AE124"/>
  <c r="AD124"/>
  <c r="AC124"/>
  <c r="V124"/>
  <c r="T124"/>
  <c r="S124"/>
  <c r="AR123"/>
  <c r="AQ123"/>
  <c r="AP123"/>
  <c r="AO123"/>
  <c r="AN123"/>
  <c r="AM123"/>
  <c r="F123"/>
  <c r="AH123" s="1"/>
  <c r="AG123"/>
  <c r="AF123"/>
  <c r="AE123"/>
  <c r="AD123"/>
  <c r="AC123"/>
  <c r="V123"/>
  <c r="T123"/>
  <c r="S123"/>
  <c r="AR84"/>
  <c r="AQ84"/>
  <c r="AP84"/>
  <c r="AO84"/>
  <c r="AN84"/>
  <c r="AM84"/>
  <c r="F84"/>
  <c r="AH84" s="1"/>
  <c r="AG84"/>
  <c r="AF84"/>
  <c r="AE84"/>
  <c r="AD84"/>
  <c r="AC84"/>
  <c r="V84"/>
  <c r="T84"/>
  <c r="S84"/>
  <c r="AR85"/>
  <c r="AQ85"/>
  <c r="AP85"/>
  <c r="AO85"/>
  <c r="AN85"/>
  <c r="AM85"/>
  <c r="F85"/>
  <c r="AH85" s="1"/>
  <c r="AG85"/>
  <c r="AF85"/>
  <c r="AE85"/>
  <c r="AD85"/>
  <c r="AC85"/>
  <c r="V85"/>
  <c r="T85"/>
  <c r="S85"/>
  <c r="AR132"/>
  <c r="AQ132"/>
  <c r="AP132"/>
  <c r="AO132"/>
  <c r="AN132"/>
  <c r="AM132"/>
  <c r="F132"/>
  <c r="AH132" s="1"/>
  <c r="AG132"/>
  <c r="AF132"/>
  <c r="AE132"/>
  <c r="AD132"/>
  <c r="AC132"/>
  <c r="V132"/>
  <c r="T132"/>
  <c r="S132"/>
  <c r="AR133"/>
  <c r="AQ133"/>
  <c r="AP133"/>
  <c r="AO133"/>
  <c r="AN133"/>
  <c r="AM133"/>
  <c r="F133"/>
  <c r="AH133" s="1"/>
  <c r="AG133"/>
  <c r="AF133"/>
  <c r="AE133"/>
  <c r="AD133"/>
  <c r="AC133"/>
  <c r="V133"/>
  <c r="T133"/>
  <c r="S133"/>
  <c r="S50"/>
  <c r="S51"/>
  <c r="S52"/>
  <c r="S54"/>
  <c r="S40"/>
  <c r="S41"/>
  <c r="S42"/>
  <c r="S43"/>
  <c r="S44"/>
  <c r="S106"/>
  <c r="S109"/>
  <c r="S108"/>
  <c r="S107"/>
  <c r="S134"/>
  <c r="S135"/>
  <c r="F135"/>
  <c r="AR135" s="1"/>
  <c r="S137"/>
  <c r="S138"/>
  <c r="S139"/>
  <c r="S79"/>
  <c r="S78"/>
  <c r="S86"/>
  <c r="S83"/>
  <c r="S82"/>
  <c r="S98"/>
  <c r="S97"/>
  <c r="S96"/>
  <c r="S146"/>
  <c r="S145"/>
  <c r="S144"/>
  <c r="S143"/>
  <c r="S141"/>
  <c r="F54"/>
  <c r="AR54" s="1"/>
  <c r="F73"/>
  <c r="AR73" s="1"/>
  <c r="AQ54"/>
  <c r="AQ73"/>
  <c r="AQ135"/>
  <c r="AO135"/>
  <c r="AN54"/>
  <c r="AN73"/>
  <c r="AN135"/>
  <c r="AM135"/>
  <c r="F51"/>
  <c r="AH51" s="1"/>
  <c r="F71"/>
  <c r="AH71" s="1"/>
  <c r="AG50"/>
  <c r="AG51"/>
  <c r="AG52"/>
  <c r="AG72"/>
  <c r="AG71"/>
  <c r="AG135"/>
  <c r="AF50"/>
  <c r="AF52"/>
  <c r="AF72"/>
  <c r="AF135"/>
  <c r="AE52"/>
  <c r="AE72"/>
  <c r="AE135"/>
  <c r="AD52"/>
  <c r="AD72"/>
  <c r="AC52"/>
  <c r="AC72"/>
  <c r="AR37"/>
  <c r="AQ37"/>
  <c r="AP37"/>
  <c r="AO37"/>
  <c r="AN37"/>
  <c r="AM37"/>
  <c r="F37"/>
  <c r="AH37" s="1"/>
  <c r="AG37"/>
  <c r="AF37"/>
  <c r="AE37"/>
  <c r="AD37"/>
  <c r="AC37"/>
  <c r="V37"/>
  <c r="T37"/>
  <c r="S37"/>
  <c r="AR36"/>
  <c r="AQ36"/>
  <c r="AP36"/>
  <c r="AO36"/>
  <c r="AN36"/>
  <c r="AM36"/>
  <c r="F36"/>
  <c r="AH36" s="1"/>
  <c r="AG36"/>
  <c r="AF36"/>
  <c r="AE36"/>
  <c r="AD36"/>
  <c r="AC36"/>
  <c r="V36"/>
  <c r="T36"/>
  <c r="S36"/>
  <c r="AR34"/>
  <c r="AQ34"/>
  <c r="AP34"/>
  <c r="AO34"/>
  <c r="AN34"/>
  <c r="AM34"/>
  <c r="F34"/>
  <c r="AH34" s="1"/>
  <c r="AG34"/>
  <c r="AF34"/>
  <c r="AE34"/>
  <c r="AD34"/>
  <c r="AC34"/>
  <c r="V34"/>
  <c r="T34"/>
  <c r="S34"/>
  <c r="F10"/>
  <c r="AR10" s="1"/>
  <c r="AQ10"/>
  <c r="AP10"/>
  <c r="AO10"/>
  <c r="AN10"/>
  <c r="AM10"/>
  <c r="AH10"/>
  <c r="AG10"/>
  <c r="AF10"/>
  <c r="AE10"/>
  <c r="AD10"/>
  <c r="AC10"/>
  <c r="V10"/>
  <c r="T10"/>
  <c r="S10"/>
  <c r="M10"/>
  <c r="AR9"/>
  <c r="AQ9"/>
  <c r="AP9"/>
  <c r="AO9"/>
  <c r="AN9"/>
  <c r="AM9"/>
  <c r="F9"/>
  <c r="AH9" s="1"/>
  <c r="AG9"/>
  <c r="AF9"/>
  <c r="AE9"/>
  <c r="AD9"/>
  <c r="AC9"/>
  <c r="V9"/>
  <c r="T9"/>
  <c r="S9"/>
  <c r="M9"/>
  <c r="AR17"/>
  <c r="AQ17"/>
  <c r="AP17"/>
  <c r="AO17"/>
  <c r="AN17"/>
  <c r="AM17"/>
  <c r="F17"/>
  <c r="AH17" s="1"/>
  <c r="AG17"/>
  <c r="AF17"/>
  <c r="AE17"/>
  <c r="AD17"/>
  <c r="AC17"/>
  <c r="V17"/>
  <c r="T17"/>
  <c r="S17"/>
  <c r="C8" i="15"/>
  <c r="C5"/>
  <c r="AR42" i="13"/>
  <c r="AQ42"/>
  <c r="AP42"/>
  <c r="AO42"/>
  <c r="AN42"/>
  <c r="AM42"/>
  <c r="F42"/>
  <c r="AH42" s="1"/>
  <c r="AG42"/>
  <c r="AF42"/>
  <c r="AE42"/>
  <c r="AD42"/>
  <c r="AC42"/>
  <c r="V42"/>
  <c r="T42"/>
  <c r="M42"/>
  <c r="O42" s="1"/>
  <c r="AR41"/>
  <c r="AQ41"/>
  <c r="AP41"/>
  <c r="AO41"/>
  <c r="AN41"/>
  <c r="AM41"/>
  <c r="F41"/>
  <c r="AH41" s="1"/>
  <c r="AG41"/>
  <c r="AF41"/>
  <c r="AE41"/>
  <c r="AD41"/>
  <c r="AC41"/>
  <c r="V41"/>
  <c r="T41"/>
  <c r="M41"/>
  <c r="O41" s="1"/>
  <c r="AR43"/>
  <c r="AQ43"/>
  <c r="AP43"/>
  <c r="AO43"/>
  <c r="AN43"/>
  <c r="AM43"/>
  <c r="F43"/>
  <c r="AH43" s="1"/>
  <c r="AG43"/>
  <c r="AF43"/>
  <c r="AE43"/>
  <c r="AD43"/>
  <c r="AC43"/>
  <c r="V43"/>
  <c r="T43"/>
  <c r="AR44"/>
  <c r="AQ44"/>
  <c r="AP44"/>
  <c r="AO44"/>
  <c r="AN44"/>
  <c r="AM44"/>
  <c r="F44"/>
  <c r="AH44" s="1"/>
  <c r="AG44"/>
  <c r="AF44"/>
  <c r="AE44"/>
  <c r="AD44"/>
  <c r="AC44"/>
  <c r="V44"/>
  <c r="T44"/>
  <c r="AR31"/>
  <c r="AQ31"/>
  <c r="AP31"/>
  <c r="AO31"/>
  <c r="AN31"/>
  <c r="AM31"/>
  <c r="F31"/>
  <c r="AH31" s="1"/>
  <c r="AG31"/>
  <c r="AF31"/>
  <c r="AE31"/>
  <c r="AD31"/>
  <c r="AC31"/>
  <c r="V31"/>
  <c r="T31"/>
  <c r="S31"/>
  <c r="M40"/>
  <c r="M26"/>
  <c r="M27"/>
  <c r="M28"/>
  <c r="M29"/>
  <c r="AR33"/>
  <c r="AQ33"/>
  <c r="AP33"/>
  <c r="AO33"/>
  <c r="AN33"/>
  <c r="AM33"/>
  <c r="F33"/>
  <c r="AH33" s="1"/>
  <c r="AG33"/>
  <c r="AF33"/>
  <c r="AE33"/>
  <c r="AD33"/>
  <c r="AC33"/>
  <c r="V33"/>
  <c r="T33"/>
  <c r="S33"/>
  <c r="AR30"/>
  <c r="AQ30"/>
  <c r="AP30"/>
  <c r="AO30"/>
  <c r="AN30"/>
  <c r="AM30"/>
  <c r="F30"/>
  <c r="AH30" s="1"/>
  <c r="AG30"/>
  <c r="AF30"/>
  <c r="AE30"/>
  <c r="AD30"/>
  <c r="AC30"/>
  <c r="V30"/>
  <c r="T30"/>
  <c r="S30"/>
  <c r="AR20"/>
  <c r="AQ20"/>
  <c r="AP20"/>
  <c r="AO20"/>
  <c r="AN20"/>
  <c r="AM20"/>
  <c r="F20"/>
  <c r="AH20" s="1"/>
  <c r="AG20"/>
  <c r="AF20"/>
  <c r="AE20"/>
  <c r="AD20"/>
  <c r="AC20"/>
  <c r="V20"/>
  <c r="T20"/>
  <c r="S20"/>
  <c r="AR21"/>
  <c r="AQ21"/>
  <c r="AP21"/>
  <c r="AO21"/>
  <c r="AN21"/>
  <c r="AM21"/>
  <c r="F21"/>
  <c r="AH21" s="1"/>
  <c r="AG21"/>
  <c r="AF21"/>
  <c r="AE21"/>
  <c r="AD21"/>
  <c r="AC21"/>
  <c r="V21"/>
  <c r="T21"/>
  <c r="S21"/>
  <c r="M106"/>
  <c r="M107"/>
  <c r="M108"/>
  <c r="M6"/>
  <c r="M7"/>
  <c r="M8"/>
  <c r="M11"/>
  <c r="M12"/>
  <c r="AR61"/>
  <c r="AQ61"/>
  <c r="AP61"/>
  <c r="AO61"/>
  <c r="AN61"/>
  <c r="AM61"/>
  <c r="F61"/>
  <c r="AH61" s="1"/>
  <c r="AG61"/>
  <c r="AF61"/>
  <c r="AE61"/>
  <c r="AD61"/>
  <c r="AC61"/>
  <c r="V61"/>
  <c r="T61"/>
  <c r="S61"/>
  <c r="AR60"/>
  <c r="AQ60"/>
  <c r="AP60"/>
  <c r="AO60"/>
  <c r="AN60"/>
  <c r="AM60"/>
  <c r="F60"/>
  <c r="AH60" s="1"/>
  <c r="AG60"/>
  <c r="AF60"/>
  <c r="AE60"/>
  <c r="AD60"/>
  <c r="AC60"/>
  <c r="V60"/>
  <c r="T60"/>
  <c r="S60"/>
  <c r="AR59"/>
  <c r="AQ59"/>
  <c r="AP59"/>
  <c r="AO59"/>
  <c r="AN59"/>
  <c r="AM59"/>
  <c r="F59"/>
  <c r="AH59" s="1"/>
  <c r="AG59"/>
  <c r="AF59"/>
  <c r="AE59"/>
  <c r="AD59"/>
  <c r="AC59"/>
  <c r="V59"/>
  <c r="T59"/>
  <c r="S59"/>
  <c r="AR58"/>
  <c r="AQ58"/>
  <c r="AP58"/>
  <c r="AO58"/>
  <c r="AN58"/>
  <c r="AM58"/>
  <c r="F58"/>
  <c r="AH58" s="1"/>
  <c r="AG58"/>
  <c r="AF58"/>
  <c r="AE58"/>
  <c r="AD58"/>
  <c r="AC58"/>
  <c r="V58"/>
  <c r="T58"/>
  <c r="S58"/>
  <c r="AQ69"/>
  <c r="AP69"/>
  <c r="AO69"/>
  <c r="AN69"/>
  <c r="AM69"/>
  <c r="F69"/>
  <c r="AR69" s="1"/>
  <c r="AH69"/>
  <c r="AG69"/>
  <c r="AF69"/>
  <c r="AE69"/>
  <c r="AD69"/>
  <c r="AC69"/>
  <c r="V69"/>
  <c r="T69"/>
  <c r="S69"/>
  <c r="AR68"/>
  <c r="AQ68"/>
  <c r="AP68"/>
  <c r="AO68"/>
  <c r="AN68"/>
  <c r="AM68"/>
  <c r="F68"/>
  <c r="AH68" s="1"/>
  <c r="AG68"/>
  <c r="AF68"/>
  <c r="AE68"/>
  <c r="AD68"/>
  <c r="AC68"/>
  <c r="V68"/>
  <c r="T68"/>
  <c r="S68"/>
  <c r="AR67"/>
  <c r="AQ67"/>
  <c r="AP67"/>
  <c r="AO67"/>
  <c r="AN67"/>
  <c r="AM67"/>
  <c r="F67"/>
  <c r="AH67" s="1"/>
  <c r="AG67"/>
  <c r="AF67"/>
  <c r="AE67"/>
  <c r="AD67"/>
  <c r="AC67"/>
  <c r="V67"/>
  <c r="T67"/>
  <c r="S67"/>
  <c r="AR66"/>
  <c r="AQ66"/>
  <c r="AP66"/>
  <c r="AO66"/>
  <c r="AN66"/>
  <c r="AM66"/>
  <c r="F66"/>
  <c r="AH66" s="1"/>
  <c r="AG66"/>
  <c r="AF66"/>
  <c r="AE66"/>
  <c r="AD66"/>
  <c r="AC66"/>
  <c r="V66"/>
  <c r="T66"/>
  <c r="S66"/>
  <c r="AQ48"/>
  <c r="AP48"/>
  <c r="AO48"/>
  <c r="AN48"/>
  <c r="AM48"/>
  <c r="F48"/>
  <c r="AR48" s="1"/>
  <c r="AH48"/>
  <c r="AG48"/>
  <c r="AF48"/>
  <c r="AE48"/>
  <c r="AD48"/>
  <c r="AC48"/>
  <c r="V48"/>
  <c r="T48"/>
  <c r="S48"/>
  <c r="AR47"/>
  <c r="AQ47"/>
  <c r="AP47"/>
  <c r="AO47"/>
  <c r="AN47"/>
  <c r="AM47"/>
  <c r="F47"/>
  <c r="AH47" s="1"/>
  <c r="AG47"/>
  <c r="AF47"/>
  <c r="AE47"/>
  <c r="AD47"/>
  <c r="AC47"/>
  <c r="V47"/>
  <c r="T47"/>
  <c r="S47"/>
  <c r="AR46"/>
  <c r="AQ46"/>
  <c r="AP46"/>
  <c r="AO46"/>
  <c r="AN46"/>
  <c r="AM46"/>
  <c r="F46"/>
  <c r="AH46" s="1"/>
  <c r="AG46"/>
  <c r="AF46"/>
  <c r="AE46"/>
  <c r="AD46"/>
  <c r="AC46"/>
  <c r="V46"/>
  <c r="T46"/>
  <c r="S46"/>
  <c r="AR45"/>
  <c r="AQ45"/>
  <c r="AP45"/>
  <c r="AO45"/>
  <c r="AN45"/>
  <c r="AM45"/>
  <c r="F45"/>
  <c r="AH45" s="1"/>
  <c r="AG45"/>
  <c r="AF45"/>
  <c r="AE45"/>
  <c r="AD45"/>
  <c r="AC45"/>
  <c r="V45"/>
  <c r="T45"/>
  <c r="S45"/>
  <c r="AR40"/>
  <c r="AQ40"/>
  <c r="AP40"/>
  <c r="AO40"/>
  <c r="AN40"/>
  <c r="AM40"/>
  <c r="F40"/>
  <c r="AH40" s="1"/>
  <c r="AG40"/>
  <c r="AF40"/>
  <c r="AE40"/>
  <c r="AD40"/>
  <c r="AC40"/>
  <c r="V40"/>
  <c r="T40"/>
  <c r="AP54"/>
  <c r="AO54"/>
  <c r="AM54"/>
  <c r="AH54"/>
  <c r="AG54"/>
  <c r="AF54"/>
  <c r="AE54"/>
  <c r="AD54"/>
  <c r="AC54"/>
  <c r="V54"/>
  <c r="T54"/>
  <c r="AR52"/>
  <c r="AQ52"/>
  <c r="AP52"/>
  <c r="AO52"/>
  <c r="AN52"/>
  <c r="AM52"/>
  <c r="F52"/>
  <c r="AH52" s="1"/>
  <c r="V52"/>
  <c r="T52"/>
  <c r="AR51"/>
  <c r="AQ51"/>
  <c r="AP51"/>
  <c r="AO51"/>
  <c r="AN51"/>
  <c r="AM51"/>
  <c r="AF51"/>
  <c r="AE51"/>
  <c r="AD51"/>
  <c r="AC51"/>
  <c r="V51"/>
  <c r="T51"/>
  <c r="AR50"/>
  <c r="AQ50"/>
  <c r="AP50"/>
  <c r="AO50"/>
  <c r="AN50"/>
  <c r="AM50"/>
  <c r="F50"/>
  <c r="AH50" s="1"/>
  <c r="AE50"/>
  <c r="AD50"/>
  <c r="AC50"/>
  <c r="V50"/>
  <c r="T50"/>
  <c r="F72"/>
  <c r="AH72" s="1"/>
  <c r="AH73"/>
  <c r="F6"/>
  <c r="AH6" s="1"/>
  <c r="F7"/>
  <c r="AH7" s="1"/>
  <c r="F8"/>
  <c r="F11"/>
  <c r="AH11" s="1"/>
  <c r="F12"/>
  <c r="AH12"/>
  <c r="F14"/>
  <c r="AH14" s="1"/>
  <c r="F15"/>
  <c r="AR15" s="1"/>
  <c r="AH15"/>
  <c r="F16"/>
  <c r="AH16" s="1"/>
  <c r="F18"/>
  <c r="AR18" s="1"/>
  <c r="AH18"/>
  <c r="F22"/>
  <c r="AR22" s="1"/>
  <c r="AH22"/>
  <c r="F26"/>
  <c r="AH26" s="1"/>
  <c r="F27"/>
  <c r="AH27" s="1"/>
  <c r="F28"/>
  <c r="AH28" s="1"/>
  <c r="F29"/>
  <c r="AH29" s="1"/>
  <c r="F38"/>
  <c r="AH38"/>
  <c r="S26"/>
  <c r="T26"/>
  <c r="V26"/>
  <c r="AC26"/>
  <c r="AD26"/>
  <c r="AE26"/>
  <c r="AF26"/>
  <c r="AG26"/>
  <c r="AM26"/>
  <c r="AN26"/>
  <c r="AO26"/>
  <c r="AP26"/>
  <c r="AQ26"/>
  <c r="AR26"/>
  <c r="V146"/>
  <c r="V145"/>
  <c r="V144"/>
  <c r="V143"/>
  <c r="V141"/>
  <c r="V139"/>
  <c r="V138"/>
  <c r="V137"/>
  <c r="V135"/>
  <c r="V134"/>
  <c r="V130"/>
  <c r="V129"/>
  <c r="V128"/>
  <c r="V126"/>
  <c r="V125"/>
  <c r="V121"/>
  <c r="V120"/>
  <c r="V119"/>
  <c r="V118"/>
  <c r="V117"/>
  <c r="V116"/>
  <c r="V114"/>
  <c r="V113"/>
  <c r="V111"/>
  <c r="V109"/>
  <c r="V108"/>
  <c r="V107"/>
  <c r="V106"/>
  <c r="V100"/>
  <c r="V98"/>
  <c r="V97"/>
  <c r="V96"/>
  <c r="V87"/>
  <c r="V86"/>
  <c r="V83"/>
  <c r="V82"/>
  <c r="V80"/>
  <c r="V79"/>
  <c r="V78"/>
  <c r="V73"/>
  <c r="V72"/>
  <c r="V71"/>
  <c r="V38"/>
  <c r="V29"/>
  <c r="V28"/>
  <c r="V27"/>
  <c r="V22"/>
  <c r="V18"/>
  <c r="V16"/>
  <c r="V15"/>
  <c r="V14"/>
  <c r="V12"/>
  <c r="V11"/>
  <c r="V8"/>
  <c r="V7"/>
  <c r="V6"/>
  <c r="T29" i="17"/>
  <c r="S29"/>
  <c r="R29"/>
  <c r="L29"/>
  <c r="N29" s="1"/>
  <c r="T28"/>
  <c r="S28"/>
  <c r="R28"/>
  <c r="L28"/>
  <c r="N28"/>
  <c r="T26"/>
  <c r="S26"/>
  <c r="R26"/>
  <c r="L26"/>
  <c r="N26" s="1"/>
  <c r="T23"/>
  <c r="S23"/>
  <c r="R23"/>
  <c r="L23"/>
  <c r="N23"/>
  <c r="T22"/>
  <c r="S22"/>
  <c r="R22"/>
  <c r="L22"/>
  <c r="N22" s="1"/>
  <c r="T18"/>
  <c r="S18"/>
  <c r="R18"/>
  <c r="L18"/>
  <c r="N18"/>
  <c r="T19"/>
  <c r="S19"/>
  <c r="R19"/>
  <c r="L19"/>
  <c r="N19" s="1"/>
  <c r="AR146" i="13"/>
  <c r="AQ146"/>
  <c r="AP146"/>
  <c r="AO146"/>
  <c r="AN146"/>
  <c r="AM146"/>
  <c r="AH146"/>
  <c r="AG146"/>
  <c r="AF146"/>
  <c r="AE146"/>
  <c r="AD146"/>
  <c r="AC146"/>
  <c r="T146"/>
  <c r="M146"/>
  <c r="O146" s="1"/>
  <c r="AR144"/>
  <c r="AQ144"/>
  <c r="AP144"/>
  <c r="AO144"/>
  <c r="AN144"/>
  <c r="AM144"/>
  <c r="AG144"/>
  <c r="AF144"/>
  <c r="AE144"/>
  <c r="AD144"/>
  <c r="AC144"/>
  <c r="T144"/>
  <c r="M144"/>
  <c r="F144"/>
  <c r="AH144" s="1"/>
  <c r="AR143"/>
  <c r="AQ143"/>
  <c r="AP143"/>
  <c r="AO143"/>
  <c r="AN143"/>
  <c r="AM143"/>
  <c r="AG143"/>
  <c r="AF143"/>
  <c r="AE143"/>
  <c r="AD143"/>
  <c r="AC143"/>
  <c r="T143"/>
  <c r="M143"/>
  <c r="F143"/>
  <c r="AH143" s="1"/>
  <c r="AR141"/>
  <c r="AQ141"/>
  <c r="AP141"/>
  <c r="AO141"/>
  <c r="AN141"/>
  <c r="AM141"/>
  <c r="AG141"/>
  <c r="AF141"/>
  <c r="AE141"/>
  <c r="AD141"/>
  <c r="AC141"/>
  <c r="T141"/>
  <c r="M141"/>
  <c r="F141"/>
  <c r="AH141" s="1"/>
  <c r="AQ139"/>
  <c r="AP139"/>
  <c r="AO139"/>
  <c r="AN139"/>
  <c r="AM139"/>
  <c r="AG139"/>
  <c r="AF139"/>
  <c r="AE139"/>
  <c r="AD139"/>
  <c r="AC139"/>
  <c r="T139"/>
  <c r="F139"/>
  <c r="AH139"/>
  <c r="AR138"/>
  <c r="AQ138"/>
  <c r="AP138"/>
  <c r="AO138"/>
  <c r="AN138"/>
  <c r="AM138"/>
  <c r="AG138"/>
  <c r="AF138"/>
  <c r="AE138"/>
  <c r="AD138"/>
  <c r="AC138"/>
  <c r="T138"/>
  <c r="F138"/>
  <c r="AH138" s="1"/>
  <c r="AR137"/>
  <c r="AQ137"/>
  <c r="AP137"/>
  <c r="AO137"/>
  <c r="AN137"/>
  <c r="AM137"/>
  <c r="AG137"/>
  <c r="AF137"/>
  <c r="AE137"/>
  <c r="AD137"/>
  <c r="AC137"/>
  <c r="T137"/>
  <c r="F137"/>
  <c r="AH137" s="1"/>
  <c r="AP135"/>
  <c r="AD135"/>
  <c r="AC135"/>
  <c r="T135"/>
  <c r="AH135"/>
  <c r="AQ134"/>
  <c r="AP134"/>
  <c r="AO134"/>
  <c r="AN134"/>
  <c r="AM134"/>
  <c r="AG134"/>
  <c r="AF134"/>
  <c r="AE134"/>
  <c r="AD134"/>
  <c r="AC134"/>
  <c r="T134"/>
  <c r="F134"/>
  <c r="AH134" s="1"/>
  <c r="AQ130"/>
  <c r="AP130"/>
  <c r="AO130"/>
  <c r="AN130"/>
  <c r="AM130"/>
  <c r="AH130"/>
  <c r="AG130"/>
  <c r="AF130"/>
  <c r="AE130"/>
  <c r="AD130"/>
  <c r="AC130"/>
  <c r="T130"/>
  <c r="S130"/>
  <c r="F130"/>
  <c r="AR130" s="1"/>
  <c r="AR129"/>
  <c r="AQ129"/>
  <c r="AP129"/>
  <c r="AO129"/>
  <c r="AN129"/>
  <c r="AM129"/>
  <c r="AG129"/>
  <c r="AF129"/>
  <c r="AE129"/>
  <c r="AD129"/>
  <c r="AC129"/>
  <c r="T129"/>
  <c r="S129"/>
  <c r="F129"/>
  <c r="AH129" s="1"/>
  <c r="AQ128"/>
  <c r="AP128"/>
  <c r="AO128"/>
  <c r="AN128"/>
  <c r="AM128"/>
  <c r="F128"/>
  <c r="AH128" s="1"/>
  <c r="AG128"/>
  <c r="AF128"/>
  <c r="AE128"/>
  <c r="AD128"/>
  <c r="AC128"/>
  <c r="T128"/>
  <c r="S128"/>
  <c r="AR128"/>
  <c r="AR126"/>
  <c r="AQ126"/>
  <c r="AP126"/>
  <c r="AO126"/>
  <c r="AN126"/>
  <c r="AM126"/>
  <c r="AG126"/>
  <c r="AF126"/>
  <c r="AE126"/>
  <c r="AD126"/>
  <c r="AC126"/>
  <c r="T126"/>
  <c r="S126"/>
  <c r="F126"/>
  <c r="AH126" s="1"/>
  <c r="AR125"/>
  <c r="AQ125"/>
  <c r="AP125"/>
  <c r="AO125"/>
  <c r="AN125"/>
  <c r="AM125"/>
  <c r="AG125"/>
  <c r="AF125"/>
  <c r="AE125"/>
  <c r="AD125"/>
  <c r="AC125"/>
  <c r="T125"/>
  <c r="S125"/>
  <c r="F125"/>
  <c r="AH125" s="1"/>
  <c r="AQ120"/>
  <c r="AP120"/>
  <c r="AO120"/>
  <c r="AN120"/>
  <c r="AM120"/>
  <c r="AH120"/>
  <c r="AG120"/>
  <c r="AF120"/>
  <c r="AE120"/>
  <c r="AD120"/>
  <c r="AC120"/>
  <c r="T120"/>
  <c r="S120"/>
  <c r="F120"/>
  <c r="AR120" s="1"/>
  <c r="AQ121"/>
  <c r="AP121"/>
  <c r="AO121"/>
  <c r="AN121"/>
  <c r="AM121"/>
  <c r="AG121"/>
  <c r="AF121"/>
  <c r="AE121"/>
  <c r="AD121"/>
  <c r="AC121"/>
  <c r="T121"/>
  <c r="S121"/>
  <c r="F121"/>
  <c r="AR121" s="1"/>
  <c r="AH121"/>
  <c r="AR119"/>
  <c r="AQ119"/>
  <c r="AP119"/>
  <c r="AO119"/>
  <c r="AN119"/>
  <c r="AM119"/>
  <c r="AG119"/>
  <c r="AF119"/>
  <c r="AE119"/>
  <c r="AD119"/>
  <c r="AC119"/>
  <c r="T119"/>
  <c r="S119"/>
  <c r="F119"/>
  <c r="AH119" s="1"/>
  <c r="AR118"/>
  <c r="AQ118"/>
  <c r="AP118"/>
  <c r="AO118"/>
  <c r="AN118"/>
  <c r="AM118"/>
  <c r="AG118"/>
  <c r="AF118"/>
  <c r="AE118"/>
  <c r="AD118"/>
  <c r="AC118"/>
  <c r="T118"/>
  <c r="S118"/>
  <c r="F118"/>
  <c r="AR114"/>
  <c r="AQ114"/>
  <c r="AP114"/>
  <c r="AO114"/>
  <c r="AN114"/>
  <c r="AM114"/>
  <c r="AG114"/>
  <c r="AF114"/>
  <c r="AE114"/>
  <c r="AD114"/>
  <c r="AC114"/>
  <c r="T114"/>
  <c r="S114"/>
  <c r="M114"/>
  <c r="F114"/>
  <c r="AH114" s="1"/>
  <c r="AR113"/>
  <c r="AQ113"/>
  <c r="AP113"/>
  <c r="AO113"/>
  <c r="AN113"/>
  <c r="AM113"/>
  <c r="AG113"/>
  <c r="AF113"/>
  <c r="AE113"/>
  <c r="AD113"/>
  <c r="AC113"/>
  <c r="T113"/>
  <c r="S113"/>
  <c r="M113"/>
  <c r="F113"/>
  <c r="AH113" s="1"/>
  <c r="AQ100"/>
  <c r="AP100"/>
  <c r="AO100"/>
  <c r="AN100"/>
  <c r="AM100"/>
  <c r="AG100"/>
  <c r="AF100"/>
  <c r="AE100"/>
  <c r="AD100"/>
  <c r="AC100"/>
  <c r="T100"/>
  <c r="S100"/>
  <c r="M100"/>
  <c r="F100"/>
  <c r="AR100" s="1"/>
  <c r="AR98"/>
  <c r="AQ98"/>
  <c r="AP98"/>
  <c r="AO98"/>
  <c r="AN98"/>
  <c r="AM98"/>
  <c r="AG98"/>
  <c r="AF98"/>
  <c r="AE98"/>
  <c r="AD98"/>
  <c r="AC98"/>
  <c r="T98"/>
  <c r="M98"/>
  <c r="F98"/>
  <c r="AH98" s="1"/>
  <c r="AR86"/>
  <c r="AQ86"/>
  <c r="AP86"/>
  <c r="AO86"/>
  <c r="AN86"/>
  <c r="AM86"/>
  <c r="AG86"/>
  <c r="AF86"/>
  <c r="AE86"/>
  <c r="AD86"/>
  <c r="AC86"/>
  <c r="T86"/>
  <c r="F86"/>
  <c r="AH86" s="1"/>
  <c r="AR83"/>
  <c r="AQ83"/>
  <c r="AP83"/>
  <c r="AO83"/>
  <c r="AN83"/>
  <c r="AM83"/>
  <c r="AG83"/>
  <c r="AF83"/>
  <c r="AE83"/>
  <c r="AD83"/>
  <c r="AC83"/>
  <c r="T83"/>
  <c r="M83"/>
  <c r="F83"/>
  <c r="AH83" s="1"/>
  <c r="AR82"/>
  <c r="AQ82"/>
  <c r="AP82"/>
  <c r="AO82"/>
  <c r="AN82"/>
  <c r="AM82"/>
  <c r="AG82"/>
  <c r="AF82"/>
  <c r="AE82"/>
  <c r="AD82"/>
  <c r="AC82"/>
  <c r="T82"/>
  <c r="M82"/>
  <c r="F82"/>
  <c r="AH82" s="1"/>
  <c r="AQ87"/>
  <c r="AP87"/>
  <c r="AO87"/>
  <c r="AN87"/>
  <c r="AM87"/>
  <c r="AG87"/>
  <c r="AF87"/>
  <c r="AE87"/>
  <c r="AD87"/>
  <c r="AC87"/>
  <c r="T87"/>
  <c r="S87"/>
  <c r="F87"/>
  <c r="AR87" s="1"/>
  <c r="AH87"/>
  <c r="AQ80"/>
  <c r="AP80"/>
  <c r="AO80"/>
  <c r="AN80"/>
  <c r="AM80"/>
  <c r="AG80"/>
  <c r="AF80"/>
  <c r="AE80"/>
  <c r="AD80"/>
  <c r="AC80"/>
  <c r="T80"/>
  <c r="S80"/>
  <c r="M80"/>
  <c r="F80"/>
  <c r="AH80"/>
  <c r="AR79"/>
  <c r="AQ79"/>
  <c r="AP79"/>
  <c r="AO79"/>
  <c r="AN79"/>
  <c r="AM79"/>
  <c r="AG79"/>
  <c r="AF79"/>
  <c r="AE79"/>
  <c r="AD79"/>
  <c r="AC79"/>
  <c r="T79"/>
  <c r="M79"/>
  <c r="F79"/>
  <c r="AH79" s="1"/>
  <c r="AQ22"/>
  <c r="AP22"/>
  <c r="AO22"/>
  <c r="AN22"/>
  <c r="AM22"/>
  <c r="AG22"/>
  <c r="AF22"/>
  <c r="AE22"/>
  <c r="AD22"/>
  <c r="AC22"/>
  <c r="T22"/>
  <c r="S22"/>
  <c r="AQ18"/>
  <c r="AP18"/>
  <c r="AO18"/>
  <c r="AN18"/>
  <c r="AM18"/>
  <c r="AG18"/>
  <c r="AF18"/>
  <c r="AE18"/>
  <c r="AD18"/>
  <c r="AC18"/>
  <c r="T18"/>
  <c r="S18"/>
  <c r="AR16"/>
  <c r="AQ16"/>
  <c r="AP16"/>
  <c r="AO16"/>
  <c r="AN16"/>
  <c r="AM16"/>
  <c r="AG16"/>
  <c r="AF16"/>
  <c r="AE16"/>
  <c r="AD16"/>
  <c r="AC16"/>
  <c r="T16"/>
  <c r="S16"/>
  <c r="AQ15"/>
  <c r="AP15"/>
  <c r="AO15"/>
  <c r="AN15"/>
  <c r="AM15"/>
  <c r="AG15"/>
  <c r="AF15"/>
  <c r="AE15"/>
  <c r="AD15"/>
  <c r="AC15"/>
  <c r="T15"/>
  <c r="S15"/>
  <c r="AR14"/>
  <c r="AQ14"/>
  <c r="AP14"/>
  <c r="AO14"/>
  <c r="AN14"/>
  <c r="AM14"/>
  <c r="AG14"/>
  <c r="AF14"/>
  <c r="AE14"/>
  <c r="AD14"/>
  <c r="AC14"/>
  <c r="T14"/>
  <c r="S14"/>
  <c r="AP73"/>
  <c r="AO73"/>
  <c r="AM73"/>
  <c r="AG73"/>
  <c r="AF73"/>
  <c r="AE73"/>
  <c r="AD73"/>
  <c r="AC73"/>
  <c r="T73"/>
  <c r="S73"/>
  <c r="AR72"/>
  <c r="AQ72"/>
  <c r="AP72"/>
  <c r="AO72"/>
  <c r="AN72"/>
  <c r="AM72"/>
  <c r="T72"/>
  <c r="S72"/>
  <c r="AR71"/>
  <c r="AQ71"/>
  <c r="AP71"/>
  <c r="AO71"/>
  <c r="AN71"/>
  <c r="AM71"/>
  <c r="AF71"/>
  <c r="AE71"/>
  <c r="AD71"/>
  <c r="AC71"/>
  <c r="T71"/>
  <c r="S71"/>
  <c r="AR27"/>
  <c r="AQ27"/>
  <c r="AP27"/>
  <c r="AO27"/>
  <c r="AN27"/>
  <c r="AM27"/>
  <c r="AG27"/>
  <c r="AF27"/>
  <c r="AE27"/>
  <c r="AD27"/>
  <c r="AC27"/>
  <c r="T27"/>
  <c r="S27"/>
  <c r="AQ8"/>
  <c r="AP8"/>
  <c r="AO8"/>
  <c r="AN8"/>
  <c r="AM8"/>
  <c r="AG8"/>
  <c r="AF8"/>
  <c r="AE8"/>
  <c r="AD8"/>
  <c r="AC8"/>
  <c r="T8"/>
  <c r="S8"/>
  <c r="AR7"/>
  <c r="AQ7"/>
  <c r="AP7"/>
  <c r="AO7"/>
  <c r="AN7"/>
  <c r="AM7"/>
  <c r="AG7"/>
  <c r="AF7"/>
  <c r="AE7"/>
  <c r="AD7"/>
  <c r="AC7"/>
  <c r="T7"/>
  <c r="S7"/>
  <c r="M145"/>
  <c r="M111"/>
  <c r="M109"/>
  <c r="M97"/>
  <c r="M96"/>
  <c r="M78"/>
  <c r="C6" i="15"/>
  <c r="C7"/>
  <c r="M133" i="13" s="1"/>
  <c r="C4" i="15"/>
  <c r="T145" i="13"/>
  <c r="T117"/>
  <c r="T116"/>
  <c r="T111"/>
  <c r="T109"/>
  <c r="T108"/>
  <c r="T107"/>
  <c r="T106"/>
  <c r="T97"/>
  <c r="T96"/>
  <c r="T78"/>
  <c r="T11"/>
  <c r="T12"/>
  <c r="T28"/>
  <c r="T29"/>
  <c r="T38"/>
  <c r="T6"/>
  <c r="B155"/>
  <c r="A155"/>
  <c r="G60" i="16"/>
  <c r="Q60"/>
  <c r="Q61"/>
  <c r="B3"/>
  <c r="C3"/>
  <c r="D3"/>
  <c r="E3"/>
  <c r="F3"/>
  <c r="G3"/>
  <c r="L3"/>
  <c r="M3"/>
  <c r="N3"/>
  <c r="O3"/>
  <c r="P3"/>
  <c r="Q3"/>
  <c r="A4"/>
  <c r="A5"/>
  <c r="A6"/>
  <c r="A7"/>
  <c r="A8"/>
  <c r="A10"/>
  <c r="A11"/>
  <c r="B12"/>
  <c r="L12"/>
  <c r="B13"/>
  <c r="C13"/>
  <c r="D13"/>
  <c r="E13"/>
  <c r="F13"/>
  <c r="G13"/>
  <c r="H13"/>
  <c r="L13"/>
  <c r="M13"/>
  <c r="N13"/>
  <c r="O13"/>
  <c r="P13"/>
  <c r="Q13"/>
  <c r="R13"/>
  <c r="A15"/>
  <c r="A16"/>
  <c r="G20"/>
  <c r="Q20"/>
  <c r="Q21"/>
  <c r="B22"/>
  <c r="L22"/>
  <c r="B23"/>
  <c r="C23"/>
  <c r="D23"/>
  <c r="E23"/>
  <c r="F23"/>
  <c r="G23"/>
  <c r="L23"/>
  <c r="M23"/>
  <c r="N23"/>
  <c r="O23"/>
  <c r="P23"/>
  <c r="Q23"/>
  <c r="A24"/>
  <c r="A25"/>
  <c r="A26"/>
  <c r="A27"/>
  <c r="A28"/>
  <c r="A30"/>
  <c r="A31"/>
  <c r="B32"/>
  <c r="L32"/>
  <c r="B33"/>
  <c r="C33"/>
  <c r="D33"/>
  <c r="E33"/>
  <c r="F33"/>
  <c r="G33"/>
  <c r="H33"/>
  <c r="L33"/>
  <c r="M33"/>
  <c r="N33"/>
  <c r="O33"/>
  <c r="P33"/>
  <c r="Q33"/>
  <c r="R33"/>
  <c r="A35"/>
  <c r="A36"/>
  <c r="G40"/>
  <c r="Q40"/>
  <c r="Q41"/>
  <c r="B42"/>
  <c r="L42"/>
  <c r="B43"/>
  <c r="C43"/>
  <c r="D43"/>
  <c r="E43"/>
  <c r="F43"/>
  <c r="G43"/>
  <c r="L43"/>
  <c r="M43"/>
  <c r="N43"/>
  <c r="O43"/>
  <c r="P43"/>
  <c r="Q43"/>
  <c r="A44"/>
  <c r="A45"/>
  <c r="A46"/>
  <c r="A47"/>
  <c r="A48"/>
  <c r="A50"/>
  <c r="A51"/>
  <c r="B52"/>
  <c r="L52"/>
  <c r="B53"/>
  <c r="C53"/>
  <c r="D53"/>
  <c r="E53"/>
  <c r="F53"/>
  <c r="G53"/>
  <c r="H53"/>
  <c r="L53"/>
  <c r="M53"/>
  <c r="N53"/>
  <c r="O53"/>
  <c r="P53"/>
  <c r="Q53"/>
  <c r="R53"/>
  <c r="A55"/>
  <c r="A56"/>
  <c r="B2"/>
  <c r="L2"/>
  <c r="AO164" i="13"/>
  <c r="N10" i="16" s="1"/>
  <c r="A19"/>
  <c r="AB171" i="13"/>
  <c r="A17" i="16" s="1"/>
  <c r="AB168" i="13"/>
  <c r="A14" i="16" s="1"/>
  <c r="AL213" i="13"/>
  <c r="K56" i="16" s="1"/>
  <c r="AL212" i="13"/>
  <c r="K55" i="16" s="1"/>
  <c r="AL216" i="13"/>
  <c r="K59" i="16" s="1"/>
  <c r="AB214" i="13"/>
  <c r="A57" i="16" s="1"/>
  <c r="AB211" i="13"/>
  <c r="AL211" s="1"/>
  <c r="K54" i="16" s="1"/>
  <c r="AL208" i="13"/>
  <c r="K51" i="16" s="1"/>
  <c r="AL207" i="13"/>
  <c r="AL205"/>
  <c r="K48" i="16" s="1"/>
  <c r="AL204" i="13"/>
  <c r="AL203"/>
  <c r="K46" i="16" s="1"/>
  <c r="AL202" i="13"/>
  <c r="K45" i="16" s="1"/>
  <c r="AL201" i="13"/>
  <c r="K44" i="16" s="1"/>
  <c r="AL192" i="13"/>
  <c r="K36" i="16" s="1"/>
  <c r="AL191" i="13"/>
  <c r="K35" i="16" s="1"/>
  <c r="AL187" i="13"/>
  <c r="K31" i="16" s="1"/>
  <c r="AL186" i="13"/>
  <c r="AL184"/>
  <c r="K28" i="16" s="1"/>
  <c r="AL183" i="13"/>
  <c r="K27" i="16" s="1"/>
  <c r="AL182" i="13"/>
  <c r="K26" i="16" s="1"/>
  <c r="AL181" i="13"/>
  <c r="K25" i="16" s="1"/>
  <c r="AL180" i="13"/>
  <c r="K24" i="16" s="1"/>
  <c r="AL164" i="13"/>
  <c r="K10" i="16" s="1"/>
  <c r="AL162" i="13"/>
  <c r="K8" i="16" s="1"/>
  <c r="M26" i="17"/>
  <c r="Q26" s="1"/>
  <c r="M29"/>
  <c r="Q29" s="1"/>
  <c r="M28"/>
  <c r="Q28" s="1"/>
  <c r="M23"/>
  <c r="Q23" s="1"/>
  <c r="M22"/>
  <c r="M24" s="1"/>
  <c r="M19"/>
  <c r="Q19" s="1"/>
  <c r="M18"/>
  <c r="Q18" s="1"/>
  <c r="AD164" i="13"/>
  <c r="C10" i="16" s="1"/>
  <c r="AR139" i="13"/>
  <c r="AR134"/>
  <c r="AH164"/>
  <c r="G10" i="16" s="1"/>
  <c r="AC164" i="13"/>
  <c r="B10" i="16" s="1"/>
  <c r="AE164" i="13"/>
  <c r="D10" i="16" s="1"/>
  <c r="AH118" i="13"/>
  <c r="AG164"/>
  <c r="F10" i="16" s="1"/>
  <c r="AN164" i="13"/>
  <c r="M10" i="16" s="1"/>
  <c r="AP164" i="13"/>
  <c r="O10" i="16" s="1"/>
  <c r="AF164" i="13"/>
  <c r="E10" i="16" s="1"/>
  <c r="AM164" i="13"/>
  <c r="L10" i="16" s="1"/>
  <c r="AQ164" i="13"/>
  <c r="P10" i="16" s="1"/>
  <c r="AR164" i="13"/>
  <c r="Q10" i="16" s="1"/>
  <c r="AR8" i="13"/>
  <c r="AL214"/>
  <c r="K57" i="16" s="1"/>
  <c r="AR111" i="13"/>
  <c r="AQ111"/>
  <c r="AQ158"/>
  <c r="P4" i="16" s="1"/>
  <c r="AP111" i="13"/>
  <c r="AO111"/>
  <c r="AN111"/>
  <c r="AM111"/>
  <c r="AM158"/>
  <c r="L4" i="16" s="1"/>
  <c r="AG111" i="13"/>
  <c r="AF111"/>
  <c r="AE111"/>
  <c r="AD111"/>
  <c r="AD158"/>
  <c r="C4" i="16" s="1"/>
  <c r="AC111" i="13"/>
  <c r="S111"/>
  <c r="F111"/>
  <c r="AH111" s="1"/>
  <c r="AR97"/>
  <c r="AQ97"/>
  <c r="AP97"/>
  <c r="AO97"/>
  <c r="AN97"/>
  <c r="AM97"/>
  <c r="AG97"/>
  <c r="AF97"/>
  <c r="AE97"/>
  <c r="AD97"/>
  <c r="AC97"/>
  <c r="F97"/>
  <c r="O97" s="1"/>
  <c r="L23" i="15"/>
  <c r="L24"/>
  <c r="I24"/>
  <c r="I23"/>
  <c r="L30" i="17"/>
  <c r="N30" s="1"/>
  <c r="S30"/>
  <c r="T25"/>
  <c r="S25"/>
  <c r="R25"/>
  <c r="L25"/>
  <c r="M25" s="1"/>
  <c r="T11"/>
  <c r="S11"/>
  <c r="R11"/>
  <c r="L11"/>
  <c r="M11"/>
  <c r="Q11" s="1"/>
  <c r="L22" i="15"/>
  <c r="H22"/>
  <c r="I22" s="1"/>
  <c r="L21"/>
  <c r="H21"/>
  <c r="I21" s="1"/>
  <c r="L20"/>
  <c r="H20"/>
  <c r="I20"/>
  <c r="L19"/>
  <c r="I19"/>
  <c r="L18"/>
  <c r="I18"/>
  <c r="L17"/>
  <c r="I17"/>
  <c r="L16"/>
  <c r="I16"/>
  <c r="L15"/>
  <c r="I15"/>
  <c r="L14"/>
  <c r="I14"/>
  <c r="L13"/>
  <c r="I13"/>
  <c r="L12"/>
  <c r="I12"/>
  <c r="L11"/>
  <c r="I11"/>
  <c r="L10"/>
  <c r="I10"/>
  <c r="L9"/>
  <c r="I9"/>
  <c r="L8"/>
  <c r="I8"/>
  <c r="L7"/>
  <c r="I7"/>
  <c r="L6"/>
  <c r="I6"/>
  <c r="L5"/>
  <c r="I5"/>
  <c r="T20" i="17"/>
  <c r="S20"/>
  <c r="R20"/>
  <c r="L20"/>
  <c r="N20" s="1"/>
  <c r="T17"/>
  <c r="S17"/>
  <c r="R17"/>
  <c r="L17"/>
  <c r="N17"/>
  <c r="L14"/>
  <c r="N14"/>
  <c r="S14" s="1"/>
  <c r="T13"/>
  <c r="S13"/>
  <c r="R13"/>
  <c r="L13"/>
  <c r="M13"/>
  <c r="Q13" s="1"/>
  <c r="T10"/>
  <c r="S10"/>
  <c r="R10"/>
  <c r="L10"/>
  <c r="N10"/>
  <c r="T7"/>
  <c r="S7"/>
  <c r="R7"/>
  <c r="L7"/>
  <c r="N7" s="1"/>
  <c r="T6"/>
  <c r="S6"/>
  <c r="R6"/>
  <c r="L6"/>
  <c r="M6" s="1"/>
  <c r="Q6" s="1"/>
  <c r="N6"/>
  <c r="M30"/>
  <c r="R30"/>
  <c r="Q30"/>
  <c r="T30"/>
  <c r="N11"/>
  <c r="M14"/>
  <c r="R14" s="1"/>
  <c r="AR116" i="13"/>
  <c r="AQ116"/>
  <c r="AP116"/>
  <c r="AO116"/>
  <c r="AN116"/>
  <c r="AM116"/>
  <c r="AG116"/>
  <c r="AF116"/>
  <c r="AE116"/>
  <c r="AD116"/>
  <c r="AC116"/>
  <c r="S116"/>
  <c r="F116"/>
  <c r="AH116" s="1"/>
  <c r="AQ145"/>
  <c r="AP145"/>
  <c r="AO145"/>
  <c r="AN145"/>
  <c r="AM145"/>
  <c r="AG145"/>
  <c r="AF145"/>
  <c r="AE145"/>
  <c r="AD145"/>
  <c r="AC145"/>
  <c r="AQ106"/>
  <c r="AP106"/>
  <c r="AO106"/>
  <c r="AN106"/>
  <c r="AM106"/>
  <c r="AM107"/>
  <c r="AM108"/>
  <c r="AM109"/>
  <c r="AM117"/>
  <c r="AG106"/>
  <c r="AF106"/>
  <c r="AE106"/>
  <c r="AD106"/>
  <c r="AC106"/>
  <c r="F106"/>
  <c r="AH106" s="1"/>
  <c r="AQ109"/>
  <c r="AP109"/>
  <c r="AO109"/>
  <c r="AN109"/>
  <c r="AG109"/>
  <c r="AF109"/>
  <c r="AE109"/>
  <c r="AD109"/>
  <c r="AC109"/>
  <c r="F109"/>
  <c r="AR109" s="1"/>
  <c r="AQ108"/>
  <c r="AP108"/>
  <c r="AP107"/>
  <c r="AP117"/>
  <c r="AO108"/>
  <c r="AN108"/>
  <c r="AG108"/>
  <c r="AF108"/>
  <c r="AE108"/>
  <c r="AD108"/>
  <c r="AC108"/>
  <c r="F108"/>
  <c r="O108" s="1"/>
  <c r="AR96"/>
  <c r="AQ96"/>
  <c r="AP96"/>
  <c r="AO96"/>
  <c r="AN96"/>
  <c r="AM96"/>
  <c r="AG96"/>
  <c r="AF96"/>
  <c r="AE96"/>
  <c r="AD96"/>
  <c r="AC96"/>
  <c r="F96"/>
  <c r="F78"/>
  <c r="AH78" s="1"/>
  <c r="AC78"/>
  <c r="AD78"/>
  <c r="AE78"/>
  <c r="AF78"/>
  <c r="AG78"/>
  <c r="AM78"/>
  <c r="AN78"/>
  <c r="AO78"/>
  <c r="AP78"/>
  <c r="AQ78"/>
  <c r="AR78"/>
  <c r="AH109"/>
  <c r="AR106"/>
  <c r="AR145"/>
  <c r="AR108"/>
  <c r="A39" i="16"/>
  <c r="AB193" i="13"/>
  <c r="AL193" s="1"/>
  <c r="K37" i="16" s="1"/>
  <c r="AB190" i="13"/>
  <c r="AL190" s="1"/>
  <c r="K34" i="16" s="1"/>
  <c r="S117" i="13"/>
  <c r="S38"/>
  <c r="S29"/>
  <c r="S28"/>
  <c r="S12"/>
  <c r="S11"/>
  <c r="S6"/>
  <c r="AG107"/>
  <c r="AF107"/>
  <c r="AE107"/>
  <c r="AD107"/>
  <c r="AC107"/>
  <c r="AG117"/>
  <c r="AF117"/>
  <c r="AE117"/>
  <c r="AD117"/>
  <c r="AC117"/>
  <c r="AO38"/>
  <c r="AR107"/>
  <c r="AQ107"/>
  <c r="AO107"/>
  <c r="AN107"/>
  <c r="F107"/>
  <c r="AH107" s="1"/>
  <c r="AQ12"/>
  <c r="AQ38"/>
  <c r="AP12"/>
  <c r="AP38"/>
  <c r="AO12"/>
  <c r="AN12"/>
  <c r="AN38"/>
  <c r="AM12"/>
  <c r="AM38"/>
  <c r="AG38"/>
  <c r="AF38"/>
  <c r="AE38"/>
  <c r="AD38"/>
  <c r="AC38"/>
  <c r="AQ29"/>
  <c r="AP29"/>
  <c r="AO29"/>
  <c r="AN29"/>
  <c r="AM29"/>
  <c r="AG29"/>
  <c r="AF29"/>
  <c r="AE29"/>
  <c r="AD29"/>
  <c r="AC29"/>
  <c r="AQ28"/>
  <c r="AP28"/>
  <c r="AO28"/>
  <c r="AN28"/>
  <c r="AM28"/>
  <c r="AM6"/>
  <c r="AG28"/>
  <c r="AF28"/>
  <c r="AE28"/>
  <c r="AD28"/>
  <c r="AC28"/>
  <c r="AL160"/>
  <c r="AL170" s="1"/>
  <c r="K16" i="16" s="1"/>
  <c r="AL161" i="13"/>
  <c r="K7" i="16" s="1"/>
  <c r="AL165" i="13"/>
  <c r="K11" i="16" s="1"/>
  <c r="AL159" i="13"/>
  <c r="K5" i="16" s="1"/>
  <c r="AL158" i="13"/>
  <c r="K4" i="16" s="1"/>
  <c r="AR117" i="13"/>
  <c r="AQ117"/>
  <c r="AO117"/>
  <c r="AN117"/>
  <c r="AC6"/>
  <c r="AM11"/>
  <c r="AN11"/>
  <c r="AO11"/>
  <c r="AP11"/>
  <c r="AQ11"/>
  <c r="AC11"/>
  <c r="AD11"/>
  <c r="AE11"/>
  <c r="AF11"/>
  <c r="AG11"/>
  <c r="AC12"/>
  <c r="AD12"/>
  <c r="AE12"/>
  <c r="AF12"/>
  <c r="AG12"/>
  <c r="AN6"/>
  <c r="AO6"/>
  <c r="AP6"/>
  <c r="AQ6"/>
  <c r="AD6"/>
  <c r="AE6"/>
  <c r="AF6"/>
  <c r="AG6"/>
  <c r="F117"/>
  <c r="AH117" s="1"/>
  <c r="AR12"/>
  <c r="O12"/>
  <c r="AR6"/>
  <c r="AR11"/>
  <c r="AR28"/>
  <c r="AR29"/>
  <c r="AC158"/>
  <c r="B4" i="16" s="1"/>
  <c r="AG158" i="13"/>
  <c r="F4" i="16" s="1"/>
  <c r="AF158" i="13"/>
  <c r="E4" i="16" s="1"/>
  <c r="AE158" i="13"/>
  <c r="D4" i="16" s="1"/>
  <c r="AA150" i="13"/>
  <c r="AP158"/>
  <c r="O4" i="16" s="1"/>
  <c r="AN158" i="13"/>
  <c r="M4" i="16" s="1"/>
  <c r="AO158" i="13"/>
  <c r="N4" i="16" s="1"/>
  <c r="AR158" i="13"/>
  <c r="Q4" i="16" s="1"/>
  <c r="AH158" i="13"/>
  <c r="G4" i="16" s="1"/>
  <c r="AH100" i="13"/>
  <c r="AH8"/>
  <c r="M10" i="17"/>
  <c r="M17"/>
  <c r="N25"/>
  <c r="M139" i="13"/>
  <c r="O139" s="1"/>
  <c r="M72"/>
  <c r="O72" s="1"/>
  <c r="M67"/>
  <c r="M16"/>
  <c r="M33"/>
  <c r="M47"/>
  <c r="O47" s="1"/>
  <c r="M50"/>
  <c r="M31"/>
  <c r="M119"/>
  <c r="M85"/>
  <c r="O85" s="1"/>
  <c r="M123"/>
  <c r="M92"/>
  <c r="M90"/>
  <c r="M86"/>
  <c r="M121"/>
  <c r="M135"/>
  <c r="O135" s="1"/>
  <c r="M73"/>
  <c r="M68"/>
  <c r="O68" s="1"/>
  <c r="M18"/>
  <c r="M20"/>
  <c r="M38"/>
  <c r="M48"/>
  <c r="M51"/>
  <c r="M61"/>
  <c r="O61" s="1"/>
  <c r="M43"/>
  <c r="O43" s="1"/>
  <c r="M116"/>
  <c r="M17"/>
  <c r="M36"/>
  <c r="M132"/>
  <c r="O132" s="1"/>
  <c r="N13" i="17"/>
  <c r="M87" i="13"/>
  <c r="O87" s="1"/>
  <c r="M120"/>
  <c r="M125"/>
  <c r="M126"/>
  <c r="O126" s="1"/>
  <c r="M128"/>
  <c r="O128" s="1"/>
  <c r="M129"/>
  <c r="O129" s="1"/>
  <c r="M130"/>
  <c r="M134"/>
  <c r="M137"/>
  <c r="M69"/>
  <c r="M22"/>
  <c r="O22" s="1"/>
  <c r="M14"/>
  <c r="M45"/>
  <c r="O45" s="1"/>
  <c r="M52"/>
  <c r="O52" s="1"/>
  <c r="M58"/>
  <c r="O58" s="1"/>
  <c r="M44"/>
  <c r="M117"/>
  <c r="M84"/>
  <c r="M124"/>
  <c r="M93"/>
  <c r="O93" s="1"/>
  <c r="M91"/>
  <c r="M138"/>
  <c r="O138" s="1"/>
  <c r="M71"/>
  <c r="O71" s="1"/>
  <c r="M66"/>
  <c r="M15"/>
  <c r="O15" s="1"/>
  <c r="M21"/>
  <c r="M30"/>
  <c r="M46"/>
  <c r="M54"/>
  <c r="O54" s="1"/>
  <c r="M59"/>
  <c r="M118"/>
  <c r="M34"/>
  <c r="M37"/>
  <c r="O37" s="1"/>
  <c r="Q10" i="17"/>
  <c r="M12"/>
  <c r="Q17"/>
  <c r="AP206" i="13" l="1"/>
  <c r="O49" i="16" s="1"/>
  <c r="AH185" i="13"/>
  <c r="AF185"/>
  <c r="AD185"/>
  <c r="AR185"/>
  <c r="AP185"/>
  <c r="AM185"/>
  <c r="AH206"/>
  <c r="AF206"/>
  <c r="AD206"/>
  <c r="AR206"/>
  <c r="AN206"/>
  <c r="AG185"/>
  <c r="AE185"/>
  <c r="AC185"/>
  <c r="AQ185"/>
  <c r="AN185"/>
  <c r="AO185"/>
  <c r="AG206"/>
  <c r="AE206"/>
  <c r="AC206"/>
  <c r="AO206"/>
  <c r="AQ206"/>
  <c r="AM206"/>
  <c r="O19"/>
  <c r="O53"/>
  <c r="O92"/>
  <c r="O16"/>
  <c r="O79"/>
  <c r="O118"/>
  <c r="O116"/>
  <c r="O8"/>
  <c r="O10"/>
  <c r="O127"/>
  <c r="AP165"/>
  <c r="O11" i="16" s="1"/>
  <c r="AD74" i="13"/>
  <c r="AD102" s="1"/>
  <c r="O50"/>
  <c r="O78"/>
  <c r="O11"/>
  <c r="AD165"/>
  <c r="C11" i="16" s="1"/>
  <c r="O36" i="13"/>
  <c r="O134"/>
  <c r="O90"/>
  <c r="O27"/>
  <c r="AL169"/>
  <c r="K15" i="16" s="1"/>
  <c r="AP161" i="13"/>
  <c r="O7" i="16" s="1"/>
  <c r="O94" i="13"/>
  <c r="O63"/>
  <c r="O113"/>
  <c r="M140"/>
  <c r="M101"/>
  <c r="AR184"/>
  <c r="O64"/>
  <c r="O117"/>
  <c r="O86"/>
  <c r="O96"/>
  <c r="X159"/>
  <c r="AE165"/>
  <c r="D11" i="16" s="1"/>
  <c r="O34" i="13"/>
  <c r="O121"/>
  <c r="AN150"/>
  <c r="O18"/>
  <c r="O67"/>
  <c r="O59"/>
  <c r="O21"/>
  <c r="AP147"/>
  <c r="O114"/>
  <c r="O28"/>
  <c r="O30"/>
  <c r="O91"/>
  <c r="O130"/>
  <c r="O31"/>
  <c r="K19" i="16"/>
  <c r="O143" i="13"/>
  <c r="AL171"/>
  <c r="K17" i="16" s="1"/>
  <c r="AN165" i="13"/>
  <c r="M11" i="16" s="1"/>
  <c r="O46" i="13"/>
  <c r="O14"/>
  <c r="O17"/>
  <c r="O20"/>
  <c r="O73"/>
  <c r="O33"/>
  <c r="W160"/>
  <c r="O6"/>
  <c r="AO159"/>
  <c r="N5" i="16" s="1"/>
  <c r="AN203" i="13"/>
  <c r="AN213" s="1"/>
  <c r="M56" i="16" s="1"/>
  <c r="AG147" i="13"/>
  <c r="AQ162"/>
  <c r="P8" i="16" s="1"/>
  <c r="O40" i="13"/>
  <c r="O125"/>
  <c r="O48"/>
  <c r="AR159"/>
  <c r="Q5" i="16" s="1"/>
  <c r="O145" i="13"/>
  <c r="O82"/>
  <c r="O100"/>
  <c r="O112"/>
  <c r="AF205"/>
  <c r="M122"/>
  <c r="AO180"/>
  <c r="AP203"/>
  <c r="AN204"/>
  <c r="AN214" s="1"/>
  <c r="M57" i="16" s="1"/>
  <c r="AC181" i="13"/>
  <c r="B25" i="16" s="1"/>
  <c r="AG74" i="13"/>
  <c r="AG102" s="1"/>
  <c r="O98"/>
  <c r="AC165"/>
  <c r="B11" i="16" s="1"/>
  <c r="AE147" i="13"/>
  <c r="AE162"/>
  <c r="D8" i="16" s="1"/>
  <c r="AN162" i="13"/>
  <c r="M8" i="16" s="1"/>
  <c r="W168" i="13"/>
  <c r="AR201"/>
  <c r="AR211" s="1"/>
  <c r="Q54" i="16" s="1"/>
  <c r="AF161" i="13"/>
  <c r="E7" i="16" s="1"/>
  <c r="AM161" i="13"/>
  <c r="L7" i="16" s="1"/>
  <c r="AQ161" i="13"/>
  <c r="P7" i="16" s="1"/>
  <c r="AO162" i="13"/>
  <c r="N8" i="16" s="1"/>
  <c r="O7" i="13"/>
  <c r="AP183"/>
  <c r="O27" i="16" s="1"/>
  <c r="AG183" i="13"/>
  <c r="F27" i="16" s="1"/>
  <c r="AD207" i="13"/>
  <c r="C50" i="16" s="1"/>
  <c r="AF159" i="13"/>
  <c r="E5" i="16" s="1"/>
  <c r="AP159" i="13"/>
  <c r="O5" i="16" s="1"/>
  <c r="AG160" i="13"/>
  <c r="F6" i="16" s="1"/>
  <c r="AC160" i="13"/>
  <c r="B6" i="16" s="1"/>
  <c r="AN160" i="13"/>
  <c r="M6" i="16" s="1"/>
  <c r="AP202" i="13"/>
  <c r="AP212" s="1"/>
  <c r="AC162"/>
  <c r="B8" i="16" s="1"/>
  <c r="AG162" i="13"/>
  <c r="F8" i="16" s="1"/>
  <c r="O99" i="13"/>
  <c r="AG187"/>
  <c r="F31" i="16" s="1"/>
  <c r="K6"/>
  <c r="O80" i="13"/>
  <c r="AP207"/>
  <c r="O50" i="16" s="1"/>
  <c r="AQ183" i="13"/>
  <c r="AQ193" s="1"/>
  <c r="P37" i="16" s="1"/>
  <c r="AD183" i="13"/>
  <c r="W157"/>
  <c r="AP205"/>
  <c r="O48" i="16" s="1"/>
  <c r="AG180" i="13"/>
  <c r="AC202"/>
  <c r="AC212" s="1"/>
  <c r="M13"/>
  <c r="X158"/>
  <c r="AH183"/>
  <c r="G27" i="16" s="1"/>
  <c r="AE159" i="13"/>
  <c r="D5" i="16" s="1"/>
  <c r="AO74" i="13"/>
  <c r="AO102" s="1"/>
  <c r="AE160"/>
  <c r="D6" i="16" s="1"/>
  <c r="AF160" i="13"/>
  <c r="E6" i="16" s="1"/>
  <c r="AQ147" i="13"/>
  <c r="AO186"/>
  <c r="N30" i="16" s="1"/>
  <c r="AO161" i="13"/>
  <c r="N7" i="16" s="1"/>
  <c r="AF182" i="13"/>
  <c r="AF192" s="1"/>
  <c r="E36" i="16" s="1"/>
  <c r="AE74" i="13"/>
  <c r="AE102" s="1"/>
  <c r="AN161"/>
  <c r="M7" i="16" s="1"/>
  <c r="AQ150" i="13"/>
  <c r="AF165"/>
  <c r="E11" i="16" s="1"/>
  <c r="AN159" i="13"/>
  <c r="M5" i="16" s="1"/>
  <c r="O29" i="13"/>
  <c r="M131"/>
  <c r="AF147"/>
  <c r="O38"/>
  <c r="O69"/>
  <c r="AD204"/>
  <c r="AD214" s="1"/>
  <c r="C57" i="16" s="1"/>
  <c r="O123" i="13"/>
  <c r="AF204"/>
  <c r="AP204"/>
  <c r="AP181"/>
  <c r="O25" i="16" s="1"/>
  <c r="AC201" i="13"/>
  <c r="AC211" s="1"/>
  <c r="B54" i="16" s="1"/>
  <c r="AD187" i="13"/>
  <c r="C31" i="16" s="1"/>
  <c r="AR183" i="13"/>
  <c r="AF180"/>
  <c r="AF190" s="1"/>
  <c r="E34" i="16" s="1"/>
  <c r="AQ187" i="13"/>
  <c r="P31" i="16" s="1"/>
  <c r="AF207" i="13"/>
  <c r="E50" i="16" s="1"/>
  <c r="X157" i="13"/>
  <c r="AC203"/>
  <c r="AG202"/>
  <c r="AL195"/>
  <c r="K39" i="16" s="1"/>
  <c r="AO160" i="13"/>
  <c r="N6" i="16" s="1"/>
  <c r="AN147" i="13"/>
  <c r="AO184"/>
  <c r="AQ204"/>
  <c r="P47" i="16" s="1"/>
  <c r="M81" i="13"/>
  <c r="O111"/>
  <c r="O144"/>
  <c r="O107"/>
  <c r="O26"/>
  <c r="AQ160"/>
  <c r="P6" i="16" s="1"/>
  <c r="AO147" i="13"/>
  <c r="AC147"/>
  <c r="O137"/>
  <c r="O66"/>
  <c r="O124"/>
  <c r="O51"/>
  <c r="AO204"/>
  <c r="N47" i="16" s="1"/>
  <c r="AC182" i="13"/>
  <c r="B26" i="16" s="1"/>
  <c r="AQ186" i="13"/>
  <c r="P30" i="16" s="1"/>
  <c r="AC208" i="13"/>
  <c r="B51" i="16" s="1"/>
  <c r="AO202" i="13"/>
  <c r="N45" i="16" s="1"/>
  <c r="AM201" i="13"/>
  <c r="W165"/>
  <c r="AC187"/>
  <c r="B31" i="16" s="1"/>
  <c r="AH96" i="13"/>
  <c r="AM186"/>
  <c r="L30" i="16" s="1"/>
  <c r="AR181" i="13"/>
  <c r="AR191" s="1"/>
  <c r="Q35" i="16" s="1"/>
  <c r="AE161" i="13"/>
  <c r="D7" i="16" s="1"/>
  <c r="AM150" i="13"/>
  <c r="AD147"/>
  <c r="AM183"/>
  <c r="AM193" s="1"/>
  <c r="AR207"/>
  <c r="Q50" i="16" s="1"/>
  <c r="X156" i="13"/>
  <c r="O109"/>
  <c r="AD159"/>
  <c r="C5" i="16" s="1"/>
  <c r="AM74" i="13"/>
  <c r="AM102" s="1"/>
  <c r="AQ159"/>
  <c r="P5" i="16" s="1"/>
  <c r="AC74" i="13"/>
  <c r="AC102" s="1"/>
  <c r="AC152" s="1"/>
  <c r="AG150"/>
  <c r="AD161"/>
  <c r="C7" i="16" s="1"/>
  <c r="AC161" i="13"/>
  <c r="B7" i="16" s="1"/>
  <c r="AG161" i="13"/>
  <c r="F7" i="16" s="1"/>
  <c r="AM165" i="13"/>
  <c r="L11" i="16" s="1"/>
  <c r="AQ165" i="13"/>
  <c r="P11" i="16" s="1"/>
  <c r="AF162" i="13"/>
  <c r="E8" i="16" s="1"/>
  <c r="M148" i="13"/>
  <c r="AE180"/>
  <c r="D24" i="16" s="1"/>
  <c r="AD160" i="13"/>
  <c r="C6" i="16" s="1"/>
  <c r="AP160" i="13"/>
  <c r="O6" i="16" s="1"/>
  <c r="AP150" i="13"/>
  <c r="AD162"/>
  <c r="C8" i="16" s="1"/>
  <c r="AM162" i="13"/>
  <c r="L8" i="16" s="1"/>
  <c r="AG165" i="13"/>
  <c r="F11" i="16" s="1"/>
  <c r="AO165" i="13"/>
  <c r="N11" i="16" s="1"/>
  <c r="O142" i="13"/>
  <c r="AN205"/>
  <c r="AN215" s="1"/>
  <c r="O120"/>
  <c r="AD205"/>
  <c r="AD215" s="1"/>
  <c r="C58" i="16" s="1"/>
  <c r="AG204" i="13"/>
  <c r="AM160"/>
  <c r="L6" i="16" s="1"/>
  <c r="AM184" i="13"/>
  <c r="AM194" s="1"/>
  <c r="AN186"/>
  <c r="M30" i="16" s="1"/>
  <c r="AP180" i="13"/>
  <c r="AD208"/>
  <c r="C51" i="16" s="1"/>
  <c r="AD186" i="13"/>
  <c r="C30" i="16" s="1"/>
  <c r="AQ201" i="13"/>
  <c r="AE208"/>
  <c r="D51" i="16" s="1"/>
  <c r="W155" i="13"/>
  <c r="M110"/>
  <c r="AE181"/>
  <c r="AN201"/>
  <c r="AO201"/>
  <c r="AC207"/>
  <c r="B50" i="16" s="1"/>
  <c r="AC184" i="13"/>
  <c r="AC194" s="1"/>
  <c r="AN187"/>
  <c r="M31" i="16" s="1"/>
  <c r="AE202" i="13"/>
  <c r="AH201"/>
  <c r="X168"/>
  <c r="AM202"/>
  <c r="AR202"/>
  <c r="AQ181"/>
  <c r="AN207"/>
  <c r="M50" i="16" s="1"/>
  <c r="AM208" i="13"/>
  <c r="L51" i="16" s="1"/>
  <c r="AE207" i="13"/>
  <c r="D50" i="16" s="1"/>
  <c r="AH186" i="13"/>
  <c r="G30" i="16" s="1"/>
  <c r="AN180" i="13"/>
  <c r="AD180"/>
  <c r="AF202"/>
  <c r="X160"/>
  <c r="AD150"/>
  <c r="AG181"/>
  <c r="AE182"/>
  <c r="AO203"/>
  <c r="AP201"/>
  <c r="O44" i="16" s="1"/>
  <c r="AD202" i="13"/>
  <c r="X165"/>
  <c r="AE183"/>
  <c r="AF186"/>
  <c r="E30" i="16" s="1"/>
  <c r="AQ182" i="13"/>
  <c r="A37" i="16"/>
  <c r="AQ74" i="13"/>
  <c r="AQ102" s="1"/>
  <c r="AD182"/>
  <c r="AL168"/>
  <c r="K14" i="16" s="1"/>
  <c r="AO150" i="13"/>
  <c r="AP162"/>
  <c r="O8" i="16" s="1"/>
  <c r="AR80" i="13"/>
  <c r="AR182" s="1"/>
  <c r="O141"/>
  <c r="K30" i="16"/>
  <c r="K50"/>
  <c r="A54"/>
  <c r="A59"/>
  <c r="AH112" i="13"/>
  <c r="AH187"/>
  <c r="G31" i="16" s="1"/>
  <c r="M95" i="13"/>
  <c r="AQ205"/>
  <c r="AQ215" s="1"/>
  <c r="P58" i="16" s="1"/>
  <c r="K47"/>
  <c r="AM205" i="13"/>
  <c r="AM215" s="1"/>
  <c r="L58" i="16" s="1"/>
  <c r="AG205" i="13"/>
  <c r="AG215" s="1"/>
  <c r="F58" i="16" s="1"/>
  <c r="O119" i="13"/>
  <c r="AN183"/>
  <c r="AM207"/>
  <c r="L50" i="16" s="1"/>
  <c r="AF150" i="13"/>
  <c r="AE150"/>
  <c r="AO182"/>
  <c r="AQ207"/>
  <c r="P50" i="16" s="1"/>
  <c r="AR208" i="13"/>
  <c r="Q51" i="16" s="1"/>
  <c r="AG203" i="13"/>
  <c r="AF184"/>
  <c r="AF194" s="1"/>
  <c r="X167"/>
  <c r="W159"/>
  <c r="AP182"/>
  <c r="AR186"/>
  <c r="Q30" i="16" s="1"/>
  <c r="AP208" i="13"/>
  <c r="O51" i="16" s="1"/>
  <c r="AG207" i="13"/>
  <c r="F50" i="16" s="1"/>
  <c r="AE187" i="13"/>
  <c r="D31" i="16" s="1"/>
  <c r="AH207" i="13"/>
  <c r="G50" i="16" s="1"/>
  <c r="AC186" i="13"/>
  <c r="B30" i="16" s="1"/>
  <c r="X155" i="13"/>
  <c r="W171"/>
  <c r="O83"/>
  <c r="AN202"/>
  <c r="AF181"/>
  <c r="AQ184"/>
  <c r="AQ194" s="1"/>
  <c r="P38" i="16" s="1"/>
  <c r="AE201" i="13"/>
  <c r="AO207"/>
  <c r="N50" i="16" s="1"/>
  <c r="AF201" i="13"/>
  <c r="E44" i="16" s="1"/>
  <c r="AG186" i="13"/>
  <c r="F30" i="16" s="1"/>
  <c r="AC159" i="13"/>
  <c r="B5" i="16" s="1"/>
  <c r="X173" i="13"/>
  <c r="AC150"/>
  <c r="AM182"/>
  <c r="O9"/>
  <c r="AQ202"/>
  <c r="AH108"/>
  <c r="AI147" s="1"/>
  <c r="AD181"/>
  <c r="X171"/>
  <c r="AE186"/>
  <c r="D30" i="16" s="1"/>
  <c r="AN208" i="13"/>
  <c r="M51" i="16" s="1"/>
  <c r="A34"/>
  <c r="AR38" i="13"/>
  <c r="AH202"/>
  <c r="AH212" s="1"/>
  <c r="G55" i="16" s="1"/>
  <c r="AM159" i="13"/>
  <c r="L5" i="16" s="1"/>
  <c r="AO187" i="13"/>
  <c r="N31" i="16" s="1"/>
  <c r="AM147" i="13"/>
  <c r="M115"/>
  <c r="AH205"/>
  <c r="M88"/>
  <c r="AE205"/>
  <c r="M49"/>
  <c r="AH162"/>
  <c r="G8" i="16" s="1"/>
  <c r="AO205" i="13"/>
  <c r="AO215" s="1"/>
  <c r="N58" i="16" s="1"/>
  <c r="AC204" i="13"/>
  <c r="AM204"/>
  <c r="AC205"/>
  <c r="AC215" s="1"/>
  <c r="B58" i="16" s="1"/>
  <c r="AP186" i="13"/>
  <c r="O30" i="16" s="1"/>
  <c r="AQ203" i="13"/>
  <c r="AQ213" s="1"/>
  <c r="P56" i="16" s="1"/>
  <c r="AE204" i="13"/>
  <c r="AE214" s="1"/>
  <c r="D57" i="16" s="1"/>
  <c r="AF74" i="13"/>
  <c r="AF102" s="1"/>
  <c r="AM181"/>
  <c r="AQ208"/>
  <c r="P51" i="16" s="1"/>
  <c r="AD203" i="13"/>
  <c r="AF183"/>
  <c r="AC180"/>
  <c r="AD201"/>
  <c r="AH180"/>
  <c r="G24" i="16" s="1"/>
  <c r="AC183" i="13"/>
  <c r="X166"/>
  <c r="W158"/>
  <c r="AN181"/>
  <c r="AM187"/>
  <c r="L31" i="16" s="1"/>
  <c r="AG201" i="13"/>
  <c r="AG184"/>
  <c r="AG194" s="1"/>
  <c r="F38" i="16" s="1"/>
  <c r="AR180" i="13"/>
  <c r="AE203"/>
  <c r="AD184"/>
  <c r="AD194" s="1"/>
  <c r="AG159"/>
  <c r="F5" i="16" s="1"/>
  <c r="W167" i="13"/>
  <c r="AN182"/>
  <c r="AG182"/>
  <c r="AQ180"/>
  <c r="AN184"/>
  <c r="AN194" s="1"/>
  <c r="AE184"/>
  <c r="AE194" s="1"/>
  <c r="D38" i="16" s="1"/>
  <c r="AM180" i="13"/>
  <c r="AG208"/>
  <c r="F51" i="16" s="1"/>
  <c r="W166" i="13"/>
  <c r="W173"/>
  <c r="AN74"/>
  <c r="AF208"/>
  <c r="E51" i="16" s="1"/>
  <c r="W156" i="13"/>
  <c r="AF187"/>
  <c r="E31" i="16" s="1"/>
  <c r="AP184" i="13"/>
  <c r="AP194" s="1"/>
  <c r="AP74"/>
  <c r="Q25" i="17"/>
  <c r="Q27" s="1"/>
  <c r="M27"/>
  <c r="M136" i="13"/>
  <c r="O133"/>
  <c r="AR161"/>
  <c r="Q7" i="16" s="1"/>
  <c r="AR204" i="13"/>
  <c r="AH203"/>
  <c r="AR160"/>
  <c r="Q6" i="16" s="1"/>
  <c r="AR203" i="13"/>
  <c r="AS74"/>
  <c r="AR162"/>
  <c r="Q8" i="16" s="1"/>
  <c r="AR205" i="13"/>
  <c r="AR215" s="1"/>
  <c r="Q58" i="16" s="1"/>
  <c r="AH208" i="13"/>
  <c r="G51" i="16" s="1"/>
  <c r="AH165" i="13"/>
  <c r="G11" i="16" s="1"/>
  <c r="AI74" i="13"/>
  <c r="AH204"/>
  <c r="AH161"/>
  <c r="G7" i="16" s="1"/>
  <c r="AH159" i="13"/>
  <c r="G5" i="16" s="1"/>
  <c r="AH181" i="13"/>
  <c r="AS147"/>
  <c r="M147"/>
  <c r="AF203"/>
  <c r="AO183"/>
  <c r="AM203"/>
  <c r="AO181"/>
  <c r="Q14" i="17"/>
  <c r="T14" s="1"/>
  <c r="M7"/>
  <c r="Q7" s="1"/>
  <c r="AH97" i="13"/>
  <c r="AI102" s="1"/>
  <c r="M62"/>
  <c r="O62" s="1"/>
  <c r="M89"/>
  <c r="O89" s="1"/>
  <c r="M60"/>
  <c r="M23"/>
  <c r="AH184"/>
  <c r="AH194" s="1"/>
  <c r="O84"/>
  <c r="O44"/>
  <c r="AP187"/>
  <c r="O31" i="16" s="1"/>
  <c r="AO208" i="13"/>
  <c r="N51" i="16" s="1"/>
  <c r="O106" i="13"/>
  <c r="M20" i="17"/>
  <c r="Q22"/>
  <c r="Q24" s="1"/>
  <c r="E26" i="16" l="1"/>
  <c r="AN172" i="13"/>
  <c r="M18" i="16" s="1"/>
  <c r="AD172" i="13"/>
  <c r="C18" i="16" s="1"/>
  <c r="AM172" i="13"/>
  <c r="L18" i="16" s="1"/>
  <c r="AF215" i="13"/>
  <c r="L49" i="16"/>
  <c r="AM216" i="13"/>
  <c r="N49" i="16"/>
  <c r="AO216" i="13"/>
  <c r="D49" i="16"/>
  <c r="AE216" i="13"/>
  <c r="D59" i="16" s="1"/>
  <c r="N29"/>
  <c r="AO195" i="13"/>
  <c r="AO173" s="1"/>
  <c r="P29" i="16"/>
  <c r="AQ195" i="13"/>
  <c r="D29" i="16"/>
  <c r="AE195" i="13"/>
  <c r="AE173" s="1"/>
  <c r="M49" i="16"/>
  <c r="AN216" i="13"/>
  <c r="C49" i="16"/>
  <c r="AD216" i="13"/>
  <c r="C59" i="16" s="1"/>
  <c r="G49"/>
  <c r="AH216" i="13"/>
  <c r="G59" i="16" s="1"/>
  <c r="AP195" i="13"/>
  <c r="O29" i="16"/>
  <c r="C29"/>
  <c r="AD195" i="13"/>
  <c r="AD173" s="1"/>
  <c r="G29" i="16"/>
  <c r="AH195" i="13"/>
  <c r="AH173" s="1"/>
  <c r="AC172"/>
  <c r="B18" i="16" s="1"/>
  <c r="C38"/>
  <c r="M38"/>
  <c r="M58"/>
  <c r="AQ172" i="13"/>
  <c r="P18" i="16" s="1"/>
  <c r="G38"/>
  <c r="AE215" i="13"/>
  <c r="D58" i="16" s="1"/>
  <c r="G48"/>
  <c r="AH215" i="13"/>
  <c r="G58" i="16" s="1"/>
  <c r="L38"/>
  <c r="AO194" i="13"/>
  <c r="O47" i="16"/>
  <c r="AP216" i="13"/>
  <c r="O59" i="16" s="1"/>
  <c r="AP213" i="13"/>
  <c r="O56" i="16" s="1"/>
  <c r="AP215" i="13"/>
  <c r="O58" i="16" s="1"/>
  <c r="AR194" i="13"/>
  <c r="P49" i="16"/>
  <c r="AQ216" i="13"/>
  <c r="P59" i="16" s="1"/>
  <c r="AC216" i="13"/>
  <c r="B49" i="16"/>
  <c r="F49"/>
  <c r="AG216" i="13"/>
  <c r="F59" i="16" s="1"/>
  <c r="AN195" i="13"/>
  <c r="M29" i="16"/>
  <c r="B29"/>
  <c r="AC195" i="13"/>
  <c r="F29" i="16"/>
  <c r="AG195" i="13"/>
  <c r="AG173" s="1"/>
  <c r="Q49" i="16"/>
  <c r="AR216" i="13"/>
  <c r="E49" i="16"/>
  <c r="AF216" i="13"/>
  <c r="E59" i="16" s="1"/>
  <c r="L29"/>
  <c r="AM195" i="13"/>
  <c r="AR195"/>
  <c r="Q29" i="16"/>
  <c r="E29"/>
  <c r="AF195" i="13"/>
  <c r="AF173" s="1"/>
  <c r="B38" i="16"/>
  <c r="AI194" i="13"/>
  <c r="E38" i="16"/>
  <c r="O38"/>
  <c r="AG172" i="13"/>
  <c r="F18" i="16" s="1"/>
  <c r="H38"/>
  <c r="AS102" i="13"/>
  <c r="AG152"/>
  <c r="AC191"/>
  <c r="B35" i="16" s="1"/>
  <c r="AD152" i="13"/>
  <c r="AH190"/>
  <c r="G34" i="16" s="1"/>
  <c r="AQ152" i="13"/>
  <c r="AR187"/>
  <c r="Q31" i="16" s="1"/>
  <c r="AR165" i="13"/>
  <c r="Q11" i="16" s="1"/>
  <c r="B44"/>
  <c r="Q44"/>
  <c r="Q28"/>
  <c r="C47"/>
  <c r="E24"/>
  <c r="G45"/>
  <c r="AO212" i="13"/>
  <c r="N55" i="16" s="1"/>
  <c r="AO214" i="13"/>
  <c r="N57" i="16" s="1"/>
  <c r="AP191" i="13"/>
  <c r="O35" i="16" s="1"/>
  <c r="AG193" i="13"/>
  <c r="F37" i="16" s="1"/>
  <c r="M46"/>
  <c r="AE190" i="13"/>
  <c r="D34" i="16" s="1"/>
  <c r="L27"/>
  <c r="X161" i="13"/>
  <c r="AC169"/>
  <c r="B15" i="16" s="1"/>
  <c r="W161" i="13"/>
  <c r="AL147"/>
  <c r="E48" i="16"/>
  <c r="AQ214" i="13"/>
  <c r="P57" i="16" s="1"/>
  <c r="B45"/>
  <c r="B55"/>
  <c r="AJ102" i="13"/>
  <c r="AP211"/>
  <c r="O54" i="16" s="1"/>
  <c r="W174" i="13"/>
  <c r="AJ147"/>
  <c r="AO152"/>
  <c r="P46" i="16"/>
  <c r="O46"/>
  <c r="AC192" i="13"/>
  <c r="B36" i="16" s="1"/>
  <c r="AE152" i="13"/>
  <c r="D48" i="16"/>
  <c r="X174" i="13"/>
  <c r="N28" i="16"/>
  <c r="AP193" i="13"/>
  <c r="AO190"/>
  <c r="N34" i="16" s="1"/>
  <c r="N24"/>
  <c r="AP214" i="13"/>
  <c r="O57" i="16" s="1"/>
  <c r="M47"/>
  <c r="O55"/>
  <c r="AF211" i="13"/>
  <c r="E54" i="16" s="1"/>
  <c r="AM152" i="13"/>
  <c r="AH193"/>
  <c r="G37" i="16" s="1"/>
  <c r="D47"/>
  <c r="O45"/>
  <c r="AF152" i="13"/>
  <c r="P27" i="16"/>
  <c r="Q26"/>
  <c r="AR192" i="13"/>
  <c r="Q36" i="16" s="1"/>
  <c r="B46"/>
  <c r="AC213" i="13"/>
  <c r="B56" i="16" s="1"/>
  <c r="AG212" i="13"/>
  <c r="F55" i="16" s="1"/>
  <c r="F45"/>
  <c r="AG190" i="13"/>
  <c r="F34" i="16" s="1"/>
  <c r="F24"/>
  <c r="E47"/>
  <c r="AF214" i="13"/>
  <c r="E57" i="16" s="1"/>
  <c r="C27"/>
  <c r="AD193" i="13"/>
  <c r="L44" i="16"/>
  <c r="AM211" i="13"/>
  <c r="L54" i="16" s="1"/>
  <c r="AR193" i="13"/>
  <c r="Q37" i="16" s="1"/>
  <c r="Q27"/>
  <c r="Q25"/>
  <c r="D28"/>
  <c r="AN192" i="13"/>
  <c r="M26" i="16"/>
  <c r="C28"/>
  <c r="AG211" i="13"/>
  <c r="F44" i="16"/>
  <c r="AC190" i="13"/>
  <c r="B24" i="16"/>
  <c r="L25"/>
  <c r="AM191" i="13"/>
  <c r="N48" i="16"/>
  <c r="P45"/>
  <c r="AQ212" i="13"/>
  <c r="P55" i="16" s="1"/>
  <c r="M45"/>
  <c r="AN212" i="13"/>
  <c r="M55" i="16" s="1"/>
  <c r="L48"/>
  <c r="AO213" i="13"/>
  <c r="N56" i="16" s="1"/>
  <c r="N46"/>
  <c r="AQ191" i="13"/>
  <c r="P25" i="16"/>
  <c r="M44"/>
  <c r="AN211" i="13"/>
  <c r="M59" i="16"/>
  <c r="M48"/>
  <c r="O28"/>
  <c r="AN102" i="13"/>
  <c r="AN152" s="1"/>
  <c r="L24" i="16"/>
  <c r="AM190" i="13"/>
  <c r="F26" i="16"/>
  <c r="AG192" i="13"/>
  <c r="F28" i="16"/>
  <c r="AD211" i="13"/>
  <c r="C44" i="16"/>
  <c r="AC214" i="13"/>
  <c r="B57" i="16" s="1"/>
  <c r="B47"/>
  <c r="AF191" i="13"/>
  <c r="E25" i="16"/>
  <c r="F48"/>
  <c r="D27"/>
  <c r="AE193" i="13"/>
  <c r="M24" i="16"/>
  <c r="AN190" i="13"/>
  <c r="AO211"/>
  <c r="N44" i="16"/>
  <c r="L28"/>
  <c r="AQ190" i="13"/>
  <c r="P24" i="16"/>
  <c r="Q24"/>
  <c r="AR190" i="13"/>
  <c r="M25" i="16"/>
  <c r="AN191" i="13"/>
  <c r="C46" i="16"/>
  <c r="AD213" i="13"/>
  <c r="L47" i="16"/>
  <c r="AM214" i="13"/>
  <c r="L57" i="16" s="1"/>
  <c r="AD191" i="13"/>
  <c r="C25" i="16"/>
  <c r="AM192" i="13"/>
  <c r="L26" i="16"/>
  <c r="P28"/>
  <c r="AP192" i="13"/>
  <c r="O26" i="16"/>
  <c r="AG213" i="13"/>
  <c r="F56" i="16" s="1"/>
  <c r="F46"/>
  <c r="P48"/>
  <c r="AD192" i="13"/>
  <c r="C36" i="16" s="1"/>
  <c r="C26"/>
  <c r="F25"/>
  <c r="AG191" i="13"/>
  <c r="AD190"/>
  <c r="C24" i="16"/>
  <c r="L45"/>
  <c r="AM212" i="13"/>
  <c r="AE212"/>
  <c r="D55" i="16" s="1"/>
  <c r="D45"/>
  <c r="AQ211" i="13"/>
  <c r="P54" i="16" s="1"/>
  <c r="P44"/>
  <c r="C48"/>
  <c r="AH182" i="13"/>
  <c r="G26" i="16" s="1"/>
  <c r="AP102" i="13"/>
  <c r="AL102" s="1"/>
  <c r="M28" i="16"/>
  <c r="AE213" i="13"/>
  <c r="D56" i="16" s="1"/>
  <c r="D46"/>
  <c r="B27"/>
  <c r="AC193" i="13"/>
  <c r="E27" i="16"/>
  <c r="AF193" i="13"/>
  <c r="B48" i="16"/>
  <c r="AE211" i="13"/>
  <c r="D44" i="16"/>
  <c r="E28"/>
  <c r="AO192" i="13"/>
  <c r="N26" i="16"/>
  <c r="M27"/>
  <c r="AN193" i="13"/>
  <c r="AQ192"/>
  <c r="P26" i="16"/>
  <c r="AD212" i="13"/>
  <c r="C55" i="16" s="1"/>
  <c r="C45"/>
  <c r="AE192" i="13"/>
  <c r="D26" i="16"/>
  <c r="E45"/>
  <c r="AF212" i="13"/>
  <c r="E55" i="16" s="1"/>
  <c r="Q45"/>
  <c r="AR212" i="13"/>
  <c r="G44" i="16"/>
  <c r="AH211" i="13"/>
  <c r="B28" i="16"/>
  <c r="D25"/>
  <c r="AE191" i="13"/>
  <c r="O24" i="16"/>
  <c r="AP190" i="13"/>
  <c r="O34" i="16" s="1"/>
  <c r="AG214" i="13"/>
  <c r="F47" i="16"/>
  <c r="L37"/>
  <c r="O60" i="13"/>
  <c r="M65"/>
  <c r="G25" i="16"/>
  <c r="AH191" i="13"/>
  <c r="AJ74"/>
  <c r="AI152"/>
  <c r="AI150"/>
  <c r="Q46" i="16"/>
  <c r="AR213" i="13"/>
  <c r="Q56" i="16" s="1"/>
  <c r="AH213" i="13"/>
  <c r="G56" i="16" s="1"/>
  <c r="G46"/>
  <c r="Q47"/>
  <c r="AR214" i="13"/>
  <c r="N27" i="16"/>
  <c r="AO193" i="13"/>
  <c r="G28" i="16"/>
  <c r="M39" i="13"/>
  <c r="M70"/>
  <c r="L46" i="16"/>
  <c r="AM213" i="13"/>
  <c r="AS152"/>
  <c r="AS150"/>
  <c r="M74"/>
  <c r="AH160"/>
  <c r="G6" i="16" s="1"/>
  <c r="AL74" i="13"/>
  <c r="M55"/>
  <c r="AO191"/>
  <c r="N25" i="16"/>
  <c r="M102" i="13"/>
  <c r="Q20" i="17"/>
  <c r="Q21" s="1"/>
  <c r="M21"/>
  <c r="E46" i="16"/>
  <c r="AF213" i="13"/>
  <c r="G47" i="16"/>
  <c r="AH214" i="13"/>
  <c r="Q48" i="16"/>
  <c r="AM171" i="13" l="1"/>
  <c r="L17" i="16" s="1"/>
  <c r="AM173" i="13"/>
  <c r="AS195"/>
  <c r="R39" i="16" s="1"/>
  <c r="AC173" i="13"/>
  <c r="AI195"/>
  <c r="Q38" i="16"/>
  <c r="AR172" i="13"/>
  <c r="Q18" i="16" s="1"/>
  <c r="N38"/>
  <c r="AO172" i="13"/>
  <c r="N18" i="16" s="1"/>
  <c r="AI215" i="13"/>
  <c r="E58" i="16"/>
  <c r="AS194" i="13"/>
  <c r="AH172"/>
  <c r="G18" i="16" s="1"/>
  <c r="AE172" i="13"/>
  <c r="D18" i="16" s="1"/>
  <c r="AQ173" i="13"/>
  <c r="P19" i="16" s="1"/>
  <c r="AS216" i="13"/>
  <c r="L59" i="16"/>
  <c r="AF172" i="13"/>
  <c r="E18" i="16" s="1"/>
  <c r="AR173" i="13"/>
  <c r="AN173"/>
  <c r="M19" i="16" s="1"/>
  <c r="AI216" i="13"/>
  <c r="Q39" i="16"/>
  <c r="N39"/>
  <c r="AS215" i="13"/>
  <c r="R58" i="16" s="1"/>
  <c r="AP172" i="13"/>
  <c r="O18" i="16" s="1"/>
  <c r="AP173" i="13"/>
  <c r="O19" i="16" s="1"/>
  <c r="AQ171" i="13"/>
  <c r="P17" i="16" s="1"/>
  <c r="AP169" i="13"/>
  <c r="O15" i="16" s="1"/>
  <c r="AH192" i="13"/>
  <c r="G36" i="16" s="1"/>
  <c r="X175" i="13"/>
  <c r="W175"/>
  <c r="AF168"/>
  <c r="E14" i="16" s="1"/>
  <c r="AC170" i="13"/>
  <c r="B16" i="16" s="1"/>
  <c r="AP171" i="13"/>
  <c r="O17" i="16" s="1"/>
  <c r="O37"/>
  <c r="AI212" i="13"/>
  <c r="H55" i="16" s="1"/>
  <c r="C37"/>
  <c r="AD171" i="13"/>
  <c r="C17" i="16" s="1"/>
  <c r="B39"/>
  <c r="B19"/>
  <c r="Q55"/>
  <c r="AR169" i="13"/>
  <c r="Q15" i="16" s="1"/>
  <c r="E37"/>
  <c r="AF171" i="13"/>
  <c r="E17" i="16" s="1"/>
  <c r="L55"/>
  <c r="AS212" i="13"/>
  <c r="R55" i="16" s="1"/>
  <c r="F35"/>
  <c r="AG169" i="13"/>
  <c r="F15" i="16" s="1"/>
  <c r="AN169" i="13"/>
  <c r="M15" i="16" s="1"/>
  <c r="M35"/>
  <c r="D37"/>
  <c r="AE171" i="13"/>
  <c r="D17" i="16" s="1"/>
  <c r="F36"/>
  <c r="AG170" i="13"/>
  <c r="F16" i="16" s="1"/>
  <c r="N59"/>
  <c r="N19"/>
  <c r="AC168" i="13"/>
  <c r="B14" i="16" s="1"/>
  <c r="AI190" i="13"/>
  <c r="B34" i="16"/>
  <c r="D19"/>
  <c r="D39"/>
  <c r="AP152" i="13"/>
  <c r="AG171"/>
  <c r="F17" i="16" s="1"/>
  <c r="F57"/>
  <c r="E39"/>
  <c r="E19"/>
  <c r="C34"/>
  <c r="AD168" i="13"/>
  <c r="C14" i="16" s="1"/>
  <c r="P39"/>
  <c r="C35"/>
  <c r="AD169" i="13"/>
  <c r="C15" i="16" s="1"/>
  <c r="L19"/>
  <c r="L39"/>
  <c r="F39"/>
  <c r="F19"/>
  <c r="M54"/>
  <c r="AS211" i="13"/>
  <c r="R54" i="16" s="1"/>
  <c r="C19"/>
  <c r="C39"/>
  <c r="AE169" i="13"/>
  <c r="D15" i="16" s="1"/>
  <c r="D35"/>
  <c r="G54"/>
  <c r="AH168" i="13"/>
  <c r="G14" i="16" s="1"/>
  <c r="M37"/>
  <c r="AN171" i="13"/>
  <c r="M17" i="16" s="1"/>
  <c r="B59"/>
  <c r="B37"/>
  <c r="AC171" i="13"/>
  <c r="B17" i="16" s="1"/>
  <c r="AI193" i="13"/>
  <c r="H37" i="16" s="1"/>
  <c r="M39"/>
  <c r="AD170" i="13"/>
  <c r="C16" i="16" s="1"/>
  <c r="C56"/>
  <c r="Q34"/>
  <c r="AR168" i="13"/>
  <c r="Q14" i="16" s="1"/>
  <c r="M34"/>
  <c r="AN168" i="13"/>
  <c r="M14" i="16" s="1"/>
  <c r="AM168" i="13"/>
  <c r="L14" i="16" s="1"/>
  <c r="L34"/>
  <c r="AS190" i="13"/>
  <c r="O39" i="16"/>
  <c r="AQ169" i="13"/>
  <c r="P15" i="16" s="1"/>
  <c r="P35"/>
  <c r="F54"/>
  <c r="AG168" i="13"/>
  <c r="F14" i="16" s="1"/>
  <c r="M36"/>
  <c r="AN170" i="13"/>
  <c r="M16" i="16" s="1"/>
  <c r="AP168" i="13"/>
  <c r="O14" i="16" s="1"/>
  <c r="AE170" i="13"/>
  <c r="D16" i="16" s="1"/>
  <c r="D36"/>
  <c r="P36"/>
  <c r="AQ170" i="13"/>
  <c r="P16" i="16" s="1"/>
  <c r="N36"/>
  <c r="AO170" i="13"/>
  <c r="N16" i="16" s="1"/>
  <c r="AE168" i="13"/>
  <c r="D14" i="16" s="1"/>
  <c r="D54"/>
  <c r="AP170" i="13"/>
  <c r="O16" i="16" s="1"/>
  <c r="O36"/>
  <c r="L36"/>
  <c r="AS192" i="13"/>
  <c r="R36" i="16" s="1"/>
  <c r="P34"/>
  <c r="AQ168" i="13"/>
  <c r="P14" i="16" s="1"/>
  <c r="N54"/>
  <c r="AO168" i="13"/>
  <c r="N14" i="16" s="1"/>
  <c r="AF169" i="13"/>
  <c r="E15" i="16" s="1"/>
  <c r="E35"/>
  <c r="C54"/>
  <c r="AI211" i="13"/>
  <c r="H54" i="16" s="1"/>
  <c r="AM169" i="13"/>
  <c r="L15" i="16" s="1"/>
  <c r="L35"/>
  <c r="AR170" i="13"/>
  <c r="Q16" i="16" s="1"/>
  <c r="AH171" i="13"/>
  <c r="G17" i="16" s="1"/>
  <c r="G57"/>
  <c r="AI214" i="13"/>
  <c r="G19" i="16"/>
  <c r="G39"/>
  <c r="Q57"/>
  <c r="AS214" i="13"/>
  <c r="R57" i="16" s="1"/>
  <c r="AR171" i="13"/>
  <c r="Q17" i="16" s="1"/>
  <c r="AO169" i="13"/>
  <c r="N15" i="16" s="1"/>
  <c r="N35"/>
  <c r="AS191" i="13"/>
  <c r="L56" i="16"/>
  <c r="AS213" i="13"/>
  <c r="AM170"/>
  <c r="L16" i="16" s="1"/>
  <c r="Q19"/>
  <c r="Q59"/>
  <c r="N37"/>
  <c r="AO171" i="13"/>
  <c r="N17" i="16" s="1"/>
  <c r="AS193" i="13"/>
  <c r="AI154"/>
  <c r="AF170"/>
  <c r="E16" i="16" s="1"/>
  <c r="E56"/>
  <c r="AI213" i="13"/>
  <c r="G35" i="16"/>
  <c r="AH169" i="13"/>
  <c r="G15" i="16" s="1"/>
  <c r="AI191" i="13"/>
  <c r="R38" i="16" l="1"/>
  <c r="AS172" i="13"/>
  <c r="R18" i="16" s="1"/>
  <c r="T18" s="1"/>
  <c r="H58"/>
  <c r="AI172" i="13"/>
  <c r="H18" i="16" s="1"/>
  <c r="AH170" i="13"/>
  <c r="G16" i="16" s="1"/>
  <c r="AS173" i="13"/>
  <c r="R19" i="16" s="1"/>
  <c r="T19" s="1"/>
  <c r="H59"/>
  <c r="AI173" i="13"/>
  <c r="H19" i="16" s="1"/>
  <c r="AI192" i="13"/>
  <c r="H36" i="16" s="1"/>
  <c r="AS168" i="13"/>
  <c r="R14" i="16" s="1"/>
  <c r="T14" s="1"/>
  <c r="R34"/>
  <c r="AI168" i="13"/>
  <c r="H14" i="16" s="1"/>
  <c r="H34"/>
  <c r="H56"/>
  <c r="AI217" i="13"/>
  <c r="H60" i="16" s="1"/>
  <c r="AS171" i="13"/>
  <c r="R17" i="16" s="1"/>
  <c r="T17" s="1"/>
  <c r="R37"/>
  <c r="H57"/>
  <c r="AI171" i="13"/>
  <c r="H17" i="16" s="1"/>
  <c r="R59"/>
  <c r="R56"/>
  <c r="AS217" i="13"/>
  <c r="AS170"/>
  <c r="R16" i="16" s="1"/>
  <c r="T16" s="1"/>
  <c r="AI169" i="13"/>
  <c r="H35" i="16"/>
  <c r="R35"/>
  <c r="AS169" i="13"/>
  <c r="AS196"/>
  <c r="H39" i="16"/>
  <c r="X17" l="1"/>
  <c r="Y17" s="1"/>
  <c r="J17"/>
  <c r="X14"/>
  <c r="J14"/>
  <c r="X19"/>
  <c r="Y19" s="1"/>
  <c r="J19"/>
  <c r="X18"/>
  <c r="Y18" s="1"/>
  <c r="J18"/>
  <c r="AI170" i="13"/>
  <c r="H16" i="16" s="1"/>
  <c r="AI196" i="13"/>
  <c r="H40" i="16" s="1"/>
  <c r="R60"/>
  <c r="AS218" i="13"/>
  <c r="R61" i="16" s="1"/>
  <c r="R40"/>
  <c r="AS176" i="13"/>
  <c r="R15" i="16"/>
  <c r="T15" s="1"/>
  <c r="AS174" i="13"/>
  <c r="H15" i="16"/>
  <c r="X16" l="1"/>
  <c r="Y16" s="1"/>
  <c r="J16"/>
  <c r="Y14"/>
  <c r="X15"/>
  <c r="Y15" s="1"/>
  <c r="J15"/>
  <c r="AI174" i="13"/>
  <c r="AS175" s="1"/>
  <c r="R21" i="16" s="1"/>
  <c r="AS197" i="13"/>
  <c r="R41" i="16" s="1"/>
  <c r="AI176" i="13"/>
  <c r="R20" i="16"/>
  <c r="X20" l="1"/>
  <c r="Y20"/>
  <c r="H20"/>
  <c r="AJ154" i="13"/>
</calcChain>
</file>

<file path=xl/comments1.xml><?xml version="1.0" encoding="utf-8"?>
<comments xmlns="http://schemas.openxmlformats.org/spreadsheetml/2006/main">
  <authors>
    <author>Eric C. Anderssen</author>
  </authors>
  <commentList>
    <comment ref="A123" authorId="0">
      <text>
        <r>
          <rPr>
            <b/>
            <sz val="9"/>
            <color indexed="81"/>
            <rFont val="Tahoma"/>
            <family val="2"/>
          </rPr>
          <t>Eric C. Anderssen:</t>
        </r>
        <r>
          <rPr>
            <sz val="9"/>
            <color indexed="81"/>
            <rFont val="Tahoma"/>
            <family val="2"/>
          </rPr>
          <t xml:space="preserve">
engineering done in pixel heating test 1.2.1…
</t>
        </r>
      </text>
    </comment>
  </commentList>
</comments>
</file>

<file path=xl/sharedStrings.xml><?xml version="1.0" encoding="utf-8"?>
<sst xmlns="http://schemas.openxmlformats.org/spreadsheetml/2006/main" count="1461" uniqueCount="297">
  <si>
    <t>Item</t>
  </si>
  <si>
    <t>Material Amt</t>
  </si>
  <si>
    <t>Units</t>
  </si>
  <si>
    <t>Material Cost</t>
  </si>
  <si>
    <t>Material Cost/Unit</t>
  </si>
  <si>
    <t xml:space="preserve"> </t>
  </si>
  <si>
    <t>Material</t>
  </si>
  <si>
    <t>Aluminum</t>
  </si>
  <si>
    <t>hours</t>
  </si>
  <si>
    <t>N/A</t>
  </si>
  <si>
    <t>MT Time</t>
  </si>
  <si>
    <t>Shop Time</t>
  </si>
  <si>
    <t>Materials Totals</t>
  </si>
  <si>
    <t>Shop Labor</t>
  </si>
  <si>
    <t>Tech Labor</t>
  </si>
  <si>
    <t>M&amp;S Cost</t>
  </si>
  <si>
    <t>Eng Time</t>
  </si>
  <si>
    <t>Engineering</t>
  </si>
  <si>
    <t>Unit</t>
  </si>
  <si>
    <t>Estimate</t>
  </si>
  <si>
    <t>Est Remaining</t>
  </si>
  <si>
    <t>Overage</t>
  </si>
  <si>
    <t>CMM</t>
  </si>
  <si>
    <t># (line-item-zeroing)</t>
  </si>
  <si>
    <t>Base or Contingency</t>
  </si>
  <si>
    <t>Shop</t>
  </si>
  <si>
    <t>M_Tech</t>
  </si>
  <si>
    <t>Engineer</t>
  </si>
  <si>
    <t>YEAR</t>
  </si>
  <si>
    <t>B</t>
  </si>
  <si>
    <t>C</t>
  </si>
  <si>
    <t>BASE</t>
  </si>
  <si>
    <t>CONTINGENCY</t>
  </si>
  <si>
    <t>Shop Cost</t>
  </si>
  <si>
    <t>MT Cost</t>
  </si>
  <si>
    <t>Totals</t>
  </si>
  <si>
    <t>Test</t>
  </si>
  <si>
    <t>Labor Cost Total (includes contingency)</t>
  </si>
  <si>
    <t>Materials Sub Totals</t>
  </si>
  <si>
    <t>Tooling</t>
  </si>
  <si>
    <t>Base Labor</t>
  </si>
  <si>
    <t>Sum</t>
  </si>
  <si>
    <t>Contingency</t>
  </si>
  <si>
    <t>Cost With Contingency</t>
  </si>
  <si>
    <t>Base Cost</t>
  </si>
  <si>
    <t>Underage(-)</t>
  </si>
  <si>
    <t>Spent To Date</t>
  </si>
  <si>
    <t>Protot or Production</t>
  </si>
  <si>
    <t>PD</t>
  </si>
  <si>
    <t>Sum Logic Code</t>
  </si>
  <si>
    <t>TRACKING</t>
  </si>
  <si>
    <t>BPD</t>
  </si>
  <si>
    <t>BPT</t>
  </si>
  <si>
    <t>CPT</t>
  </si>
  <si>
    <t>CPD</t>
  </si>
  <si>
    <t>checksum</t>
  </si>
  <si>
    <t>Production Base Cost</t>
  </si>
  <si>
    <t>Production Contingency Cost</t>
  </si>
  <si>
    <t>Percent</t>
  </si>
  <si>
    <t>Pre-Production Base Cost</t>
  </si>
  <si>
    <t>Pre-Production Contingency Cost</t>
  </si>
  <si>
    <t>Materials and Labor</t>
  </si>
  <si>
    <t>CF PEEK</t>
  </si>
  <si>
    <t>Steel</t>
  </si>
  <si>
    <t>Material Estimates per component</t>
  </si>
  <si>
    <t>Values used to estimate Size/Cost of Batch Orders--Does not report to Cost Summary</t>
  </si>
  <si>
    <t>Descriptor</t>
  </si>
  <si>
    <t>Quantity</t>
  </si>
  <si>
    <t>CPT (microns)</t>
  </si>
  <si>
    <t>Density (g/cc)</t>
  </si>
  <si>
    <t>Finished Form</t>
  </si>
  <si>
    <t>% Waste</t>
  </si>
  <si>
    <t>Length (cm)</t>
  </si>
  <si>
    <t>Diameter/Width (cm)</t>
  </si>
  <si>
    <t>Thickness (cm)</t>
  </si>
  <si>
    <t>Volume (cc)</t>
  </si>
  <si>
    <t>Mass (g)</t>
  </si>
  <si>
    <t>Pre-Preg Area  (m^2)</t>
  </si>
  <si>
    <t>Cost Per Unit</t>
  </si>
  <si>
    <t>Choose Unit</t>
  </si>
  <si>
    <t>Cost</t>
  </si>
  <si>
    <t>Prototype Mass</t>
  </si>
  <si>
    <t>Prototype Area</t>
  </si>
  <si>
    <t>/cc</t>
  </si>
  <si>
    <t>Bulk</t>
  </si>
  <si>
    <t>/g</t>
  </si>
  <si>
    <t>Plate</t>
  </si>
  <si>
    <t>/m^2</t>
  </si>
  <si>
    <t>Round</t>
  </si>
  <si>
    <t>Mandrel</t>
  </si>
  <si>
    <t>Pipe</t>
  </si>
  <si>
    <t>n/a</t>
  </si>
  <si>
    <t>Shell</t>
  </si>
  <si>
    <t>Mandrel End Plates</t>
  </si>
  <si>
    <t>CN60 Cloth</t>
  </si>
  <si>
    <t>Laminate</t>
  </si>
  <si>
    <t>EA9396</t>
  </si>
  <si>
    <t>Adhesive</t>
  </si>
  <si>
    <t>Components</t>
  </si>
  <si>
    <t>CF HoneyComb</t>
  </si>
  <si>
    <t>6061-T6</t>
  </si>
  <si>
    <t>Prototype Composites</t>
  </si>
  <si>
    <t>Support Beam Tool</t>
  </si>
  <si>
    <t>English</t>
  </si>
  <si>
    <t>Metric</t>
  </si>
  <si>
    <t>Quoted</t>
  </si>
  <si>
    <t>lb/in^3</t>
  </si>
  <si>
    <t>g/cc</t>
  </si>
  <si>
    <t>Cost/Unit</t>
  </si>
  <si>
    <t>$/lb</t>
  </si>
  <si>
    <t>$/g</t>
  </si>
  <si>
    <t>MIC-6</t>
  </si>
  <si>
    <t>7075-T6</t>
  </si>
  <si>
    <t>Titanium</t>
  </si>
  <si>
    <t>6Al4V</t>
  </si>
  <si>
    <t>304SS</t>
  </si>
  <si>
    <t>Carbon Fiber</t>
  </si>
  <si>
    <t>M55J-UDT</t>
  </si>
  <si>
    <t>CN60-PW</t>
  </si>
  <si>
    <t>YSH80A-UDT</t>
  </si>
  <si>
    <t>$/qt</t>
  </si>
  <si>
    <t>$/cc</t>
  </si>
  <si>
    <t>EA9394</t>
  </si>
  <si>
    <t>$/bdft</t>
  </si>
  <si>
    <t>Al HoneyComb</t>
  </si>
  <si>
    <t>Nomex HC</t>
  </si>
  <si>
    <t>Support Beam Machining Tool</t>
  </si>
  <si>
    <t>Thick Laminate</t>
  </si>
  <si>
    <t>Thick Laminate Test</t>
  </si>
  <si>
    <t>PEEK</t>
  </si>
  <si>
    <t>WBS</t>
  </si>
  <si>
    <t>PO/UC Number</t>
  </si>
  <si>
    <t>STAR</t>
  </si>
  <si>
    <t>Contributed Labor Excluded…</t>
  </si>
  <si>
    <t>Project Estimated Cost</t>
  </si>
  <si>
    <t>Project Estimated Contingency</t>
  </si>
  <si>
    <t>CONT</t>
  </si>
  <si>
    <t>(HIDE)</t>
  </si>
  <si>
    <t>(HIDE AS REQUIRED)</t>
  </si>
  <si>
    <t>1.2.1</t>
  </si>
  <si>
    <t>Insertion Test Bed</t>
  </si>
  <si>
    <t>Description</t>
  </si>
  <si>
    <t>WBS Descriptor</t>
  </si>
  <si>
    <t>&lt;--  Copy Down from this Cell both columns A and B to update WBS list</t>
  </si>
  <si>
    <t>IF need to copy below this line to contain WBS, need to update Data Validation for cells in column "U" (WBS) AND 'Look Up' vectors  for Column "V" (Descriptor)</t>
  </si>
  <si>
    <t>This table drives values in a lookup table in the Pre- and Production Sheet, columns U and V.  It is 'copied' into that sheet at the bottom, see notes there to understand how to modify this.  'Inserting' rows does not work, only adding, so must modify whole table--5 rows are available for additions...</t>
  </si>
  <si>
    <t>R&amp;D</t>
  </si>
  <si>
    <t>Values below used only for reference--not linked to data in sheet estimate…</t>
  </si>
  <si>
    <t>Construction</t>
  </si>
  <si>
    <t>Differential</t>
  </si>
  <si>
    <t>Change This to change burden rate…</t>
  </si>
  <si>
    <t>Construction Rate does not have full Burden--currently ~81% (below) of Full Burden at LBNL (R&amp;D Rate)</t>
  </si>
  <si>
    <t>PT</t>
  </si>
  <si>
    <t>Material Volumes</t>
  </si>
  <si>
    <t>D-Tube</t>
  </si>
  <si>
    <t>D-Tube Bond Tool</t>
  </si>
  <si>
    <t>Level Subtotal</t>
  </si>
  <si>
    <t>Checksum</t>
  </si>
  <si>
    <t>Item Bars</t>
  </si>
  <si>
    <t>Station Plates</t>
  </si>
  <si>
    <t>Kinematic Support Bars</t>
  </si>
  <si>
    <t>Rail Insert Supports</t>
  </si>
  <si>
    <t>Iteration</t>
  </si>
  <si>
    <t>Support Components</t>
  </si>
  <si>
    <t>Cart Prototype</t>
  </si>
  <si>
    <t>Cart Rail Rider prototype</t>
  </si>
  <si>
    <t>Cart Rail Rider iteration</t>
  </si>
  <si>
    <t>Low Mass Cart</t>
  </si>
  <si>
    <t>Cart Rail Rider</t>
  </si>
  <si>
    <t>1.2.4</t>
  </si>
  <si>
    <t>1.2.4.1</t>
  </si>
  <si>
    <t>Infrastructure</t>
  </si>
  <si>
    <t>Cables</t>
  </si>
  <si>
    <t>1.2.4.1.1</t>
  </si>
  <si>
    <t>Internal Cables (Engineering)</t>
  </si>
  <si>
    <t>1.2.4.1.2</t>
  </si>
  <si>
    <t>Internal Cables (Production)</t>
  </si>
  <si>
    <t>External Cables</t>
  </si>
  <si>
    <t>1.2.4.1.3</t>
  </si>
  <si>
    <t>1.2.4.1.3.1</t>
  </si>
  <si>
    <t>Type 1 (Bulkhead to DAQ Crate)</t>
  </si>
  <si>
    <t>Type 2 (DAQ to PS)</t>
  </si>
  <si>
    <t>1.2.4.1.3.2</t>
  </si>
  <si>
    <t>1.2.4.1.3.3</t>
  </si>
  <si>
    <t>Data/Control Fibers</t>
  </si>
  <si>
    <t>1.2.4.1.3.4</t>
  </si>
  <si>
    <t>Test Cables (External)</t>
  </si>
  <si>
    <t>1.2.4.1.3.5</t>
  </si>
  <si>
    <t>1.2.4.1.3.6</t>
  </si>
  <si>
    <t>1.2.4.1.3.7</t>
  </si>
  <si>
    <t>1.2.4.3</t>
  </si>
  <si>
    <t>Cooling Services</t>
  </si>
  <si>
    <t>1.2.4.2</t>
  </si>
  <si>
    <t>1.2.4.2.1</t>
  </si>
  <si>
    <t>Internal Ducting (Engineering)</t>
  </si>
  <si>
    <t>1.2.4.2.2</t>
  </si>
  <si>
    <t>Internal Ducting (Production)</t>
  </si>
  <si>
    <t>1.2.4.2.3</t>
  </si>
  <si>
    <t>External Ducting</t>
  </si>
  <si>
    <t>1.2.4.2.4</t>
  </si>
  <si>
    <t>Test Ducting</t>
  </si>
  <si>
    <t>Rack Equipment</t>
  </si>
  <si>
    <t>1.2.4.3.1</t>
  </si>
  <si>
    <t>DAQ Crate Prototype</t>
  </si>
  <si>
    <t>1.2.4.3.2</t>
  </si>
  <si>
    <t>DAQ Crate Production</t>
  </si>
  <si>
    <t>1.2.4.3.3</t>
  </si>
  <si>
    <t>Power Supplies</t>
  </si>
  <si>
    <t>1.2.4.3.4</t>
  </si>
  <si>
    <t>Cooling Plant</t>
  </si>
  <si>
    <t>1.2.4.3.5</t>
  </si>
  <si>
    <t>Test DAQ</t>
  </si>
  <si>
    <t>1.2.4.3.6</t>
  </si>
  <si>
    <t>Test Power Supplies</t>
  </si>
  <si>
    <t>1.2.4.3.7</t>
  </si>
  <si>
    <t>Test Cooling Plant</t>
  </si>
  <si>
    <t>Infrastructure (1.2.4)</t>
  </si>
  <si>
    <t>Data Control Fibers</t>
  </si>
  <si>
    <t>1.2.4.1.4</t>
  </si>
  <si>
    <t>1.2.4.1.4.1</t>
  </si>
  <si>
    <t>1.2.4.1.4.2</t>
  </si>
  <si>
    <t>1.2.4.1.4.3</t>
  </si>
  <si>
    <t>Cables Subtotal</t>
  </si>
  <si>
    <t>cable design</t>
  </si>
  <si>
    <t>connectors</t>
  </si>
  <si>
    <t>prototype construction</t>
  </si>
  <si>
    <t>Testing and validation</t>
  </si>
  <si>
    <t>contingency</t>
  </si>
  <si>
    <t>Cable Fabrication</t>
  </si>
  <si>
    <t xml:space="preserve">Order Contingency </t>
  </si>
  <si>
    <t>Acceptance testing</t>
  </si>
  <si>
    <t>acceptance testing</t>
  </si>
  <si>
    <t>interface PCB to cable tester, both ends</t>
  </si>
  <si>
    <t>cable modification (cut and solder PCB connector - 1/2 cable)</t>
  </si>
  <si>
    <t xml:space="preserve">Batch 1 cable modification </t>
  </si>
  <si>
    <t xml:space="preserve">Batch 2 cable modification </t>
  </si>
  <si>
    <t>Power cable design</t>
  </si>
  <si>
    <t>System control/config design</t>
  </si>
  <si>
    <t>System control/config prototype</t>
  </si>
  <si>
    <t>System control/config production</t>
  </si>
  <si>
    <t>Power cable production</t>
  </si>
  <si>
    <t>cable specify</t>
  </si>
  <si>
    <t>cable procurement</t>
  </si>
  <si>
    <t>Crate design</t>
  </si>
  <si>
    <t>RDO Crate Prototype</t>
  </si>
  <si>
    <t>RDO Crate Production</t>
  </si>
  <si>
    <t>Test RDO</t>
  </si>
  <si>
    <t>Type 1 (Bulkhead to RDO Crate)</t>
  </si>
  <si>
    <t>Type 2 (RDO to PS)</t>
  </si>
  <si>
    <t>Crate Production</t>
  </si>
  <si>
    <t>mount to pole tip or roll assembly</t>
  </si>
  <si>
    <t>Power supply specify</t>
  </si>
  <si>
    <t>procure 1st piece</t>
  </si>
  <si>
    <t>test and validate</t>
  </si>
  <si>
    <t>power supply production purchase</t>
  </si>
  <si>
    <t>nominal system configuration</t>
  </si>
  <si>
    <t>PostDoc (cont)</t>
  </si>
  <si>
    <t>Engineer (cont)</t>
  </si>
  <si>
    <t>Postdoc (cont)</t>
  </si>
  <si>
    <t>connectors specify</t>
  </si>
  <si>
    <t>cable modification (contingency)</t>
  </si>
  <si>
    <t>Batch 1 procurement (procured above)</t>
  </si>
  <si>
    <t>Batch 2 procurement (procured above)</t>
  </si>
  <si>
    <t>Power cable prototype</t>
  </si>
  <si>
    <t>DES</t>
  </si>
  <si>
    <t>control/config PC</t>
  </si>
  <si>
    <t>control/config cables</t>
  </si>
  <si>
    <t>engineering design</t>
  </si>
  <si>
    <t>spec size, insulation, material</t>
  </si>
  <si>
    <t>ducting prototype section</t>
  </si>
  <si>
    <t>testing and validation</t>
  </si>
  <si>
    <t>blower plant procure</t>
  </si>
  <si>
    <t>integration onto STAR platform</t>
  </si>
  <si>
    <t>Control / monitor and interlock system</t>
  </si>
  <si>
    <t>heat exchanger procure</t>
  </si>
  <si>
    <t>integration into clean area tent</t>
  </si>
  <si>
    <t>production ducting procure</t>
  </si>
  <si>
    <t xml:space="preserve">installation </t>
  </si>
  <si>
    <t>flange passthrough</t>
  </si>
  <si>
    <t>ft</t>
  </si>
  <si>
    <t>Cooling Services Subtotal</t>
  </si>
  <si>
    <t>installation</t>
  </si>
  <si>
    <t>HEPA filter procure procure</t>
  </si>
  <si>
    <t>installation at STAR</t>
  </si>
  <si>
    <t>blower plant procure (LBL has)</t>
  </si>
  <si>
    <t>HEPA filter procure</t>
  </si>
  <si>
    <t>ship to BNL</t>
  </si>
  <si>
    <t>mount to pole tip or roll assembly - STAR cont</t>
  </si>
  <si>
    <t>Control / monitor and interlock system (as above)</t>
  </si>
  <si>
    <t>Control / monitor and interlock system cont</t>
  </si>
  <si>
    <t>Batch 2 power distribution cable to MTB</t>
  </si>
  <si>
    <t>Power distribution cable to MTBs</t>
  </si>
  <si>
    <t>Batch 1 power distribution cable to MTB</t>
  </si>
  <si>
    <t>V0.5</t>
  </si>
  <si>
    <t>Delta</t>
  </si>
  <si>
    <t>FY</t>
  </si>
  <si>
    <t>V0.6</t>
  </si>
</sst>
</file>

<file path=xl/styles.xml><?xml version="1.0" encoding="utf-8"?>
<styleSheet xmlns="http://schemas.openxmlformats.org/spreadsheetml/2006/main">
  <numFmts count="7">
    <numFmt numFmtId="5" formatCode="&quot;$&quot;#,##0_);\(&quot;$&quot;#,##0\)"/>
    <numFmt numFmtId="6" formatCode="&quot;$&quot;#,##0_);[Red]\(&quot;$&quot;#,##0\)"/>
    <numFmt numFmtId="164" formatCode="&quot;$&quot;#,##0"/>
    <numFmt numFmtId="165" formatCode="0.0"/>
    <numFmt numFmtId="166" formatCode="&quot;$&quot;#,##0.00"/>
    <numFmt numFmtId="167" formatCode="0.0%"/>
    <numFmt numFmtId="168" formatCode="0.000"/>
  </numFmts>
  <fonts count="31">
    <font>
      <sz val="10"/>
      <name val="Arial"/>
    </font>
    <font>
      <b/>
      <sz val="10"/>
      <name val="Arial"/>
      <family val="2"/>
    </font>
    <font>
      <b/>
      <i/>
      <sz val="10"/>
      <color indexed="10"/>
      <name val="Arial"/>
      <family val="2"/>
    </font>
    <font>
      <sz val="10"/>
      <name val="Arial"/>
      <family val="2"/>
    </font>
    <font>
      <b/>
      <sz val="14"/>
      <name val="Arial"/>
      <family val="2"/>
    </font>
    <font>
      <sz val="10"/>
      <color indexed="10"/>
      <name val="Arial"/>
      <family val="2"/>
    </font>
    <font>
      <b/>
      <sz val="10"/>
      <color indexed="10"/>
      <name val="Arial"/>
      <family val="2"/>
    </font>
    <font>
      <i/>
      <sz val="10"/>
      <name val="Arial"/>
      <family val="2"/>
    </font>
    <font>
      <strike/>
      <sz val="10"/>
      <name val="Arial"/>
      <family val="2"/>
    </font>
    <font>
      <strike/>
      <sz val="10"/>
      <name val="Arial"/>
      <family val="2"/>
    </font>
    <font>
      <b/>
      <sz val="11"/>
      <color indexed="10"/>
      <name val="Arial"/>
      <family val="2"/>
    </font>
    <font>
      <i/>
      <sz val="10"/>
      <color indexed="10"/>
      <name val="Arial"/>
      <family val="2"/>
    </font>
    <font>
      <b/>
      <sz val="12"/>
      <color indexed="10"/>
      <name val="Arial"/>
      <family val="2"/>
    </font>
    <font>
      <b/>
      <sz val="12"/>
      <name val="Arial"/>
      <family val="2"/>
    </font>
    <font>
      <b/>
      <sz val="10"/>
      <color indexed="53"/>
      <name val="Arial"/>
      <family val="2"/>
    </font>
    <font>
      <i/>
      <sz val="9"/>
      <name val="Arial"/>
      <family val="2"/>
    </font>
    <font>
      <sz val="12"/>
      <color indexed="10"/>
      <name val="Arial"/>
      <family val="2"/>
    </font>
    <font>
      <sz val="10"/>
      <color indexed="53"/>
      <name val="Arial"/>
      <family val="2"/>
    </font>
    <font>
      <sz val="10"/>
      <color indexed="10"/>
      <name val="Arial"/>
      <family val="2"/>
    </font>
    <font>
      <sz val="14"/>
      <name val="Arial"/>
      <family val="2"/>
    </font>
    <font>
      <sz val="12"/>
      <name val="Arial"/>
      <family val="2"/>
    </font>
    <font>
      <b/>
      <sz val="10"/>
      <color indexed="10"/>
      <name val="Arial"/>
      <family val="2"/>
    </font>
    <font>
      <sz val="10"/>
      <name val="Arial"/>
      <family val="2"/>
    </font>
    <font>
      <sz val="9"/>
      <name val="Arial"/>
      <family val="2"/>
    </font>
    <font>
      <sz val="8"/>
      <name val="Arial"/>
      <family val="2"/>
    </font>
    <font>
      <sz val="11"/>
      <color rgb="FF9C0006"/>
      <name val="Calibri"/>
      <family val="2"/>
      <scheme val="minor"/>
    </font>
    <font>
      <b/>
      <sz val="11"/>
      <color rgb="FFFA7D00"/>
      <name val="Calibri"/>
      <family val="2"/>
      <scheme val="minor"/>
    </font>
    <font>
      <sz val="11"/>
      <color rgb="FF3F3F76"/>
      <name val="Calibri"/>
      <family val="2"/>
      <scheme val="minor"/>
    </font>
    <font>
      <sz val="9"/>
      <color indexed="81"/>
      <name val="Tahoma"/>
      <family val="2"/>
    </font>
    <font>
      <b/>
      <sz val="9"/>
      <color indexed="81"/>
      <name val="Tahoma"/>
      <family val="2"/>
    </font>
    <font>
      <sz val="10"/>
      <color rgb="FFFF0000"/>
      <name val="Arial"/>
      <family val="2"/>
    </font>
  </fonts>
  <fills count="7">
    <fill>
      <patternFill patternType="none"/>
    </fill>
    <fill>
      <patternFill patternType="gray125"/>
    </fill>
    <fill>
      <patternFill patternType="solid">
        <fgColor rgb="FFFFC7CE"/>
      </patternFill>
    </fill>
    <fill>
      <patternFill patternType="solid">
        <fgColor rgb="FFF2F2F2"/>
      </patternFill>
    </fill>
    <fill>
      <patternFill patternType="solid">
        <fgColor rgb="FFFFCC99"/>
      </patternFill>
    </fill>
    <fill>
      <patternFill patternType="solid">
        <fgColor rgb="FFFFFFCC"/>
      </patternFill>
    </fill>
    <fill>
      <patternFill patternType="solid">
        <fgColor rgb="FFFFFF00"/>
        <bgColor indexed="64"/>
      </patternFill>
    </fill>
  </fills>
  <borders count="4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5">
    <xf numFmtId="0" fontId="0" fillId="0" borderId="0"/>
    <xf numFmtId="0" fontId="25" fillId="2" borderId="0" applyNumberFormat="0" applyBorder="0" applyAlignment="0" applyProtection="0"/>
    <xf numFmtId="0" fontId="26" fillId="3" borderId="38" applyNumberFormat="0" applyAlignment="0" applyProtection="0"/>
    <xf numFmtId="0" fontId="27" fillId="4" borderId="38" applyNumberFormat="0" applyAlignment="0" applyProtection="0"/>
    <xf numFmtId="0" fontId="22" fillId="5" borderId="39" applyNumberFormat="0" applyFont="0" applyAlignment="0" applyProtection="0"/>
  </cellStyleXfs>
  <cellXfs count="305">
    <xf numFmtId="0" fontId="0" fillId="0" borderId="0" xfId="0"/>
    <xf numFmtId="0" fontId="2" fillId="0" borderId="0" xfId="0" applyFont="1"/>
    <xf numFmtId="0" fontId="0" fillId="0" borderId="0" xfId="0" applyBorder="1"/>
    <xf numFmtId="0" fontId="0" fillId="0" borderId="1" xfId="0" applyBorder="1"/>
    <xf numFmtId="0" fontId="0" fillId="0" borderId="0" xfId="0" applyBorder="1" applyAlignment="1">
      <alignment horizontal="right"/>
    </xf>
    <xf numFmtId="0" fontId="0" fillId="0" borderId="1" xfId="0" applyBorder="1" applyAlignment="1">
      <alignment horizontal="right"/>
    </xf>
    <xf numFmtId="0" fontId="2" fillId="0" borderId="0" xfId="0" applyFont="1" applyAlignment="1">
      <alignment horizontal="right"/>
    </xf>
    <xf numFmtId="0" fontId="0" fillId="0" borderId="0" xfId="0" applyAlignment="1">
      <alignment horizontal="right"/>
    </xf>
    <xf numFmtId="0" fontId="4" fillId="0" borderId="0" xfId="0" applyFont="1"/>
    <xf numFmtId="0" fontId="0" fillId="0" borderId="0" xfId="0" applyFill="1" applyBorder="1"/>
    <xf numFmtId="166" fontId="0" fillId="0" borderId="0" xfId="0" applyNumberFormat="1" applyAlignment="1">
      <alignment horizontal="center"/>
    </xf>
    <xf numFmtId="166" fontId="2" fillId="0" borderId="0" xfId="0" applyNumberFormat="1" applyFont="1" applyAlignment="1">
      <alignment horizontal="center"/>
    </xf>
    <xf numFmtId="0" fontId="2" fillId="0" borderId="0" xfId="0" applyFont="1" applyAlignment="1">
      <alignment horizontal="right" textRotation="90"/>
    </xf>
    <xf numFmtId="0" fontId="2" fillId="0" borderId="2" xfId="0" applyFont="1" applyBorder="1" applyAlignment="1">
      <alignment horizontal="right"/>
    </xf>
    <xf numFmtId="0" fontId="0" fillId="0" borderId="1" xfId="0" applyBorder="1" applyAlignment="1">
      <alignment horizontal="left"/>
    </xf>
    <xf numFmtId="0" fontId="1" fillId="0" borderId="0" xfId="0" applyFont="1" applyFill="1" applyBorder="1" applyAlignment="1">
      <alignment horizontal="right"/>
    </xf>
    <xf numFmtId="0" fontId="2" fillId="0" borderId="0" xfId="0" applyFont="1" applyFill="1" applyBorder="1"/>
    <xf numFmtId="0" fontId="7" fillId="0" borderId="0" xfId="0" applyFont="1" applyFill="1" applyBorder="1"/>
    <xf numFmtId="0" fontId="9" fillId="0" borderId="0" xfId="0" applyFont="1"/>
    <xf numFmtId="0" fontId="3" fillId="0" borderId="0" xfId="0" applyFont="1"/>
    <xf numFmtId="0" fontId="3" fillId="0" borderId="1" xfId="0" applyFont="1" applyBorder="1"/>
    <xf numFmtId="1" fontId="0" fillId="0" borderId="0" xfId="0" applyNumberFormat="1" applyAlignment="1">
      <alignment horizontal="center"/>
    </xf>
    <xf numFmtId="1" fontId="2" fillId="0" borderId="0" xfId="0" applyNumberFormat="1" applyFont="1" applyAlignment="1">
      <alignment horizontal="center"/>
    </xf>
    <xf numFmtId="1" fontId="3" fillId="0" borderId="0" xfId="0" applyNumberFormat="1" applyFont="1" applyAlignment="1">
      <alignment horizontal="center"/>
    </xf>
    <xf numFmtId="0" fontId="2" fillId="0" borderId="3" xfId="0" applyFont="1" applyBorder="1" applyAlignment="1">
      <alignment horizontal="right"/>
    </xf>
    <xf numFmtId="0" fontId="0" fillId="0" borderId="3" xfId="0" applyBorder="1"/>
    <xf numFmtId="0" fontId="2" fillId="0" borderId="4" xfId="0" applyFont="1" applyBorder="1" applyAlignment="1">
      <alignment horizontal="right"/>
    </xf>
    <xf numFmtId="0" fontId="2" fillId="0" borderId="5" xfId="0" applyFont="1" applyBorder="1" applyAlignment="1">
      <alignment horizontal="right"/>
    </xf>
    <xf numFmtId="0" fontId="2" fillId="0" borderId="6" xfId="0" applyFont="1" applyBorder="1" applyAlignment="1">
      <alignment horizontal="right"/>
    </xf>
    <xf numFmtId="0" fontId="0" fillId="0" borderId="7" xfId="0" applyBorder="1"/>
    <xf numFmtId="0" fontId="2" fillId="0" borderId="0" xfId="0" applyFont="1" applyBorder="1" applyAlignment="1">
      <alignment horizontal="right"/>
    </xf>
    <xf numFmtId="0" fontId="0" fillId="0" borderId="8" xfId="0" applyBorder="1" applyAlignment="1">
      <alignment horizontal="right"/>
    </xf>
    <xf numFmtId="1" fontId="3" fillId="0" borderId="9" xfId="0" applyNumberFormat="1" applyFont="1" applyBorder="1" applyAlignment="1">
      <alignment horizontal="right"/>
    </xf>
    <xf numFmtId="1" fontId="3" fillId="0" borderId="10" xfId="0" applyNumberFormat="1" applyFont="1" applyBorder="1" applyAlignment="1">
      <alignment horizontal="right"/>
    </xf>
    <xf numFmtId="0" fontId="2" fillId="0" borderId="8" xfId="0" applyFont="1" applyBorder="1" applyAlignment="1">
      <alignment horizontal="center"/>
    </xf>
    <xf numFmtId="1" fontId="11" fillId="0" borderId="9" xfId="0" applyNumberFormat="1" applyFont="1" applyBorder="1" applyAlignment="1">
      <alignment horizontal="right"/>
    </xf>
    <xf numFmtId="1" fontId="0" fillId="0" borderId="11" xfId="0" applyNumberFormat="1" applyBorder="1"/>
    <xf numFmtId="164" fontId="1" fillId="0" borderId="0" xfId="0" applyNumberFormat="1" applyFont="1" applyBorder="1" applyAlignment="1">
      <alignment horizontal="center"/>
    </xf>
    <xf numFmtId="164" fontId="1" fillId="0" borderId="0" xfId="0" applyNumberFormat="1" applyFont="1" applyBorder="1" applyAlignment="1">
      <alignment horizontal="right"/>
    </xf>
    <xf numFmtId="166" fontId="1" fillId="0" borderId="0" xfId="0" applyNumberFormat="1" applyFont="1" applyBorder="1" applyAlignment="1">
      <alignment horizontal="center"/>
    </xf>
    <xf numFmtId="1" fontId="1" fillId="0" borderId="12" xfId="0" applyNumberFormat="1" applyFont="1" applyBorder="1" applyAlignment="1">
      <alignment horizontal="center"/>
    </xf>
    <xf numFmtId="0" fontId="2" fillId="0" borderId="13" xfId="0" applyFont="1" applyBorder="1" applyAlignment="1">
      <alignment horizontal="center" textRotation="90"/>
    </xf>
    <xf numFmtId="0" fontId="2" fillId="0" borderId="14" xfId="0" applyFont="1" applyBorder="1" applyAlignment="1">
      <alignment horizontal="right"/>
    </xf>
    <xf numFmtId="166" fontId="2" fillId="0" borderId="14" xfId="0" applyNumberFormat="1" applyFont="1" applyBorder="1" applyAlignment="1">
      <alignment horizontal="center"/>
    </xf>
    <xf numFmtId="1" fontId="2" fillId="0" borderId="15" xfId="0" applyNumberFormat="1" applyFont="1" applyBorder="1" applyAlignment="1">
      <alignment horizontal="center"/>
    </xf>
    <xf numFmtId="0" fontId="3" fillId="0" borderId="0" xfId="0" applyFont="1" applyAlignment="1">
      <alignment horizontal="left" indent="2"/>
    </xf>
    <xf numFmtId="0" fontId="1" fillId="0" borderId="0" xfId="0" applyFont="1" applyAlignment="1">
      <alignment horizontal="left" indent="1"/>
    </xf>
    <xf numFmtId="0" fontId="13" fillId="0" borderId="0" xfId="0" applyFont="1" applyBorder="1"/>
    <xf numFmtId="0" fontId="13" fillId="0" borderId="0" xfId="0" applyFont="1"/>
    <xf numFmtId="0" fontId="1" fillId="0" borderId="0" xfId="0" applyFont="1"/>
    <xf numFmtId="0" fontId="1" fillId="0" borderId="16" xfId="0" applyFont="1" applyBorder="1" applyAlignment="1">
      <alignment horizontal="center"/>
    </xf>
    <xf numFmtId="0" fontId="1" fillId="0" borderId="8" xfId="0" applyFont="1" applyBorder="1" applyAlignment="1">
      <alignment horizontal="center"/>
    </xf>
    <xf numFmtId="6" fontId="14" fillId="0" borderId="17" xfId="0" applyNumberFormat="1" applyFont="1" applyBorder="1" applyAlignment="1">
      <alignment horizontal="center"/>
    </xf>
    <xf numFmtId="0" fontId="1" fillId="0" borderId="0" xfId="0" applyFont="1" applyAlignment="1">
      <alignment horizontal="center"/>
    </xf>
    <xf numFmtId="1" fontId="1" fillId="0" borderId="9" xfId="0" applyNumberFormat="1" applyFont="1" applyBorder="1" applyAlignment="1">
      <alignment horizontal="right"/>
    </xf>
    <xf numFmtId="0" fontId="1" fillId="0" borderId="0" xfId="0" applyFont="1" applyBorder="1" applyAlignment="1">
      <alignment horizontal="right"/>
    </xf>
    <xf numFmtId="0" fontId="1" fillId="0" borderId="0" xfId="0" applyNumberFormat="1" applyFont="1" applyBorder="1" applyAlignment="1">
      <alignment horizontal="right"/>
    </xf>
    <xf numFmtId="0" fontId="1" fillId="0" borderId="8" xfId="0" applyFont="1" applyBorder="1" applyAlignment="1">
      <alignment horizontal="right"/>
    </xf>
    <xf numFmtId="0" fontId="1" fillId="0" borderId="0" xfId="0" applyFont="1" applyAlignment="1">
      <alignment horizontal="right"/>
    </xf>
    <xf numFmtId="164" fontId="2" fillId="0" borderId="0" xfId="0" applyNumberFormat="1" applyFont="1" applyAlignment="1">
      <alignment horizontal="right" textRotation="90"/>
    </xf>
    <xf numFmtId="164" fontId="1" fillId="0" borderId="0" xfId="0" applyNumberFormat="1" applyFont="1" applyAlignment="1">
      <alignment horizontal="right"/>
    </xf>
    <xf numFmtId="164" fontId="1" fillId="0" borderId="9" xfId="0" applyNumberFormat="1" applyFont="1" applyBorder="1" applyAlignment="1">
      <alignment horizontal="right"/>
    </xf>
    <xf numFmtId="165" fontId="1" fillId="0" borderId="0" xfId="0" applyNumberFormat="1" applyFont="1" applyBorder="1" applyAlignment="1">
      <alignment horizontal="right"/>
    </xf>
    <xf numFmtId="165" fontId="1" fillId="0" borderId="9" xfId="0" applyNumberFormat="1" applyFont="1" applyBorder="1" applyAlignment="1">
      <alignment horizontal="right"/>
    </xf>
    <xf numFmtId="0" fontId="3" fillId="0" borderId="0" xfId="0" applyFont="1" applyAlignment="1">
      <alignment horizontal="left" indent="3"/>
    </xf>
    <xf numFmtId="0" fontId="15" fillId="0" borderId="0" xfId="0" applyFont="1" applyAlignment="1">
      <alignment horizontal="right"/>
    </xf>
    <xf numFmtId="164" fontId="16" fillId="0" borderId="0" xfId="0" applyNumberFormat="1" applyFont="1"/>
    <xf numFmtId="164" fontId="16" fillId="0" borderId="0" xfId="0" applyNumberFormat="1" applyFont="1" applyAlignment="1">
      <alignment horizontal="right"/>
    </xf>
    <xf numFmtId="0" fontId="3" fillId="0" borderId="7" xfId="0" applyFont="1" applyBorder="1"/>
    <xf numFmtId="0" fontId="2" fillId="0" borderId="14" xfId="0" applyFont="1" applyBorder="1" applyAlignment="1">
      <alignment horizontal="center" textRotation="90"/>
    </xf>
    <xf numFmtId="0" fontId="1" fillId="0" borderId="7"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xf>
    <xf numFmtId="6" fontId="14" fillId="0" borderId="1" xfId="0" applyNumberFormat="1" applyFont="1" applyBorder="1" applyAlignment="1">
      <alignment horizontal="center"/>
    </xf>
    <xf numFmtId="0" fontId="3" fillId="0" borderId="0" xfId="0" applyFont="1" applyAlignment="1">
      <alignment horizontal="center"/>
    </xf>
    <xf numFmtId="0" fontId="5" fillId="0" borderId="14" xfId="0" applyFont="1" applyBorder="1" applyAlignment="1">
      <alignment horizontal="center" textRotation="90"/>
    </xf>
    <xf numFmtId="0" fontId="0" fillId="0" borderId="0" xfId="0" applyNumberFormat="1" applyAlignment="1">
      <alignment horizontal="right"/>
    </xf>
    <xf numFmtId="0" fontId="18" fillId="0" borderId="0" xfId="0" applyFont="1" applyAlignment="1">
      <alignment horizontal="right"/>
    </xf>
    <xf numFmtId="1" fontId="0" fillId="0" borderId="0" xfId="0" applyNumberFormat="1" applyAlignment="1">
      <alignment horizontal="right"/>
    </xf>
    <xf numFmtId="164" fontId="0" fillId="0" borderId="0" xfId="0" applyNumberFormat="1" applyAlignment="1"/>
    <xf numFmtId="2" fontId="0" fillId="0" borderId="0" xfId="0" applyNumberFormat="1" applyAlignment="1">
      <alignment horizontal="right"/>
    </xf>
    <xf numFmtId="0" fontId="0" fillId="0" borderId="0" xfId="0" applyAlignment="1">
      <alignment horizontal="left"/>
    </xf>
    <xf numFmtId="0" fontId="3" fillId="0" borderId="0" xfId="0" applyFont="1" applyAlignment="1">
      <alignment horizontal="center" wrapText="1"/>
    </xf>
    <xf numFmtId="1" fontId="3" fillId="0" borderId="0" xfId="0" applyNumberFormat="1" applyFont="1" applyAlignment="1">
      <alignment horizontal="center" wrapText="1"/>
    </xf>
    <xf numFmtId="165" fontId="3" fillId="0" borderId="0" xfId="0" applyNumberFormat="1" applyFont="1" applyAlignment="1">
      <alignment horizontal="center" wrapText="1"/>
    </xf>
    <xf numFmtId="168" fontId="3" fillId="0" borderId="0" xfId="0" applyNumberFormat="1" applyFont="1" applyAlignment="1">
      <alignment horizontal="center" wrapText="1"/>
    </xf>
    <xf numFmtId="0" fontId="3" fillId="0" borderId="0" xfId="0" applyFont="1" applyAlignment="1">
      <alignment wrapText="1"/>
    </xf>
    <xf numFmtId="164" fontId="3" fillId="0" borderId="0" xfId="0" applyNumberFormat="1" applyFont="1" applyAlignment="1">
      <alignment horizontal="center" wrapText="1"/>
    </xf>
    <xf numFmtId="2" fontId="3" fillId="0" borderId="0" xfId="0" applyNumberFormat="1" applyFont="1" applyAlignment="1">
      <alignment horizontal="center" wrapText="1"/>
    </xf>
    <xf numFmtId="0" fontId="0" fillId="0" borderId="0" xfId="0" applyAlignment="1"/>
    <xf numFmtId="0" fontId="3" fillId="0" borderId="0" xfId="0" applyFont="1" applyAlignment="1">
      <alignment horizontal="right"/>
    </xf>
    <xf numFmtId="1" fontId="3" fillId="0" borderId="0" xfId="0" applyNumberFormat="1" applyFont="1" applyAlignment="1">
      <alignment wrapText="1"/>
    </xf>
    <xf numFmtId="165" fontId="3" fillId="0" borderId="0" xfId="0" applyNumberFormat="1" applyFont="1" applyAlignment="1">
      <alignment wrapText="1"/>
    </xf>
    <xf numFmtId="168" fontId="3" fillId="0" borderId="0" xfId="0" applyNumberFormat="1" applyFont="1" applyAlignment="1">
      <alignment wrapText="1"/>
    </xf>
    <xf numFmtId="0" fontId="3" fillId="0" borderId="0" xfId="0" applyFont="1" applyAlignment="1">
      <alignment horizontal="left"/>
    </xf>
    <xf numFmtId="0" fontId="20" fillId="0" borderId="0" xfId="0" applyFont="1"/>
    <xf numFmtId="0" fontId="3" fillId="0" borderId="0" xfId="0" applyFont="1" applyAlignment="1"/>
    <xf numFmtId="0" fontId="0" fillId="0" borderId="0" xfId="0" applyAlignment="1">
      <alignment horizontal="center"/>
    </xf>
    <xf numFmtId="0" fontId="0" fillId="0" borderId="0" xfId="0" applyAlignment="1">
      <alignment horizontal="left" indent="1"/>
    </xf>
    <xf numFmtId="9" fontId="0" fillId="0" borderId="0" xfId="0" applyNumberFormat="1" applyAlignment="1"/>
    <xf numFmtId="1" fontId="0" fillId="0" borderId="0" xfId="0" applyNumberFormat="1" applyAlignment="1"/>
    <xf numFmtId="165" fontId="0" fillId="0" borderId="0" xfId="0" applyNumberFormat="1" applyAlignment="1"/>
    <xf numFmtId="168" fontId="0" fillId="0" borderId="0" xfId="0" applyNumberFormat="1" applyAlignment="1"/>
    <xf numFmtId="166" fontId="0" fillId="0" borderId="0" xfId="0" applyNumberFormat="1" applyAlignment="1"/>
    <xf numFmtId="2" fontId="0" fillId="0" borderId="0" xfId="0" applyNumberFormat="1" applyAlignment="1"/>
    <xf numFmtId="0" fontId="0" fillId="0" borderId="0" xfId="0" applyFont="1" applyAlignment="1"/>
    <xf numFmtId="168" fontId="3" fillId="0" borderId="0" xfId="0" applyNumberFormat="1" applyFont="1"/>
    <xf numFmtId="2" fontId="3" fillId="0" borderId="0" xfId="0" applyNumberFormat="1" applyFont="1"/>
    <xf numFmtId="168" fontId="0" fillId="0" borderId="0" xfId="0" applyNumberFormat="1"/>
    <xf numFmtId="0" fontId="1" fillId="0" borderId="0" xfId="0" applyFont="1" applyAlignment="1">
      <alignment horizontal="left"/>
    </xf>
    <xf numFmtId="164" fontId="0" fillId="0" borderId="0" xfId="0" applyNumberFormat="1" applyAlignment="1">
      <alignment horizontal="right"/>
    </xf>
    <xf numFmtId="3" fontId="0" fillId="0" borderId="0" xfId="0" applyNumberFormat="1" applyAlignment="1"/>
    <xf numFmtId="1" fontId="1" fillId="0" borderId="5" xfId="0" applyNumberFormat="1" applyFont="1" applyBorder="1" applyAlignment="1"/>
    <xf numFmtId="1" fontId="1" fillId="0" borderId="2" xfId="0" applyNumberFormat="1" applyFont="1" applyBorder="1" applyAlignment="1"/>
    <xf numFmtId="1" fontId="1" fillId="0" borderId="6" xfId="0" applyNumberFormat="1" applyFont="1" applyBorder="1" applyAlignment="1"/>
    <xf numFmtId="1" fontId="0" fillId="0" borderId="5" xfId="0" applyNumberFormat="1" applyBorder="1" applyAlignment="1"/>
    <xf numFmtId="1" fontId="0" fillId="0" borderId="2" xfId="0" applyNumberFormat="1" applyBorder="1" applyAlignment="1"/>
    <xf numFmtId="1" fontId="0" fillId="0" borderId="6" xfId="0" applyNumberFormat="1" applyBorder="1" applyAlignment="1"/>
    <xf numFmtId="3" fontId="1" fillId="0" borderId="2" xfId="0" applyNumberFormat="1" applyFont="1" applyBorder="1" applyAlignment="1"/>
    <xf numFmtId="3" fontId="0" fillId="0" borderId="2" xfId="0" applyNumberFormat="1" applyBorder="1" applyAlignment="1"/>
    <xf numFmtId="3" fontId="0" fillId="0" borderId="18" xfId="0" applyNumberFormat="1" applyBorder="1" applyAlignment="1"/>
    <xf numFmtId="164" fontId="0" fillId="0" borderId="2" xfId="0" applyNumberFormat="1" applyBorder="1" applyAlignment="1"/>
    <xf numFmtId="3" fontId="0" fillId="0" borderId="5" xfId="0" applyNumberFormat="1" applyBorder="1" applyAlignment="1"/>
    <xf numFmtId="3" fontId="0" fillId="0" borderId="6" xfId="0" applyNumberFormat="1" applyBorder="1" applyAlignment="1"/>
    <xf numFmtId="3" fontId="0" fillId="0" borderId="19" xfId="0" applyNumberFormat="1" applyBorder="1" applyAlignment="1"/>
    <xf numFmtId="3" fontId="0" fillId="0" borderId="20" xfId="0" applyNumberFormat="1" applyBorder="1" applyAlignment="1"/>
    <xf numFmtId="0" fontId="3" fillId="0" borderId="0" xfId="0" applyFont="1" applyAlignment="1">
      <alignment horizontal="left" indent="1"/>
    </xf>
    <xf numFmtId="0" fontId="27" fillId="4" borderId="38" xfId="3"/>
    <xf numFmtId="0" fontId="26" fillId="3" borderId="38" xfId="2"/>
    <xf numFmtId="10" fontId="27" fillId="4" borderId="38" xfId="3" applyNumberFormat="1"/>
    <xf numFmtId="0" fontId="3" fillId="0" borderId="0" xfId="0" applyFont="1" applyBorder="1"/>
    <xf numFmtId="0" fontId="3" fillId="0" borderId="8" xfId="0" applyFont="1" applyBorder="1" applyAlignment="1">
      <alignment horizontal="right"/>
    </xf>
    <xf numFmtId="0" fontId="3" fillId="0" borderId="0" xfId="0" applyFont="1" applyBorder="1" applyAlignment="1">
      <alignment horizontal="right"/>
    </xf>
    <xf numFmtId="0" fontId="8" fillId="0" borderId="0" xfId="0" applyFont="1"/>
    <xf numFmtId="165" fontId="2" fillId="0" borderId="0" xfId="0" applyNumberFormat="1" applyFont="1" applyAlignment="1">
      <alignment horizontal="right" textRotation="90"/>
    </xf>
    <xf numFmtId="0" fontId="3" fillId="0" borderId="0" xfId="0" applyNumberFormat="1" applyFont="1" applyBorder="1" applyAlignment="1">
      <alignment horizontal="right"/>
    </xf>
    <xf numFmtId="0" fontId="25" fillId="2" borderId="0" xfId="1" applyBorder="1" applyAlignment="1">
      <alignment horizontal="left"/>
    </xf>
    <xf numFmtId="0" fontId="3" fillId="0" borderId="7" xfId="0" applyFont="1" applyBorder="1" applyAlignment="1">
      <alignment horizontal="left"/>
    </xf>
    <xf numFmtId="0" fontId="3" fillId="0" borderId="0" xfId="0" applyFont="1" applyBorder="1" applyAlignment="1">
      <alignment horizontal="left"/>
    </xf>
    <xf numFmtId="6" fontId="17" fillId="0" borderId="1" xfId="0" applyNumberFormat="1" applyFont="1" applyBorder="1" applyAlignment="1">
      <alignment horizontal="left"/>
    </xf>
    <xf numFmtId="0" fontId="5" fillId="0" borderId="0" xfId="0" applyFont="1" applyBorder="1" applyAlignment="1">
      <alignment horizontal="left"/>
    </xf>
    <xf numFmtId="164" fontId="3" fillId="0" borderId="0" xfId="0" applyNumberFormat="1" applyFont="1" applyBorder="1" applyAlignment="1">
      <alignment horizontal="left"/>
    </xf>
    <xf numFmtId="0" fontId="21" fillId="0" borderId="14" xfId="0" applyFont="1" applyBorder="1" applyAlignment="1">
      <alignment horizontal="center"/>
    </xf>
    <xf numFmtId="0" fontId="6" fillId="0" borderId="14" xfId="0" applyFont="1" applyBorder="1" applyAlignment="1">
      <alignment horizontal="center" wrapText="1"/>
    </xf>
    <xf numFmtId="166" fontId="0" fillId="0" borderId="0" xfId="0" applyNumberFormat="1" applyAlignment="1">
      <alignment horizontal="right"/>
    </xf>
    <xf numFmtId="1" fontId="26" fillId="3" borderId="38" xfId="2" applyNumberFormat="1" applyAlignment="1"/>
    <xf numFmtId="0" fontId="7" fillId="0" borderId="0" xfId="0" applyFont="1" applyAlignment="1">
      <alignment horizontal="right"/>
    </xf>
    <xf numFmtId="166" fontId="7" fillId="0" borderId="0" xfId="0" applyNumberFormat="1" applyFont="1" applyAlignment="1">
      <alignment horizontal="center"/>
    </xf>
    <xf numFmtId="1" fontId="7" fillId="0" borderId="0" xfId="0" applyNumberFormat="1" applyFont="1" applyAlignment="1">
      <alignment horizontal="right"/>
    </xf>
    <xf numFmtId="1" fontId="7" fillId="0" borderId="0" xfId="0" applyNumberFormat="1" applyFont="1" applyAlignment="1">
      <alignment horizontal="left"/>
    </xf>
    <xf numFmtId="165" fontId="3" fillId="0" borderId="0" xfId="0" applyNumberFormat="1" applyFont="1" applyAlignment="1">
      <alignment horizontal="center" textRotation="180"/>
    </xf>
    <xf numFmtId="165" fontId="0" fillId="0" borderId="0" xfId="0" applyNumberFormat="1" applyAlignment="1">
      <alignment horizontal="center"/>
    </xf>
    <xf numFmtId="164" fontId="3" fillId="0" borderId="0" xfId="0" applyNumberFormat="1" applyFont="1" applyAlignment="1">
      <alignment horizontal="left"/>
    </xf>
    <xf numFmtId="165" fontId="0" fillId="0" borderId="0" xfId="0" applyNumberFormat="1" applyAlignment="1">
      <alignment horizontal="right"/>
    </xf>
    <xf numFmtId="165" fontId="0" fillId="0" borderId="0" xfId="0" applyNumberFormat="1" applyFill="1" applyAlignment="1">
      <alignment horizontal="right"/>
    </xf>
    <xf numFmtId="0" fontId="0" fillId="0" borderId="0" xfId="0" applyFill="1" applyAlignment="1">
      <alignment horizontal="right"/>
    </xf>
    <xf numFmtId="165" fontId="2" fillId="0" borderId="0" xfId="0" applyNumberFormat="1" applyFont="1" applyFill="1" applyAlignment="1">
      <alignment horizontal="right" textRotation="90"/>
    </xf>
    <xf numFmtId="0" fontId="2" fillId="0" borderId="0" xfId="0" applyFont="1" applyAlignment="1">
      <alignment horizontal="right" textRotation="90" wrapText="1"/>
    </xf>
    <xf numFmtId="0" fontId="2" fillId="0" borderId="0" xfId="0" applyFont="1" applyFill="1" applyAlignment="1">
      <alignment horizontal="right" textRotation="90"/>
    </xf>
    <xf numFmtId="0" fontId="2" fillId="0" borderId="0" xfId="0" applyFont="1" applyAlignment="1">
      <alignment horizontal="right" wrapText="1"/>
    </xf>
    <xf numFmtId="165" fontId="0" fillId="0" borderId="0" xfId="0" applyNumberFormat="1" applyBorder="1" applyAlignment="1">
      <alignment horizontal="right"/>
    </xf>
    <xf numFmtId="164" fontId="0" fillId="0" borderId="0" xfId="0" applyNumberFormat="1" applyBorder="1" applyAlignment="1">
      <alignment horizontal="right"/>
    </xf>
    <xf numFmtId="164" fontId="0" fillId="0" borderId="9" xfId="0" applyNumberFormat="1" applyBorder="1" applyAlignment="1">
      <alignment horizontal="right"/>
    </xf>
    <xf numFmtId="165" fontId="0" fillId="0" borderId="7" xfId="0" applyNumberFormat="1" applyBorder="1" applyAlignment="1">
      <alignment horizontal="right"/>
    </xf>
    <xf numFmtId="165" fontId="0" fillId="0" borderId="7" xfId="0" applyNumberFormat="1" applyFill="1" applyBorder="1" applyAlignment="1">
      <alignment horizontal="right"/>
    </xf>
    <xf numFmtId="165" fontId="0" fillId="0" borderId="11" xfId="0" applyNumberFormat="1" applyFill="1" applyBorder="1" applyAlignment="1">
      <alignment horizontal="right"/>
    </xf>
    <xf numFmtId="0" fontId="0" fillId="0" borderId="0" xfId="0" applyFill="1" applyBorder="1" applyAlignment="1">
      <alignment horizontal="right"/>
    </xf>
    <xf numFmtId="165" fontId="3" fillId="0" borderId="0" xfId="0" applyNumberFormat="1" applyFont="1" applyAlignment="1">
      <alignment horizontal="right"/>
    </xf>
    <xf numFmtId="164" fontId="3" fillId="0" borderId="0" xfId="0" applyNumberFormat="1" applyFont="1" applyAlignment="1">
      <alignment horizontal="right"/>
    </xf>
    <xf numFmtId="164" fontId="3" fillId="0" borderId="9" xfId="0" applyNumberFormat="1" applyFont="1" applyBorder="1" applyAlignment="1">
      <alignment horizontal="right"/>
    </xf>
    <xf numFmtId="165" fontId="3" fillId="0" borderId="0" xfId="0" applyNumberFormat="1" applyFont="1" applyBorder="1" applyAlignment="1">
      <alignment horizontal="right"/>
    </xf>
    <xf numFmtId="165" fontId="3" fillId="0" borderId="9" xfId="0" applyNumberFormat="1" applyFont="1" applyBorder="1" applyAlignment="1">
      <alignment horizontal="right"/>
    </xf>
    <xf numFmtId="3" fontId="3" fillId="0" borderId="0" xfId="0" applyNumberFormat="1" applyFont="1" applyAlignment="1">
      <alignment horizontal="right"/>
    </xf>
    <xf numFmtId="165" fontId="0" fillId="0" borderId="1" xfId="0" applyNumberFormat="1" applyBorder="1" applyAlignment="1">
      <alignment horizontal="right"/>
    </xf>
    <xf numFmtId="164" fontId="0" fillId="0" borderId="1" xfId="0" applyNumberFormat="1" applyBorder="1" applyAlignment="1">
      <alignment horizontal="right"/>
    </xf>
    <xf numFmtId="164" fontId="0" fillId="0" borderId="10" xfId="0" applyNumberFormat="1" applyBorder="1" applyAlignment="1">
      <alignment horizontal="right"/>
    </xf>
    <xf numFmtId="165" fontId="0" fillId="0" borderId="10" xfId="0" applyNumberFormat="1" applyBorder="1" applyAlignment="1">
      <alignment horizontal="right"/>
    </xf>
    <xf numFmtId="165" fontId="0" fillId="0" borderId="9" xfId="0" applyNumberFormat="1" applyBorder="1" applyAlignment="1">
      <alignment horizontal="right"/>
    </xf>
    <xf numFmtId="3" fontId="0" fillId="0" borderId="0" xfId="0" applyNumberFormat="1" applyAlignment="1">
      <alignment horizontal="right"/>
    </xf>
    <xf numFmtId="0" fontId="13" fillId="0" borderId="0" xfId="0" applyFont="1" applyAlignment="1">
      <alignment horizontal="right"/>
    </xf>
    <xf numFmtId="164" fontId="15" fillId="0" borderId="0" xfId="0" applyNumberFormat="1" applyFont="1" applyAlignment="1">
      <alignment horizontal="right"/>
    </xf>
    <xf numFmtId="165" fontId="1" fillId="0" borderId="0" xfId="0" applyNumberFormat="1" applyFont="1" applyAlignment="1">
      <alignment horizontal="right"/>
    </xf>
    <xf numFmtId="3" fontId="1" fillId="0" borderId="0" xfId="0" applyNumberFormat="1" applyFont="1" applyAlignment="1">
      <alignment horizontal="right"/>
    </xf>
    <xf numFmtId="0" fontId="1" fillId="0" borderId="7" xfId="0" applyFont="1" applyBorder="1" applyAlignment="1">
      <alignment horizontal="right"/>
    </xf>
    <xf numFmtId="165" fontId="2" fillId="0" borderId="0" xfId="0" applyNumberFormat="1" applyFont="1" applyFill="1" applyBorder="1" applyAlignment="1">
      <alignment horizontal="right"/>
    </xf>
    <xf numFmtId="164" fontId="2" fillId="0" borderId="0" xfId="0" applyNumberFormat="1" applyFont="1" applyFill="1" applyBorder="1" applyAlignment="1">
      <alignment horizontal="right"/>
    </xf>
    <xf numFmtId="165" fontId="2" fillId="0" borderId="0" xfId="0" applyNumberFormat="1" applyFont="1" applyAlignment="1">
      <alignment horizontal="right"/>
    </xf>
    <xf numFmtId="165" fontId="2" fillId="0" borderId="0" xfId="0" applyNumberFormat="1" applyFont="1" applyFill="1" applyAlignment="1">
      <alignment horizontal="right"/>
    </xf>
    <xf numFmtId="0" fontId="2" fillId="0" borderId="0" xfId="0" applyFont="1" applyFill="1" applyAlignment="1">
      <alignment horizontal="right"/>
    </xf>
    <xf numFmtId="165" fontId="7" fillId="0" borderId="0" xfId="0" applyNumberFormat="1" applyFont="1" applyFill="1" applyBorder="1" applyAlignment="1">
      <alignment horizontal="right"/>
    </xf>
    <xf numFmtId="164" fontId="7" fillId="0" borderId="0" xfId="0" applyNumberFormat="1" applyFont="1" applyFill="1" applyBorder="1" applyAlignment="1">
      <alignment horizontal="right"/>
    </xf>
    <xf numFmtId="165" fontId="7" fillId="0" borderId="0" xfId="0" applyNumberFormat="1" applyFont="1" applyAlignment="1">
      <alignment horizontal="right"/>
    </xf>
    <xf numFmtId="165" fontId="7" fillId="0" borderId="0" xfId="0" applyNumberFormat="1" applyFont="1" applyFill="1" applyAlignment="1">
      <alignment horizontal="right"/>
    </xf>
    <xf numFmtId="0" fontId="7" fillId="0" borderId="0" xfId="0" applyFont="1" applyFill="1" applyAlignment="1">
      <alignment horizontal="right"/>
    </xf>
    <xf numFmtId="5" fontId="2" fillId="0" borderId="0" xfId="0" applyNumberFormat="1" applyFont="1" applyAlignment="1">
      <alignment horizontal="right"/>
    </xf>
    <xf numFmtId="6" fontId="2" fillId="0" borderId="0" xfId="0" applyNumberFormat="1" applyFont="1" applyAlignment="1">
      <alignment horizontal="right"/>
    </xf>
    <xf numFmtId="165" fontId="0" fillId="0" borderId="0" xfId="0" applyNumberFormat="1" applyFill="1" applyBorder="1" applyAlignment="1">
      <alignment horizontal="right"/>
    </xf>
    <xf numFmtId="164" fontId="0" fillId="0" borderId="0" xfId="0" applyNumberFormat="1" applyFill="1" applyBorder="1" applyAlignment="1">
      <alignment horizontal="right"/>
    </xf>
    <xf numFmtId="165" fontId="0" fillId="5" borderId="39" xfId="4" applyNumberFormat="1" applyFont="1" applyAlignment="1">
      <alignment horizontal="right"/>
    </xf>
    <xf numFmtId="165" fontId="1" fillId="5" borderId="39" xfId="4" applyNumberFormat="1" applyFont="1" applyAlignment="1">
      <alignment horizontal="right"/>
    </xf>
    <xf numFmtId="164" fontId="1" fillId="0" borderId="0" xfId="0" applyNumberFormat="1" applyFont="1" applyFill="1" applyBorder="1" applyAlignment="1">
      <alignment horizontal="right"/>
    </xf>
    <xf numFmtId="165" fontId="7" fillId="5" borderId="39" xfId="4" applyNumberFormat="1" applyFont="1" applyAlignment="1">
      <alignment horizontal="right"/>
    </xf>
    <xf numFmtId="165" fontId="3" fillId="5" borderId="39" xfId="4" applyNumberFormat="1" applyFont="1" applyAlignment="1">
      <alignment horizontal="right"/>
    </xf>
    <xf numFmtId="164" fontId="8" fillId="0" borderId="0" xfId="0" applyNumberFormat="1" applyFont="1" applyFill="1" applyBorder="1" applyAlignment="1">
      <alignment horizontal="right"/>
    </xf>
    <xf numFmtId="165" fontId="8" fillId="0" borderId="0" xfId="0" applyNumberFormat="1" applyFont="1" applyFill="1" applyBorder="1" applyAlignment="1">
      <alignment horizontal="right"/>
    </xf>
    <xf numFmtId="164" fontId="3" fillId="0" borderId="0" xfId="0" applyNumberFormat="1" applyFont="1" applyFill="1" applyBorder="1" applyAlignment="1">
      <alignment horizontal="right"/>
    </xf>
    <xf numFmtId="164" fontId="5" fillId="0" borderId="0" xfId="0" applyNumberFormat="1" applyFont="1" applyFill="1" applyBorder="1" applyAlignment="1">
      <alignment horizontal="right"/>
    </xf>
    <xf numFmtId="0" fontId="2" fillId="0" borderId="0" xfId="0" applyFont="1" applyAlignment="1">
      <alignment horizontal="left"/>
    </xf>
    <xf numFmtId="0" fontId="0" fillId="0" borderId="0" xfId="0" applyBorder="1" applyAlignment="1">
      <alignment horizontal="left"/>
    </xf>
    <xf numFmtId="0" fontId="15" fillId="0" borderId="0" xfId="0" applyFont="1" applyAlignment="1">
      <alignment horizontal="left"/>
    </xf>
    <xf numFmtId="0" fontId="7" fillId="0" borderId="0" xfId="0" applyFont="1" applyAlignment="1">
      <alignment horizontal="left"/>
    </xf>
    <xf numFmtId="0" fontId="0" fillId="5" borderId="39" xfId="4" applyFont="1" applyAlignment="1">
      <alignment horizontal="left"/>
    </xf>
    <xf numFmtId="0" fontId="2" fillId="0" borderId="0" xfId="0" applyFont="1" applyAlignment="1">
      <alignment horizontal="center"/>
    </xf>
    <xf numFmtId="0" fontId="2" fillId="0" borderId="0" xfId="0" applyFont="1" applyFill="1" applyBorder="1" applyAlignment="1">
      <alignment horizontal="left"/>
    </xf>
    <xf numFmtId="0" fontId="7" fillId="0" borderId="0" xfId="0" applyFont="1" applyFill="1" applyBorder="1" applyAlignment="1">
      <alignment horizontal="left"/>
    </xf>
    <xf numFmtId="0" fontId="0" fillId="0" borderId="0" xfId="0" applyFill="1" applyBorder="1" applyAlignment="1">
      <alignment horizontal="left"/>
    </xf>
    <xf numFmtId="0" fontId="1" fillId="0" borderId="0" xfId="0" applyFont="1" applyFill="1" applyBorder="1" applyAlignment="1">
      <alignment horizontal="left"/>
    </xf>
    <xf numFmtId="0" fontId="8" fillId="0" borderId="0" xfId="0" applyFont="1" applyFill="1" applyBorder="1" applyAlignment="1">
      <alignment horizontal="left"/>
    </xf>
    <xf numFmtId="0" fontId="5" fillId="0" borderId="0" xfId="0" applyFont="1" applyFill="1" applyBorder="1" applyAlignment="1">
      <alignment horizontal="left"/>
    </xf>
    <xf numFmtId="0" fontId="10" fillId="0" borderId="0" xfId="0" applyFont="1" applyAlignment="1">
      <alignment horizontal="right" vertical="center"/>
    </xf>
    <xf numFmtId="0" fontId="2" fillId="0" borderId="13" xfId="0" applyFont="1" applyBorder="1" applyAlignment="1">
      <alignment horizontal="right" textRotation="90"/>
    </xf>
    <xf numFmtId="0" fontId="2" fillId="0" borderId="14" xfId="0" applyFont="1" applyBorder="1" applyAlignment="1">
      <alignment horizontal="right" textRotation="90"/>
    </xf>
    <xf numFmtId="0" fontId="2" fillId="0" borderId="15" xfId="0" applyFont="1" applyBorder="1" applyAlignment="1">
      <alignment horizontal="right" textRotation="90"/>
    </xf>
    <xf numFmtId="0" fontId="0" fillId="0" borderId="7" xfId="0" applyBorder="1" applyAlignment="1">
      <alignment horizontal="right"/>
    </xf>
    <xf numFmtId="0" fontId="0" fillId="0" borderId="11" xfId="0" applyBorder="1" applyAlignment="1">
      <alignment horizontal="right"/>
    </xf>
    <xf numFmtId="0" fontId="0" fillId="0" borderId="16" xfId="0" applyBorder="1" applyAlignment="1">
      <alignment horizontal="right"/>
    </xf>
    <xf numFmtId="164" fontId="3" fillId="0" borderId="0" xfId="0" applyNumberFormat="1" applyFont="1" applyBorder="1" applyAlignment="1">
      <alignment horizontal="right"/>
    </xf>
    <xf numFmtId="0" fontId="3" fillId="0" borderId="9" xfId="0" applyFont="1" applyBorder="1" applyAlignment="1">
      <alignment horizontal="right"/>
    </xf>
    <xf numFmtId="0" fontId="8" fillId="0" borderId="9" xfId="0" applyFont="1" applyBorder="1" applyAlignment="1">
      <alignment horizontal="right"/>
    </xf>
    <xf numFmtId="164" fontId="2" fillId="0" borderId="0" xfId="0" applyNumberFormat="1" applyFont="1" applyBorder="1" applyAlignment="1">
      <alignment horizontal="right"/>
    </xf>
    <xf numFmtId="0" fontId="2" fillId="0" borderId="9" xfId="0" applyFont="1" applyBorder="1" applyAlignment="1">
      <alignment horizontal="right"/>
    </xf>
    <xf numFmtId="0" fontId="0" fillId="0" borderId="9" xfId="0" applyBorder="1" applyAlignment="1">
      <alignment horizontal="right"/>
    </xf>
    <xf numFmtId="0" fontId="9" fillId="0" borderId="9" xfId="0" applyFont="1" applyBorder="1" applyAlignment="1">
      <alignment horizontal="right"/>
    </xf>
    <xf numFmtId="0" fontId="9" fillId="0" borderId="0" xfId="0" applyFont="1" applyBorder="1" applyAlignment="1">
      <alignment horizontal="right"/>
    </xf>
    <xf numFmtId="0" fontId="8" fillId="0" borderId="0" xfId="0" applyFont="1" applyBorder="1" applyAlignment="1">
      <alignment horizontal="right"/>
    </xf>
    <xf numFmtId="0" fontId="1" fillId="0" borderId="9" xfId="0" applyFont="1" applyBorder="1" applyAlignment="1">
      <alignment horizontal="right"/>
    </xf>
    <xf numFmtId="3" fontId="1" fillId="0" borderId="21" xfId="0" applyNumberFormat="1" applyFont="1" applyBorder="1" applyAlignment="1">
      <alignment horizontal="right"/>
    </xf>
    <xf numFmtId="164" fontId="1" fillId="0" borderId="21" xfId="0" applyNumberFormat="1" applyFont="1" applyBorder="1" applyAlignment="1">
      <alignment horizontal="right"/>
    </xf>
    <xf numFmtId="164" fontId="1" fillId="0" borderId="22" xfId="0" applyNumberFormat="1" applyFont="1" applyBorder="1" applyAlignment="1">
      <alignment horizontal="right"/>
    </xf>
    <xf numFmtId="3" fontId="1" fillId="0" borderId="23" xfId="0" applyNumberFormat="1" applyFont="1" applyBorder="1" applyAlignment="1">
      <alignment horizontal="right"/>
    </xf>
    <xf numFmtId="164" fontId="6" fillId="0" borderId="24" xfId="0" applyNumberFormat="1" applyFont="1" applyBorder="1" applyAlignment="1">
      <alignment horizontal="right"/>
    </xf>
    <xf numFmtId="164" fontId="6" fillId="0" borderId="0" xfId="0" applyNumberFormat="1" applyFont="1" applyBorder="1" applyAlignment="1">
      <alignment horizontal="right"/>
    </xf>
    <xf numFmtId="0" fontId="0" fillId="0" borderId="4" xfId="0" applyBorder="1" applyAlignment="1">
      <alignment horizontal="right"/>
    </xf>
    <xf numFmtId="0" fontId="0" fillId="0" borderId="6" xfId="0" applyBorder="1" applyAlignment="1">
      <alignment horizontal="right"/>
    </xf>
    <xf numFmtId="0" fontId="0" fillId="0" borderId="3" xfId="0" applyBorder="1" applyAlignment="1">
      <alignment horizontal="right"/>
    </xf>
    <xf numFmtId="0" fontId="0" fillId="0" borderId="2" xfId="0" applyBorder="1" applyAlignment="1">
      <alignment horizontal="right"/>
    </xf>
    <xf numFmtId="164" fontId="0" fillId="0" borderId="2" xfId="0" applyNumberFormat="1" applyBorder="1" applyAlignment="1">
      <alignment horizontal="right"/>
    </xf>
    <xf numFmtId="0" fontId="0" fillId="0" borderId="5" xfId="0" applyBorder="1" applyAlignment="1">
      <alignment horizontal="right"/>
    </xf>
    <xf numFmtId="164" fontId="0" fillId="0" borderId="3" xfId="0" applyNumberFormat="1" applyBorder="1" applyAlignment="1">
      <alignment horizontal="right"/>
    </xf>
    <xf numFmtId="164" fontId="0" fillId="0" borderId="4" xfId="0" applyNumberFormat="1" applyBorder="1" applyAlignment="1">
      <alignment horizontal="right"/>
    </xf>
    <xf numFmtId="164" fontId="0" fillId="0" borderId="5" xfId="0" applyNumberFormat="1" applyBorder="1" applyAlignment="1">
      <alignment horizontal="right"/>
    </xf>
    <xf numFmtId="164" fontId="0" fillId="0" borderId="6" xfId="0" applyNumberFormat="1" applyBorder="1" applyAlignment="1">
      <alignment horizontal="right"/>
    </xf>
    <xf numFmtId="164" fontId="0" fillId="0" borderId="25" xfId="0" applyNumberFormat="1" applyBorder="1" applyAlignment="1">
      <alignment horizontal="right"/>
    </xf>
    <xf numFmtId="164" fontId="0" fillId="0" borderId="26" xfId="0" applyNumberFormat="1" applyBorder="1" applyAlignment="1">
      <alignment horizontal="right"/>
    </xf>
    <xf numFmtId="164" fontId="0" fillId="0" borderId="27" xfId="0" applyNumberFormat="1" applyBorder="1" applyAlignment="1">
      <alignment horizontal="right"/>
    </xf>
    <xf numFmtId="164" fontId="0" fillId="0" borderId="19" xfId="0" applyNumberFormat="1" applyBorder="1" applyAlignment="1">
      <alignment horizontal="right"/>
    </xf>
    <xf numFmtId="164" fontId="0" fillId="0" borderId="18" xfId="0" applyNumberFormat="1" applyBorder="1" applyAlignment="1">
      <alignment horizontal="right"/>
    </xf>
    <xf numFmtId="164" fontId="0" fillId="0" borderId="20" xfId="0" applyNumberFormat="1" applyBorder="1" applyAlignment="1">
      <alignment horizontal="right"/>
    </xf>
    <xf numFmtId="167" fontId="18" fillId="0" borderId="0" xfId="0" applyNumberFormat="1" applyFont="1" applyAlignment="1">
      <alignment horizontal="right"/>
    </xf>
    <xf numFmtId="1" fontId="3" fillId="0" borderId="0" xfId="0" applyNumberFormat="1" applyFont="1" applyBorder="1" applyAlignment="1">
      <alignment horizontal="right"/>
    </xf>
    <xf numFmtId="0" fontId="1" fillId="0" borderId="21" xfId="0" applyFont="1" applyBorder="1" applyAlignment="1">
      <alignment horizontal="right"/>
    </xf>
    <xf numFmtId="0" fontId="0" fillId="0" borderId="0" xfId="0" applyAlignment="1"/>
    <xf numFmtId="0" fontId="0" fillId="0" borderId="0" xfId="0" applyAlignment="1"/>
    <xf numFmtId="0" fontId="3" fillId="0" borderId="0" xfId="0" applyFont="1" applyAlignment="1"/>
    <xf numFmtId="1" fontId="30" fillId="0" borderId="9" xfId="0" applyNumberFormat="1" applyFont="1" applyBorder="1" applyAlignment="1">
      <alignment horizontal="right"/>
    </xf>
    <xf numFmtId="1" fontId="3" fillId="0" borderId="0" xfId="0" applyNumberFormat="1" applyFont="1" applyAlignment="1"/>
    <xf numFmtId="0" fontId="3" fillId="0" borderId="0" xfId="0" applyFont="1" applyFill="1" applyBorder="1" applyAlignment="1"/>
    <xf numFmtId="1" fontId="3" fillId="6" borderId="9" xfId="0" applyNumberFormat="1" applyFont="1" applyFill="1" applyBorder="1" applyAlignment="1">
      <alignment horizontal="right"/>
    </xf>
    <xf numFmtId="0" fontId="3" fillId="0" borderId="0" xfId="0" applyFont="1" applyAlignment="1">
      <alignment wrapText="1"/>
    </xf>
    <xf numFmtId="0" fontId="0" fillId="0" borderId="0" xfId="0" applyAlignment="1"/>
    <xf numFmtId="1" fontId="1" fillId="0" borderId="5" xfId="0" applyNumberFormat="1" applyFont="1" applyBorder="1" applyAlignment="1">
      <alignment horizontal="center"/>
    </xf>
    <xf numFmtId="0" fontId="1" fillId="0" borderId="2" xfId="0" applyFont="1" applyBorder="1" applyAlignment="1">
      <alignment horizontal="center"/>
    </xf>
    <xf numFmtId="0" fontId="1" fillId="0" borderId="6" xfId="0" applyFont="1" applyBorder="1" applyAlignment="1">
      <alignment horizontal="center"/>
    </xf>
    <xf numFmtId="1" fontId="1" fillId="0" borderId="30" xfId="0" applyNumberFormat="1" applyFont="1" applyBorder="1" applyAlignment="1">
      <alignment horizontal="center"/>
    </xf>
    <xf numFmtId="0" fontId="1" fillId="0" borderId="31" xfId="0" applyFont="1" applyBorder="1" applyAlignment="1">
      <alignment horizontal="center"/>
    </xf>
    <xf numFmtId="0" fontId="1" fillId="0" borderId="32" xfId="0" applyFont="1" applyBorder="1" applyAlignment="1">
      <alignment horizontal="center"/>
    </xf>
    <xf numFmtId="0" fontId="25" fillId="2" borderId="14" xfId="1" applyBorder="1" applyAlignment="1">
      <alignment horizontal="center"/>
    </xf>
    <xf numFmtId="0" fontId="3" fillId="5" borderId="39" xfId="4" applyFont="1" applyAlignment="1">
      <alignment horizontal="right"/>
    </xf>
    <xf numFmtId="0" fontId="0" fillId="5" borderId="39" xfId="4" applyFont="1" applyAlignment="1">
      <alignment horizontal="right"/>
    </xf>
    <xf numFmtId="0" fontId="23" fillId="5" borderId="39" xfId="4" applyFont="1" applyAlignment="1">
      <alignment horizontal="right" wrapText="1"/>
    </xf>
    <xf numFmtId="0" fontId="3" fillId="0" borderId="1" xfId="0" applyFont="1" applyBorder="1" applyAlignment="1">
      <alignment horizontal="left"/>
    </xf>
    <xf numFmtId="0" fontId="0" fillId="0" borderId="1" xfId="0" applyBorder="1" applyAlignment="1">
      <alignment horizontal="left"/>
    </xf>
    <xf numFmtId="0" fontId="0" fillId="0" borderId="10" xfId="0" applyBorder="1" applyAlignment="1">
      <alignment horizontal="left"/>
    </xf>
    <xf numFmtId="0" fontId="12" fillId="0" borderId="33" xfId="0" applyFont="1" applyBorder="1" applyAlignment="1">
      <alignment horizontal="center"/>
    </xf>
    <xf numFmtId="0" fontId="12" fillId="0" borderId="1" xfId="0" applyFont="1" applyBorder="1" applyAlignment="1">
      <alignment horizontal="center"/>
    </xf>
    <xf numFmtId="0" fontId="12" fillId="0" borderId="34" xfId="0" applyFont="1" applyBorder="1" applyAlignment="1">
      <alignment horizontal="center"/>
    </xf>
    <xf numFmtId="0" fontId="12" fillId="0" borderId="35" xfId="0" applyFont="1" applyBorder="1" applyAlignment="1">
      <alignment horizontal="center"/>
    </xf>
    <xf numFmtId="0" fontId="12" fillId="0" borderId="36" xfId="0" applyFont="1" applyBorder="1" applyAlignment="1">
      <alignment horizontal="center"/>
    </xf>
    <xf numFmtId="166" fontId="12" fillId="0" borderId="16" xfId="0" applyNumberFormat="1" applyFont="1" applyBorder="1" applyAlignment="1">
      <alignment horizontal="center" vertical="center"/>
    </xf>
    <xf numFmtId="0" fontId="0" fillId="0" borderId="7" xfId="0" applyBorder="1" applyAlignment="1">
      <alignment vertical="center"/>
    </xf>
    <xf numFmtId="0" fontId="0" fillId="0" borderId="11" xfId="0" applyBorder="1" applyAlignment="1">
      <alignment vertical="center"/>
    </xf>
    <xf numFmtId="0" fontId="10" fillId="0" borderId="16" xfId="0" applyFont="1" applyBorder="1" applyAlignment="1">
      <alignment horizontal="right" vertical="center"/>
    </xf>
    <xf numFmtId="0" fontId="10" fillId="0" borderId="7" xfId="0" applyFont="1" applyBorder="1" applyAlignment="1">
      <alignment horizontal="right" vertical="center"/>
    </xf>
    <xf numFmtId="0" fontId="10" fillId="0" borderId="11" xfId="0" applyFont="1" applyBorder="1" applyAlignment="1">
      <alignment horizontal="right" vertical="center"/>
    </xf>
    <xf numFmtId="0" fontId="10" fillId="0" borderId="3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 fillId="0" borderId="0" xfId="0" applyFont="1" applyAlignment="1"/>
    <xf numFmtId="0" fontId="0" fillId="0" borderId="0" xfId="0" applyAlignment="1">
      <alignment wrapText="1"/>
    </xf>
    <xf numFmtId="0" fontId="27" fillId="4" borderId="38" xfId="3" applyAlignment="1"/>
    <xf numFmtId="0" fontId="19" fillId="0" borderId="0" xfId="0" applyFont="1" applyAlignment="1"/>
    <xf numFmtId="0" fontId="3" fillId="0" borderId="0" xfId="0" applyFont="1" applyAlignment="1"/>
  </cellXfs>
  <cellStyles count="5">
    <cellStyle name="Bad" xfId="1" builtinId="27"/>
    <cellStyle name="Calculation" xfId="2" builtinId="22"/>
    <cellStyle name="Input" xfId="3" builtinId="20"/>
    <cellStyle name="Normal" xfId="0" builtinId="0"/>
    <cellStyle name="Note" xfId="4" builtinId="10"/>
  </cellStyles>
  <dxfs count="11">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8.0267558528428096E-2"/>
          <c:y val="4.0916530278232457E-2"/>
          <c:w val="0.77703455964325563"/>
          <c:h val="0.87070376432078622"/>
        </c:manualLayout>
      </c:layout>
      <c:areaChart>
        <c:grouping val="stacked"/>
        <c:ser>
          <c:idx val="1"/>
          <c:order val="0"/>
          <c:tx>
            <c:v>Base Cost</c:v>
          </c:tx>
          <c:cat>
            <c:numRef>
              <c:f>SUMMARY!$A$34:$A$39</c:f>
              <c:numCache>
                <c:formatCode>0</c:formatCode>
                <c:ptCount val="6"/>
                <c:pt idx="0">
                  <c:v>2009</c:v>
                </c:pt>
                <c:pt idx="1">
                  <c:v>2010</c:v>
                </c:pt>
                <c:pt idx="2">
                  <c:v>2011</c:v>
                </c:pt>
                <c:pt idx="3">
                  <c:v>2012</c:v>
                </c:pt>
                <c:pt idx="4">
                  <c:v>2013</c:v>
                </c:pt>
                <c:pt idx="5">
                  <c:v>2014</c:v>
                </c:pt>
              </c:numCache>
            </c:numRef>
          </c:cat>
          <c:val>
            <c:numRef>
              <c:f>SUMMARY!$H$14:$H$19</c:f>
              <c:numCache>
                <c:formatCode>#,##0</c:formatCode>
                <c:ptCount val="6"/>
                <c:pt idx="0">
                  <c:v>0</c:v>
                </c:pt>
                <c:pt idx="1">
                  <c:v>66252.160000000003</c:v>
                </c:pt>
                <c:pt idx="2">
                  <c:v>58018.960000000006</c:v>
                </c:pt>
                <c:pt idx="3">
                  <c:v>289476.20400000003</c:v>
                </c:pt>
                <c:pt idx="4">
                  <c:v>110089.54800000002</c:v>
                </c:pt>
                <c:pt idx="5">
                  <c:v>0</c:v>
                </c:pt>
              </c:numCache>
            </c:numRef>
          </c:val>
        </c:ser>
        <c:ser>
          <c:idx val="2"/>
          <c:order val="1"/>
          <c:tx>
            <c:v>Contingency</c:v>
          </c:tx>
          <c:cat>
            <c:numRef>
              <c:f>SUMMARY!$A$34:$A$39</c:f>
              <c:numCache>
                <c:formatCode>0</c:formatCode>
                <c:ptCount val="6"/>
                <c:pt idx="0">
                  <c:v>2009</c:v>
                </c:pt>
                <c:pt idx="1">
                  <c:v>2010</c:v>
                </c:pt>
                <c:pt idx="2">
                  <c:v>2011</c:v>
                </c:pt>
                <c:pt idx="3">
                  <c:v>2012</c:v>
                </c:pt>
                <c:pt idx="4">
                  <c:v>2013</c:v>
                </c:pt>
                <c:pt idx="5">
                  <c:v>2014</c:v>
                </c:pt>
              </c:numCache>
            </c:numRef>
          </c:cat>
          <c:val>
            <c:numRef>
              <c:f>SUMMARY!$R$14:$R$19</c:f>
              <c:numCache>
                <c:formatCode>#,##0</c:formatCode>
                <c:ptCount val="6"/>
                <c:pt idx="0">
                  <c:v>0</c:v>
                </c:pt>
                <c:pt idx="1">
                  <c:v>0</c:v>
                </c:pt>
                <c:pt idx="2">
                  <c:v>22354.960000000003</c:v>
                </c:pt>
                <c:pt idx="3">
                  <c:v>82161.119999999995</c:v>
                </c:pt>
                <c:pt idx="4">
                  <c:v>25422.840000000004</c:v>
                </c:pt>
                <c:pt idx="5">
                  <c:v>13608.000000000002</c:v>
                </c:pt>
              </c:numCache>
            </c:numRef>
          </c:val>
        </c:ser>
        <c:axId val="96108928"/>
        <c:axId val="96110848"/>
      </c:areaChart>
      <c:catAx>
        <c:axId val="96108928"/>
        <c:scaling>
          <c:orientation val="minMax"/>
        </c:scaling>
        <c:axPos val="b"/>
        <c:numFmt formatCode="0" sourceLinked="1"/>
        <c:tickLblPos val="nextTo"/>
        <c:crossAx val="96110848"/>
        <c:crosses val="autoZero"/>
        <c:auto val="1"/>
        <c:lblAlgn val="ctr"/>
        <c:lblOffset val="100"/>
      </c:catAx>
      <c:valAx>
        <c:axId val="96110848"/>
        <c:scaling>
          <c:orientation val="minMax"/>
        </c:scaling>
        <c:axPos val="l"/>
        <c:majorGridlines/>
        <c:numFmt formatCode="#,##0" sourceLinked="1"/>
        <c:tickLblPos val="nextTo"/>
        <c:crossAx val="96108928"/>
        <c:crosses val="autoZero"/>
        <c:crossBetween val="midCat"/>
      </c:valAx>
    </c:plotArea>
    <c:legend>
      <c:legendPos val="r"/>
      <c:layout>
        <c:manualLayout>
          <c:xMode val="edge"/>
          <c:yMode val="edge"/>
          <c:x val="0.89520624303232932"/>
          <c:y val="0.4599018003273323"/>
          <c:w val="9.9219620958751351E-2"/>
          <c:h val="7.8559738134206192E-2"/>
        </c:manualLayout>
      </c:layout>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49"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543925" cy="58197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D1:E32"/>
  <sheetViews>
    <sheetView workbookViewId="0">
      <selection activeCell="E39" sqref="E39"/>
    </sheetView>
  </sheetViews>
  <sheetFormatPr defaultRowHeight="12.75"/>
  <cols>
    <col min="4" max="4" width="17.5703125" customWidth="1"/>
    <col min="5" max="5" width="44" bestFit="1" customWidth="1"/>
  </cols>
  <sheetData>
    <row r="1" spans="4:5">
      <c r="D1" s="268" t="s">
        <v>145</v>
      </c>
      <c r="E1" s="269"/>
    </row>
    <row r="2" spans="4:5" ht="12.75" customHeight="1">
      <c r="D2" s="269"/>
      <c r="E2" s="269"/>
    </row>
    <row r="3" spans="4:5">
      <c r="D3" s="269"/>
      <c r="E3" s="269"/>
    </row>
    <row r="4" spans="4:5">
      <c r="D4" s="269"/>
      <c r="E4" s="269"/>
    </row>
    <row r="5" spans="4:5">
      <c r="D5" s="269"/>
      <c r="E5" s="269"/>
    </row>
    <row r="7" spans="4:5">
      <c r="D7" s="49" t="s">
        <v>130</v>
      </c>
      <c r="E7" s="49" t="s">
        <v>141</v>
      </c>
    </row>
    <row r="8" spans="4:5">
      <c r="D8" s="19" t="s">
        <v>169</v>
      </c>
      <c r="E8" s="19" t="s">
        <v>171</v>
      </c>
    </row>
    <row r="9" spans="4:5">
      <c r="D9" s="126" t="s">
        <v>170</v>
      </c>
      <c r="E9" s="19" t="s">
        <v>172</v>
      </c>
    </row>
    <row r="10" spans="4:5">
      <c r="D10" s="45" t="s">
        <v>173</v>
      </c>
      <c r="E10" s="19" t="s">
        <v>174</v>
      </c>
    </row>
    <row r="11" spans="4:5">
      <c r="D11" s="45" t="s">
        <v>175</v>
      </c>
      <c r="E11" s="19" t="s">
        <v>176</v>
      </c>
    </row>
    <row r="12" spans="4:5">
      <c r="D12" s="45" t="s">
        <v>178</v>
      </c>
      <c r="E12" s="19" t="s">
        <v>177</v>
      </c>
    </row>
    <row r="13" spans="4:5">
      <c r="D13" s="64" t="s">
        <v>179</v>
      </c>
      <c r="E13" s="19" t="s">
        <v>180</v>
      </c>
    </row>
    <row r="14" spans="4:5">
      <c r="D14" s="64" t="s">
        <v>182</v>
      </c>
      <c r="E14" s="19" t="s">
        <v>181</v>
      </c>
    </row>
    <row r="15" spans="4:5">
      <c r="D15" s="64" t="s">
        <v>183</v>
      </c>
      <c r="E15" s="19" t="s">
        <v>184</v>
      </c>
    </row>
    <row r="16" spans="4:5">
      <c r="D16" s="64" t="s">
        <v>185</v>
      </c>
      <c r="E16" s="19" t="s">
        <v>186</v>
      </c>
    </row>
    <row r="17" spans="4:5">
      <c r="D17" s="64" t="s">
        <v>187</v>
      </c>
      <c r="E17" s="19" t="s">
        <v>180</v>
      </c>
    </row>
    <row r="18" spans="4:5">
      <c r="D18" s="64" t="s">
        <v>188</v>
      </c>
      <c r="E18" s="19" t="s">
        <v>181</v>
      </c>
    </row>
    <row r="19" spans="4:5">
      <c r="D19" s="64" t="s">
        <v>189</v>
      </c>
      <c r="E19" s="19" t="s">
        <v>184</v>
      </c>
    </row>
    <row r="20" spans="4:5">
      <c r="D20" s="45" t="s">
        <v>192</v>
      </c>
      <c r="E20" s="19" t="s">
        <v>191</v>
      </c>
    </row>
    <row r="21" spans="4:5">
      <c r="D21" s="64" t="s">
        <v>193</v>
      </c>
      <c r="E21" s="19" t="s">
        <v>194</v>
      </c>
    </row>
    <row r="22" spans="4:5">
      <c r="D22" s="64" t="s">
        <v>195</v>
      </c>
      <c r="E22" s="19" t="s">
        <v>196</v>
      </c>
    </row>
    <row r="23" spans="4:5">
      <c r="D23" s="64" t="s">
        <v>197</v>
      </c>
      <c r="E23" s="19" t="s">
        <v>198</v>
      </c>
    </row>
    <row r="24" spans="4:5">
      <c r="D24" s="64" t="s">
        <v>199</v>
      </c>
      <c r="E24" s="19" t="s">
        <v>200</v>
      </c>
    </row>
    <row r="25" spans="4:5">
      <c r="D25" s="45" t="s">
        <v>190</v>
      </c>
      <c r="E25" s="19" t="s">
        <v>201</v>
      </c>
    </row>
    <row r="26" spans="4:5">
      <c r="D26" s="64" t="s">
        <v>202</v>
      </c>
      <c r="E26" s="19" t="s">
        <v>203</v>
      </c>
    </row>
    <row r="27" spans="4:5">
      <c r="D27" s="64" t="s">
        <v>204</v>
      </c>
      <c r="E27" s="19" t="s">
        <v>205</v>
      </c>
    </row>
    <row r="28" spans="4:5">
      <c r="D28" s="64" t="s">
        <v>206</v>
      </c>
      <c r="E28" s="19" t="s">
        <v>207</v>
      </c>
    </row>
    <row r="29" spans="4:5">
      <c r="D29" s="64" t="s">
        <v>208</v>
      </c>
      <c r="E29" s="19" t="s">
        <v>209</v>
      </c>
    </row>
    <row r="30" spans="4:5">
      <c r="D30" s="64" t="s">
        <v>210</v>
      </c>
      <c r="E30" s="19" t="s">
        <v>211</v>
      </c>
    </row>
    <row r="31" spans="4:5">
      <c r="D31" s="64" t="s">
        <v>212</v>
      </c>
      <c r="E31" s="19" t="s">
        <v>213</v>
      </c>
    </row>
    <row r="32" spans="4:5">
      <c r="D32" s="64" t="s">
        <v>214</v>
      </c>
      <c r="E32" s="19" t="s">
        <v>215</v>
      </c>
    </row>
  </sheetData>
  <mergeCells count="1">
    <mergeCell ref="D1:E5"/>
  </mergeCells>
  <phoneticPr fontId="2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Y61"/>
  <sheetViews>
    <sheetView tabSelected="1" workbookViewId="0">
      <selection activeCell="J28" sqref="J28"/>
    </sheetView>
  </sheetViews>
  <sheetFormatPr defaultRowHeight="12.75"/>
  <cols>
    <col min="1" max="1" width="11.5703125" style="7" bestFit="1" customWidth="1"/>
    <col min="2" max="2" width="11" style="89" bestFit="1" customWidth="1"/>
    <col min="3" max="3" width="9" style="89" bestFit="1" customWidth="1"/>
    <col min="4" max="4" width="6.5703125" style="89" bestFit="1" customWidth="1"/>
    <col min="5" max="5" width="12.140625" style="89" bestFit="1" customWidth="1"/>
    <col min="6" max="6" width="14.85546875" style="89" bestFit="1" customWidth="1"/>
    <col min="7" max="7" width="9.85546875" style="111" bestFit="1" customWidth="1"/>
    <col min="8" max="8" width="10.140625" style="89" bestFit="1" customWidth="1"/>
    <col min="9" max="9" width="9.140625" style="89"/>
    <col min="10" max="10" width="9.7109375" style="89" customWidth="1"/>
    <col min="11" max="11" width="11.42578125" style="7" bestFit="1" customWidth="1"/>
    <col min="12" max="12" width="11" style="89" bestFit="1" customWidth="1"/>
    <col min="13" max="13" width="9" style="89" bestFit="1" customWidth="1"/>
    <col min="14" max="14" width="13.85546875" style="89" bestFit="1" customWidth="1"/>
    <col min="15" max="15" width="12.140625" style="89" bestFit="1" customWidth="1"/>
    <col min="16" max="16" width="14.85546875" style="89" bestFit="1" customWidth="1"/>
    <col min="17" max="17" width="11.42578125" style="111" bestFit="1" customWidth="1"/>
    <col min="18" max="18" width="8.5703125" style="89" bestFit="1" customWidth="1"/>
    <col min="19" max="16384" width="9.140625" style="89"/>
  </cols>
  <sheetData>
    <row r="1" spans="1:25" ht="13.5" thickBot="1"/>
    <row r="2" spans="1:25">
      <c r="A2" s="78"/>
      <c r="B2" s="273" t="str">
        <f>'Pre- and Production'!AC156</f>
        <v>BASE</v>
      </c>
      <c r="C2" s="274"/>
      <c r="D2" s="274"/>
      <c r="E2" s="274"/>
      <c r="F2" s="274"/>
      <c r="G2" s="274"/>
      <c r="H2" s="275"/>
      <c r="I2" s="100"/>
      <c r="J2" s="100"/>
      <c r="K2" s="78"/>
      <c r="L2" s="273" t="str">
        <f>'Pre- and Production'!AM156</f>
        <v>CONTINGENCY</v>
      </c>
      <c r="M2" s="274"/>
      <c r="N2" s="274"/>
      <c r="O2" s="274"/>
      <c r="P2" s="274"/>
      <c r="Q2" s="274"/>
      <c r="R2" s="275"/>
    </row>
    <row r="3" spans="1:25">
      <c r="A3" s="78"/>
      <c r="B3" s="112" t="str">
        <f>'Pre- and Production'!AC157</f>
        <v>Shop Labor</v>
      </c>
      <c r="C3" s="113" t="str">
        <f>'Pre- and Production'!AD157</f>
        <v>Tech Labor</v>
      </c>
      <c r="D3" s="113" t="str">
        <f>'Pre- and Production'!AE157</f>
        <v>PostDoc (cont)</v>
      </c>
      <c r="E3" s="113" t="str">
        <f>'Pre- and Production'!AF157</f>
        <v>Engineering</v>
      </c>
      <c r="F3" s="113" t="str">
        <f>'Pre- and Production'!AG157</f>
        <v>Engineer (cont)</v>
      </c>
      <c r="G3" s="118" t="str">
        <f>'Pre- and Production'!AH157</f>
        <v>M&amp;S Cost</v>
      </c>
      <c r="H3" s="114"/>
      <c r="I3" s="100"/>
      <c r="J3" s="100"/>
      <c r="K3" s="78"/>
      <c r="L3" s="112" t="str">
        <f>'Pre- and Production'!AM157</f>
        <v>Shop Time</v>
      </c>
      <c r="M3" s="113" t="str">
        <f>'Pre- and Production'!AN157</f>
        <v>MT Time</v>
      </c>
      <c r="N3" s="113" t="str">
        <f>'Pre- and Production'!AO157</f>
        <v>Postdoc (cont)</v>
      </c>
      <c r="O3" s="113" t="str">
        <f>'Pre- and Production'!AP157</f>
        <v>Engineering</v>
      </c>
      <c r="P3" s="113" t="str">
        <f>'Pre- and Production'!AQ157</f>
        <v>Engineer (cont)</v>
      </c>
      <c r="Q3" s="118" t="str">
        <f>'Pre- and Production'!AR157</f>
        <v>M&amp;S Cost</v>
      </c>
      <c r="R3" s="114"/>
    </row>
    <row r="4" spans="1:25">
      <c r="A4" s="78">
        <f>'Pre- and Production'!AB158</f>
        <v>2009</v>
      </c>
      <c r="B4" s="115">
        <f>'Pre- and Production'!AC158</f>
        <v>0</v>
      </c>
      <c r="C4" s="116">
        <f>'Pre- and Production'!AD158</f>
        <v>0</v>
      </c>
      <c r="D4" s="116">
        <f>'Pre- and Production'!AE158</f>
        <v>0</v>
      </c>
      <c r="E4" s="116">
        <f>'Pre- and Production'!AF158</f>
        <v>0</v>
      </c>
      <c r="F4" s="116">
        <f>'Pre- and Production'!AG158</f>
        <v>0</v>
      </c>
      <c r="G4" s="121">
        <f>'Pre- and Production'!AH158</f>
        <v>0</v>
      </c>
      <c r="H4" s="117"/>
      <c r="I4" s="100"/>
      <c r="J4" s="100"/>
      <c r="K4" s="78">
        <f>'Pre- and Production'!AL158</f>
        <v>2009</v>
      </c>
      <c r="L4" s="115">
        <f>'Pre- and Production'!AM158</f>
        <v>0</v>
      </c>
      <c r="M4" s="116">
        <f>'Pre- and Production'!AN158</f>
        <v>0</v>
      </c>
      <c r="N4" s="116">
        <f>'Pre- and Production'!AO158</f>
        <v>0</v>
      </c>
      <c r="O4" s="116">
        <f>'Pre- and Production'!AP158</f>
        <v>0</v>
      </c>
      <c r="P4" s="116">
        <f>'Pre- and Production'!AQ158</f>
        <v>0</v>
      </c>
      <c r="Q4" s="121">
        <f>'Pre- and Production'!AR158</f>
        <v>0</v>
      </c>
      <c r="R4" s="117"/>
    </row>
    <row r="5" spans="1:25">
      <c r="A5" s="78">
        <f>'Pre- and Production'!AB159</f>
        <v>2010</v>
      </c>
      <c r="B5" s="115">
        <f>'Pre- and Production'!AC159</f>
        <v>5</v>
      </c>
      <c r="C5" s="116">
        <f>'Pre- and Production'!AD159</f>
        <v>73</v>
      </c>
      <c r="D5" s="116">
        <f>'Pre- and Production'!AE159</f>
        <v>80</v>
      </c>
      <c r="E5" s="116">
        <f>'Pre- and Production'!AF159</f>
        <v>106.5</v>
      </c>
      <c r="F5" s="116">
        <f>'Pre- and Production'!AG159</f>
        <v>157.5</v>
      </c>
      <c r="G5" s="121">
        <f>'Pre- and Production'!AH159</f>
        <v>43450</v>
      </c>
      <c r="H5" s="117"/>
      <c r="I5" s="100"/>
      <c r="J5" s="100"/>
      <c r="K5" s="78">
        <f>'Pre- and Production'!AL159</f>
        <v>2010</v>
      </c>
      <c r="L5" s="115">
        <f>'Pre- and Production'!AM159</f>
        <v>0</v>
      </c>
      <c r="M5" s="116">
        <f>'Pre- and Production'!AN159</f>
        <v>0</v>
      </c>
      <c r="N5" s="116">
        <f>'Pre- and Production'!AO159</f>
        <v>0</v>
      </c>
      <c r="O5" s="116">
        <f>'Pre- and Production'!AP159</f>
        <v>0</v>
      </c>
      <c r="P5" s="116">
        <f>'Pre- and Production'!AQ159</f>
        <v>0</v>
      </c>
      <c r="Q5" s="121">
        <f>'Pre- and Production'!AR159</f>
        <v>0</v>
      </c>
      <c r="R5" s="117"/>
    </row>
    <row r="6" spans="1:25">
      <c r="A6" s="78">
        <f>'Pre- and Production'!AB160</f>
        <v>2011</v>
      </c>
      <c r="B6" s="115">
        <f>'Pre- and Production'!AC160</f>
        <v>40</v>
      </c>
      <c r="C6" s="116">
        <f>'Pre- and Production'!AD160</f>
        <v>142</v>
      </c>
      <c r="D6" s="116">
        <f>'Pre- and Production'!AE160</f>
        <v>253</v>
      </c>
      <c r="E6" s="116">
        <f>'Pre- and Production'!AF160</f>
        <v>112</v>
      </c>
      <c r="F6" s="116">
        <f>'Pre- and Production'!AG160</f>
        <v>224</v>
      </c>
      <c r="G6" s="121">
        <f>'Pre- and Production'!AH160</f>
        <v>22000</v>
      </c>
      <c r="H6" s="117"/>
      <c r="I6" s="100"/>
      <c r="J6" s="100"/>
      <c r="K6" s="78">
        <f>'Pre- and Production'!AL160</f>
        <v>2011</v>
      </c>
      <c r="L6" s="115">
        <f>'Pre- and Production'!AM160</f>
        <v>8</v>
      </c>
      <c r="M6" s="116">
        <f>'Pre- and Production'!AN160</f>
        <v>56</v>
      </c>
      <c r="N6" s="116">
        <f>'Pre- and Production'!AO160</f>
        <v>184</v>
      </c>
      <c r="O6" s="116">
        <f>'Pre- and Production'!AP160</f>
        <v>92</v>
      </c>
      <c r="P6" s="116">
        <f>'Pre- and Production'!AQ160</f>
        <v>128</v>
      </c>
      <c r="Q6" s="121">
        <f>'Pre- and Production'!AR160</f>
        <v>4000</v>
      </c>
      <c r="R6" s="117"/>
    </row>
    <row r="7" spans="1:25">
      <c r="A7" s="78">
        <f>'Pre- and Production'!AB161</f>
        <v>2012</v>
      </c>
      <c r="B7" s="115">
        <f>'Pre- and Production'!AC161</f>
        <v>192</v>
      </c>
      <c r="C7" s="116">
        <f>'Pre- and Production'!AD161</f>
        <v>1053.2</v>
      </c>
      <c r="D7" s="116">
        <f>'Pre- and Production'!AE161</f>
        <v>434</v>
      </c>
      <c r="E7" s="116">
        <f>'Pre- and Production'!AF161</f>
        <v>335.59999999999997</v>
      </c>
      <c r="F7" s="116">
        <f>'Pre- and Production'!AG161</f>
        <v>298.40000000000003</v>
      </c>
      <c r="G7" s="121">
        <f>'Pre- and Production'!AH161</f>
        <v>111660</v>
      </c>
      <c r="H7" s="117"/>
      <c r="I7" s="100"/>
      <c r="J7" s="100"/>
      <c r="K7" s="78">
        <f>'Pre- and Production'!AL161</f>
        <v>2012</v>
      </c>
      <c r="L7" s="115">
        <f>'Pre- and Production'!AM161</f>
        <v>45</v>
      </c>
      <c r="M7" s="116">
        <f>'Pre- and Production'!AN161</f>
        <v>212</v>
      </c>
      <c r="N7" s="116">
        <f>'Pre- and Production'!AO161</f>
        <v>172</v>
      </c>
      <c r="O7" s="116">
        <f>'Pre- and Production'!AP161</f>
        <v>192</v>
      </c>
      <c r="P7" s="116">
        <f>'Pre- and Production'!AQ161</f>
        <v>136</v>
      </c>
      <c r="Q7" s="121">
        <f>'Pre- and Production'!AR161</f>
        <v>42300</v>
      </c>
      <c r="R7" s="117"/>
    </row>
    <row r="8" spans="1:25">
      <c r="A8" s="78">
        <f>'Pre- and Production'!AB162</f>
        <v>2013</v>
      </c>
      <c r="B8" s="115">
        <f>'Pre- and Production'!AC162</f>
        <v>4</v>
      </c>
      <c r="C8" s="116">
        <f>'Pre- and Production'!AD162</f>
        <v>710.40000000000009</v>
      </c>
      <c r="D8" s="116">
        <f>'Pre- and Production'!AE162</f>
        <v>372</v>
      </c>
      <c r="E8" s="116">
        <f>'Pre- and Production'!AF162</f>
        <v>53.800000000000004</v>
      </c>
      <c r="F8" s="116">
        <f>'Pre- and Production'!AG162</f>
        <v>111</v>
      </c>
      <c r="G8" s="121">
        <f>'Pre- and Production'!AH162</f>
        <v>35820</v>
      </c>
      <c r="H8" s="117"/>
      <c r="I8" s="100"/>
      <c r="J8" s="100"/>
      <c r="K8" s="78">
        <f>'Pre- and Production'!AL162</f>
        <v>2013</v>
      </c>
      <c r="L8" s="115">
        <f>'Pre- and Production'!AM162</f>
        <v>8</v>
      </c>
      <c r="M8" s="116">
        <f>'Pre- and Production'!AN162</f>
        <v>68</v>
      </c>
      <c r="N8" s="116">
        <f>'Pre- and Production'!AO162</f>
        <v>80</v>
      </c>
      <c r="O8" s="116">
        <f>'Pre- and Production'!AP162</f>
        <v>28.6</v>
      </c>
      <c r="P8" s="116">
        <f>'Pre- and Production'!AQ162</f>
        <v>65.2</v>
      </c>
      <c r="Q8" s="121">
        <f>'Pre- and Production'!AR162</f>
        <v>9900</v>
      </c>
      <c r="R8" s="117"/>
    </row>
    <row r="9" spans="1:25" s="261" customFormat="1">
      <c r="A9" s="78">
        <f>'Pre- and Production'!AB163</f>
        <v>2014</v>
      </c>
      <c r="B9" s="115">
        <f>'Pre- and Production'!AC163</f>
        <v>0</v>
      </c>
      <c r="C9" s="116">
        <f>'Pre- and Production'!AD163</f>
        <v>0</v>
      </c>
      <c r="D9" s="116">
        <f>'Pre- and Production'!AE163</f>
        <v>0</v>
      </c>
      <c r="E9" s="116">
        <f>'Pre- and Production'!AF163</f>
        <v>0</v>
      </c>
      <c r="F9" s="116">
        <f>'Pre- and Production'!AG163</f>
        <v>0</v>
      </c>
      <c r="G9" s="121">
        <f>'Pre- and Production'!AH163</f>
        <v>0</v>
      </c>
      <c r="H9" s="117"/>
      <c r="I9" s="100"/>
      <c r="J9" s="100"/>
      <c r="K9" s="78">
        <f>'Pre- and Production'!AL163</f>
        <v>2014</v>
      </c>
      <c r="L9" s="115">
        <f>'Pre- and Production'!AM163</f>
        <v>0</v>
      </c>
      <c r="M9" s="116">
        <f>'Pre- and Production'!AN163</f>
        <v>0</v>
      </c>
      <c r="N9" s="116">
        <f>'Pre- and Production'!AO163</f>
        <v>0</v>
      </c>
      <c r="O9" s="116">
        <f>'Pre- and Production'!AP163</f>
        <v>0</v>
      </c>
      <c r="P9" s="116">
        <f>'Pre- and Production'!AQ163</f>
        <v>0</v>
      </c>
      <c r="Q9" s="121">
        <f>'Pre- and Production'!AR163</f>
        <v>0</v>
      </c>
      <c r="R9" s="117"/>
    </row>
    <row r="10" spans="1:25">
      <c r="A10" s="78" t="str">
        <f>'Pre- and Production'!AB164</f>
        <v>CONT</v>
      </c>
      <c r="B10" s="115">
        <f>'Pre- and Production'!AC164</f>
        <v>0</v>
      </c>
      <c r="C10" s="116">
        <f>'Pre- and Production'!AD164</f>
        <v>0</v>
      </c>
      <c r="D10" s="116">
        <f>'Pre- and Production'!AE164</f>
        <v>0</v>
      </c>
      <c r="E10" s="116">
        <f>'Pre- and Production'!AF164</f>
        <v>0</v>
      </c>
      <c r="F10" s="116">
        <f>'Pre- and Production'!AG164</f>
        <v>0</v>
      </c>
      <c r="G10" s="121">
        <f>'Pre- and Production'!AH164</f>
        <v>0</v>
      </c>
      <c r="H10" s="117"/>
      <c r="I10" s="100"/>
      <c r="J10" s="100"/>
      <c r="K10" s="78" t="str">
        <f>'Pre- and Production'!AL164</f>
        <v>CONT</v>
      </c>
      <c r="L10" s="115">
        <f>'Pre- and Production'!AM164</f>
        <v>0</v>
      </c>
      <c r="M10" s="116">
        <f>'Pre- and Production'!AN164</f>
        <v>0</v>
      </c>
      <c r="N10" s="116">
        <f>'Pre- and Production'!AO164</f>
        <v>0</v>
      </c>
      <c r="O10" s="116">
        <f>'Pre- and Production'!AP164</f>
        <v>0</v>
      </c>
      <c r="P10" s="116">
        <f>'Pre- and Production'!AQ164</f>
        <v>0</v>
      </c>
      <c r="Q10" s="121">
        <f>'Pre- and Production'!AR164</f>
        <v>0</v>
      </c>
      <c r="R10" s="117"/>
    </row>
    <row r="11" spans="1:25">
      <c r="A11" s="78" t="str">
        <f>'Pre- and Production'!AB165</f>
        <v>STAR</v>
      </c>
      <c r="B11" s="115">
        <f>'Pre- and Production'!AC165</f>
        <v>40</v>
      </c>
      <c r="C11" s="116">
        <f>'Pre- and Production'!AD165</f>
        <v>224</v>
      </c>
      <c r="D11" s="116">
        <f>'Pre- and Production'!AE165</f>
        <v>40</v>
      </c>
      <c r="E11" s="116">
        <f>'Pre- and Production'!AF165</f>
        <v>280</v>
      </c>
      <c r="F11" s="116">
        <f>'Pre- and Production'!AG165</f>
        <v>32</v>
      </c>
      <c r="G11" s="121">
        <f>'Pre- and Production'!AH165</f>
        <v>12000</v>
      </c>
      <c r="H11" s="117"/>
      <c r="I11" s="100"/>
      <c r="J11" s="100"/>
      <c r="K11" s="78" t="str">
        <f>'Pre- and Production'!AL165</f>
        <v>STAR</v>
      </c>
      <c r="L11" s="115">
        <f>'Pre- and Production'!AM165</f>
        <v>0</v>
      </c>
      <c r="M11" s="116">
        <f>'Pre- and Production'!AN165</f>
        <v>0</v>
      </c>
      <c r="N11" s="116">
        <f>'Pre- and Production'!AO165</f>
        <v>0</v>
      </c>
      <c r="O11" s="116">
        <f>'Pre- and Production'!AP165</f>
        <v>16</v>
      </c>
      <c r="P11" s="116">
        <f>'Pre- and Production'!AQ165</f>
        <v>8</v>
      </c>
      <c r="Q11" s="121">
        <f>'Pre- and Production'!AR165</f>
        <v>0</v>
      </c>
      <c r="R11" s="117"/>
    </row>
    <row r="12" spans="1:25">
      <c r="A12" s="78"/>
      <c r="B12" s="270" t="str">
        <f>'Pre- and Production'!AC166</f>
        <v>Project Estimated Cost</v>
      </c>
      <c r="C12" s="271"/>
      <c r="D12" s="271"/>
      <c r="E12" s="271"/>
      <c r="F12" s="271"/>
      <c r="G12" s="271"/>
      <c r="H12" s="272"/>
      <c r="I12" s="100"/>
      <c r="J12" s="100"/>
      <c r="K12" s="78"/>
      <c r="L12" s="270" t="str">
        <f>'Pre- and Production'!AM166</f>
        <v>Project Estimated Contingency</v>
      </c>
      <c r="M12" s="271"/>
      <c r="N12" s="271"/>
      <c r="O12" s="271"/>
      <c r="P12" s="271"/>
      <c r="Q12" s="271"/>
      <c r="R12" s="272"/>
    </row>
    <row r="13" spans="1:25">
      <c r="A13" s="78"/>
      <c r="B13" s="112" t="str">
        <f>'Pre- and Production'!AC167</f>
        <v>Shop Cost</v>
      </c>
      <c r="C13" s="113" t="str">
        <f>'Pre- and Production'!AD167</f>
        <v>MT Cost</v>
      </c>
      <c r="D13" s="113" t="str">
        <f>'Pre- and Production'!AE167</f>
        <v>Postdoc (cont)</v>
      </c>
      <c r="E13" s="113" t="str">
        <f>'Pre- and Production'!AF167</f>
        <v>Engineering</v>
      </c>
      <c r="F13" s="113" t="str">
        <f>'Pre- and Production'!AG167</f>
        <v>Engineer (cont)</v>
      </c>
      <c r="G13" s="118" t="str">
        <f>'Pre- and Production'!AH167</f>
        <v>M&amp;S Cost</v>
      </c>
      <c r="H13" s="114" t="str">
        <f>'Pre- and Production'!AI167</f>
        <v>Totals</v>
      </c>
      <c r="I13" s="265" t="s">
        <v>293</v>
      </c>
      <c r="J13" s="265" t="s">
        <v>294</v>
      </c>
      <c r="K13" s="78"/>
      <c r="L13" s="112" t="str">
        <f>'Pre- and Production'!AM167</f>
        <v>Shop Cost</v>
      </c>
      <c r="M13" s="113" t="str">
        <f>'Pre- and Production'!AN167</f>
        <v>MT Cost</v>
      </c>
      <c r="N13" s="113" t="str">
        <f>'Pre- and Production'!AO167</f>
        <v>Postdoc (cont)</v>
      </c>
      <c r="O13" s="113" t="str">
        <f>'Pre- and Production'!AP167</f>
        <v>Engineering</v>
      </c>
      <c r="P13" s="113" t="str">
        <f>'Pre- and Production'!AQ167</f>
        <v>Engineer (cont)</v>
      </c>
      <c r="Q13" s="118" t="str">
        <f>'Pre- and Production'!AR167</f>
        <v>M&amp;S Cost</v>
      </c>
      <c r="R13" s="114" t="str">
        <f>'Pre- and Production'!AS167</f>
        <v>Totals</v>
      </c>
      <c r="S13" s="265" t="s">
        <v>293</v>
      </c>
      <c r="T13" s="265" t="s">
        <v>294</v>
      </c>
      <c r="V13" s="263" t="s">
        <v>295</v>
      </c>
      <c r="W13" s="263" t="s">
        <v>293</v>
      </c>
      <c r="X13" s="266" t="s">
        <v>296</v>
      </c>
      <c r="Y13" s="266" t="s">
        <v>294</v>
      </c>
    </row>
    <row r="14" spans="1:25">
      <c r="A14" s="78">
        <f>'Pre- and Production'!AB168</f>
        <v>2009</v>
      </c>
      <c r="B14" s="122">
        <f>'Pre- and Production'!AC168</f>
        <v>0</v>
      </c>
      <c r="C14" s="119">
        <f>'Pre- and Production'!AD168</f>
        <v>0</v>
      </c>
      <c r="D14" s="119">
        <f>'Pre- and Production'!AE168</f>
        <v>0</v>
      </c>
      <c r="E14" s="119">
        <f>'Pre- and Production'!AF168</f>
        <v>0</v>
      </c>
      <c r="F14" s="119">
        <f>'Pre- and Production'!AG168</f>
        <v>0</v>
      </c>
      <c r="G14" s="119">
        <f>'Pre- and Production'!AH168</f>
        <v>0</v>
      </c>
      <c r="H14" s="123">
        <f>'Pre- and Production'!AI168</f>
        <v>0</v>
      </c>
      <c r="I14" s="262">
        <v>0</v>
      </c>
      <c r="J14" s="100">
        <f t="shared" ref="J14:J19" si="0">I14-H14</f>
        <v>0</v>
      </c>
      <c r="K14" s="78">
        <f>'Pre- and Production'!AL168</f>
        <v>2009</v>
      </c>
      <c r="L14" s="122">
        <f>'Pre- and Production'!AM168</f>
        <v>0</v>
      </c>
      <c r="M14" s="119">
        <f>'Pre- and Production'!AN168</f>
        <v>0</v>
      </c>
      <c r="N14" s="119">
        <f>'Pre- and Production'!AO168</f>
        <v>0</v>
      </c>
      <c r="O14" s="119">
        <f>'Pre- and Production'!AP168</f>
        <v>0</v>
      </c>
      <c r="P14" s="119">
        <f>'Pre- and Production'!AQ168</f>
        <v>0</v>
      </c>
      <c r="Q14" s="119">
        <f>'Pre- and Production'!AR168</f>
        <v>0</v>
      </c>
      <c r="R14" s="123">
        <f>'Pre- and Production'!AS168</f>
        <v>0</v>
      </c>
      <c r="S14" s="89">
        <v>0</v>
      </c>
      <c r="T14" s="100">
        <f t="shared" ref="T14:T19" si="1">S14-R14</f>
        <v>0</v>
      </c>
      <c r="V14" s="89">
        <v>2009</v>
      </c>
      <c r="W14" s="79">
        <f t="shared" ref="W14:W19" si="2">I14+S14</f>
        <v>0</v>
      </c>
      <c r="X14" s="79">
        <f t="shared" ref="X14:X19" si="3">H14+R14</f>
        <v>0</v>
      </c>
      <c r="Y14" s="79">
        <f t="shared" ref="Y14:Y19" si="4">X14-W14</f>
        <v>0</v>
      </c>
    </row>
    <row r="15" spans="1:25">
      <c r="A15" s="78">
        <f>'Pre- and Production'!AB169</f>
        <v>2010</v>
      </c>
      <c r="B15" s="122">
        <f>'Pre- and Production'!AC169</f>
        <v>630</v>
      </c>
      <c r="C15" s="119">
        <f>'Pre- and Production'!AD169</f>
        <v>8363.16</v>
      </c>
      <c r="D15" s="119">
        <f>'Pre- and Production'!AE169</f>
        <v>0</v>
      </c>
      <c r="E15" s="119">
        <f>'Pre- and Production'!AF169</f>
        <v>13809.000000000002</v>
      </c>
      <c r="F15" s="119">
        <f>'Pre- and Production'!AG169</f>
        <v>0</v>
      </c>
      <c r="G15" s="119">
        <f>'Pre- and Production'!AH169</f>
        <v>43450</v>
      </c>
      <c r="H15" s="123">
        <f>'Pre- and Production'!AI169</f>
        <v>66252.160000000003</v>
      </c>
      <c r="I15" s="262">
        <v>66252.160000000003</v>
      </c>
      <c r="J15" s="100">
        <f t="shared" si="0"/>
        <v>0</v>
      </c>
      <c r="K15" s="78">
        <f>'Pre- and Production'!AL169</f>
        <v>2010</v>
      </c>
      <c r="L15" s="122">
        <f>'Pre- and Production'!AM169</f>
        <v>0</v>
      </c>
      <c r="M15" s="119">
        <f>'Pre- and Production'!AN169</f>
        <v>0</v>
      </c>
      <c r="N15" s="119">
        <f>'Pre- and Production'!AO169</f>
        <v>0</v>
      </c>
      <c r="O15" s="119">
        <f>'Pre- and Production'!AP169</f>
        <v>0</v>
      </c>
      <c r="P15" s="119">
        <f>'Pre- and Production'!AQ169</f>
        <v>0</v>
      </c>
      <c r="Q15" s="119">
        <f>'Pre- and Production'!AR169</f>
        <v>0</v>
      </c>
      <c r="R15" s="123">
        <f>'Pre- and Production'!AS169</f>
        <v>0</v>
      </c>
      <c r="S15" s="89">
        <v>0</v>
      </c>
      <c r="T15" s="100">
        <f t="shared" si="1"/>
        <v>0</v>
      </c>
      <c r="V15" s="89">
        <v>2010</v>
      </c>
      <c r="W15" s="79">
        <f t="shared" si="2"/>
        <v>66252.160000000003</v>
      </c>
      <c r="X15" s="79">
        <f t="shared" si="3"/>
        <v>66252.160000000003</v>
      </c>
      <c r="Y15" s="79">
        <f t="shared" si="4"/>
        <v>0</v>
      </c>
    </row>
    <row r="16" spans="1:25">
      <c r="A16" s="78">
        <f>'Pre- and Production'!AB170</f>
        <v>2011</v>
      </c>
      <c r="B16" s="122">
        <f>'Pre- and Production'!AC170</f>
        <v>5040</v>
      </c>
      <c r="C16" s="119">
        <f>'Pre- and Production'!AD170</f>
        <v>15546.960000000001</v>
      </c>
      <c r="D16" s="119">
        <f>'Pre- and Production'!AE170</f>
        <v>0</v>
      </c>
      <c r="E16" s="119">
        <f>'Pre- and Production'!AF170</f>
        <v>15432</v>
      </c>
      <c r="F16" s="119">
        <f>'Pre- and Production'!AG170</f>
        <v>0</v>
      </c>
      <c r="G16" s="119">
        <f>'Pre- and Production'!AH170</f>
        <v>22000</v>
      </c>
      <c r="H16" s="123">
        <f>'Pre- and Production'!AI170</f>
        <v>58018.960000000006</v>
      </c>
      <c r="I16" s="262">
        <v>283600.79399999999</v>
      </c>
      <c r="J16" s="100">
        <f t="shared" si="0"/>
        <v>225581.83399999997</v>
      </c>
      <c r="K16" s="78">
        <f>'Pre- and Production'!AL170</f>
        <v>2011</v>
      </c>
      <c r="L16" s="122">
        <f>'Pre- and Production'!AM170</f>
        <v>1008</v>
      </c>
      <c r="M16" s="119">
        <f>'Pre- and Production'!AN170</f>
        <v>5484.9600000000009</v>
      </c>
      <c r="N16" s="119">
        <f>'Pre- and Production'!AO170</f>
        <v>0</v>
      </c>
      <c r="O16" s="119">
        <f>'Pre- and Production'!AP170</f>
        <v>11862.000000000002</v>
      </c>
      <c r="P16" s="119">
        <f>'Pre- and Production'!AQ170</f>
        <v>0</v>
      </c>
      <c r="Q16" s="119">
        <f>'Pre- and Production'!AR170</f>
        <v>4000</v>
      </c>
      <c r="R16" s="123">
        <f>'Pre- and Production'!AS170</f>
        <v>22354.960000000003</v>
      </c>
      <c r="S16" s="89">
        <v>89658.4</v>
      </c>
      <c r="T16" s="100">
        <f t="shared" si="1"/>
        <v>67303.439999999988</v>
      </c>
      <c r="V16" s="89">
        <v>2011</v>
      </c>
      <c r="W16" s="79">
        <f t="shared" si="2"/>
        <v>373259.19400000002</v>
      </c>
      <c r="X16" s="79">
        <f t="shared" si="3"/>
        <v>80373.920000000013</v>
      </c>
      <c r="Y16" s="79">
        <f t="shared" si="4"/>
        <v>-292885.27399999998</v>
      </c>
    </row>
    <row r="17" spans="1:25">
      <c r="A17" s="78">
        <f>'Pre- and Production'!AB171</f>
        <v>2012</v>
      </c>
      <c r="B17" s="122">
        <f>'Pre- and Production'!AC171</f>
        <v>23425.919999999998</v>
      </c>
      <c r="C17" s="119">
        <f>'Pre- and Production'!AD171</f>
        <v>107903.48400000001</v>
      </c>
      <c r="D17" s="119">
        <f>'Pre- and Production'!AE171</f>
        <v>0</v>
      </c>
      <c r="E17" s="119">
        <f>'Pre- and Production'!AF171</f>
        <v>46486.8</v>
      </c>
      <c r="F17" s="119">
        <f>'Pre- and Production'!AG171</f>
        <v>0</v>
      </c>
      <c r="G17" s="119">
        <f>'Pre- and Production'!AH171</f>
        <v>111660</v>
      </c>
      <c r="H17" s="123">
        <f>'Pre- and Production'!AI171</f>
        <v>289476.20400000003</v>
      </c>
      <c r="I17" s="262">
        <v>169067.91800000001</v>
      </c>
      <c r="J17" s="100">
        <f t="shared" si="0"/>
        <v>-120408.28600000002</v>
      </c>
      <c r="K17" s="78">
        <f>'Pre- and Production'!AL171</f>
        <v>2012</v>
      </c>
      <c r="L17" s="122">
        <f>'Pre- and Production'!AM171</f>
        <v>5191.2</v>
      </c>
      <c r="M17" s="119">
        <f>'Pre- and Production'!AN171</f>
        <v>22669.920000000002</v>
      </c>
      <c r="N17" s="119">
        <f>'Pre- and Production'!AO171</f>
        <v>0</v>
      </c>
      <c r="O17" s="119">
        <f>'Pre- and Production'!AP171</f>
        <v>12000</v>
      </c>
      <c r="P17" s="119">
        <f>'Pre- and Production'!AQ171</f>
        <v>0</v>
      </c>
      <c r="Q17" s="119">
        <f>'Pre- and Production'!AR171</f>
        <v>42300</v>
      </c>
      <c r="R17" s="123">
        <f>'Pre- and Production'!AS171</f>
        <v>82161.119999999995</v>
      </c>
      <c r="S17" s="89">
        <v>32934.520000000004</v>
      </c>
      <c r="T17" s="100">
        <f t="shared" si="1"/>
        <v>-49226.599999999991</v>
      </c>
      <c r="V17" s="89">
        <v>2012</v>
      </c>
      <c r="W17" s="79">
        <f t="shared" si="2"/>
        <v>202002.43800000002</v>
      </c>
      <c r="X17" s="79">
        <f t="shared" si="3"/>
        <v>371637.32400000002</v>
      </c>
      <c r="Y17" s="79">
        <f t="shared" si="4"/>
        <v>169634.886</v>
      </c>
    </row>
    <row r="18" spans="1:25" s="261" customFormat="1">
      <c r="A18" s="78">
        <f>'Pre- and Production'!AB172</f>
        <v>2013</v>
      </c>
      <c r="B18" s="122">
        <f>'Pre- and Production'!AC172</f>
        <v>408.24</v>
      </c>
      <c r="C18" s="119">
        <f>'Pre- and Production'!AD172</f>
        <v>67324.608000000022</v>
      </c>
      <c r="D18" s="119">
        <f>'Pre- and Production'!AE172</f>
        <v>0</v>
      </c>
      <c r="E18" s="119">
        <f>'Pre- and Production'!AF172</f>
        <v>6536.7000000000016</v>
      </c>
      <c r="F18" s="119">
        <f>'Pre- and Production'!AG172</f>
        <v>0</v>
      </c>
      <c r="G18" s="119">
        <f>'Pre- and Production'!AH172</f>
        <v>35820</v>
      </c>
      <c r="H18" s="123">
        <f>'Pre- and Production'!AI172</f>
        <v>110089.54800000002</v>
      </c>
      <c r="I18" s="262">
        <v>4916</v>
      </c>
      <c r="J18" s="100">
        <f t="shared" si="0"/>
        <v>-105173.54800000002</v>
      </c>
      <c r="K18" s="78">
        <f>'Pre- and Production'!AL172</f>
        <v>2013</v>
      </c>
      <c r="L18" s="122">
        <f>'Pre- and Production'!AM172</f>
        <v>816.48</v>
      </c>
      <c r="M18" s="119">
        <f>'Pre- and Production'!AN172</f>
        <v>6444.3600000000006</v>
      </c>
      <c r="N18" s="119">
        <f>'Pre- and Production'!AO172</f>
        <v>0</v>
      </c>
      <c r="O18" s="119">
        <f>'Pre- and Production'!AP172</f>
        <v>8262.0000000000018</v>
      </c>
      <c r="P18" s="119">
        <f>'Pre- and Production'!AQ172</f>
        <v>0</v>
      </c>
      <c r="Q18" s="119">
        <f>'Pre- and Production'!AR172</f>
        <v>9900</v>
      </c>
      <c r="R18" s="123">
        <f>'Pre- and Production'!AS172</f>
        <v>25422.840000000004</v>
      </c>
      <c r="S18" s="261">
        <v>13178.000000000002</v>
      </c>
      <c r="T18" s="100">
        <f t="shared" si="1"/>
        <v>-12244.840000000002</v>
      </c>
      <c r="V18" s="261">
        <v>2013</v>
      </c>
      <c r="W18" s="79">
        <f t="shared" si="2"/>
        <v>18094</v>
      </c>
      <c r="X18" s="79">
        <f t="shared" si="3"/>
        <v>135512.38800000004</v>
      </c>
      <c r="Y18" s="79">
        <f t="shared" si="4"/>
        <v>117418.38800000004</v>
      </c>
    </row>
    <row r="19" spans="1:25" ht="13.5" thickBot="1">
      <c r="A19" s="78">
        <f>'Pre- and Production'!AB173</f>
        <v>2014</v>
      </c>
      <c r="B19" s="124">
        <f>'Pre- and Production'!AC173</f>
        <v>0</v>
      </c>
      <c r="C19" s="120">
        <f>'Pre- and Production'!AD173</f>
        <v>0</v>
      </c>
      <c r="D19" s="120">
        <f>'Pre- and Production'!AE173</f>
        <v>0</v>
      </c>
      <c r="E19" s="120">
        <f>'Pre- and Production'!AF173</f>
        <v>0</v>
      </c>
      <c r="F19" s="120">
        <f>'Pre- and Production'!AG173</f>
        <v>0</v>
      </c>
      <c r="G19" s="120">
        <f>'Pre- and Production'!AH173</f>
        <v>0</v>
      </c>
      <c r="H19" s="125">
        <f>'Pre- and Production'!AI173</f>
        <v>0</v>
      </c>
      <c r="I19" s="262">
        <v>0</v>
      </c>
      <c r="J19" s="100">
        <f t="shared" si="0"/>
        <v>0</v>
      </c>
      <c r="K19" s="78">
        <f>'Pre- and Production'!AL173</f>
        <v>2014</v>
      </c>
      <c r="L19" s="124">
        <f>'Pre- and Production'!AM173</f>
        <v>0</v>
      </c>
      <c r="M19" s="120">
        <f>'Pre- and Production'!AN173</f>
        <v>0</v>
      </c>
      <c r="N19" s="120">
        <f>'Pre- and Production'!AO173</f>
        <v>0</v>
      </c>
      <c r="O19" s="120">
        <f>'Pre- and Production'!AP173</f>
        <v>13608.000000000002</v>
      </c>
      <c r="P19" s="120">
        <f>'Pre- and Production'!AQ173</f>
        <v>0</v>
      </c>
      <c r="Q19" s="120">
        <f>'Pre- and Production'!AR173</f>
        <v>0</v>
      </c>
      <c r="R19" s="125">
        <f>'Pre- and Production'!AS173</f>
        <v>13608.000000000002</v>
      </c>
      <c r="S19" s="89">
        <v>13194.900000000001</v>
      </c>
      <c r="T19" s="100">
        <f t="shared" si="1"/>
        <v>-413.10000000000036</v>
      </c>
      <c r="V19" s="89">
        <v>2014</v>
      </c>
      <c r="W19" s="79">
        <f t="shared" si="2"/>
        <v>13194.900000000001</v>
      </c>
      <c r="X19" s="79">
        <f t="shared" si="3"/>
        <v>13608.000000000002</v>
      </c>
      <c r="Y19" s="79">
        <f t="shared" si="4"/>
        <v>413.10000000000036</v>
      </c>
    </row>
    <row r="20" spans="1:25">
      <c r="A20" s="78"/>
      <c r="B20" s="100"/>
      <c r="C20" s="100"/>
      <c r="D20" s="100"/>
      <c r="E20" s="100"/>
      <c r="F20" s="100"/>
      <c r="G20" s="111" t="str">
        <f>'Pre- and Production'!AH174</f>
        <v>Base Cost</v>
      </c>
      <c r="H20" s="79">
        <f>'Pre- and Production'!AI174</f>
        <v>523836.87200000003</v>
      </c>
      <c r="I20" s="100"/>
      <c r="J20" s="100"/>
      <c r="K20" s="78"/>
      <c r="L20" s="100"/>
      <c r="M20" s="100"/>
      <c r="N20" s="100"/>
      <c r="O20" s="100"/>
      <c r="P20" s="100"/>
      <c r="Q20" s="111" t="str">
        <f>'Pre- and Production'!AR174</f>
        <v>Contingency</v>
      </c>
      <c r="R20" s="79">
        <f>'Pre- and Production'!AS174</f>
        <v>143546.92000000001</v>
      </c>
      <c r="V20" s="263" t="s">
        <v>35</v>
      </c>
      <c r="W20" s="79">
        <f>SUM(W14:W19)</f>
        <v>672802.69200000016</v>
      </c>
      <c r="X20" s="79">
        <f>SUM(X14:X19)</f>
        <v>667383.79200000013</v>
      </c>
      <c r="Y20" s="79">
        <f>SUM(Y14:Y19)</f>
        <v>-5418.8999999999414</v>
      </c>
    </row>
    <row r="21" spans="1:25" ht="13.5" thickBot="1">
      <c r="A21" s="78"/>
      <c r="B21" s="100"/>
      <c r="C21" s="100"/>
      <c r="D21" s="100"/>
      <c r="E21" s="100"/>
      <c r="F21" s="100"/>
      <c r="H21" s="100"/>
      <c r="I21" s="100"/>
      <c r="J21" s="100"/>
      <c r="K21" s="78"/>
      <c r="L21" s="100"/>
      <c r="M21" s="100"/>
      <c r="N21" s="100"/>
      <c r="O21" s="100"/>
      <c r="P21" s="100"/>
      <c r="Q21" s="111" t="str">
        <f>'Pre- and Production'!AR175</f>
        <v>Percent</v>
      </c>
      <c r="R21" s="99">
        <f>'Pre- and Production'!AS175</f>
        <v>0.2740298128536473</v>
      </c>
    </row>
    <row r="22" spans="1:25">
      <c r="A22" s="78"/>
      <c r="B22" s="273" t="str">
        <f>'Pre- and Production'!AC178</f>
        <v>Pre-Production Base Cost</v>
      </c>
      <c r="C22" s="274"/>
      <c r="D22" s="274"/>
      <c r="E22" s="274"/>
      <c r="F22" s="274"/>
      <c r="G22" s="274"/>
      <c r="H22" s="275"/>
      <c r="I22" s="100"/>
      <c r="J22" s="100"/>
      <c r="K22" s="78"/>
      <c r="L22" s="273" t="str">
        <f>'Pre- and Production'!AM178</f>
        <v>Pre-Production Contingency Cost</v>
      </c>
      <c r="M22" s="274"/>
      <c r="N22" s="274"/>
      <c r="O22" s="274"/>
      <c r="P22" s="274"/>
      <c r="Q22" s="274"/>
      <c r="R22" s="275"/>
    </row>
    <row r="23" spans="1:25">
      <c r="A23" s="78"/>
      <c r="B23" s="112" t="str">
        <f>'Pre- and Production'!AC179</f>
        <v>Shop Time</v>
      </c>
      <c r="C23" s="113" t="str">
        <f>'Pre- and Production'!AD179</f>
        <v>MT Time</v>
      </c>
      <c r="D23" s="113" t="str">
        <f>'Pre- and Production'!AE179</f>
        <v>Postdoc (cont)</v>
      </c>
      <c r="E23" s="113" t="str">
        <f>'Pre- and Production'!AF179</f>
        <v>Engineering</v>
      </c>
      <c r="F23" s="113" t="str">
        <f>'Pre- and Production'!AG179</f>
        <v>Engineer (cont)</v>
      </c>
      <c r="G23" s="118" t="str">
        <f>'Pre- and Production'!AH179</f>
        <v>M&amp;S Cost</v>
      </c>
      <c r="H23" s="114"/>
      <c r="I23" s="100"/>
      <c r="J23" s="100"/>
      <c r="K23" s="78"/>
      <c r="L23" s="112" t="str">
        <f>'Pre- and Production'!AM179</f>
        <v>Shop Time</v>
      </c>
      <c r="M23" s="113" t="str">
        <f>'Pre- and Production'!AN179</f>
        <v>MT Time</v>
      </c>
      <c r="N23" s="113" t="str">
        <f>'Pre- and Production'!AO179</f>
        <v>Postdoc (cont)</v>
      </c>
      <c r="O23" s="113" t="str">
        <f>'Pre- and Production'!AP179</f>
        <v>Engineering</v>
      </c>
      <c r="P23" s="113" t="str">
        <f>'Pre- and Production'!AQ179</f>
        <v>Engineer (cont)</v>
      </c>
      <c r="Q23" s="118" t="str">
        <f>'Pre- and Production'!AR179</f>
        <v>M&amp;S Cost</v>
      </c>
      <c r="R23" s="114"/>
    </row>
    <row r="24" spans="1:25">
      <c r="A24" s="78">
        <f>'Pre- and Production'!AB180</f>
        <v>2009</v>
      </c>
      <c r="B24" s="115">
        <f>'Pre- and Production'!AC180</f>
        <v>0</v>
      </c>
      <c r="C24" s="116">
        <f>'Pre- and Production'!AD180</f>
        <v>0</v>
      </c>
      <c r="D24" s="116">
        <f>'Pre- and Production'!AE180</f>
        <v>0</v>
      </c>
      <c r="E24" s="116">
        <f>'Pre- and Production'!AF180</f>
        <v>0</v>
      </c>
      <c r="F24" s="116">
        <f>'Pre- and Production'!AG180</f>
        <v>0</v>
      </c>
      <c r="G24" s="121">
        <f>'Pre- and Production'!AH180</f>
        <v>0</v>
      </c>
      <c r="H24" s="117"/>
      <c r="I24" s="100"/>
      <c r="J24" s="100"/>
      <c r="K24" s="78">
        <f>'Pre- and Production'!AL180</f>
        <v>2009</v>
      </c>
      <c r="L24" s="115">
        <f>'Pre- and Production'!AM180</f>
        <v>0</v>
      </c>
      <c r="M24" s="116">
        <f>'Pre- and Production'!AN180</f>
        <v>0</v>
      </c>
      <c r="N24" s="116">
        <f>'Pre- and Production'!AO180</f>
        <v>0</v>
      </c>
      <c r="O24" s="116">
        <f>'Pre- and Production'!AP180</f>
        <v>0</v>
      </c>
      <c r="P24" s="116">
        <f>'Pre- and Production'!AQ180</f>
        <v>0</v>
      </c>
      <c r="Q24" s="121">
        <f>'Pre- and Production'!AR180</f>
        <v>0</v>
      </c>
      <c r="R24" s="117"/>
    </row>
    <row r="25" spans="1:25">
      <c r="A25" s="78">
        <f>'Pre- and Production'!AB181</f>
        <v>2010</v>
      </c>
      <c r="B25" s="115">
        <f>'Pre- and Production'!AC181</f>
        <v>5</v>
      </c>
      <c r="C25" s="116">
        <f>'Pre- and Production'!AD181</f>
        <v>65</v>
      </c>
      <c r="D25" s="116">
        <f>'Pre- and Production'!AE181</f>
        <v>16</v>
      </c>
      <c r="E25" s="116">
        <f>'Pre- and Production'!AF181</f>
        <v>30.5</v>
      </c>
      <c r="F25" s="116">
        <f>'Pre- and Production'!AG181</f>
        <v>93.5</v>
      </c>
      <c r="G25" s="121">
        <f>'Pre- and Production'!AH181</f>
        <v>2050</v>
      </c>
      <c r="H25" s="117"/>
      <c r="I25" s="100"/>
      <c r="J25" s="100"/>
      <c r="K25" s="78">
        <f>'Pre- and Production'!AL181</f>
        <v>2010</v>
      </c>
      <c r="L25" s="115">
        <f>'Pre- and Production'!AM181</f>
        <v>0</v>
      </c>
      <c r="M25" s="116">
        <f>'Pre- and Production'!AN181</f>
        <v>0</v>
      </c>
      <c r="N25" s="116">
        <f>'Pre- and Production'!AO181</f>
        <v>0</v>
      </c>
      <c r="O25" s="116">
        <f>'Pre- and Production'!AP181</f>
        <v>0</v>
      </c>
      <c r="P25" s="116">
        <f>'Pre- and Production'!AQ181</f>
        <v>0</v>
      </c>
      <c r="Q25" s="121">
        <f>'Pre- and Production'!AR181</f>
        <v>0</v>
      </c>
      <c r="R25" s="117"/>
    </row>
    <row r="26" spans="1:25">
      <c r="A26" s="78">
        <f>'Pre- and Production'!AB182</f>
        <v>2011</v>
      </c>
      <c r="B26" s="115">
        <f>'Pre- and Production'!AC182</f>
        <v>40</v>
      </c>
      <c r="C26" s="116">
        <f>'Pre- and Production'!AD182</f>
        <v>94</v>
      </c>
      <c r="D26" s="116">
        <f>'Pre- and Production'!AE182</f>
        <v>101</v>
      </c>
      <c r="E26" s="116">
        <f>'Pre- and Production'!AF182</f>
        <v>64</v>
      </c>
      <c r="F26" s="116">
        <f>'Pre- and Production'!AG182</f>
        <v>192</v>
      </c>
      <c r="G26" s="121">
        <f>'Pre- and Production'!AH182</f>
        <v>15500</v>
      </c>
      <c r="H26" s="117"/>
      <c r="I26" s="100"/>
      <c r="J26" s="100"/>
      <c r="K26" s="78">
        <f>'Pre- and Production'!AL182</f>
        <v>2011</v>
      </c>
      <c r="L26" s="115">
        <f>'Pre- and Production'!AM182</f>
        <v>8</v>
      </c>
      <c r="M26" s="116">
        <f>'Pre- and Production'!AN182</f>
        <v>8</v>
      </c>
      <c r="N26" s="116">
        <f>'Pre- and Production'!AO182</f>
        <v>8</v>
      </c>
      <c r="O26" s="116">
        <f>'Pre- and Production'!AP182</f>
        <v>24</v>
      </c>
      <c r="P26" s="116">
        <f>'Pre- and Production'!AQ182</f>
        <v>48</v>
      </c>
      <c r="Q26" s="121">
        <f>'Pre- and Production'!AR182</f>
        <v>500</v>
      </c>
      <c r="R26" s="117"/>
    </row>
    <row r="27" spans="1:25">
      <c r="A27" s="78">
        <f>'Pre- and Production'!AB183</f>
        <v>2012</v>
      </c>
      <c r="B27" s="115">
        <f>'Pre- and Production'!AC183</f>
        <v>160</v>
      </c>
      <c r="C27" s="116">
        <f>'Pre- and Production'!AD183</f>
        <v>364</v>
      </c>
      <c r="D27" s="116">
        <f>'Pre- and Production'!AE183</f>
        <v>92</v>
      </c>
      <c r="E27" s="116">
        <f>'Pre- and Production'!AF183</f>
        <v>200.4</v>
      </c>
      <c r="F27" s="116">
        <f>'Pre- and Production'!AG183</f>
        <v>112.8</v>
      </c>
      <c r="G27" s="121">
        <f>'Pre- and Production'!AH183</f>
        <v>64720</v>
      </c>
      <c r="H27" s="117"/>
      <c r="I27" s="100"/>
      <c r="J27" s="100"/>
      <c r="K27" s="78">
        <f>'Pre- and Production'!AL183</f>
        <v>2012</v>
      </c>
      <c r="L27" s="115">
        <f>'Pre- and Production'!AM183</f>
        <v>25</v>
      </c>
      <c r="M27" s="116">
        <f>'Pre- and Production'!AN183</f>
        <v>116</v>
      </c>
      <c r="N27" s="116">
        <f>'Pre- and Production'!AO183</f>
        <v>84</v>
      </c>
      <c r="O27" s="116">
        <f>'Pre- and Production'!AP183</f>
        <v>80</v>
      </c>
      <c r="P27" s="116">
        <f>'Pre- and Production'!AQ183</f>
        <v>64</v>
      </c>
      <c r="Q27" s="121">
        <f>'Pre- and Production'!AR183</f>
        <v>27600</v>
      </c>
      <c r="R27" s="117"/>
    </row>
    <row r="28" spans="1:25">
      <c r="A28" s="78">
        <f>'Pre- and Production'!AB184</f>
        <v>2013</v>
      </c>
      <c r="B28" s="115">
        <f>'Pre- and Production'!AC184</f>
        <v>0</v>
      </c>
      <c r="C28" s="116">
        <f>'Pre- and Production'!AD184</f>
        <v>0</v>
      </c>
      <c r="D28" s="116">
        <f>'Pre- and Production'!AE184</f>
        <v>0</v>
      </c>
      <c r="E28" s="116">
        <f>'Pre- and Production'!AF184</f>
        <v>0</v>
      </c>
      <c r="F28" s="116">
        <f>'Pre- and Production'!AG184</f>
        <v>0</v>
      </c>
      <c r="G28" s="121">
        <f>'Pre- and Production'!AH184</f>
        <v>0</v>
      </c>
      <c r="H28" s="117"/>
      <c r="I28" s="100"/>
      <c r="J28" s="100"/>
      <c r="K28" s="78">
        <f>'Pre- and Production'!AL184</f>
        <v>2013</v>
      </c>
      <c r="L28" s="115">
        <f>'Pre- and Production'!AM184</f>
        <v>0</v>
      </c>
      <c r="M28" s="116">
        <f>'Pre- and Production'!AN184</f>
        <v>0</v>
      </c>
      <c r="N28" s="116">
        <f>'Pre- and Production'!AO184</f>
        <v>0</v>
      </c>
      <c r="O28" s="116">
        <f>'Pre- and Production'!AP184</f>
        <v>0</v>
      </c>
      <c r="P28" s="116">
        <f>'Pre- and Production'!AQ184</f>
        <v>0</v>
      </c>
      <c r="Q28" s="121">
        <f>'Pre- and Production'!AR184</f>
        <v>0</v>
      </c>
      <c r="R28" s="117"/>
    </row>
    <row r="29" spans="1:25" s="261" customFormat="1">
      <c r="A29" s="78">
        <f>'Pre- and Production'!AB185</f>
        <v>2014</v>
      </c>
      <c r="B29" s="115">
        <f>'Pre- and Production'!AC185</f>
        <v>0</v>
      </c>
      <c r="C29" s="116">
        <f>'Pre- and Production'!AD185</f>
        <v>0</v>
      </c>
      <c r="D29" s="116">
        <f>'Pre- and Production'!AE185</f>
        <v>0</v>
      </c>
      <c r="E29" s="116">
        <f>'Pre- and Production'!AF185</f>
        <v>0</v>
      </c>
      <c r="F29" s="116">
        <f>'Pre- and Production'!AG185</f>
        <v>0</v>
      </c>
      <c r="G29" s="121">
        <f>'Pre- and Production'!AH185</f>
        <v>0</v>
      </c>
      <c r="H29" s="117"/>
      <c r="I29" s="100"/>
      <c r="J29" s="100"/>
      <c r="K29" s="78">
        <f>'Pre- and Production'!AL185</f>
        <v>2014</v>
      </c>
      <c r="L29" s="115">
        <f>'Pre- and Production'!AM185</f>
        <v>0</v>
      </c>
      <c r="M29" s="116">
        <f>'Pre- and Production'!AN185</f>
        <v>0</v>
      </c>
      <c r="N29" s="116">
        <f>'Pre- and Production'!AO185</f>
        <v>0</v>
      </c>
      <c r="O29" s="116">
        <f>'Pre- and Production'!AP185</f>
        <v>0</v>
      </c>
      <c r="P29" s="116">
        <f>'Pre- and Production'!AQ185</f>
        <v>0</v>
      </c>
      <c r="Q29" s="121">
        <f>'Pre- and Production'!AR185</f>
        <v>0</v>
      </c>
      <c r="R29" s="117"/>
    </row>
    <row r="30" spans="1:25">
      <c r="A30" s="78" t="str">
        <f>'Pre- and Production'!AB186</f>
        <v>CONT</v>
      </c>
      <c r="B30" s="115">
        <f>'Pre- and Production'!AC186</f>
        <v>0</v>
      </c>
      <c r="C30" s="116">
        <f>'Pre- and Production'!AD186</f>
        <v>0</v>
      </c>
      <c r="D30" s="116">
        <f>'Pre- and Production'!AE186</f>
        <v>0</v>
      </c>
      <c r="E30" s="116">
        <f>'Pre- and Production'!AF186</f>
        <v>0</v>
      </c>
      <c r="F30" s="116">
        <f>'Pre- and Production'!AG186</f>
        <v>0</v>
      </c>
      <c r="G30" s="121">
        <f>'Pre- and Production'!AH186</f>
        <v>0</v>
      </c>
      <c r="H30" s="117"/>
      <c r="I30" s="100"/>
      <c r="J30" s="100"/>
      <c r="K30" s="78" t="str">
        <f>'Pre- and Production'!AL186</f>
        <v>CONT</v>
      </c>
      <c r="L30" s="115">
        <f>'Pre- and Production'!AM186</f>
        <v>0</v>
      </c>
      <c r="M30" s="116">
        <f>'Pre- and Production'!AN186</f>
        <v>0</v>
      </c>
      <c r="N30" s="116">
        <f>'Pre- and Production'!AO186</f>
        <v>0</v>
      </c>
      <c r="O30" s="116">
        <f>'Pre- and Production'!AP186</f>
        <v>0</v>
      </c>
      <c r="P30" s="116">
        <f>'Pre- and Production'!AQ186</f>
        <v>0</v>
      </c>
      <c r="Q30" s="121">
        <f>'Pre- and Production'!AR186</f>
        <v>0</v>
      </c>
      <c r="R30" s="117"/>
    </row>
    <row r="31" spans="1:25">
      <c r="A31" s="78" t="str">
        <f>'Pre- and Production'!AB187</f>
        <v>STAR</v>
      </c>
      <c r="B31" s="115">
        <f>'Pre- and Production'!AC187</f>
        <v>24</v>
      </c>
      <c r="C31" s="116">
        <f>'Pre- and Production'!AD187</f>
        <v>144</v>
      </c>
      <c r="D31" s="116">
        <f>'Pre- and Production'!AE187</f>
        <v>0</v>
      </c>
      <c r="E31" s="116">
        <f>'Pre- and Production'!AF187</f>
        <v>160</v>
      </c>
      <c r="F31" s="116">
        <f>'Pre- and Production'!AG187</f>
        <v>16</v>
      </c>
      <c r="G31" s="121">
        <f>'Pre- and Production'!AH187</f>
        <v>4000</v>
      </c>
      <c r="H31" s="117"/>
      <c r="I31" s="100"/>
      <c r="J31" s="100"/>
      <c r="K31" s="78" t="str">
        <f>'Pre- and Production'!AL187</f>
        <v>STAR</v>
      </c>
      <c r="L31" s="115">
        <f>'Pre- and Production'!AM187</f>
        <v>0</v>
      </c>
      <c r="M31" s="116">
        <f>'Pre- and Production'!AN187</f>
        <v>0</v>
      </c>
      <c r="N31" s="116">
        <f>'Pre- and Production'!AO187</f>
        <v>0</v>
      </c>
      <c r="O31" s="116">
        <f>'Pre- and Production'!AP187</f>
        <v>16</v>
      </c>
      <c r="P31" s="116">
        <f>'Pre- and Production'!AQ187</f>
        <v>8</v>
      </c>
      <c r="Q31" s="121">
        <f>'Pre- and Production'!AR187</f>
        <v>0</v>
      </c>
      <c r="R31" s="117"/>
    </row>
    <row r="32" spans="1:25">
      <c r="A32" s="78"/>
      <c r="B32" s="270" t="str">
        <f>'Pre- and Production'!AC188</f>
        <v>Project Estimated Cost</v>
      </c>
      <c r="C32" s="271"/>
      <c r="D32" s="271"/>
      <c r="E32" s="271"/>
      <c r="F32" s="271"/>
      <c r="G32" s="271"/>
      <c r="H32" s="272"/>
      <c r="I32" s="100"/>
      <c r="J32" s="100"/>
      <c r="K32" s="78"/>
      <c r="L32" s="270" t="str">
        <f>'Pre- and Production'!AM188</f>
        <v>Project Estimated Cost</v>
      </c>
      <c r="M32" s="271"/>
      <c r="N32" s="271"/>
      <c r="O32" s="271"/>
      <c r="P32" s="271"/>
      <c r="Q32" s="271"/>
      <c r="R32" s="272"/>
    </row>
    <row r="33" spans="1:18">
      <c r="A33" s="78"/>
      <c r="B33" s="112" t="str">
        <f>'Pre- and Production'!AC189</f>
        <v>Shop Cost</v>
      </c>
      <c r="C33" s="113" t="str">
        <f>'Pre- and Production'!AD189</f>
        <v>MT Cost</v>
      </c>
      <c r="D33" s="113" t="str">
        <f>'Pre- and Production'!AE189</f>
        <v>Postdoc (cont)</v>
      </c>
      <c r="E33" s="113" t="str">
        <f>'Pre- and Production'!AF189</f>
        <v>Engineering</v>
      </c>
      <c r="F33" s="113" t="str">
        <f>'Pre- and Production'!AG189</f>
        <v>Engineer (cont)</v>
      </c>
      <c r="G33" s="118" t="str">
        <f>'Pre- and Production'!AH189</f>
        <v>M&amp;S Cost</v>
      </c>
      <c r="H33" s="114" t="str">
        <f>'Pre- and Production'!AI189</f>
        <v>Totals</v>
      </c>
      <c r="I33" s="100"/>
      <c r="J33" s="100"/>
      <c r="K33" s="78"/>
      <c r="L33" s="112" t="str">
        <f>'Pre- and Production'!AM189</f>
        <v>Shop Cost</v>
      </c>
      <c r="M33" s="113" t="str">
        <f>'Pre- and Production'!AN189</f>
        <v>MT Cost</v>
      </c>
      <c r="N33" s="113" t="str">
        <f>'Pre- and Production'!AO189</f>
        <v>Postdoc (cont)</v>
      </c>
      <c r="O33" s="113" t="str">
        <f>'Pre- and Production'!AP189</f>
        <v>Engineering</v>
      </c>
      <c r="P33" s="113" t="str">
        <f>'Pre- and Production'!AQ189</f>
        <v>Engineer (cont)</v>
      </c>
      <c r="Q33" s="118" t="str">
        <f>'Pre- and Production'!AR189</f>
        <v>M&amp;S Cost</v>
      </c>
      <c r="R33" s="114" t="str">
        <f>'Pre- and Production'!AS189</f>
        <v>Totals</v>
      </c>
    </row>
    <row r="34" spans="1:18">
      <c r="A34" s="78">
        <f>'Pre- and Production'!AB190</f>
        <v>2009</v>
      </c>
      <c r="B34" s="122">
        <f>'Pre- and Production'!AC190</f>
        <v>0</v>
      </c>
      <c r="C34" s="119">
        <f>'Pre- and Production'!AD190</f>
        <v>0</v>
      </c>
      <c r="D34" s="119">
        <f>'Pre- and Production'!AE190</f>
        <v>0</v>
      </c>
      <c r="E34" s="119">
        <f>'Pre- and Production'!AF190</f>
        <v>0</v>
      </c>
      <c r="F34" s="119">
        <f>'Pre- and Production'!AG190</f>
        <v>0</v>
      </c>
      <c r="G34" s="119">
        <f>'Pre- and Production'!AH190</f>
        <v>0</v>
      </c>
      <c r="H34" s="123">
        <f>'Pre- and Production'!AI190</f>
        <v>0</v>
      </c>
      <c r="I34" s="100"/>
      <c r="J34" s="100"/>
      <c r="K34" s="78">
        <f>'Pre- and Production'!AL190</f>
        <v>2009</v>
      </c>
      <c r="L34" s="122">
        <f>'Pre- and Production'!AM190</f>
        <v>0</v>
      </c>
      <c r="M34" s="119">
        <f>'Pre- and Production'!AN190</f>
        <v>0</v>
      </c>
      <c r="N34" s="119">
        <f>'Pre- and Production'!AO190</f>
        <v>0</v>
      </c>
      <c r="O34" s="119">
        <f>'Pre- and Production'!AP190</f>
        <v>0</v>
      </c>
      <c r="P34" s="119">
        <f>'Pre- and Production'!AQ190</f>
        <v>0</v>
      </c>
      <c r="Q34" s="119">
        <f>'Pre- and Production'!AR190</f>
        <v>0</v>
      </c>
      <c r="R34" s="123">
        <f>'Pre- and Production'!AS190</f>
        <v>0</v>
      </c>
    </row>
    <row r="35" spans="1:18">
      <c r="A35" s="78">
        <f>'Pre- and Production'!AB191</f>
        <v>2010</v>
      </c>
      <c r="B35" s="122">
        <f>'Pre- and Production'!AC191</f>
        <v>630</v>
      </c>
      <c r="C35" s="119">
        <f>'Pre- and Production'!AD191</f>
        <v>7605</v>
      </c>
      <c r="D35" s="119">
        <f>'Pre- and Production'!AE191</f>
        <v>0</v>
      </c>
      <c r="E35" s="119">
        <f>'Pre- and Production'!AF191</f>
        <v>4575</v>
      </c>
      <c r="F35" s="119">
        <f>'Pre- and Production'!AG191</f>
        <v>0</v>
      </c>
      <c r="G35" s="119">
        <f>'Pre- and Production'!AH191</f>
        <v>2050</v>
      </c>
      <c r="H35" s="123">
        <f>'Pre- and Production'!AI191</f>
        <v>14860</v>
      </c>
      <c r="I35" s="100"/>
      <c r="J35" s="100"/>
      <c r="K35" s="78">
        <f>'Pre- and Production'!AL191</f>
        <v>2010</v>
      </c>
      <c r="L35" s="122">
        <f>'Pre- and Production'!AM191</f>
        <v>0</v>
      </c>
      <c r="M35" s="119">
        <f>'Pre- and Production'!AN191</f>
        <v>0</v>
      </c>
      <c r="N35" s="119">
        <f>'Pre- and Production'!AO191</f>
        <v>0</v>
      </c>
      <c r="O35" s="119">
        <f>'Pre- and Production'!AP191</f>
        <v>0</v>
      </c>
      <c r="P35" s="119">
        <f>'Pre- and Production'!AQ191</f>
        <v>0</v>
      </c>
      <c r="Q35" s="119">
        <f>'Pre- and Production'!AR191</f>
        <v>0</v>
      </c>
      <c r="R35" s="123">
        <f>'Pre- and Production'!AS191</f>
        <v>0</v>
      </c>
    </row>
    <row r="36" spans="1:18">
      <c r="A36" s="78">
        <f>'Pre- and Production'!AB192</f>
        <v>2011</v>
      </c>
      <c r="B36" s="122">
        <f>'Pre- and Production'!AC192</f>
        <v>5040</v>
      </c>
      <c r="C36" s="119">
        <f>'Pre- and Production'!AD192</f>
        <v>10998</v>
      </c>
      <c r="D36" s="119">
        <f>'Pre- and Production'!AE192</f>
        <v>0</v>
      </c>
      <c r="E36" s="119">
        <f>'Pre- and Production'!AF192</f>
        <v>9600</v>
      </c>
      <c r="F36" s="119">
        <f>'Pre- and Production'!AG192</f>
        <v>0</v>
      </c>
      <c r="G36" s="119">
        <f>'Pre- and Production'!AH192</f>
        <v>15500</v>
      </c>
      <c r="H36" s="123">
        <f>'Pre- and Production'!AI192</f>
        <v>41138</v>
      </c>
      <c r="I36" s="100"/>
      <c r="J36" s="100"/>
      <c r="K36" s="78">
        <f>'Pre- and Production'!AL192</f>
        <v>2011</v>
      </c>
      <c r="L36" s="122">
        <f>'Pre- and Production'!AM192</f>
        <v>1008</v>
      </c>
      <c r="M36" s="119">
        <f>'Pre- and Production'!AN192</f>
        <v>936</v>
      </c>
      <c r="N36" s="119">
        <f>'Pre- and Production'!AO192</f>
        <v>0</v>
      </c>
      <c r="O36" s="119">
        <f>'Pre- and Production'!AP192</f>
        <v>3600</v>
      </c>
      <c r="P36" s="119">
        <f>'Pre- and Production'!AQ192</f>
        <v>0</v>
      </c>
      <c r="Q36" s="119">
        <f>'Pre- and Production'!AR192</f>
        <v>500</v>
      </c>
      <c r="R36" s="123">
        <f>'Pre- and Production'!AS192</f>
        <v>6044</v>
      </c>
    </row>
    <row r="37" spans="1:18">
      <c r="A37" s="78">
        <f>'Pre- and Production'!AB193</f>
        <v>2012</v>
      </c>
      <c r="B37" s="122">
        <f>'Pre- and Production'!AC193</f>
        <v>20160</v>
      </c>
      <c r="C37" s="119">
        <f>'Pre- and Production'!AD193</f>
        <v>42588</v>
      </c>
      <c r="D37" s="119">
        <f>'Pre- and Production'!AE193</f>
        <v>0</v>
      </c>
      <c r="E37" s="119">
        <f>'Pre- and Production'!AF193</f>
        <v>30060</v>
      </c>
      <c r="F37" s="119">
        <f>'Pre- and Production'!AG193</f>
        <v>0</v>
      </c>
      <c r="G37" s="119">
        <f>'Pre- and Production'!AH193</f>
        <v>64720</v>
      </c>
      <c r="H37" s="123">
        <f>'Pre- and Production'!AI193</f>
        <v>157528</v>
      </c>
      <c r="I37" s="100"/>
      <c r="J37" s="100"/>
      <c r="K37" s="78">
        <f>'Pre- and Production'!AL193</f>
        <v>2012</v>
      </c>
      <c r="L37" s="122">
        <f>'Pre- and Production'!AM193</f>
        <v>3150</v>
      </c>
      <c r="M37" s="119">
        <f>'Pre- and Production'!AN193</f>
        <v>13572</v>
      </c>
      <c r="N37" s="119">
        <f>'Pre- and Production'!AO193</f>
        <v>0</v>
      </c>
      <c r="O37" s="119">
        <f>'Pre- and Production'!AP193</f>
        <v>12000</v>
      </c>
      <c r="P37" s="119">
        <f>'Pre- and Production'!AQ193</f>
        <v>0</v>
      </c>
      <c r="Q37" s="119">
        <f>'Pre- and Production'!AR193</f>
        <v>27600</v>
      </c>
      <c r="R37" s="123">
        <f>'Pre- and Production'!AS193</f>
        <v>56322</v>
      </c>
    </row>
    <row r="38" spans="1:18" s="261" customFormat="1">
      <c r="A38" s="78">
        <f>'Pre- and Production'!AB194</f>
        <v>2013</v>
      </c>
      <c r="B38" s="122">
        <f>'Pre- and Production'!AC194</f>
        <v>0</v>
      </c>
      <c r="C38" s="119">
        <f>'Pre- and Production'!AD194</f>
        <v>0</v>
      </c>
      <c r="D38" s="119">
        <f>'Pre- and Production'!AE194</f>
        <v>0</v>
      </c>
      <c r="E38" s="119">
        <f>'Pre- and Production'!AF194</f>
        <v>0</v>
      </c>
      <c r="F38" s="119">
        <f>'Pre- and Production'!AG194</f>
        <v>0</v>
      </c>
      <c r="G38" s="119">
        <f>'Pre- and Production'!AH194</f>
        <v>0</v>
      </c>
      <c r="H38" s="123">
        <f>'Pre- and Production'!AI194</f>
        <v>0</v>
      </c>
      <c r="I38" s="100"/>
      <c r="J38" s="100"/>
      <c r="K38" s="78">
        <f>'Pre- and Production'!AL194</f>
        <v>2013</v>
      </c>
      <c r="L38" s="122">
        <f>'Pre- and Production'!AM194</f>
        <v>0</v>
      </c>
      <c r="M38" s="119">
        <f>'Pre- and Production'!AN194</f>
        <v>0</v>
      </c>
      <c r="N38" s="119">
        <f>'Pre- and Production'!AO194</f>
        <v>0</v>
      </c>
      <c r="O38" s="119">
        <f>'Pre- and Production'!AP194</f>
        <v>0</v>
      </c>
      <c r="P38" s="119">
        <f>'Pre- and Production'!AQ194</f>
        <v>0</v>
      </c>
      <c r="Q38" s="119">
        <f>'Pre- and Production'!AR194</f>
        <v>0</v>
      </c>
      <c r="R38" s="123">
        <f>'Pre- and Production'!AS194</f>
        <v>0</v>
      </c>
    </row>
    <row r="39" spans="1:18" ht="13.5" thickBot="1">
      <c r="A39" s="78">
        <f>'Pre- and Production'!AB195</f>
        <v>2014</v>
      </c>
      <c r="B39" s="124">
        <f>'Pre- and Production'!AC195</f>
        <v>0</v>
      </c>
      <c r="C39" s="120">
        <f>'Pre- and Production'!AD195</f>
        <v>0</v>
      </c>
      <c r="D39" s="120">
        <f>'Pre- and Production'!AE195</f>
        <v>0</v>
      </c>
      <c r="E39" s="120">
        <f>'Pre- and Production'!AF195</f>
        <v>0</v>
      </c>
      <c r="F39" s="120">
        <f>'Pre- and Production'!AG195</f>
        <v>0</v>
      </c>
      <c r="G39" s="120">
        <f>'Pre- and Production'!AH195</f>
        <v>0</v>
      </c>
      <c r="H39" s="125">
        <f>'Pre- and Production'!AI195</f>
        <v>0</v>
      </c>
      <c r="I39" s="100"/>
      <c r="J39" s="100"/>
      <c r="K39" s="78">
        <f>'Pre- and Production'!AL195</f>
        <v>2014</v>
      </c>
      <c r="L39" s="124">
        <f>'Pre- and Production'!AM195</f>
        <v>0</v>
      </c>
      <c r="M39" s="120">
        <f>'Pre- and Production'!AN195</f>
        <v>0</v>
      </c>
      <c r="N39" s="120">
        <f>'Pre- and Production'!AO195</f>
        <v>0</v>
      </c>
      <c r="O39" s="120">
        <f>'Pre- and Production'!AP195</f>
        <v>0</v>
      </c>
      <c r="P39" s="120">
        <f>'Pre- and Production'!AQ195</f>
        <v>0</v>
      </c>
      <c r="Q39" s="120">
        <f>'Pre- and Production'!AR195</f>
        <v>0</v>
      </c>
      <c r="R39" s="125">
        <f>'Pre- and Production'!AS195</f>
        <v>0</v>
      </c>
    </row>
    <row r="40" spans="1:18">
      <c r="A40" s="78"/>
      <c r="B40" s="100"/>
      <c r="C40" s="100"/>
      <c r="D40" s="100"/>
      <c r="E40" s="100"/>
      <c r="F40" s="100"/>
      <c r="G40" s="111" t="str">
        <f>'Pre- and Production'!AH196</f>
        <v>Base Cost</v>
      </c>
      <c r="H40" s="79">
        <f>'Pre- and Production'!AI196</f>
        <v>213526</v>
      </c>
      <c r="I40" s="100"/>
      <c r="J40" s="100"/>
      <c r="K40" s="78"/>
      <c r="L40" s="100"/>
      <c r="M40" s="100"/>
      <c r="N40" s="100"/>
      <c r="O40" s="100"/>
      <c r="P40" s="100"/>
      <c r="Q40" s="111" t="str">
        <f>'Pre- and Production'!AR196</f>
        <v>Contingency</v>
      </c>
      <c r="R40" s="79">
        <f>'Pre- and Production'!AS196</f>
        <v>62366</v>
      </c>
    </row>
    <row r="41" spans="1:18" ht="13.5" thickBot="1">
      <c r="A41" s="78"/>
      <c r="B41" s="100"/>
      <c r="C41" s="100"/>
      <c r="D41" s="100"/>
      <c r="E41" s="100"/>
      <c r="F41" s="100"/>
      <c r="H41" s="100"/>
      <c r="I41" s="100"/>
      <c r="J41" s="100"/>
      <c r="K41" s="78"/>
      <c r="L41" s="100"/>
      <c r="M41" s="100"/>
      <c r="N41" s="100"/>
      <c r="O41" s="100"/>
      <c r="P41" s="100"/>
      <c r="Q41" s="111" t="str">
        <f>'Pre- and Production'!AR197</f>
        <v>Percent</v>
      </c>
      <c r="R41" s="99">
        <f>'Pre- and Production'!AS197</f>
        <v>0.29207684310107435</v>
      </c>
    </row>
    <row r="42" spans="1:18">
      <c r="A42" s="78"/>
      <c r="B42" s="273" t="str">
        <f>'Pre- and Production'!AC199</f>
        <v>Production Base Cost</v>
      </c>
      <c r="C42" s="274"/>
      <c r="D42" s="274"/>
      <c r="E42" s="274"/>
      <c r="F42" s="274"/>
      <c r="G42" s="274"/>
      <c r="H42" s="275"/>
      <c r="I42" s="100"/>
      <c r="J42" s="100"/>
      <c r="K42" s="78"/>
      <c r="L42" s="273" t="str">
        <f>'Pre- and Production'!AM199</f>
        <v>Production Contingency Cost</v>
      </c>
      <c r="M42" s="274"/>
      <c r="N42" s="274"/>
      <c r="O42" s="274"/>
      <c r="P42" s="274"/>
      <c r="Q42" s="274"/>
      <c r="R42" s="275"/>
    </row>
    <row r="43" spans="1:18">
      <c r="A43" s="78"/>
      <c r="B43" s="112" t="str">
        <f>'Pre- and Production'!AC200</f>
        <v>Shop Time</v>
      </c>
      <c r="C43" s="113" t="str">
        <f>'Pre- and Production'!AD200</f>
        <v>MT Time</v>
      </c>
      <c r="D43" s="113" t="str">
        <f>'Pre- and Production'!AE200</f>
        <v>Postdoc (cont)</v>
      </c>
      <c r="E43" s="113" t="str">
        <f>'Pre- and Production'!AF200</f>
        <v>Engineering</v>
      </c>
      <c r="F43" s="113" t="str">
        <f>'Pre- and Production'!AG200</f>
        <v>Engineer (cont)</v>
      </c>
      <c r="G43" s="118" t="str">
        <f>'Pre- and Production'!AH200</f>
        <v>M&amp;S Cost</v>
      </c>
      <c r="H43" s="114"/>
      <c r="I43" s="100"/>
      <c r="J43" s="100"/>
      <c r="K43" s="78"/>
      <c r="L43" s="112" t="str">
        <f>'Pre- and Production'!AM200</f>
        <v>Shop Time</v>
      </c>
      <c r="M43" s="113" t="str">
        <f>'Pre- and Production'!AN200</f>
        <v>MT Time</v>
      </c>
      <c r="N43" s="113" t="str">
        <f>'Pre- and Production'!AO200</f>
        <v>Postdoc (cont)</v>
      </c>
      <c r="O43" s="113" t="str">
        <f>'Pre- and Production'!AP200</f>
        <v>Engineering</v>
      </c>
      <c r="P43" s="113" t="str">
        <f>'Pre- and Production'!AQ200</f>
        <v>Engineer (cont)</v>
      </c>
      <c r="Q43" s="118" t="str">
        <f>'Pre- and Production'!AR200</f>
        <v>M&amp;S Cost</v>
      </c>
      <c r="R43" s="114"/>
    </row>
    <row r="44" spans="1:18">
      <c r="A44" s="78">
        <f>'Pre- and Production'!AB201</f>
        <v>2009</v>
      </c>
      <c r="B44" s="115">
        <f>'Pre- and Production'!AC201</f>
        <v>0</v>
      </c>
      <c r="C44" s="116">
        <f>'Pre- and Production'!AD201</f>
        <v>0</v>
      </c>
      <c r="D44" s="116">
        <f>'Pre- and Production'!AE201</f>
        <v>0</v>
      </c>
      <c r="E44" s="116">
        <f>'Pre- and Production'!AF201</f>
        <v>0</v>
      </c>
      <c r="F44" s="116">
        <f>'Pre- and Production'!AG201</f>
        <v>0</v>
      </c>
      <c r="G44" s="121">
        <f>'Pre- and Production'!AH201</f>
        <v>0</v>
      </c>
      <c r="H44" s="117"/>
      <c r="I44" s="100"/>
      <c r="J44" s="100"/>
      <c r="K44" s="78">
        <f>'Pre- and Production'!AL201</f>
        <v>2009</v>
      </c>
      <c r="L44" s="115">
        <f>'Pre- and Production'!AM201</f>
        <v>0</v>
      </c>
      <c r="M44" s="116">
        <f>'Pre- and Production'!AN201</f>
        <v>0</v>
      </c>
      <c r="N44" s="116">
        <f>'Pre- and Production'!AO201</f>
        <v>0</v>
      </c>
      <c r="O44" s="116">
        <f>'Pre- and Production'!AP201</f>
        <v>0</v>
      </c>
      <c r="P44" s="116">
        <f>'Pre- and Production'!AQ201</f>
        <v>0</v>
      </c>
      <c r="Q44" s="121">
        <f>'Pre- and Production'!AR201</f>
        <v>0</v>
      </c>
      <c r="R44" s="117"/>
    </row>
    <row r="45" spans="1:18">
      <c r="A45" s="78">
        <f>'Pre- and Production'!AB202</f>
        <v>2010</v>
      </c>
      <c r="B45" s="115">
        <f>'Pre- and Production'!AC202</f>
        <v>0</v>
      </c>
      <c r="C45" s="116">
        <f>'Pre- and Production'!AD202</f>
        <v>8</v>
      </c>
      <c r="D45" s="116">
        <f>'Pre- and Production'!AE202</f>
        <v>64</v>
      </c>
      <c r="E45" s="116">
        <f>'Pre- and Production'!AF202</f>
        <v>76</v>
      </c>
      <c r="F45" s="116">
        <f>'Pre- and Production'!AG202</f>
        <v>64</v>
      </c>
      <c r="G45" s="121">
        <f>'Pre- and Production'!AH202</f>
        <v>41400</v>
      </c>
      <c r="H45" s="117"/>
      <c r="I45" s="100"/>
      <c r="J45" s="100"/>
      <c r="K45" s="78">
        <f>'Pre- and Production'!AL202</f>
        <v>2010</v>
      </c>
      <c r="L45" s="115">
        <f>'Pre- and Production'!AM202</f>
        <v>0</v>
      </c>
      <c r="M45" s="116">
        <f>'Pre- and Production'!AN202</f>
        <v>0</v>
      </c>
      <c r="N45" s="116">
        <f>'Pre- and Production'!AO202</f>
        <v>0</v>
      </c>
      <c r="O45" s="116">
        <f>'Pre- and Production'!AP202</f>
        <v>0</v>
      </c>
      <c r="P45" s="116">
        <f>'Pre- and Production'!AQ202</f>
        <v>0</v>
      </c>
      <c r="Q45" s="121">
        <f>'Pre- and Production'!AR202</f>
        <v>0</v>
      </c>
      <c r="R45" s="117"/>
    </row>
    <row r="46" spans="1:18">
      <c r="A46" s="78">
        <f>'Pre- and Production'!AB203</f>
        <v>2011</v>
      </c>
      <c r="B46" s="115">
        <f>'Pre- and Production'!AC203</f>
        <v>0</v>
      </c>
      <c r="C46" s="116">
        <f>'Pre- and Production'!AD203</f>
        <v>48</v>
      </c>
      <c r="D46" s="116">
        <f>'Pre- and Production'!AE203</f>
        <v>152</v>
      </c>
      <c r="E46" s="116">
        <f>'Pre- and Production'!AF203</f>
        <v>48</v>
      </c>
      <c r="F46" s="116">
        <f>'Pre- and Production'!AG203</f>
        <v>32</v>
      </c>
      <c r="G46" s="121">
        <f>'Pre- and Production'!AH203</f>
        <v>6500</v>
      </c>
      <c r="H46" s="117"/>
      <c r="I46" s="100"/>
      <c r="J46" s="100"/>
      <c r="K46" s="78">
        <f>'Pre- and Production'!AL203</f>
        <v>2011</v>
      </c>
      <c r="L46" s="115">
        <f>'Pre- and Production'!AM203</f>
        <v>0</v>
      </c>
      <c r="M46" s="116">
        <f>'Pre- and Production'!AN203</f>
        <v>48</v>
      </c>
      <c r="N46" s="116">
        <f>'Pre- and Production'!AO203</f>
        <v>176</v>
      </c>
      <c r="O46" s="116">
        <f>'Pre- and Production'!AP203</f>
        <v>68</v>
      </c>
      <c r="P46" s="116">
        <f>'Pre- and Production'!AQ203</f>
        <v>80</v>
      </c>
      <c r="Q46" s="121">
        <f>'Pre- and Production'!AR203</f>
        <v>3500</v>
      </c>
      <c r="R46" s="117"/>
    </row>
    <row r="47" spans="1:18">
      <c r="A47" s="78">
        <f>'Pre- and Production'!AB204</f>
        <v>2012</v>
      </c>
      <c r="B47" s="115">
        <f>'Pre- and Production'!AC204</f>
        <v>32</v>
      </c>
      <c r="C47" s="116">
        <f>'Pre- and Production'!AD204</f>
        <v>689.2</v>
      </c>
      <c r="D47" s="116">
        <f>'Pre- and Production'!AE204</f>
        <v>342</v>
      </c>
      <c r="E47" s="116">
        <f>'Pre- and Production'!AF204</f>
        <v>135.19999999999999</v>
      </c>
      <c r="F47" s="116">
        <f>'Pre- and Production'!AG204</f>
        <v>185.60000000000002</v>
      </c>
      <c r="G47" s="121">
        <f>'Pre- and Production'!AH204</f>
        <v>46940</v>
      </c>
      <c r="H47" s="117"/>
      <c r="I47" s="100"/>
      <c r="J47" s="100"/>
      <c r="K47" s="78">
        <f>'Pre- and Production'!AL204</f>
        <v>2012</v>
      </c>
      <c r="L47" s="115">
        <f>'Pre- and Production'!AM204</f>
        <v>20</v>
      </c>
      <c r="M47" s="116">
        <f>'Pre- and Production'!AN204</f>
        <v>96</v>
      </c>
      <c r="N47" s="116">
        <f>'Pre- and Production'!AO204</f>
        <v>88</v>
      </c>
      <c r="O47" s="116">
        <f>'Pre- and Production'!AP204</f>
        <v>112</v>
      </c>
      <c r="P47" s="116">
        <f>'Pre- and Production'!AQ204</f>
        <v>72</v>
      </c>
      <c r="Q47" s="121">
        <f>'Pre- and Production'!AR204</f>
        <v>14700</v>
      </c>
      <c r="R47" s="117"/>
    </row>
    <row r="48" spans="1:18">
      <c r="A48" s="78">
        <f>'Pre- and Production'!AB205</f>
        <v>2013</v>
      </c>
      <c r="B48" s="115">
        <f>'Pre- and Production'!AC205</f>
        <v>4</v>
      </c>
      <c r="C48" s="116">
        <f>'Pre- and Production'!AD205</f>
        <v>710.40000000000009</v>
      </c>
      <c r="D48" s="116">
        <f>'Pre- and Production'!AE205</f>
        <v>372</v>
      </c>
      <c r="E48" s="116">
        <f>'Pre- and Production'!AF205</f>
        <v>53.800000000000004</v>
      </c>
      <c r="F48" s="116">
        <f>'Pre- and Production'!AG205</f>
        <v>111</v>
      </c>
      <c r="G48" s="121">
        <f>'Pre- and Production'!AH205</f>
        <v>35820</v>
      </c>
      <c r="H48" s="117"/>
      <c r="I48" s="100"/>
      <c r="J48" s="100"/>
      <c r="K48" s="78">
        <f>'Pre- and Production'!AL205</f>
        <v>2013</v>
      </c>
      <c r="L48" s="115">
        <f>'Pre- and Production'!AM205</f>
        <v>8</v>
      </c>
      <c r="M48" s="116">
        <f>'Pre- and Production'!AN205</f>
        <v>68</v>
      </c>
      <c r="N48" s="116">
        <f>'Pre- and Production'!AO205</f>
        <v>80</v>
      </c>
      <c r="O48" s="116">
        <f>'Pre- and Production'!AP205</f>
        <v>28.6</v>
      </c>
      <c r="P48" s="116">
        <f>'Pre- and Production'!AQ205</f>
        <v>65.2</v>
      </c>
      <c r="Q48" s="121">
        <f>'Pre- and Production'!AR205</f>
        <v>9900</v>
      </c>
      <c r="R48" s="117"/>
    </row>
    <row r="49" spans="1:18" s="261" customFormat="1">
      <c r="A49" s="78">
        <f>'Pre- and Production'!AB206</f>
        <v>2014</v>
      </c>
      <c r="B49" s="115">
        <f>'Pre- and Production'!AC206</f>
        <v>0</v>
      </c>
      <c r="C49" s="116">
        <f>'Pre- and Production'!AD206</f>
        <v>0</v>
      </c>
      <c r="D49" s="116">
        <f>'Pre- and Production'!AE206</f>
        <v>0</v>
      </c>
      <c r="E49" s="116">
        <f>'Pre- and Production'!AF206</f>
        <v>0</v>
      </c>
      <c r="F49" s="116">
        <f>'Pre- and Production'!AG206</f>
        <v>0</v>
      </c>
      <c r="G49" s="121">
        <f>'Pre- and Production'!AH206</f>
        <v>0</v>
      </c>
      <c r="H49" s="117"/>
      <c r="I49" s="100"/>
      <c r="J49" s="100"/>
      <c r="K49" s="78">
        <f>'Pre- and Production'!AL206</f>
        <v>2014</v>
      </c>
      <c r="L49" s="115">
        <f>'Pre- and Production'!AM206</f>
        <v>0</v>
      </c>
      <c r="M49" s="116">
        <f>'Pre- and Production'!AN206</f>
        <v>0</v>
      </c>
      <c r="N49" s="116">
        <f>'Pre- and Production'!AO206</f>
        <v>0</v>
      </c>
      <c r="O49" s="116">
        <f>'Pre- and Production'!AP206</f>
        <v>0</v>
      </c>
      <c r="P49" s="116">
        <f>'Pre- and Production'!AQ206</f>
        <v>0</v>
      </c>
      <c r="Q49" s="121">
        <f>'Pre- and Production'!AR206</f>
        <v>0</v>
      </c>
      <c r="R49" s="117"/>
    </row>
    <row r="50" spans="1:18">
      <c r="A50" s="78" t="str">
        <f>'Pre- and Production'!AB207</f>
        <v>CONT</v>
      </c>
      <c r="B50" s="115">
        <f>'Pre- and Production'!AC207</f>
        <v>0</v>
      </c>
      <c r="C50" s="116">
        <f>'Pre- and Production'!AD207</f>
        <v>0</v>
      </c>
      <c r="D50" s="116">
        <f>'Pre- and Production'!AE207</f>
        <v>0</v>
      </c>
      <c r="E50" s="116">
        <f>'Pre- and Production'!AF207</f>
        <v>0</v>
      </c>
      <c r="F50" s="116">
        <f>'Pre- and Production'!AG207</f>
        <v>0</v>
      </c>
      <c r="G50" s="121">
        <f>'Pre- and Production'!AH207</f>
        <v>0</v>
      </c>
      <c r="H50" s="117"/>
      <c r="I50" s="100"/>
      <c r="J50" s="100"/>
      <c r="K50" s="78" t="str">
        <f>'Pre- and Production'!AL207</f>
        <v>CONT</v>
      </c>
      <c r="L50" s="115">
        <f>'Pre- and Production'!AM207</f>
        <v>0</v>
      </c>
      <c r="M50" s="116">
        <f>'Pre- and Production'!AN207</f>
        <v>0</v>
      </c>
      <c r="N50" s="116">
        <f>'Pre- and Production'!AO207</f>
        <v>0</v>
      </c>
      <c r="O50" s="116">
        <f>'Pre- and Production'!AP207</f>
        <v>0</v>
      </c>
      <c r="P50" s="116">
        <f>'Pre- and Production'!AQ207</f>
        <v>0</v>
      </c>
      <c r="Q50" s="121">
        <f>'Pre- and Production'!AR207</f>
        <v>0</v>
      </c>
      <c r="R50" s="117"/>
    </row>
    <row r="51" spans="1:18">
      <c r="A51" s="78" t="str">
        <f>'Pre- and Production'!AB208</f>
        <v>STAR</v>
      </c>
      <c r="B51" s="115">
        <f>'Pre- and Production'!AC208</f>
        <v>16</v>
      </c>
      <c r="C51" s="116">
        <f>'Pre- and Production'!AD208</f>
        <v>80</v>
      </c>
      <c r="D51" s="116">
        <f>'Pre- and Production'!AE208</f>
        <v>40</v>
      </c>
      <c r="E51" s="116">
        <f>'Pre- and Production'!AF208</f>
        <v>120</v>
      </c>
      <c r="F51" s="116">
        <f>'Pre- and Production'!AG208</f>
        <v>16</v>
      </c>
      <c r="G51" s="121">
        <f>'Pre- and Production'!AH208</f>
        <v>8000</v>
      </c>
      <c r="H51" s="117"/>
      <c r="I51" s="100"/>
      <c r="J51" s="100"/>
      <c r="K51" s="78" t="str">
        <f>'Pre- and Production'!AL208</f>
        <v>STAR</v>
      </c>
      <c r="L51" s="115">
        <f>'Pre- and Production'!AM208</f>
        <v>0</v>
      </c>
      <c r="M51" s="116">
        <f>'Pre- and Production'!AN208</f>
        <v>0</v>
      </c>
      <c r="N51" s="116">
        <f>'Pre- and Production'!AO208</f>
        <v>0</v>
      </c>
      <c r="O51" s="116">
        <f>'Pre- and Production'!AP208</f>
        <v>0</v>
      </c>
      <c r="P51" s="116">
        <f>'Pre- and Production'!AQ208</f>
        <v>0</v>
      </c>
      <c r="Q51" s="121">
        <f>'Pre- and Production'!AR208</f>
        <v>0</v>
      </c>
      <c r="R51" s="117"/>
    </row>
    <row r="52" spans="1:18">
      <c r="A52" s="78"/>
      <c r="B52" s="270" t="str">
        <f>'Pre- and Production'!AC209</f>
        <v>Project Estimated Cost</v>
      </c>
      <c r="C52" s="271"/>
      <c r="D52" s="271"/>
      <c r="E52" s="271"/>
      <c r="F52" s="271"/>
      <c r="G52" s="271"/>
      <c r="H52" s="272"/>
      <c r="I52" s="100"/>
      <c r="J52" s="100"/>
      <c r="K52" s="78"/>
      <c r="L52" s="270" t="str">
        <f>'Pre- and Production'!AM209</f>
        <v>Project Estimated Cost</v>
      </c>
      <c r="M52" s="271"/>
      <c r="N52" s="271"/>
      <c r="O52" s="271"/>
      <c r="P52" s="271"/>
      <c r="Q52" s="271"/>
      <c r="R52" s="272"/>
    </row>
    <row r="53" spans="1:18">
      <c r="A53" s="78"/>
      <c r="B53" s="112" t="str">
        <f>'Pre- and Production'!AC210</f>
        <v>Shop Cost</v>
      </c>
      <c r="C53" s="113" t="str">
        <f>'Pre- and Production'!AD210</f>
        <v>MT Cost</v>
      </c>
      <c r="D53" s="113" t="str">
        <f>'Pre- and Production'!AE210</f>
        <v>Postdoc (cont)</v>
      </c>
      <c r="E53" s="113" t="str">
        <f>'Pre- and Production'!AF210</f>
        <v>Engineering</v>
      </c>
      <c r="F53" s="113" t="str">
        <f>'Pre- and Production'!AG210</f>
        <v>Engineer (cont)</v>
      </c>
      <c r="G53" s="118" t="str">
        <f>'Pre- and Production'!AH210</f>
        <v>M&amp;S Cost</v>
      </c>
      <c r="H53" s="114" t="str">
        <f>'Pre- and Production'!AI210</f>
        <v>Totals</v>
      </c>
      <c r="I53" s="100"/>
      <c r="J53" s="100"/>
      <c r="K53" s="78"/>
      <c r="L53" s="112" t="str">
        <f>'Pre- and Production'!AM210</f>
        <v>Shop Cost</v>
      </c>
      <c r="M53" s="113" t="str">
        <f>'Pre- and Production'!AN210</f>
        <v>MT Cost</v>
      </c>
      <c r="N53" s="113" t="str">
        <f>'Pre- and Production'!AO210</f>
        <v>Postdoc (cont)</v>
      </c>
      <c r="O53" s="113" t="str">
        <f>'Pre- and Production'!AP210</f>
        <v>Engineering</v>
      </c>
      <c r="P53" s="113" t="str">
        <f>'Pre- and Production'!AQ210</f>
        <v>Engineer (cont)</v>
      </c>
      <c r="Q53" s="118" t="str">
        <f>'Pre- and Production'!AR210</f>
        <v>M&amp;S Cost</v>
      </c>
      <c r="R53" s="114" t="str">
        <f>'Pre- and Production'!AS210</f>
        <v>Totals</v>
      </c>
    </row>
    <row r="54" spans="1:18">
      <c r="A54" s="78">
        <f>'Pre- and Production'!AB211</f>
        <v>2009</v>
      </c>
      <c r="B54" s="122">
        <f>'Pre- and Production'!AC211</f>
        <v>0</v>
      </c>
      <c r="C54" s="119">
        <f>'Pre- and Production'!AD211</f>
        <v>0</v>
      </c>
      <c r="D54" s="119">
        <f>'Pre- and Production'!AE211</f>
        <v>0</v>
      </c>
      <c r="E54" s="119">
        <f>'Pre- and Production'!AF211</f>
        <v>0</v>
      </c>
      <c r="F54" s="119">
        <f>'Pre- and Production'!AG211</f>
        <v>0</v>
      </c>
      <c r="G54" s="119">
        <f>'Pre- and Production'!AH211</f>
        <v>0</v>
      </c>
      <c r="H54" s="123">
        <f>'Pre- and Production'!AI211</f>
        <v>0</v>
      </c>
      <c r="I54" s="100"/>
      <c r="J54" s="100"/>
      <c r="K54" s="78">
        <f>'Pre- and Production'!AL211</f>
        <v>2009</v>
      </c>
      <c r="L54" s="122">
        <f>'Pre- and Production'!AM211</f>
        <v>0</v>
      </c>
      <c r="M54" s="119">
        <f>'Pre- and Production'!AN211</f>
        <v>0</v>
      </c>
      <c r="N54" s="119">
        <f>'Pre- and Production'!AO211</f>
        <v>0</v>
      </c>
      <c r="O54" s="119">
        <f>'Pre- and Production'!AP211</f>
        <v>0</v>
      </c>
      <c r="P54" s="119">
        <f>'Pre- and Production'!AQ211</f>
        <v>0</v>
      </c>
      <c r="Q54" s="119">
        <f>'Pre- and Production'!AR211</f>
        <v>0</v>
      </c>
      <c r="R54" s="123">
        <f>'Pre- and Production'!AS211</f>
        <v>0</v>
      </c>
    </row>
    <row r="55" spans="1:18">
      <c r="A55" s="78">
        <f>'Pre- and Production'!AB212</f>
        <v>2010</v>
      </c>
      <c r="B55" s="122">
        <f>'Pre- and Production'!AC212</f>
        <v>0</v>
      </c>
      <c r="C55" s="119">
        <f>'Pre- and Production'!AD212</f>
        <v>758.16000000000008</v>
      </c>
      <c r="D55" s="119">
        <f>'Pre- and Production'!AE212</f>
        <v>0</v>
      </c>
      <c r="E55" s="119">
        <f>'Pre- and Production'!AF212</f>
        <v>9234.0000000000018</v>
      </c>
      <c r="F55" s="119">
        <f>'Pre- and Production'!AG212</f>
        <v>0</v>
      </c>
      <c r="G55" s="119">
        <f>'Pre- and Production'!AH212</f>
        <v>41400</v>
      </c>
      <c r="H55" s="123">
        <f>'Pre- and Production'!AI212</f>
        <v>51392.160000000003</v>
      </c>
      <c r="I55" s="100"/>
      <c r="J55" s="100"/>
      <c r="K55" s="78">
        <f>'Pre- and Production'!AL212</f>
        <v>2010</v>
      </c>
      <c r="L55" s="122">
        <f>'Pre- and Production'!AM212</f>
        <v>0</v>
      </c>
      <c r="M55" s="119">
        <f>'Pre- and Production'!AN212</f>
        <v>0</v>
      </c>
      <c r="N55" s="119">
        <f>'Pre- and Production'!AO212</f>
        <v>0</v>
      </c>
      <c r="O55" s="119">
        <f>'Pre- and Production'!AP212</f>
        <v>0</v>
      </c>
      <c r="P55" s="119">
        <f>'Pre- and Production'!AQ212</f>
        <v>0</v>
      </c>
      <c r="Q55" s="119">
        <f>'Pre- and Production'!AR212</f>
        <v>0</v>
      </c>
      <c r="R55" s="123">
        <f>'Pre- and Production'!AS212</f>
        <v>0</v>
      </c>
    </row>
    <row r="56" spans="1:18">
      <c r="A56" s="78">
        <f>'Pre- and Production'!AB213</f>
        <v>2011</v>
      </c>
      <c r="B56" s="122">
        <f>'Pre- and Production'!AC213</f>
        <v>0</v>
      </c>
      <c r="C56" s="119">
        <f>'Pre- and Production'!AD213</f>
        <v>4548.9600000000009</v>
      </c>
      <c r="D56" s="119">
        <f>'Pre- and Production'!AE213</f>
        <v>0</v>
      </c>
      <c r="E56" s="119">
        <f>'Pre- and Production'!AF213</f>
        <v>5832.0000000000009</v>
      </c>
      <c r="F56" s="119">
        <f>'Pre- and Production'!AG213</f>
        <v>0</v>
      </c>
      <c r="G56" s="119">
        <f>'Pre- and Production'!AH213</f>
        <v>6500</v>
      </c>
      <c r="H56" s="123">
        <f>'Pre- and Production'!AI213</f>
        <v>16880.960000000003</v>
      </c>
      <c r="I56" s="100"/>
      <c r="J56" s="100"/>
      <c r="K56" s="78">
        <f>'Pre- and Production'!AL213</f>
        <v>2011</v>
      </c>
      <c r="L56" s="122">
        <f>'Pre- and Production'!AM213</f>
        <v>0</v>
      </c>
      <c r="M56" s="119">
        <f>'Pre- and Production'!AN213</f>
        <v>4548.9600000000009</v>
      </c>
      <c r="N56" s="119">
        <f>'Pre- and Production'!AO213</f>
        <v>0</v>
      </c>
      <c r="O56" s="119">
        <f>'Pre- and Production'!AP213</f>
        <v>8262.0000000000018</v>
      </c>
      <c r="P56" s="119">
        <f>'Pre- and Production'!AQ213</f>
        <v>0</v>
      </c>
      <c r="Q56" s="119">
        <f>'Pre- and Production'!AR213</f>
        <v>3500</v>
      </c>
      <c r="R56" s="123">
        <f>'Pre- and Production'!AS213</f>
        <v>16310.960000000003</v>
      </c>
    </row>
    <row r="57" spans="1:18">
      <c r="A57" s="78">
        <f>'Pre- and Production'!AB214</f>
        <v>2012</v>
      </c>
      <c r="B57" s="122">
        <f>'Pre- and Production'!AC214</f>
        <v>3265.92</v>
      </c>
      <c r="C57" s="119">
        <f>'Pre- and Production'!AD214</f>
        <v>65315.484000000011</v>
      </c>
      <c r="D57" s="119">
        <f>'Pre- and Production'!AE214</f>
        <v>0</v>
      </c>
      <c r="E57" s="119">
        <f>'Pre- and Production'!AF214</f>
        <v>16426.8</v>
      </c>
      <c r="F57" s="119">
        <f>'Pre- and Production'!AG214</f>
        <v>0</v>
      </c>
      <c r="G57" s="119">
        <f>'Pre- and Production'!AH214</f>
        <v>46940</v>
      </c>
      <c r="H57" s="123">
        <f>'Pre- and Production'!AI214</f>
        <v>131948.20400000003</v>
      </c>
      <c r="I57" s="100"/>
      <c r="J57" s="100"/>
      <c r="K57" s="78">
        <f>'Pre- and Production'!AL214</f>
        <v>2012</v>
      </c>
      <c r="L57" s="122">
        <f>'Pre- and Production'!AM214</f>
        <v>2041.2</v>
      </c>
      <c r="M57" s="119">
        <f>'Pre- and Production'!AN214</f>
        <v>9097.9200000000019</v>
      </c>
      <c r="N57" s="119">
        <f>'Pre- and Production'!AO214</f>
        <v>0</v>
      </c>
      <c r="O57" s="119">
        <f>'Pre- and Production'!AP214</f>
        <v>0</v>
      </c>
      <c r="P57" s="119">
        <f>'Pre- and Production'!AQ214</f>
        <v>0</v>
      </c>
      <c r="Q57" s="119">
        <f>'Pre- and Production'!AR214</f>
        <v>14700</v>
      </c>
      <c r="R57" s="123">
        <f>'Pre- and Production'!AS214</f>
        <v>25839.120000000003</v>
      </c>
    </row>
    <row r="58" spans="1:18" s="261" customFormat="1">
      <c r="A58" s="78">
        <f>'Pre- and Production'!AB215</f>
        <v>2013</v>
      </c>
      <c r="B58" s="122">
        <f>'Pre- and Production'!AC215</f>
        <v>408.24</v>
      </c>
      <c r="C58" s="119">
        <f>'Pre- and Production'!AD215</f>
        <v>67324.608000000022</v>
      </c>
      <c r="D58" s="119">
        <f>'Pre- and Production'!AE215</f>
        <v>0</v>
      </c>
      <c r="E58" s="119">
        <f>'Pre- and Production'!AF215</f>
        <v>6536.7000000000016</v>
      </c>
      <c r="F58" s="119">
        <f>'Pre- and Production'!AG215</f>
        <v>0</v>
      </c>
      <c r="G58" s="119">
        <f>'Pre- and Production'!AH215</f>
        <v>35820</v>
      </c>
      <c r="H58" s="123">
        <f>'Pre- and Production'!AI215</f>
        <v>110089.54800000002</v>
      </c>
      <c r="I58" s="100"/>
      <c r="J58" s="100"/>
      <c r="K58" s="78">
        <f>'Pre- and Production'!AL215</f>
        <v>2013</v>
      </c>
      <c r="L58" s="122">
        <f>'Pre- and Production'!AM215</f>
        <v>816.48</v>
      </c>
      <c r="M58" s="119">
        <f>'Pre- and Production'!AN215</f>
        <v>6444.3600000000006</v>
      </c>
      <c r="N58" s="119">
        <f>'Pre- and Production'!AO215</f>
        <v>0</v>
      </c>
      <c r="O58" s="119">
        <f>'Pre- and Production'!AP215</f>
        <v>8262.0000000000018</v>
      </c>
      <c r="P58" s="119">
        <f>'Pre- and Production'!AQ215</f>
        <v>0</v>
      </c>
      <c r="Q58" s="119">
        <f>'Pre- and Production'!AR215</f>
        <v>9900</v>
      </c>
      <c r="R58" s="123">
        <f>'Pre- and Production'!AS215</f>
        <v>25422.840000000004</v>
      </c>
    </row>
    <row r="59" spans="1:18" ht="13.5" thickBot="1">
      <c r="A59" s="78">
        <f>'Pre- and Production'!AB216</f>
        <v>2014</v>
      </c>
      <c r="B59" s="124">
        <f>'Pre- and Production'!AC216</f>
        <v>0</v>
      </c>
      <c r="C59" s="120">
        <f>'Pre- and Production'!AD216</f>
        <v>0</v>
      </c>
      <c r="D59" s="120">
        <f>'Pre- and Production'!AE216</f>
        <v>0</v>
      </c>
      <c r="E59" s="120">
        <f>'Pre- and Production'!AF216</f>
        <v>0</v>
      </c>
      <c r="F59" s="120">
        <f>'Pre- and Production'!AG216</f>
        <v>0</v>
      </c>
      <c r="G59" s="120">
        <f>'Pre- and Production'!AH216</f>
        <v>0</v>
      </c>
      <c r="H59" s="125">
        <f>'Pre- and Production'!AI216</f>
        <v>0</v>
      </c>
      <c r="I59" s="100"/>
      <c r="J59" s="100"/>
      <c r="K59" s="78">
        <f>'Pre- and Production'!AL216</f>
        <v>2014</v>
      </c>
      <c r="L59" s="124">
        <f>'Pre- and Production'!AM216</f>
        <v>0</v>
      </c>
      <c r="M59" s="120">
        <f>'Pre- and Production'!AN216</f>
        <v>0</v>
      </c>
      <c r="N59" s="120">
        <f>'Pre- and Production'!AO216</f>
        <v>0</v>
      </c>
      <c r="O59" s="120">
        <f>'Pre- and Production'!AP216</f>
        <v>13608.000000000002</v>
      </c>
      <c r="P59" s="120">
        <f>'Pre- and Production'!AQ216</f>
        <v>0</v>
      </c>
      <c r="Q59" s="120">
        <f>'Pre- and Production'!AR216</f>
        <v>0</v>
      </c>
      <c r="R59" s="125">
        <f>'Pre- and Production'!AS216</f>
        <v>13608.000000000002</v>
      </c>
    </row>
    <row r="60" spans="1:18">
      <c r="A60" s="78"/>
      <c r="B60" s="100"/>
      <c r="C60" s="100"/>
      <c r="D60" s="100"/>
      <c r="E60" s="100"/>
      <c r="F60" s="100"/>
      <c r="G60" s="111" t="str">
        <f>'Pre- and Production'!AH217</f>
        <v>Base Cost</v>
      </c>
      <c r="H60" s="79">
        <f>'Pre- and Production'!AI217</f>
        <v>310310.87200000003</v>
      </c>
      <c r="I60" s="100"/>
      <c r="J60" s="100"/>
      <c r="K60" s="78"/>
      <c r="L60" s="100"/>
      <c r="M60" s="100"/>
      <c r="N60" s="100"/>
      <c r="O60" s="100"/>
      <c r="P60" s="100"/>
      <c r="Q60" s="111" t="str">
        <f>'Pre- and Production'!AR217</f>
        <v>Contingency</v>
      </c>
      <c r="R60" s="79">
        <f>'Pre- and Production'!AS217</f>
        <v>81180.920000000013</v>
      </c>
    </row>
    <row r="61" spans="1:18">
      <c r="A61" s="78"/>
      <c r="B61" s="100"/>
      <c r="C61" s="100"/>
      <c r="D61" s="100"/>
      <c r="E61" s="100"/>
      <c r="F61" s="100"/>
      <c r="H61" s="100"/>
      <c r="I61" s="100"/>
      <c r="J61" s="100"/>
      <c r="K61" s="78"/>
      <c r="L61" s="100"/>
      <c r="M61" s="100"/>
      <c r="N61" s="100"/>
      <c r="O61" s="100"/>
      <c r="P61" s="100"/>
      <c r="Q61" s="111" t="str">
        <f>'Pre- and Production'!AR218</f>
        <v>Percent</v>
      </c>
      <c r="R61" s="99">
        <f>'Pre- and Production'!AS218</f>
        <v>0.26161158800778339</v>
      </c>
    </row>
  </sheetData>
  <mergeCells count="12">
    <mergeCell ref="B2:H2"/>
    <mergeCell ref="L2:R2"/>
    <mergeCell ref="B12:H12"/>
    <mergeCell ref="L12:R12"/>
    <mergeCell ref="B22:H22"/>
    <mergeCell ref="L22:R22"/>
    <mergeCell ref="B32:H32"/>
    <mergeCell ref="L32:R32"/>
    <mergeCell ref="B42:H42"/>
    <mergeCell ref="L42:R42"/>
    <mergeCell ref="B52:H52"/>
    <mergeCell ref="L52:R52"/>
  </mergeCells>
  <phoneticPr fontId="24" type="noConversion"/>
  <pageMargins left="0.49" right="0.46" top="0.57999999999999996" bottom="0.55000000000000004" header="0.3" footer="0.3"/>
  <pageSetup paperSize="9" scale="75" orientation="landscape" horizontalDpi="4294967293" r:id="rId1"/>
  <headerFooter>
    <oddHeader>&amp;L&amp;16WBS 1.2.1&amp;C&amp;16STAR PIXEL MECHANICS COST SUMMARY</oddHeader>
    <oddFooter>&amp;LReleased: 12 August, 2009&amp;C&amp;F&amp;RE Anderssen</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AX218"/>
  <sheetViews>
    <sheetView zoomScaleNormal="100" workbookViewId="0">
      <pane ySplit="3285" topLeftCell="A104" activePane="bottomLeft"/>
      <selection activeCell="S3" sqref="S1:T1048576"/>
      <selection pane="bottomLeft" activeCell="AB112" sqref="AB112"/>
    </sheetView>
  </sheetViews>
  <sheetFormatPr defaultRowHeight="12.75"/>
  <cols>
    <col min="1" max="1" width="54.7109375" bestFit="1" customWidth="1"/>
    <col min="2" max="2" width="16.7109375" bestFit="1" customWidth="1"/>
    <col min="3" max="3" width="8" style="153" bestFit="1" customWidth="1"/>
    <col min="4" max="4" width="6.5703125" style="81" bestFit="1" customWidth="1"/>
    <col min="5" max="5" width="7.85546875" style="110" bestFit="1" customWidth="1"/>
    <col min="6" max="6" width="8.42578125" style="110" bestFit="1" customWidth="1"/>
    <col min="7" max="9" width="8" style="153" bestFit="1" customWidth="1"/>
    <col min="10" max="11" width="8" style="154" bestFit="1" customWidth="1"/>
    <col min="12" max="12" width="6.28515625" style="81" bestFit="1" customWidth="1"/>
    <col min="13" max="13" width="11" style="7" bestFit="1" customWidth="1"/>
    <col min="14" max="14" width="5.28515625" style="155" customWidth="1"/>
    <col min="15" max="15" width="10.7109375" style="7" customWidth="1"/>
    <col min="16" max="16" width="2.5703125" style="7" customWidth="1"/>
    <col min="17" max="17" width="3.7109375" style="53" bestFit="1" customWidth="1"/>
    <col min="18" max="18" width="3.7109375" style="53" customWidth="1"/>
    <col min="19" max="19" width="9.5703125" style="94" hidden="1" customWidth="1"/>
    <col min="20" max="20" width="10.42578125" style="94" hidden="1" customWidth="1"/>
    <col min="21" max="21" width="9.5703125" style="94" customWidth="1"/>
    <col min="22" max="22" width="36.28515625" style="94" bestFit="1" customWidth="1"/>
    <col min="23" max="23" width="14.5703125" style="7" hidden="1" customWidth="1"/>
    <col min="24" max="24" width="12.140625" style="10" hidden="1" customWidth="1"/>
    <col min="25" max="25" width="14.42578125" style="10" hidden="1" customWidth="1"/>
    <col min="26" max="26" width="17.7109375" style="10" hidden="1" customWidth="1"/>
    <col min="27" max="27" width="12.5703125" style="10" hidden="1" customWidth="1"/>
    <col min="28" max="28" width="8.42578125" style="21" bestFit="1" customWidth="1"/>
    <col min="29" max="29" width="11" style="7" bestFit="1" customWidth="1"/>
    <col min="30" max="30" width="9.42578125" style="7" bestFit="1" customWidth="1"/>
    <col min="31" max="31" width="14" style="7" customWidth="1"/>
    <col min="32" max="32" width="12.140625" style="7" bestFit="1" customWidth="1"/>
    <col min="33" max="33" width="15.28515625" style="7" bestFit="1" customWidth="1"/>
    <col min="34" max="34" width="11.7109375" style="7" customWidth="1"/>
    <col min="35" max="35" width="12.7109375" style="7" bestFit="1" customWidth="1"/>
    <col min="36" max="36" width="10.42578125" style="7" customWidth="1"/>
    <col min="37" max="37" width="10.42578125" style="7" hidden="1" customWidth="1"/>
    <col min="38" max="38" width="11.28515625" style="110" bestFit="1" customWidth="1"/>
    <col min="39" max="39" width="11" style="7" bestFit="1" customWidth="1"/>
    <col min="40" max="40" width="9.42578125" style="7" bestFit="1" customWidth="1"/>
    <col min="41" max="41" width="16.42578125" style="7" customWidth="1"/>
    <col min="42" max="42" width="12.140625" style="7" bestFit="1" customWidth="1"/>
    <col min="43" max="43" width="15.5703125" style="7" customWidth="1"/>
    <col min="44" max="44" width="13.140625" style="7" bestFit="1" customWidth="1"/>
    <col min="45" max="45" width="10.85546875" style="7" bestFit="1" customWidth="1"/>
  </cols>
  <sheetData>
    <row r="1" spans="1:45" ht="15">
      <c r="S1" s="276" t="s">
        <v>137</v>
      </c>
      <c r="T1" s="276"/>
      <c r="V1" s="136"/>
      <c r="W1" s="276" t="s">
        <v>138</v>
      </c>
      <c r="X1" s="276"/>
      <c r="Y1" s="276"/>
      <c r="Z1" s="276"/>
      <c r="AA1" s="276"/>
    </row>
    <row r="2" spans="1:45" ht="18">
      <c r="A2" s="8" t="s">
        <v>216</v>
      </c>
      <c r="Q2" s="288" t="s">
        <v>50</v>
      </c>
      <c r="R2" s="289"/>
      <c r="S2" s="289"/>
      <c r="T2" s="289"/>
      <c r="U2" s="289"/>
      <c r="V2" s="289"/>
      <c r="W2" s="289"/>
      <c r="X2" s="289"/>
      <c r="Y2" s="289"/>
      <c r="Z2" s="289"/>
      <c r="AA2" s="289"/>
      <c r="AB2" s="290"/>
      <c r="AC2" s="291" t="s">
        <v>31</v>
      </c>
      <c r="AD2" s="292"/>
      <c r="AE2" s="292"/>
      <c r="AF2" s="292"/>
      <c r="AG2" s="292"/>
      <c r="AH2" s="292"/>
      <c r="AI2" s="293"/>
      <c r="AJ2" s="219"/>
      <c r="AK2" s="219"/>
      <c r="AM2" s="291" t="s">
        <v>32</v>
      </c>
      <c r="AN2" s="292"/>
      <c r="AO2" s="292"/>
      <c r="AP2" s="292"/>
      <c r="AQ2" s="292"/>
      <c r="AR2" s="292"/>
      <c r="AS2" s="293"/>
    </row>
    <row r="3" spans="1:45" ht="118.9" customHeight="1">
      <c r="A3" s="1" t="s">
        <v>0</v>
      </c>
      <c r="B3" s="1" t="s">
        <v>6</v>
      </c>
      <c r="C3" s="134" t="s">
        <v>1</v>
      </c>
      <c r="D3" s="212" t="s">
        <v>2</v>
      </c>
      <c r="E3" s="59" t="s">
        <v>4</v>
      </c>
      <c r="F3" s="59" t="s">
        <v>3</v>
      </c>
      <c r="G3" s="134" t="s">
        <v>11</v>
      </c>
      <c r="H3" s="134" t="s">
        <v>10</v>
      </c>
      <c r="I3" s="134" t="s">
        <v>256</v>
      </c>
      <c r="J3" s="156" t="s">
        <v>16</v>
      </c>
      <c r="K3" s="156" t="s">
        <v>257</v>
      </c>
      <c r="L3" s="212" t="s">
        <v>2</v>
      </c>
      <c r="M3" s="157" t="s">
        <v>37</v>
      </c>
      <c r="N3" s="158" t="s">
        <v>23</v>
      </c>
      <c r="O3" s="159" t="s">
        <v>61</v>
      </c>
      <c r="P3" s="6"/>
      <c r="Q3" s="41" t="s">
        <v>24</v>
      </c>
      <c r="R3" s="69" t="s">
        <v>47</v>
      </c>
      <c r="S3" s="75" t="s">
        <v>49</v>
      </c>
      <c r="T3" s="75" t="s">
        <v>49</v>
      </c>
      <c r="U3" s="142" t="s">
        <v>130</v>
      </c>
      <c r="V3" s="143" t="s">
        <v>142</v>
      </c>
      <c r="W3" s="42" t="s">
        <v>131</v>
      </c>
      <c r="X3" s="43" t="s">
        <v>19</v>
      </c>
      <c r="Y3" s="43" t="s">
        <v>46</v>
      </c>
      <c r="Z3" s="43" t="s">
        <v>20</v>
      </c>
      <c r="AA3" s="43" t="s">
        <v>21</v>
      </c>
      <c r="AB3" s="44" t="s">
        <v>28</v>
      </c>
      <c r="AC3" s="220" t="s">
        <v>13</v>
      </c>
      <c r="AD3" s="221" t="s">
        <v>14</v>
      </c>
      <c r="AE3" s="134" t="s">
        <v>256</v>
      </c>
      <c r="AF3" s="221" t="s">
        <v>17</v>
      </c>
      <c r="AG3" s="156" t="s">
        <v>257</v>
      </c>
      <c r="AH3" s="221" t="s">
        <v>38</v>
      </c>
      <c r="AI3" s="222" t="s">
        <v>12</v>
      </c>
      <c r="AJ3" s="12"/>
      <c r="AK3" s="12"/>
      <c r="AM3" s="220" t="s">
        <v>13</v>
      </c>
      <c r="AN3" s="221" t="s">
        <v>14</v>
      </c>
      <c r="AO3" s="134" t="s">
        <v>256</v>
      </c>
      <c r="AP3" s="221" t="s">
        <v>17</v>
      </c>
      <c r="AQ3" s="156" t="s">
        <v>257</v>
      </c>
      <c r="AR3" s="221" t="s">
        <v>38</v>
      </c>
      <c r="AS3" s="222" t="s">
        <v>12</v>
      </c>
    </row>
    <row r="4" spans="1:45" ht="15.75">
      <c r="A4" s="47" t="s">
        <v>172</v>
      </c>
      <c r="B4" s="2" t="s">
        <v>5</v>
      </c>
      <c r="C4" s="160"/>
      <c r="D4" s="208"/>
      <c r="E4" s="161"/>
      <c r="F4" s="162"/>
      <c r="G4" s="163"/>
      <c r="H4" s="163"/>
      <c r="I4" s="163"/>
      <c r="J4" s="164"/>
      <c r="K4" s="165"/>
      <c r="L4" s="208"/>
      <c r="M4" s="4"/>
      <c r="N4" s="166"/>
      <c r="O4" s="4"/>
      <c r="P4" s="4"/>
      <c r="Q4" s="50"/>
      <c r="R4" s="70"/>
      <c r="S4" s="137"/>
      <c r="T4" s="137"/>
      <c r="U4" s="137"/>
      <c r="V4" s="137"/>
      <c r="W4" s="29"/>
      <c r="X4" s="29"/>
      <c r="Y4" s="29"/>
      <c r="Z4" s="29"/>
      <c r="AA4" s="68" t="s">
        <v>45</v>
      </c>
      <c r="AB4" s="36"/>
      <c r="AC4" s="223"/>
      <c r="AD4" s="223"/>
      <c r="AE4" s="223"/>
      <c r="AF4" s="223"/>
      <c r="AG4" s="223"/>
      <c r="AH4" s="223"/>
      <c r="AI4" s="224"/>
      <c r="AM4" s="225"/>
      <c r="AN4" s="223"/>
      <c r="AO4" s="223"/>
      <c r="AP4" s="223"/>
      <c r="AQ4" s="223"/>
      <c r="AR4" s="223"/>
      <c r="AS4" s="224"/>
    </row>
    <row r="5" spans="1:45">
      <c r="A5" s="46" t="s">
        <v>174</v>
      </c>
      <c r="B5" s="2" t="s">
        <v>5</v>
      </c>
      <c r="C5" s="160"/>
      <c r="D5" s="208"/>
      <c r="E5" s="161"/>
      <c r="F5" s="162"/>
      <c r="G5" s="163"/>
      <c r="H5" s="163"/>
      <c r="I5" s="163"/>
      <c r="J5" s="164"/>
      <c r="K5" s="165"/>
      <c r="L5" s="208"/>
      <c r="M5" s="4"/>
      <c r="N5" s="166">
        <v>1</v>
      </c>
      <c r="O5" s="4"/>
      <c r="P5" s="4"/>
      <c r="Q5" s="50"/>
      <c r="R5" s="70"/>
      <c r="S5" s="137"/>
      <c r="T5" s="137"/>
      <c r="U5" s="137"/>
      <c r="V5" s="137"/>
      <c r="W5" s="29"/>
      <c r="X5" s="29"/>
      <c r="Y5" s="29"/>
      <c r="Z5" s="29"/>
      <c r="AA5" s="68" t="s">
        <v>45</v>
      </c>
      <c r="AB5" s="36"/>
      <c r="AC5" s="223"/>
      <c r="AD5" s="223"/>
      <c r="AE5" s="223"/>
      <c r="AF5" s="223"/>
      <c r="AG5" s="223"/>
      <c r="AH5" s="223"/>
      <c r="AI5" s="224"/>
      <c r="AM5" s="225"/>
      <c r="AN5" s="223"/>
      <c r="AO5" s="223"/>
      <c r="AP5" s="223"/>
      <c r="AQ5" s="223"/>
      <c r="AR5" s="223"/>
      <c r="AS5" s="224"/>
    </row>
    <row r="6" spans="1:45" s="19" customFormat="1">
      <c r="A6" s="45" t="s">
        <v>223</v>
      </c>
      <c r="B6" s="19" t="s">
        <v>9</v>
      </c>
      <c r="C6" s="167">
        <v>1</v>
      </c>
      <c r="D6" s="94" t="s">
        <v>9</v>
      </c>
      <c r="E6" s="170">
        <v>0</v>
      </c>
      <c r="F6" s="169">
        <f t="shared" ref="F6:F12" si="0">E6*C6</f>
        <v>0</v>
      </c>
      <c r="G6" s="170">
        <v>0</v>
      </c>
      <c r="H6" s="170">
        <v>0</v>
      </c>
      <c r="I6" s="170">
        <v>0</v>
      </c>
      <c r="J6" s="170">
        <v>8</v>
      </c>
      <c r="K6" s="170">
        <v>40</v>
      </c>
      <c r="L6" s="94" t="s">
        <v>8</v>
      </c>
      <c r="M6" s="168">
        <f t="shared" ref="M6:M12" si="1">IF(R6="PD",((Shop*G6)+(M_Tech*H6)+(CMM*I6)+(ENG*J6)+(DES*K6))*N6,((Shop_RD*G6)+(MTECH_RD*H6)+(CMM_RD*I6)+(ENG_RD*J6)+(DES_RD*K6))*N6)</f>
        <v>1200</v>
      </c>
      <c r="N6" s="90">
        <v>1</v>
      </c>
      <c r="O6" s="172">
        <f t="shared" ref="O6:O38" si="2">M6+(F6*N6)</f>
        <v>1200</v>
      </c>
      <c r="P6" s="172"/>
      <c r="Q6" s="51" t="s">
        <v>29</v>
      </c>
      <c r="R6" s="71" t="s">
        <v>152</v>
      </c>
      <c r="S6" s="138" t="str">
        <f t="shared" ref="S6:S12" si="3">CONCATENATE(Q6,R6,AB6)</f>
        <v>BPT2010</v>
      </c>
      <c r="T6" s="138" t="str">
        <f t="shared" ref="T6:T38" si="4">CONCATENATE(Q6,U6,AB6)</f>
        <v>B1.2.4.1.12010</v>
      </c>
      <c r="U6" s="138" t="s">
        <v>173</v>
      </c>
      <c r="V6" s="138" t="str">
        <f t="shared" ref="V6:V12" si="5">LOOKUP(U6,$B$156:$B$182,$A$156:$A$182)</f>
        <v>Internal Cables (Engineering)</v>
      </c>
      <c r="W6" s="130"/>
      <c r="X6" s="130"/>
      <c r="Y6" s="130"/>
      <c r="Z6" s="130"/>
      <c r="AA6" s="130"/>
      <c r="AB6" s="32">
        <v>2010</v>
      </c>
      <c r="AC6" s="132">
        <f t="shared" ref="AC6:AG12" si="6">IF($Q6="B", (G6*$N6),0)</f>
        <v>0</v>
      </c>
      <c r="AD6" s="132">
        <f t="shared" si="6"/>
        <v>0</v>
      </c>
      <c r="AE6" s="132">
        <f t="shared" si="6"/>
        <v>0</v>
      </c>
      <c r="AF6" s="132">
        <f t="shared" si="6"/>
        <v>8</v>
      </c>
      <c r="AG6" s="132">
        <f t="shared" si="6"/>
        <v>40</v>
      </c>
      <c r="AH6" s="226">
        <f t="shared" ref="AH6:AH12" si="7">IF($Q6="B", (F6*$N6),0)</f>
        <v>0</v>
      </c>
      <c r="AI6" s="227"/>
      <c r="AJ6" s="90"/>
      <c r="AK6" s="90"/>
      <c r="AL6" s="168"/>
      <c r="AM6" s="131">
        <f t="shared" ref="AM6:AQ12" si="8">IF($Q6="C", (G6*$N6),0)</f>
        <v>0</v>
      </c>
      <c r="AN6" s="132">
        <f t="shared" si="8"/>
        <v>0</v>
      </c>
      <c r="AO6" s="132">
        <f t="shared" si="8"/>
        <v>0</v>
      </c>
      <c r="AP6" s="132">
        <f t="shared" si="8"/>
        <v>0</v>
      </c>
      <c r="AQ6" s="132">
        <f t="shared" si="8"/>
        <v>0</v>
      </c>
      <c r="AR6" s="132">
        <f t="shared" ref="AR6:AR12" si="9">IF($Q6="C", (F6*$N6),0)</f>
        <v>0</v>
      </c>
      <c r="AS6" s="227"/>
    </row>
    <row r="7" spans="1:45" s="19" customFormat="1">
      <c r="A7" s="45" t="s">
        <v>259</v>
      </c>
      <c r="B7" s="19" t="s">
        <v>9</v>
      </c>
      <c r="C7" s="167">
        <v>1</v>
      </c>
      <c r="D7" s="94" t="s">
        <v>9</v>
      </c>
      <c r="E7" s="170">
        <v>0</v>
      </c>
      <c r="F7" s="169">
        <f>E7*C7</f>
        <v>0</v>
      </c>
      <c r="G7" s="170">
        <v>0</v>
      </c>
      <c r="H7" s="170">
        <v>0</v>
      </c>
      <c r="I7" s="170">
        <v>0</v>
      </c>
      <c r="J7" s="170">
        <v>20</v>
      </c>
      <c r="K7" s="170">
        <v>20</v>
      </c>
      <c r="L7" s="94" t="s">
        <v>8</v>
      </c>
      <c r="M7" s="168">
        <f t="shared" si="1"/>
        <v>3000</v>
      </c>
      <c r="N7" s="90">
        <v>1</v>
      </c>
      <c r="O7" s="172">
        <f t="shared" si="2"/>
        <v>3000</v>
      </c>
      <c r="P7" s="172"/>
      <c r="Q7" s="51" t="s">
        <v>29</v>
      </c>
      <c r="R7" s="71" t="s">
        <v>152</v>
      </c>
      <c r="S7" s="138" t="str">
        <f t="shared" si="3"/>
        <v>BPT2010</v>
      </c>
      <c r="T7" s="138" t="str">
        <f t="shared" si="4"/>
        <v>B1.2.4.1.12010</v>
      </c>
      <c r="U7" s="138" t="s">
        <v>173</v>
      </c>
      <c r="V7" s="138" t="str">
        <f t="shared" si="5"/>
        <v>Internal Cables (Engineering)</v>
      </c>
      <c r="AB7" s="32">
        <v>2010</v>
      </c>
      <c r="AC7" s="132">
        <f t="shared" si="6"/>
        <v>0</v>
      </c>
      <c r="AD7" s="132">
        <f t="shared" si="6"/>
        <v>0</v>
      </c>
      <c r="AE7" s="132">
        <f t="shared" si="6"/>
        <v>0</v>
      </c>
      <c r="AF7" s="132">
        <f t="shared" si="6"/>
        <v>20</v>
      </c>
      <c r="AG7" s="132">
        <f t="shared" si="6"/>
        <v>20</v>
      </c>
      <c r="AH7" s="226">
        <f>IF($Q7="B", (F7*$N7),0)</f>
        <v>0</v>
      </c>
      <c r="AI7" s="227"/>
      <c r="AJ7" s="90"/>
      <c r="AK7" s="90"/>
      <c r="AL7" s="168"/>
      <c r="AM7" s="131">
        <f t="shared" si="8"/>
        <v>0</v>
      </c>
      <c r="AN7" s="132">
        <f t="shared" si="8"/>
        <v>0</v>
      </c>
      <c r="AO7" s="132">
        <f t="shared" si="8"/>
        <v>0</v>
      </c>
      <c r="AP7" s="132">
        <f t="shared" si="8"/>
        <v>0</v>
      </c>
      <c r="AQ7" s="132">
        <f t="shared" si="8"/>
        <v>0</v>
      </c>
      <c r="AR7" s="132">
        <f>IF($Q7="C", (F7*$N7),0)</f>
        <v>0</v>
      </c>
      <c r="AS7" s="227"/>
    </row>
    <row r="8" spans="1:45" s="19" customFormat="1">
      <c r="A8" s="45" t="s">
        <v>225</v>
      </c>
      <c r="B8" s="19" t="s">
        <v>9</v>
      </c>
      <c r="C8" s="167">
        <v>1</v>
      </c>
      <c r="D8" s="94" t="s">
        <v>9</v>
      </c>
      <c r="E8" s="170">
        <v>400</v>
      </c>
      <c r="F8" s="169">
        <f>E8*C8</f>
        <v>400</v>
      </c>
      <c r="G8" s="170">
        <v>0.5</v>
      </c>
      <c r="H8" s="170">
        <v>6</v>
      </c>
      <c r="I8" s="170">
        <v>0</v>
      </c>
      <c r="J8" s="170">
        <v>0</v>
      </c>
      <c r="K8" s="170">
        <v>0.2</v>
      </c>
      <c r="L8" s="94" t="s">
        <v>8</v>
      </c>
      <c r="M8" s="168">
        <f t="shared" si="1"/>
        <v>3825</v>
      </c>
      <c r="N8" s="90">
        <v>5</v>
      </c>
      <c r="O8" s="172">
        <f t="shared" si="2"/>
        <v>5825</v>
      </c>
      <c r="P8" s="172"/>
      <c r="Q8" s="51" t="s">
        <v>29</v>
      </c>
      <c r="R8" s="71" t="s">
        <v>152</v>
      </c>
      <c r="S8" s="138" t="str">
        <f t="shared" si="3"/>
        <v>BPT2010</v>
      </c>
      <c r="T8" s="138" t="str">
        <f t="shared" si="4"/>
        <v>B1.2.4.1.12010</v>
      </c>
      <c r="U8" s="138" t="s">
        <v>173</v>
      </c>
      <c r="V8" s="138" t="str">
        <f t="shared" si="5"/>
        <v>Internal Cables (Engineering)</v>
      </c>
      <c r="AB8" s="32">
        <v>2010</v>
      </c>
      <c r="AC8" s="132">
        <f t="shared" si="6"/>
        <v>2.5</v>
      </c>
      <c r="AD8" s="132">
        <f t="shared" si="6"/>
        <v>30</v>
      </c>
      <c r="AE8" s="132">
        <f t="shared" si="6"/>
        <v>0</v>
      </c>
      <c r="AF8" s="132">
        <f t="shared" si="6"/>
        <v>0</v>
      </c>
      <c r="AG8" s="132">
        <f t="shared" si="6"/>
        <v>1</v>
      </c>
      <c r="AH8" s="226">
        <f>IF($Q8="B", (F8*$N8),0)</f>
        <v>2000</v>
      </c>
      <c r="AI8" s="227"/>
      <c r="AJ8" s="90"/>
      <c r="AK8" s="90"/>
      <c r="AL8" s="168"/>
      <c r="AM8" s="131">
        <f t="shared" si="8"/>
        <v>0</v>
      </c>
      <c r="AN8" s="132">
        <f t="shared" si="8"/>
        <v>0</v>
      </c>
      <c r="AO8" s="132">
        <f t="shared" si="8"/>
        <v>0</v>
      </c>
      <c r="AP8" s="132">
        <f t="shared" si="8"/>
        <v>0</v>
      </c>
      <c r="AQ8" s="132">
        <f t="shared" si="8"/>
        <v>0</v>
      </c>
      <c r="AR8" s="132">
        <f>IF($Q8="C", (F8*$N8),0)</f>
        <v>0</v>
      </c>
      <c r="AS8" s="227"/>
    </row>
    <row r="9" spans="1:45" s="19" customFormat="1">
      <c r="A9" s="45" t="s">
        <v>228</v>
      </c>
      <c r="B9" s="19" t="s">
        <v>9</v>
      </c>
      <c r="C9" s="167">
        <v>20</v>
      </c>
      <c r="D9" s="94" t="s">
        <v>9</v>
      </c>
      <c r="E9" s="170">
        <v>600</v>
      </c>
      <c r="F9" s="169">
        <f>E9*C9</f>
        <v>12000</v>
      </c>
      <c r="G9" s="170">
        <v>0</v>
      </c>
      <c r="H9" s="170">
        <v>0</v>
      </c>
      <c r="I9" s="170">
        <v>16</v>
      </c>
      <c r="J9" s="170">
        <v>8</v>
      </c>
      <c r="K9" s="170">
        <v>16</v>
      </c>
      <c r="L9" s="94" t="s">
        <v>8</v>
      </c>
      <c r="M9" s="168">
        <f>IF(R9="PD",((Shop*G9)+(M_Tech*H9)+(CMM*I9)+(ENG*J9)+(DES*K9))*N9,((Shop_RD*G9)+(MTECH_RD*H9)+(CMM_RD*I9)+(ENG_RD*J9)+(DES_RD*K9))*N9)</f>
        <v>1200</v>
      </c>
      <c r="N9" s="90">
        <v>1</v>
      </c>
      <c r="O9" s="172">
        <f>M9+(F9*N9)</f>
        <v>13200</v>
      </c>
      <c r="P9" s="172"/>
      <c r="Q9" s="51" t="s">
        <v>29</v>
      </c>
      <c r="R9" s="71" t="s">
        <v>152</v>
      </c>
      <c r="S9" s="138" t="str">
        <f>CONCATENATE(Q9,R9,AB9)</f>
        <v>BPT2011</v>
      </c>
      <c r="T9" s="138" t="str">
        <f>CONCATENATE(Q9,U9,AB9)</f>
        <v>B1.2.4.1.22011</v>
      </c>
      <c r="U9" s="138" t="s">
        <v>175</v>
      </c>
      <c r="V9" s="138" t="str">
        <f t="shared" si="5"/>
        <v>Internal Cables (Production)</v>
      </c>
      <c r="AB9" s="32">
        <v>2011</v>
      </c>
      <c r="AC9" s="132">
        <f t="shared" si="6"/>
        <v>0</v>
      </c>
      <c r="AD9" s="132">
        <f t="shared" si="6"/>
        <v>0</v>
      </c>
      <c r="AE9" s="132">
        <f t="shared" si="6"/>
        <v>16</v>
      </c>
      <c r="AF9" s="132">
        <f t="shared" si="6"/>
        <v>8</v>
      </c>
      <c r="AG9" s="132">
        <f t="shared" si="6"/>
        <v>16</v>
      </c>
      <c r="AH9" s="226">
        <f>IF($Q9="B", (F9*$N9),0)</f>
        <v>12000</v>
      </c>
      <c r="AI9" s="227"/>
      <c r="AJ9" s="90"/>
      <c r="AK9" s="90"/>
      <c r="AL9" s="168"/>
      <c r="AM9" s="131">
        <f t="shared" si="8"/>
        <v>0</v>
      </c>
      <c r="AN9" s="132">
        <f t="shared" si="8"/>
        <v>0</v>
      </c>
      <c r="AO9" s="132">
        <f t="shared" si="8"/>
        <v>0</v>
      </c>
      <c r="AP9" s="132">
        <f t="shared" si="8"/>
        <v>0</v>
      </c>
      <c r="AQ9" s="132">
        <f t="shared" si="8"/>
        <v>0</v>
      </c>
      <c r="AR9" s="132">
        <f>IF($Q9="C", (F9*$N9),0)</f>
        <v>0</v>
      </c>
      <c r="AS9" s="227"/>
    </row>
    <row r="10" spans="1:45" s="19" customFormat="1">
      <c r="A10" s="45" t="s">
        <v>229</v>
      </c>
      <c r="B10" s="19" t="s">
        <v>9</v>
      </c>
      <c r="C10" s="167">
        <v>36</v>
      </c>
      <c r="D10" s="94" t="s">
        <v>9</v>
      </c>
      <c r="E10" s="170">
        <v>600</v>
      </c>
      <c r="F10" s="169">
        <f>E10*C10</f>
        <v>21600</v>
      </c>
      <c r="G10" s="170">
        <v>0</v>
      </c>
      <c r="H10" s="170">
        <v>0</v>
      </c>
      <c r="I10" s="170">
        <v>16</v>
      </c>
      <c r="J10" s="170">
        <v>8</v>
      </c>
      <c r="K10" s="170">
        <v>16</v>
      </c>
      <c r="L10" s="94" t="s">
        <v>8</v>
      </c>
      <c r="M10" s="168">
        <f>IF(R10="PD",((Shop*G10)+(M_Tech*H10)+(CMM*I10)+(ENG*J10)+(DES*K10))*N10,((Shop_RD*G10)+(MTECH_RD*H10)+(CMM_RD*I10)+(ENG_RD*J10)+(DES_RD*K10))*N10)</f>
        <v>1200</v>
      </c>
      <c r="N10" s="90">
        <v>1</v>
      </c>
      <c r="O10" s="172">
        <f>M10+(F10*N10)</f>
        <v>22800</v>
      </c>
      <c r="P10" s="172"/>
      <c r="Q10" s="51" t="s">
        <v>30</v>
      </c>
      <c r="R10" s="71" t="s">
        <v>152</v>
      </c>
      <c r="S10" s="138" t="str">
        <f>CONCATENATE(Q10,R10,AB10)</f>
        <v>CPT2012</v>
      </c>
      <c r="T10" s="138" t="str">
        <f>CONCATENATE(Q10,U10,AB10)</f>
        <v>C1.2.4.1.22012</v>
      </c>
      <c r="U10" s="138" t="s">
        <v>175</v>
      </c>
      <c r="V10" s="138" t="str">
        <f t="shared" si="5"/>
        <v>Internal Cables (Production)</v>
      </c>
      <c r="AB10" s="264">
        <v>2012</v>
      </c>
      <c r="AC10" s="132">
        <f t="shared" si="6"/>
        <v>0</v>
      </c>
      <c r="AD10" s="132">
        <f t="shared" si="6"/>
        <v>0</v>
      </c>
      <c r="AE10" s="132">
        <f t="shared" si="6"/>
        <v>0</v>
      </c>
      <c r="AF10" s="132">
        <f t="shared" si="6"/>
        <v>0</v>
      </c>
      <c r="AG10" s="132">
        <f t="shared" si="6"/>
        <v>0</v>
      </c>
      <c r="AH10" s="226">
        <f>IF($Q10="B", (F10*$N10),0)</f>
        <v>0</v>
      </c>
      <c r="AI10" s="227"/>
      <c r="AJ10" s="90"/>
      <c r="AK10" s="90"/>
      <c r="AL10" s="168"/>
      <c r="AM10" s="131">
        <f t="shared" si="8"/>
        <v>0</v>
      </c>
      <c r="AN10" s="132">
        <f t="shared" si="8"/>
        <v>0</v>
      </c>
      <c r="AO10" s="132">
        <f t="shared" si="8"/>
        <v>16</v>
      </c>
      <c r="AP10" s="132">
        <f t="shared" si="8"/>
        <v>8</v>
      </c>
      <c r="AQ10" s="132">
        <f t="shared" si="8"/>
        <v>16</v>
      </c>
      <c r="AR10" s="132">
        <f>IF($Q10="C", (F10*$N10),0)</f>
        <v>21600</v>
      </c>
      <c r="AS10" s="227"/>
    </row>
    <row r="11" spans="1:45" s="19" customFormat="1">
      <c r="A11" s="45" t="s">
        <v>226</v>
      </c>
      <c r="B11" s="19" t="s">
        <v>9</v>
      </c>
      <c r="C11" s="167">
        <v>1</v>
      </c>
      <c r="D11" s="94" t="s">
        <v>9</v>
      </c>
      <c r="E11" s="170">
        <v>0</v>
      </c>
      <c r="F11" s="169">
        <f t="shared" si="0"/>
        <v>0</v>
      </c>
      <c r="G11" s="170">
        <v>0</v>
      </c>
      <c r="H11" s="170">
        <v>2</v>
      </c>
      <c r="I11" s="170">
        <v>1</v>
      </c>
      <c r="J11" s="170">
        <v>0</v>
      </c>
      <c r="K11" s="170">
        <v>0</v>
      </c>
      <c r="L11" s="94" t="s">
        <v>8</v>
      </c>
      <c r="M11" s="168">
        <f t="shared" si="1"/>
        <v>1170</v>
      </c>
      <c r="N11" s="90">
        <v>5</v>
      </c>
      <c r="O11" s="172">
        <f t="shared" si="2"/>
        <v>1170</v>
      </c>
      <c r="P11" s="172"/>
      <c r="Q11" s="51" t="s">
        <v>29</v>
      </c>
      <c r="R11" s="71" t="s">
        <v>152</v>
      </c>
      <c r="S11" s="138" t="str">
        <f t="shared" si="3"/>
        <v>BPT2011</v>
      </c>
      <c r="T11" s="138" t="str">
        <f t="shared" si="4"/>
        <v>B1.2.4.1.12011</v>
      </c>
      <c r="U11" s="138" t="s">
        <v>173</v>
      </c>
      <c r="V11" s="138" t="str">
        <f t="shared" si="5"/>
        <v>Internal Cables (Engineering)</v>
      </c>
      <c r="AB11" s="32">
        <v>2011</v>
      </c>
      <c r="AC11" s="132">
        <f t="shared" si="6"/>
        <v>0</v>
      </c>
      <c r="AD11" s="132">
        <f t="shared" si="6"/>
        <v>10</v>
      </c>
      <c r="AE11" s="132">
        <f t="shared" si="6"/>
        <v>5</v>
      </c>
      <c r="AF11" s="132">
        <f t="shared" si="6"/>
        <v>0</v>
      </c>
      <c r="AG11" s="132">
        <f t="shared" si="6"/>
        <v>0</v>
      </c>
      <c r="AH11" s="226">
        <f t="shared" si="7"/>
        <v>0</v>
      </c>
      <c r="AI11" s="227"/>
      <c r="AJ11" s="90"/>
      <c r="AK11" s="90"/>
      <c r="AL11" s="168"/>
      <c r="AM11" s="131">
        <f t="shared" si="8"/>
        <v>0</v>
      </c>
      <c r="AN11" s="132">
        <f t="shared" si="8"/>
        <v>0</v>
      </c>
      <c r="AO11" s="132">
        <f t="shared" si="8"/>
        <v>0</v>
      </c>
      <c r="AP11" s="132">
        <f t="shared" si="8"/>
        <v>0</v>
      </c>
      <c r="AQ11" s="132">
        <f t="shared" si="8"/>
        <v>0</v>
      </c>
      <c r="AR11" s="132">
        <f t="shared" si="9"/>
        <v>0</v>
      </c>
      <c r="AS11" s="227"/>
    </row>
    <row r="12" spans="1:45" s="19" customFormat="1">
      <c r="A12" s="45" t="s">
        <v>227</v>
      </c>
      <c r="B12" s="19" t="s">
        <v>9</v>
      </c>
      <c r="C12" s="167">
        <v>1</v>
      </c>
      <c r="D12" s="94" t="s">
        <v>9</v>
      </c>
      <c r="E12" s="170">
        <v>500</v>
      </c>
      <c r="F12" s="169">
        <f t="shared" si="0"/>
        <v>500</v>
      </c>
      <c r="G12" s="170">
        <v>8</v>
      </c>
      <c r="H12" s="170">
        <v>8</v>
      </c>
      <c r="I12" s="170">
        <v>8</v>
      </c>
      <c r="J12" s="170">
        <v>8</v>
      </c>
      <c r="K12" s="170">
        <v>8</v>
      </c>
      <c r="L12" s="94" t="s">
        <v>8</v>
      </c>
      <c r="M12" s="168">
        <f t="shared" si="1"/>
        <v>3144</v>
      </c>
      <c r="N12" s="90">
        <v>1</v>
      </c>
      <c r="O12" s="172">
        <f t="shared" si="2"/>
        <v>3644</v>
      </c>
      <c r="P12" s="172"/>
      <c r="Q12" s="51" t="s">
        <v>30</v>
      </c>
      <c r="R12" s="71" t="s">
        <v>152</v>
      </c>
      <c r="S12" s="138" t="str">
        <f t="shared" si="3"/>
        <v>CPT2011</v>
      </c>
      <c r="T12" s="138" t="str">
        <f t="shared" si="4"/>
        <v>C1.2.4.1.12011</v>
      </c>
      <c r="U12" s="138" t="s">
        <v>173</v>
      </c>
      <c r="V12" s="138" t="str">
        <f t="shared" si="5"/>
        <v>Internal Cables (Engineering)</v>
      </c>
      <c r="AB12" s="32">
        <v>2011</v>
      </c>
      <c r="AC12" s="132">
        <f t="shared" si="6"/>
        <v>0</v>
      </c>
      <c r="AD12" s="132">
        <f t="shared" si="6"/>
        <v>0</v>
      </c>
      <c r="AE12" s="132">
        <f t="shared" si="6"/>
        <v>0</v>
      </c>
      <c r="AF12" s="132">
        <f t="shared" si="6"/>
        <v>0</v>
      </c>
      <c r="AG12" s="132">
        <f t="shared" si="6"/>
        <v>0</v>
      </c>
      <c r="AH12" s="226">
        <f t="shared" si="7"/>
        <v>0</v>
      </c>
      <c r="AI12" s="227"/>
      <c r="AJ12" s="90"/>
      <c r="AK12" s="90"/>
      <c r="AL12" s="168"/>
      <c r="AM12" s="131">
        <f t="shared" si="8"/>
        <v>8</v>
      </c>
      <c r="AN12" s="132">
        <f t="shared" si="8"/>
        <v>8</v>
      </c>
      <c r="AO12" s="132">
        <f t="shared" si="8"/>
        <v>8</v>
      </c>
      <c r="AP12" s="132">
        <f t="shared" si="8"/>
        <v>8</v>
      </c>
      <c r="AQ12" s="132">
        <f t="shared" si="8"/>
        <v>8</v>
      </c>
      <c r="AR12" s="132">
        <f t="shared" si="9"/>
        <v>500</v>
      </c>
      <c r="AS12" s="227"/>
    </row>
    <row r="13" spans="1:45" s="19" customFormat="1">
      <c r="A13" s="46" t="s">
        <v>176</v>
      </c>
      <c r="C13" s="167"/>
      <c r="D13" s="94"/>
      <c r="E13" s="60"/>
      <c r="F13" s="61"/>
      <c r="G13" s="62"/>
      <c r="H13" s="62"/>
      <c r="I13" s="62"/>
      <c r="J13" s="62"/>
      <c r="K13" s="63"/>
      <c r="L13" s="209" t="s">
        <v>41</v>
      </c>
      <c r="M13" s="180">
        <f>SUMIF(Q6:Q12,"B",M6:M12)</f>
        <v>10395</v>
      </c>
      <c r="N13" s="65" t="s">
        <v>40</v>
      </c>
      <c r="O13" s="172"/>
      <c r="P13" s="172"/>
      <c r="Q13" s="51"/>
      <c r="R13" s="71"/>
      <c r="S13" s="138"/>
      <c r="T13" s="138"/>
      <c r="U13" s="138"/>
      <c r="V13" s="138"/>
      <c r="AB13" s="32"/>
      <c r="AC13" s="132"/>
      <c r="AD13" s="132"/>
      <c r="AE13" s="135"/>
      <c r="AF13" s="132"/>
      <c r="AG13" s="132"/>
      <c r="AH13" s="226"/>
      <c r="AI13" s="227"/>
      <c r="AJ13" s="132"/>
      <c r="AK13" s="132"/>
      <c r="AL13" s="168"/>
      <c r="AM13" s="131"/>
      <c r="AN13" s="132"/>
      <c r="AO13" s="132"/>
      <c r="AP13" s="132"/>
      <c r="AQ13" s="132"/>
      <c r="AR13" s="132"/>
      <c r="AS13" s="227"/>
    </row>
    <row r="14" spans="1:45" s="19" customFormat="1">
      <c r="A14" s="45" t="s">
        <v>228</v>
      </c>
      <c r="B14" s="19" t="s">
        <v>9</v>
      </c>
      <c r="C14" s="167">
        <v>46</v>
      </c>
      <c r="D14" s="94" t="s">
        <v>9</v>
      </c>
      <c r="E14" s="170">
        <v>600</v>
      </c>
      <c r="F14" s="169">
        <f t="shared" ref="F14:F22" si="10">E14*C14</f>
        <v>27600</v>
      </c>
      <c r="G14" s="170">
        <v>0</v>
      </c>
      <c r="H14" s="170">
        <v>0</v>
      </c>
      <c r="I14" s="170">
        <v>16</v>
      </c>
      <c r="J14" s="170">
        <v>8</v>
      </c>
      <c r="K14" s="170">
        <v>16</v>
      </c>
      <c r="L14" s="94" t="s">
        <v>8</v>
      </c>
      <c r="M14" s="168">
        <f t="shared" ref="M14:M22" si="11">IF(R14="PD",((Shop*G14)+(M_Tech*H14)+(CMM*I14)+(ENG*J14)+(DES*K14))*N14,((Shop_RD*G14)+(MTECH_RD*H14)+(CMM_RD*I14)+(ENG_RD*J14)+(DES_RD*K14))*N14)</f>
        <v>972.00000000000011</v>
      </c>
      <c r="N14" s="90">
        <v>1</v>
      </c>
      <c r="O14" s="172">
        <f t="shared" si="2"/>
        <v>28572</v>
      </c>
      <c r="P14" s="172"/>
      <c r="Q14" s="51" t="s">
        <v>29</v>
      </c>
      <c r="R14" s="71" t="s">
        <v>48</v>
      </c>
      <c r="S14" s="138" t="str">
        <f t="shared" ref="S14:S22" si="12">CONCATENATE(Q14,R14,AB14)</f>
        <v>BPD2013</v>
      </c>
      <c r="T14" s="138" t="str">
        <f t="shared" si="4"/>
        <v>B1.2.4.1.22013</v>
      </c>
      <c r="U14" s="138" t="s">
        <v>175</v>
      </c>
      <c r="V14" s="138" t="str">
        <f t="shared" ref="V14:V22" si="13">LOOKUP(U14,$B$156:$B$182,$A$156:$A$182)</f>
        <v>Internal Cables (Production)</v>
      </c>
      <c r="AB14" s="264">
        <v>2013</v>
      </c>
      <c r="AC14" s="132">
        <f t="shared" ref="AC14:AG22" si="14">IF($Q14="B", (G14*$N14),0)</f>
        <v>0</v>
      </c>
      <c r="AD14" s="132">
        <f t="shared" si="14"/>
        <v>0</v>
      </c>
      <c r="AE14" s="132">
        <f t="shared" si="14"/>
        <v>16</v>
      </c>
      <c r="AF14" s="132">
        <f t="shared" si="14"/>
        <v>8</v>
      </c>
      <c r="AG14" s="132">
        <f t="shared" si="14"/>
        <v>16</v>
      </c>
      <c r="AH14" s="226">
        <f t="shared" ref="AH14:AH22" si="15">IF($Q14="B", (F14*$N14),0)</f>
        <v>27600</v>
      </c>
      <c r="AI14" s="227"/>
      <c r="AJ14" s="90"/>
      <c r="AK14" s="90"/>
      <c r="AL14" s="168"/>
      <c r="AM14" s="131">
        <f t="shared" ref="AM14:AQ22" si="16">IF($Q14="C", (G14*$N14),0)</f>
        <v>0</v>
      </c>
      <c r="AN14" s="132">
        <f t="shared" si="16"/>
        <v>0</v>
      </c>
      <c r="AO14" s="132">
        <f t="shared" si="16"/>
        <v>0</v>
      </c>
      <c r="AP14" s="132">
        <f t="shared" si="16"/>
        <v>0</v>
      </c>
      <c r="AQ14" s="132">
        <f t="shared" si="16"/>
        <v>0</v>
      </c>
      <c r="AR14" s="132">
        <f t="shared" ref="AR14:AR22" si="17">IF($Q14="C", (F14*$N14),0)</f>
        <v>0</v>
      </c>
      <c r="AS14" s="227"/>
    </row>
    <row r="15" spans="1:45" s="19" customFormat="1">
      <c r="A15" s="45" t="s">
        <v>229</v>
      </c>
      <c r="B15" s="19" t="s">
        <v>9</v>
      </c>
      <c r="C15" s="167">
        <v>6</v>
      </c>
      <c r="D15" s="94" t="s">
        <v>9</v>
      </c>
      <c r="E15" s="170">
        <v>600</v>
      </c>
      <c r="F15" s="169">
        <f t="shared" si="10"/>
        <v>3600</v>
      </c>
      <c r="G15" s="170">
        <v>0</v>
      </c>
      <c r="H15" s="170">
        <v>0</v>
      </c>
      <c r="I15" s="170">
        <v>16</v>
      </c>
      <c r="J15" s="170">
        <v>8</v>
      </c>
      <c r="K15" s="170">
        <v>16</v>
      </c>
      <c r="L15" s="94" t="s">
        <v>8</v>
      </c>
      <c r="M15" s="168">
        <f t="shared" si="11"/>
        <v>972.00000000000011</v>
      </c>
      <c r="N15" s="90">
        <v>1</v>
      </c>
      <c r="O15" s="172">
        <f t="shared" si="2"/>
        <v>4572</v>
      </c>
      <c r="P15" s="172"/>
      <c r="Q15" s="51" t="s">
        <v>30</v>
      </c>
      <c r="R15" s="71" t="s">
        <v>48</v>
      </c>
      <c r="S15" s="138" t="str">
        <f t="shared" si="12"/>
        <v>CPD2013</v>
      </c>
      <c r="T15" s="138" t="str">
        <f t="shared" si="4"/>
        <v>C1.2.4.1.22013</v>
      </c>
      <c r="U15" s="138" t="s">
        <v>175</v>
      </c>
      <c r="V15" s="138" t="str">
        <f t="shared" si="13"/>
        <v>Internal Cables (Production)</v>
      </c>
      <c r="AB15" s="264">
        <v>2013</v>
      </c>
      <c r="AC15" s="132">
        <f t="shared" si="14"/>
        <v>0</v>
      </c>
      <c r="AD15" s="132">
        <f t="shared" si="14"/>
        <v>0</v>
      </c>
      <c r="AE15" s="132">
        <f t="shared" si="14"/>
        <v>0</v>
      </c>
      <c r="AF15" s="132">
        <f t="shared" si="14"/>
        <v>0</v>
      </c>
      <c r="AG15" s="132">
        <f t="shared" si="14"/>
        <v>0</v>
      </c>
      <c r="AH15" s="226">
        <f t="shared" si="15"/>
        <v>0</v>
      </c>
      <c r="AI15" s="227"/>
      <c r="AJ15" s="90"/>
      <c r="AK15" s="90"/>
      <c r="AL15" s="168"/>
      <c r="AM15" s="131">
        <f t="shared" si="16"/>
        <v>0</v>
      </c>
      <c r="AN15" s="132">
        <f t="shared" si="16"/>
        <v>0</v>
      </c>
      <c r="AO15" s="132">
        <f t="shared" si="16"/>
        <v>16</v>
      </c>
      <c r="AP15" s="132">
        <f t="shared" si="16"/>
        <v>8</v>
      </c>
      <c r="AQ15" s="132">
        <f t="shared" si="16"/>
        <v>16</v>
      </c>
      <c r="AR15" s="132">
        <f t="shared" si="17"/>
        <v>3600</v>
      </c>
      <c r="AS15" s="227"/>
    </row>
    <row r="16" spans="1:45" s="19" customFormat="1">
      <c r="A16" s="45" t="s">
        <v>230</v>
      </c>
      <c r="B16" s="19" t="s">
        <v>9</v>
      </c>
      <c r="C16" s="167">
        <v>1</v>
      </c>
      <c r="D16" s="94" t="s">
        <v>9</v>
      </c>
      <c r="E16" s="170">
        <v>0</v>
      </c>
      <c r="F16" s="169">
        <f t="shared" si="10"/>
        <v>0</v>
      </c>
      <c r="G16" s="170">
        <v>0</v>
      </c>
      <c r="H16" s="170">
        <v>1</v>
      </c>
      <c r="I16" s="170">
        <v>0</v>
      </c>
      <c r="J16" s="170">
        <v>0</v>
      </c>
      <c r="K16" s="170">
        <v>0</v>
      </c>
      <c r="L16" s="94" t="s">
        <v>8</v>
      </c>
      <c r="M16" s="168">
        <f t="shared" si="11"/>
        <v>4359.42</v>
      </c>
      <c r="N16" s="90">
        <v>46</v>
      </c>
      <c r="O16" s="172">
        <f t="shared" si="2"/>
        <v>4359.42</v>
      </c>
      <c r="P16" s="172"/>
      <c r="Q16" s="51" t="s">
        <v>29</v>
      </c>
      <c r="R16" s="71" t="s">
        <v>48</v>
      </c>
      <c r="S16" s="138" t="str">
        <f t="shared" si="12"/>
        <v>BPD2013</v>
      </c>
      <c r="T16" s="138" t="str">
        <f t="shared" si="4"/>
        <v>B1.2.4.1.22013</v>
      </c>
      <c r="U16" s="138" t="s">
        <v>175</v>
      </c>
      <c r="V16" s="138" t="str">
        <f t="shared" si="13"/>
        <v>Internal Cables (Production)</v>
      </c>
      <c r="AB16" s="264">
        <v>2013</v>
      </c>
      <c r="AC16" s="132">
        <f t="shared" si="14"/>
        <v>0</v>
      </c>
      <c r="AD16" s="132">
        <f t="shared" si="14"/>
        <v>46</v>
      </c>
      <c r="AE16" s="132">
        <f t="shared" si="14"/>
        <v>0</v>
      </c>
      <c r="AF16" s="132">
        <f t="shared" si="14"/>
        <v>0</v>
      </c>
      <c r="AG16" s="132">
        <f t="shared" si="14"/>
        <v>0</v>
      </c>
      <c r="AH16" s="226">
        <f t="shared" si="15"/>
        <v>0</v>
      </c>
      <c r="AI16" s="227"/>
      <c r="AJ16" s="90"/>
      <c r="AK16" s="90"/>
      <c r="AL16" s="168"/>
      <c r="AM16" s="131">
        <f t="shared" si="16"/>
        <v>0</v>
      </c>
      <c r="AN16" s="132">
        <f t="shared" si="16"/>
        <v>0</v>
      </c>
      <c r="AO16" s="132">
        <f t="shared" si="16"/>
        <v>0</v>
      </c>
      <c r="AP16" s="132">
        <f t="shared" si="16"/>
        <v>0</v>
      </c>
      <c r="AQ16" s="132">
        <f t="shared" si="16"/>
        <v>0</v>
      </c>
      <c r="AR16" s="132">
        <f t="shared" si="17"/>
        <v>0</v>
      </c>
      <c r="AS16" s="227"/>
    </row>
    <row r="17" spans="1:45" s="133" customFormat="1">
      <c r="A17" s="45" t="s">
        <v>233</v>
      </c>
      <c r="B17" s="94" t="s">
        <v>9</v>
      </c>
      <c r="C17" s="167">
        <v>1</v>
      </c>
      <c r="D17" s="94" t="s">
        <v>9</v>
      </c>
      <c r="E17" s="170">
        <v>50</v>
      </c>
      <c r="F17" s="169">
        <f t="shared" si="10"/>
        <v>50</v>
      </c>
      <c r="G17" s="170">
        <v>0</v>
      </c>
      <c r="H17" s="170">
        <v>6</v>
      </c>
      <c r="I17" s="170">
        <v>1</v>
      </c>
      <c r="J17" s="170">
        <v>0.1</v>
      </c>
      <c r="K17" s="170">
        <v>0.2</v>
      </c>
      <c r="L17" s="94" t="s">
        <v>8</v>
      </c>
      <c r="M17" s="168">
        <f t="shared" si="11"/>
        <v>26715.420000000006</v>
      </c>
      <c r="N17" s="90">
        <v>46</v>
      </c>
      <c r="O17" s="172">
        <f>M17+(F17*N17)</f>
        <v>29015.420000000006</v>
      </c>
      <c r="P17" s="172"/>
      <c r="Q17" s="51" t="s">
        <v>29</v>
      </c>
      <c r="R17" s="71" t="s">
        <v>48</v>
      </c>
      <c r="S17" s="138" t="str">
        <f t="shared" si="12"/>
        <v>BPD2013</v>
      </c>
      <c r="T17" s="138" t="str">
        <f>CONCATENATE(Q17,U17,AB17)</f>
        <v>B1.2.4.1.22013</v>
      </c>
      <c r="U17" s="138" t="s">
        <v>175</v>
      </c>
      <c r="V17" s="138" t="str">
        <f t="shared" si="13"/>
        <v>Internal Cables (Production)</v>
      </c>
      <c r="W17" s="19"/>
      <c r="X17" s="19"/>
      <c r="Y17" s="19"/>
      <c r="Z17" s="19"/>
      <c r="AA17" s="19"/>
      <c r="AB17" s="264">
        <v>2013</v>
      </c>
      <c r="AC17" s="132">
        <f>IF($Q17="B", (G17*$N17),0)</f>
        <v>0</v>
      </c>
      <c r="AD17" s="132">
        <f>IF($Q17="B", (H17*$N17),0)</f>
        <v>276</v>
      </c>
      <c r="AE17" s="132">
        <f>IF($Q17="B", (I17*$N17),0)</f>
        <v>46</v>
      </c>
      <c r="AF17" s="132">
        <f>IF($Q17="B", (J17*$N17),0)</f>
        <v>4.6000000000000005</v>
      </c>
      <c r="AG17" s="132">
        <f>IF($Q17="B", (K17*$N17),0)</f>
        <v>9.2000000000000011</v>
      </c>
      <c r="AH17" s="226">
        <f t="shared" si="15"/>
        <v>2300</v>
      </c>
      <c r="AI17" s="227"/>
      <c r="AJ17" s="90"/>
      <c r="AK17" s="90"/>
      <c r="AL17" s="168"/>
      <c r="AM17" s="131">
        <f>IF($Q17="C", (G17*$N17),0)</f>
        <v>0</v>
      </c>
      <c r="AN17" s="132">
        <f>IF($Q17="C", (H17*$N17),0)</f>
        <v>0</v>
      </c>
      <c r="AO17" s="132">
        <f>IF($Q17="C", (I17*$N17),0)</f>
        <v>0</v>
      </c>
      <c r="AP17" s="132">
        <f>IF($Q17="C", (J17*$N17),0)</f>
        <v>0</v>
      </c>
      <c r="AQ17" s="132">
        <f>IF($Q17="C", (K17*$N17),0)</f>
        <v>0</v>
      </c>
      <c r="AR17" s="132">
        <f t="shared" si="17"/>
        <v>0</v>
      </c>
      <c r="AS17" s="228"/>
    </row>
    <row r="18" spans="1:45" s="133" customFormat="1">
      <c r="A18" s="45" t="s">
        <v>260</v>
      </c>
      <c r="B18" s="94" t="s">
        <v>9</v>
      </c>
      <c r="C18" s="167">
        <v>1</v>
      </c>
      <c r="D18" s="94" t="s">
        <v>9</v>
      </c>
      <c r="E18" s="170">
        <v>50</v>
      </c>
      <c r="F18" s="169">
        <f t="shared" si="10"/>
        <v>50</v>
      </c>
      <c r="G18" s="170">
        <v>0</v>
      </c>
      <c r="H18" s="170">
        <v>6</v>
      </c>
      <c r="I18" s="170">
        <v>4</v>
      </c>
      <c r="J18" s="170">
        <v>0.1</v>
      </c>
      <c r="K18" s="170">
        <v>0.2</v>
      </c>
      <c r="L18" s="94" t="s">
        <v>8</v>
      </c>
      <c r="M18" s="168">
        <f t="shared" si="11"/>
        <v>3484.6200000000008</v>
      </c>
      <c r="N18" s="90">
        <v>6</v>
      </c>
      <c r="O18" s="172">
        <f t="shared" si="2"/>
        <v>3784.6200000000008</v>
      </c>
      <c r="P18" s="172"/>
      <c r="Q18" s="51" t="s">
        <v>30</v>
      </c>
      <c r="R18" s="71" t="s">
        <v>48</v>
      </c>
      <c r="S18" s="138" t="str">
        <f t="shared" si="12"/>
        <v>CPD2013</v>
      </c>
      <c r="T18" s="138" t="str">
        <f t="shared" si="4"/>
        <v>C1.2.4.1.22013</v>
      </c>
      <c r="U18" s="138" t="s">
        <v>175</v>
      </c>
      <c r="V18" s="138" t="str">
        <f t="shared" si="13"/>
        <v>Internal Cables (Production)</v>
      </c>
      <c r="W18" s="19"/>
      <c r="X18" s="19"/>
      <c r="Y18" s="19"/>
      <c r="Z18" s="19"/>
      <c r="AA18" s="19"/>
      <c r="AB18" s="264">
        <v>2013</v>
      </c>
      <c r="AC18" s="132">
        <f t="shared" si="14"/>
        <v>0</v>
      </c>
      <c r="AD18" s="132">
        <f t="shared" si="14"/>
        <v>0</v>
      </c>
      <c r="AE18" s="132">
        <f t="shared" si="14"/>
        <v>0</v>
      </c>
      <c r="AF18" s="132">
        <f t="shared" si="14"/>
        <v>0</v>
      </c>
      <c r="AG18" s="132">
        <f t="shared" si="14"/>
        <v>0</v>
      </c>
      <c r="AH18" s="226">
        <f t="shared" si="15"/>
        <v>0</v>
      </c>
      <c r="AI18" s="227"/>
      <c r="AJ18" s="90"/>
      <c r="AK18" s="90"/>
      <c r="AL18" s="168"/>
      <c r="AM18" s="131">
        <f t="shared" si="16"/>
        <v>0</v>
      </c>
      <c r="AN18" s="132">
        <f t="shared" si="16"/>
        <v>36</v>
      </c>
      <c r="AO18" s="132">
        <f t="shared" si="16"/>
        <v>24</v>
      </c>
      <c r="AP18" s="132">
        <f t="shared" si="16"/>
        <v>0.60000000000000009</v>
      </c>
      <c r="AQ18" s="132">
        <f t="shared" si="16"/>
        <v>1.2000000000000002</v>
      </c>
      <c r="AR18" s="132">
        <f t="shared" si="17"/>
        <v>300</v>
      </c>
      <c r="AS18" s="228"/>
    </row>
    <row r="19" spans="1:45" s="19" customFormat="1">
      <c r="A19" s="45" t="s">
        <v>291</v>
      </c>
      <c r="B19" s="19" t="s">
        <v>9</v>
      </c>
      <c r="C19" s="167">
        <v>1</v>
      </c>
      <c r="D19" s="94" t="s">
        <v>9</v>
      </c>
      <c r="E19" s="170">
        <v>10</v>
      </c>
      <c r="F19" s="169">
        <f>E19*C19</f>
        <v>10</v>
      </c>
      <c r="G19" s="170">
        <v>0</v>
      </c>
      <c r="H19" s="170">
        <v>0.2</v>
      </c>
      <c r="I19" s="170">
        <v>0</v>
      </c>
      <c r="J19" s="170">
        <v>0</v>
      </c>
      <c r="K19" s="170">
        <v>0</v>
      </c>
      <c r="L19" s="94" t="s">
        <v>8</v>
      </c>
      <c r="M19" s="168">
        <f t="shared" si="11"/>
        <v>871.88400000000024</v>
      </c>
      <c r="N19" s="90">
        <v>46</v>
      </c>
      <c r="O19" s="172">
        <f>M19+(F19*N19)</f>
        <v>1331.8840000000002</v>
      </c>
      <c r="P19" s="172"/>
      <c r="Q19" s="51" t="s">
        <v>29</v>
      </c>
      <c r="R19" s="71" t="s">
        <v>48</v>
      </c>
      <c r="S19" s="138" t="str">
        <f t="shared" si="12"/>
        <v>BPD2013</v>
      </c>
      <c r="T19" s="138" t="str">
        <f>CONCATENATE(Q19,U19,AB19)</f>
        <v>B1.2.4.1.3.12013</v>
      </c>
      <c r="U19" s="138" t="s">
        <v>179</v>
      </c>
      <c r="V19" s="138" t="str">
        <f t="shared" si="13"/>
        <v>Type 1 (Bulkhead to RDO Crate)</v>
      </c>
      <c r="AB19" s="264">
        <v>2013</v>
      </c>
      <c r="AC19" s="132">
        <f t="shared" si="14"/>
        <v>0</v>
      </c>
      <c r="AD19" s="132">
        <f t="shared" si="14"/>
        <v>9.2000000000000011</v>
      </c>
      <c r="AE19" s="132">
        <f t="shared" si="14"/>
        <v>0</v>
      </c>
      <c r="AF19" s="132">
        <f t="shared" si="14"/>
        <v>0</v>
      </c>
      <c r="AG19" s="132">
        <f t="shared" si="14"/>
        <v>0</v>
      </c>
      <c r="AH19" s="226">
        <f t="shared" si="15"/>
        <v>460</v>
      </c>
      <c r="AI19" s="227"/>
      <c r="AJ19" s="90"/>
      <c r="AK19" s="90"/>
      <c r="AL19" s="168"/>
      <c r="AM19" s="131">
        <f t="shared" si="16"/>
        <v>0</v>
      </c>
      <c r="AN19" s="132">
        <f t="shared" si="16"/>
        <v>0</v>
      </c>
      <c r="AO19" s="132">
        <f t="shared" si="16"/>
        <v>0</v>
      </c>
      <c r="AP19" s="132">
        <f t="shared" si="16"/>
        <v>0</v>
      </c>
      <c r="AQ19" s="132">
        <f t="shared" si="16"/>
        <v>0</v>
      </c>
      <c r="AR19" s="132">
        <f t="shared" si="17"/>
        <v>0</v>
      </c>
      <c r="AS19" s="227"/>
    </row>
    <row r="20" spans="1:45" s="19" customFormat="1">
      <c r="A20" s="45" t="s">
        <v>232</v>
      </c>
      <c r="B20" s="94" t="s">
        <v>9</v>
      </c>
      <c r="C20" s="167">
        <v>4</v>
      </c>
      <c r="D20" s="94" t="s">
        <v>9</v>
      </c>
      <c r="E20" s="170">
        <v>700</v>
      </c>
      <c r="F20" s="169">
        <f t="shared" si="10"/>
        <v>2800</v>
      </c>
      <c r="G20" s="170">
        <v>4</v>
      </c>
      <c r="H20" s="170">
        <v>24</v>
      </c>
      <c r="I20" s="170">
        <v>16</v>
      </c>
      <c r="J20" s="170">
        <v>8</v>
      </c>
      <c r="K20" s="170">
        <v>40</v>
      </c>
      <c r="L20" s="94" t="s">
        <v>8</v>
      </c>
      <c r="M20" s="168">
        <f t="shared" si="11"/>
        <v>3654.7200000000003</v>
      </c>
      <c r="N20" s="90">
        <v>1</v>
      </c>
      <c r="O20" s="172">
        <f t="shared" si="2"/>
        <v>6454.72</v>
      </c>
      <c r="P20" s="172"/>
      <c r="Q20" s="51" t="s">
        <v>29</v>
      </c>
      <c r="R20" s="71" t="s">
        <v>48</v>
      </c>
      <c r="S20" s="138" t="str">
        <f t="shared" si="12"/>
        <v>BPD2013</v>
      </c>
      <c r="T20" s="138" t="str">
        <f t="shared" si="4"/>
        <v>B1.2.4.1.22013</v>
      </c>
      <c r="U20" s="138" t="s">
        <v>175</v>
      </c>
      <c r="V20" s="138" t="str">
        <f t="shared" si="13"/>
        <v>Internal Cables (Production)</v>
      </c>
      <c r="AB20" s="264">
        <v>2013</v>
      </c>
      <c r="AC20" s="132">
        <f t="shared" si="14"/>
        <v>4</v>
      </c>
      <c r="AD20" s="132">
        <f t="shared" si="14"/>
        <v>24</v>
      </c>
      <c r="AE20" s="132">
        <f t="shared" si="14"/>
        <v>16</v>
      </c>
      <c r="AF20" s="132">
        <f t="shared" si="14"/>
        <v>8</v>
      </c>
      <c r="AG20" s="132">
        <f t="shared" si="14"/>
        <v>40</v>
      </c>
      <c r="AH20" s="226">
        <f t="shared" si="15"/>
        <v>2800</v>
      </c>
      <c r="AI20" s="227"/>
      <c r="AJ20" s="90"/>
      <c r="AK20" s="90"/>
      <c r="AL20" s="168"/>
      <c r="AM20" s="131">
        <f t="shared" si="16"/>
        <v>0</v>
      </c>
      <c r="AN20" s="132">
        <f t="shared" si="16"/>
        <v>0</v>
      </c>
      <c r="AO20" s="132">
        <f t="shared" si="16"/>
        <v>0</v>
      </c>
      <c r="AP20" s="132">
        <f t="shared" si="16"/>
        <v>0</v>
      </c>
      <c r="AQ20" s="132">
        <f t="shared" si="16"/>
        <v>0</v>
      </c>
      <c r="AR20" s="132">
        <f t="shared" si="17"/>
        <v>0</v>
      </c>
      <c r="AS20" s="227"/>
    </row>
    <row r="21" spans="1:45" s="19" customFormat="1">
      <c r="A21" s="45" t="s">
        <v>231</v>
      </c>
      <c r="B21" s="94" t="s">
        <v>9</v>
      </c>
      <c r="C21" s="167">
        <v>1</v>
      </c>
      <c r="D21" s="94" t="s">
        <v>9</v>
      </c>
      <c r="E21" s="170">
        <v>200</v>
      </c>
      <c r="F21" s="169">
        <f t="shared" si="10"/>
        <v>200</v>
      </c>
      <c r="G21" s="170">
        <v>0</v>
      </c>
      <c r="H21" s="170">
        <v>24</v>
      </c>
      <c r="I21" s="170">
        <v>40</v>
      </c>
      <c r="J21" s="170">
        <v>0</v>
      </c>
      <c r="K21" s="170">
        <v>8</v>
      </c>
      <c r="L21" s="94" t="s">
        <v>8</v>
      </c>
      <c r="M21" s="168">
        <f t="shared" si="11"/>
        <v>2274.4800000000005</v>
      </c>
      <c r="N21" s="90">
        <v>1</v>
      </c>
      <c r="O21" s="172">
        <f>M21+(F21*N21)</f>
        <v>2474.4800000000005</v>
      </c>
      <c r="P21" s="172"/>
      <c r="Q21" s="51" t="s">
        <v>29</v>
      </c>
      <c r="R21" s="71" t="s">
        <v>48</v>
      </c>
      <c r="S21" s="138" t="str">
        <f t="shared" si="12"/>
        <v>BPD2013</v>
      </c>
      <c r="T21" s="138" t="str">
        <f>CONCATENATE(Q21,U21,AB21)</f>
        <v>B1.2.4.1.22013</v>
      </c>
      <c r="U21" s="138" t="s">
        <v>175</v>
      </c>
      <c r="V21" s="138" t="str">
        <f t="shared" si="13"/>
        <v>Internal Cables (Production)</v>
      </c>
      <c r="AB21" s="264">
        <v>2013</v>
      </c>
      <c r="AC21" s="132">
        <f>IF($Q21="B", (G21*$N21),0)</f>
        <v>0</v>
      </c>
      <c r="AD21" s="132">
        <f>IF($Q21="B", (H21*$N21),0)</f>
        <v>24</v>
      </c>
      <c r="AE21" s="132">
        <f>IF($Q21="B", (I21*$N21),0)</f>
        <v>40</v>
      </c>
      <c r="AF21" s="132">
        <f>IF($Q21="B", (J21*$N21),0)</f>
        <v>0</v>
      </c>
      <c r="AG21" s="132">
        <f>IF($Q21="B", (K21*$N21),0)</f>
        <v>8</v>
      </c>
      <c r="AH21" s="226">
        <f t="shared" si="15"/>
        <v>200</v>
      </c>
      <c r="AI21" s="227"/>
      <c r="AJ21" s="90"/>
      <c r="AK21" s="90"/>
      <c r="AL21" s="168"/>
      <c r="AM21" s="131">
        <f>IF($Q21="C", (G21*$N21),0)</f>
        <v>0</v>
      </c>
      <c r="AN21" s="132">
        <f>IF($Q21="C", (H21*$N21),0)</f>
        <v>0</v>
      </c>
      <c r="AO21" s="132">
        <f>IF($Q21="C", (I21*$N21),0)</f>
        <v>0</v>
      </c>
      <c r="AP21" s="132">
        <f>IF($Q21="C", (J21*$N21),0)</f>
        <v>0</v>
      </c>
      <c r="AQ21" s="132">
        <f>IF($Q21="C", (K21*$N21),0)</f>
        <v>0</v>
      </c>
      <c r="AR21" s="132">
        <f t="shared" si="17"/>
        <v>0</v>
      </c>
      <c r="AS21" s="227"/>
    </row>
    <row r="22" spans="1:45" s="19" customFormat="1">
      <c r="A22" s="45" t="s">
        <v>227</v>
      </c>
      <c r="B22" s="94" t="s">
        <v>9</v>
      </c>
      <c r="C22" s="167">
        <v>1</v>
      </c>
      <c r="D22" s="94" t="s">
        <v>9</v>
      </c>
      <c r="E22" s="170">
        <v>2000</v>
      </c>
      <c r="F22" s="169">
        <f t="shared" si="10"/>
        <v>2000</v>
      </c>
      <c r="G22" s="170">
        <v>4</v>
      </c>
      <c r="H22" s="170">
        <v>16</v>
      </c>
      <c r="I22" s="170">
        <v>8</v>
      </c>
      <c r="J22" s="170">
        <v>8</v>
      </c>
      <c r="K22" s="170">
        <v>16</v>
      </c>
      <c r="L22" s="94" t="s">
        <v>8</v>
      </c>
      <c r="M22" s="168">
        <f t="shared" si="11"/>
        <v>2896.5600000000004</v>
      </c>
      <c r="N22" s="90">
        <v>1</v>
      </c>
      <c r="O22" s="172">
        <f t="shared" si="2"/>
        <v>4896.5600000000004</v>
      </c>
      <c r="P22" s="172"/>
      <c r="Q22" s="51" t="s">
        <v>30</v>
      </c>
      <c r="R22" s="71" t="s">
        <v>48</v>
      </c>
      <c r="S22" s="138" t="str">
        <f t="shared" si="12"/>
        <v>CPD2013</v>
      </c>
      <c r="T22" s="138" t="str">
        <f t="shared" si="4"/>
        <v>C1.2.4.1.22013</v>
      </c>
      <c r="U22" s="138" t="s">
        <v>175</v>
      </c>
      <c r="V22" s="138" t="str">
        <f t="shared" si="13"/>
        <v>Internal Cables (Production)</v>
      </c>
      <c r="AB22" s="264">
        <v>2013</v>
      </c>
      <c r="AC22" s="132">
        <f t="shared" si="14"/>
        <v>0</v>
      </c>
      <c r="AD22" s="132">
        <f t="shared" si="14"/>
        <v>0</v>
      </c>
      <c r="AE22" s="132">
        <f t="shared" si="14"/>
        <v>0</v>
      </c>
      <c r="AF22" s="132">
        <f t="shared" si="14"/>
        <v>0</v>
      </c>
      <c r="AG22" s="132">
        <f t="shared" si="14"/>
        <v>0</v>
      </c>
      <c r="AH22" s="226">
        <f t="shared" si="15"/>
        <v>0</v>
      </c>
      <c r="AI22" s="227"/>
      <c r="AJ22" s="90"/>
      <c r="AK22" s="90"/>
      <c r="AL22" s="168"/>
      <c r="AM22" s="131">
        <f t="shared" si="16"/>
        <v>4</v>
      </c>
      <c r="AN22" s="132">
        <f t="shared" si="16"/>
        <v>16</v>
      </c>
      <c r="AO22" s="132">
        <f t="shared" si="16"/>
        <v>8</v>
      </c>
      <c r="AP22" s="132">
        <f t="shared" si="16"/>
        <v>8</v>
      </c>
      <c r="AQ22" s="132">
        <f t="shared" si="16"/>
        <v>16</v>
      </c>
      <c r="AR22" s="132">
        <f t="shared" si="17"/>
        <v>2000</v>
      </c>
      <c r="AS22" s="227"/>
    </row>
    <row r="23" spans="1:45" s="19" customFormat="1">
      <c r="A23" s="46"/>
      <c r="C23" s="167"/>
      <c r="D23" s="94"/>
      <c r="E23" s="60"/>
      <c r="F23" s="61"/>
      <c r="G23" s="62"/>
      <c r="H23" s="62"/>
      <c r="I23" s="62"/>
      <c r="J23" s="62"/>
      <c r="K23" s="63"/>
      <c r="L23" s="209" t="s">
        <v>41</v>
      </c>
      <c r="M23" s="180">
        <f>SUMIF(Q14:Q22,"B",M14:M22)</f>
        <v>38847.924000000006</v>
      </c>
      <c r="N23" s="65" t="s">
        <v>40</v>
      </c>
      <c r="O23" s="172"/>
      <c r="P23" s="172"/>
      <c r="Q23" s="51"/>
      <c r="R23" s="71"/>
      <c r="S23" s="138"/>
      <c r="T23" s="138"/>
      <c r="U23" s="138"/>
      <c r="V23" s="138"/>
      <c r="AB23" s="32"/>
      <c r="AC23" s="132"/>
      <c r="AD23" s="132"/>
      <c r="AE23" s="135"/>
      <c r="AF23" s="132"/>
      <c r="AG23" s="132"/>
      <c r="AH23" s="226"/>
      <c r="AI23" s="227"/>
      <c r="AJ23" s="132"/>
      <c r="AK23" s="132"/>
      <c r="AL23" s="168"/>
      <c r="AM23" s="131"/>
      <c r="AN23" s="132"/>
      <c r="AO23" s="132"/>
      <c r="AP23" s="132"/>
      <c r="AQ23" s="132"/>
      <c r="AR23" s="132"/>
      <c r="AS23" s="227"/>
    </row>
    <row r="24" spans="1:45">
      <c r="A24" s="46" t="s">
        <v>177</v>
      </c>
      <c r="B24" s="2" t="s">
        <v>5</v>
      </c>
      <c r="C24" s="160"/>
      <c r="D24" s="208"/>
      <c r="E24" s="161"/>
      <c r="F24" s="162"/>
      <c r="G24" s="163"/>
      <c r="H24" s="163"/>
      <c r="I24" s="163"/>
      <c r="J24" s="164"/>
      <c r="K24" s="165"/>
      <c r="L24" s="208"/>
      <c r="M24" s="4"/>
      <c r="N24" s="166">
        <v>1</v>
      </c>
      <c r="O24" s="4"/>
      <c r="P24" s="4"/>
      <c r="Q24" s="50"/>
      <c r="R24" s="70"/>
      <c r="S24" s="137"/>
      <c r="T24" s="137"/>
      <c r="U24" s="137"/>
      <c r="V24" s="137"/>
      <c r="W24" s="29"/>
      <c r="X24" s="29"/>
      <c r="Y24" s="29"/>
      <c r="Z24" s="29"/>
      <c r="AA24" s="68" t="s">
        <v>45</v>
      </c>
      <c r="AB24" s="36"/>
      <c r="AC24" s="223"/>
      <c r="AD24" s="223"/>
      <c r="AE24" s="223"/>
      <c r="AF24" s="223"/>
      <c r="AG24" s="223"/>
      <c r="AH24" s="223"/>
      <c r="AI24" s="224"/>
      <c r="AM24" s="225"/>
      <c r="AN24" s="223"/>
      <c r="AO24" s="223"/>
      <c r="AP24" s="223"/>
      <c r="AQ24" s="223"/>
      <c r="AR24" s="223"/>
      <c r="AS24" s="224"/>
    </row>
    <row r="25" spans="1:45">
      <c r="A25" s="46" t="s">
        <v>247</v>
      </c>
      <c r="B25" s="2" t="s">
        <v>5</v>
      </c>
      <c r="C25" s="160"/>
      <c r="D25" s="208"/>
      <c r="E25" s="161"/>
      <c r="F25" s="162"/>
      <c r="G25" s="163"/>
      <c r="H25" s="163"/>
      <c r="I25" s="163"/>
      <c r="J25" s="164"/>
      <c r="K25" s="165"/>
      <c r="L25" s="208"/>
      <c r="M25" s="4"/>
      <c r="N25" s="166">
        <v>1</v>
      </c>
      <c r="O25" s="4"/>
      <c r="P25" s="4"/>
      <c r="Q25" s="50"/>
      <c r="R25" s="70"/>
      <c r="S25" s="137"/>
      <c r="T25" s="137"/>
      <c r="U25" s="137"/>
      <c r="V25" s="137"/>
      <c r="W25" s="29"/>
      <c r="X25" s="29"/>
      <c r="Y25" s="29"/>
      <c r="Z25" s="29"/>
      <c r="AA25" s="68" t="s">
        <v>45</v>
      </c>
      <c r="AB25" s="36"/>
      <c r="AC25" s="223"/>
      <c r="AD25" s="223"/>
      <c r="AE25" s="223"/>
      <c r="AF25" s="223"/>
      <c r="AG25" s="223"/>
      <c r="AH25" s="223"/>
      <c r="AI25" s="224"/>
      <c r="AM25" s="225"/>
      <c r="AN25" s="223"/>
      <c r="AO25" s="223"/>
      <c r="AP25" s="223"/>
      <c r="AQ25" s="223"/>
      <c r="AR25" s="223"/>
      <c r="AS25" s="224"/>
    </row>
    <row r="26" spans="1:45" s="19" customFormat="1">
      <c r="A26" s="45" t="s">
        <v>223</v>
      </c>
      <c r="B26" s="19" t="s">
        <v>9</v>
      </c>
      <c r="C26" s="167">
        <v>1</v>
      </c>
      <c r="D26" s="94" t="s">
        <v>9</v>
      </c>
      <c r="E26" s="170">
        <v>0</v>
      </c>
      <c r="F26" s="169">
        <f t="shared" ref="F26:F38" si="18">E26*C26</f>
        <v>0</v>
      </c>
      <c r="G26" s="170">
        <v>0</v>
      </c>
      <c r="H26" s="170">
        <v>0</v>
      </c>
      <c r="I26" s="170">
        <v>0</v>
      </c>
      <c r="J26" s="170">
        <v>0</v>
      </c>
      <c r="K26" s="170">
        <v>16</v>
      </c>
      <c r="L26" s="94" t="s">
        <v>8</v>
      </c>
      <c r="M26" s="168">
        <f t="shared" ref="M26:M38" si="19">IF(R26="PD",((Shop*G26)+(M_Tech*H26)+(CMM*I26)+(ENG*J26)+(DES*K26))*N26,((Shop_RD*G26)+(MTECH_RD*H26)+(CMM_RD*I26)+(ENG_RD*J26)+(DES_RD*K26))*N26)</f>
        <v>0</v>
      </c>
      <c r="N26" s="90">
        <v>1</v>
      </c>
      <c r="O26" s="172">
        <f t="shared" si="2"/>
        <v>0</v>
      </c>
      <c r="P26" s="172"/>
      <c r="Q26" s="51" t="s">
        <v>29</v>
      </c>
      <c r="R26" s="71" t="s">
        <v>152</v>
      </c>
      <c r="S26" s="138" t="str">
        <f t="shared" ref="S26:S38" si="20">CONCATENATE(Q26,R26,AB26)</f>
        <v>BPT2010</v>
      </c>
      <c r="T26" s="138" t="str">
        <f t="shared" si="4"/>
        <v>B1.2.4.1.3.12010</v>
      </c>
      <c r="U26" s="138" t="s">
        <v>179</v>
      </c>
      <c r="V26" s="138" t="str">
        <f t="shared" ref="V26:V38" si="21">LOOKUP(U26,$B$156:$B$182,$A$156:$A$182)</f>
        <v>Type 1 (Bulkhead to RDO Crate)</v>
      </c>
      <c r="AB26" s="32">
        <v>2010</v>
      </c>
      <c r="AC26" s="132">
        <f t="shared" ref="AC26:AG38" si="22">IF($Q26="B", (G26*$N26),0)</f>
        <v>0</v>
      </c>
      <c r="AD26" s="132">
        <f t="shared" si="22"/>
        <v>0</v>
      </c>
      <c r="AE26" s="132">
        <f t="shared" si="22"/>
        <v>0</v>
      </c>
      <c r="AF26" s="132">
        <f t="shared" si="22"/>
        <v>0</v>
      </c>
      <c r="AG26" s="132">
        <f t="shared" si="22"/>
        <v>16</v>
      </c>
      <c r="AH26" s="226">
        <f t="shared" ref="AH26:AH38" si="23">IF($Q26="B", (F26*$N26),0)</f>
        <v>0</v>
      </c>
      <c r="AI26" s="227"/>
      <c r="AJ26" s="90"/>
      <c r="AK26" s="90"/>
      <c r="AL26" s="168"/>
      <c r="AM26" s="131">
        <f t="shared" ref="AM26:AQ38" si="24">IF($Q26="C", (G26*$N26),0)</f>
        <v>0</v>
      </c>
      <c r="AN26" s="132">
        <f t="shared" si="24"/>
        <v>0</v>
      </c>
      <c r="AO26" s="132">
        <f t="shared" si="24"/>
        <v>0</v>
      </c>
      <c r="AP26" s="132">
        <f t="shared" si="24"/>
        <v>0</v>
      </c>
      <c r="AQ26" s="132">
        <f t="shared" si="24"/>
        <v>0</v>
      </c>
      <c r="AR26" s="132">
        <f t="shared" ref="AR26:AR38" si="25">IF($Q26="C", (F26*$N26),0)</f>
        <v>0</v>
      </c>
      <c r="AS26" s="227"/>
    </row>
    <row r="27" spans="1:45" s="19" customFormat="1">
      <c r="A27" s="45" t="s">
        <v>224</v>
      </c>
      <c r="B27" s="19" t="s">
        <v>9</v>
      </c>
      <c r="C27" s="167">
        <v>1</v>
      </c>
      <c r="D27" s="94" t="s">
        <v>9</v>
      </c>
      <c r="E27" s="170">
        <v>0</v>
      </c>
      <c r="F27" s="169">
        <f t="shared" si="18"/>
        <v>0</v>
      </c>
      <c r="G27" s="170">
        <v>0</v>
      </c>
      <c r="H27" s="170">
        <v>0</v>
      </c>
      <c r="I27" s="170">
        <v>16</v>
      </c>
      <c r="J27" s="170">
        <v>0</v>
      </c>
      <c r="K27" s="170">
        <v>16</v>
      </c>
      <c r="L27" s="94" t="s">
        <v>8</v>
      </c>
      <c r="M27" s="168">
        <f t="shared" si="19"/>
        <v>0</v>
      </c>
      <c r="N27" s="90">
        <v>1</v>
      </c>
      <c r="O27" s="172">
        <f t="shared" si="2"/>
        <v>0</v>
      </c>
      <c r="P27" s="172"/>
      <c r="Q27" s="51" t="s">
        <v>29</v>
      </c>
      <c r="R27" s="71" t="s">
        <v>152</v>
      </c>
      <c r="S27" s="138" t="str">
        <f t="shared" si="20"/>
        <v>BPT2010</v>
      </c>
      <c r="T27" s="138" t="str">
        <f t="shared" si="4"/>
        <v>B1.2.4.1.3.12010</v>
      </c>
      <c r="U27" s="138" t="s">
        <v>179</v>
      </c>
      <c r="V27" s="138" t="str">
        <f t="shared" si="21"/>
        <v>Type 1 (Bulkhead to RDO Crate)</v>
      </c>
      <c r="AB27" s="32">
        <v>2010</v>
      </c>
      <c r="AC27" s="132">
        <f t="shared" si="22"/>
        <v>0</v>
      </c>
      <c r="AD27" s="132">
        <f t="shared" si="22"/>
        <v>0</v>
      </c>
      <c r="AE27" s="132">
        <f t="shared" si="22"/>
        <v>16</v>
      </c>
      <c r="AF27" s="132">
        <f t="shared" si="22"/>
        <v>0</v>
      </c>
      <c r="AG27" s="132">
        <f t="shared" si="22"/>
        <v>16</v>
      </c>
      <c r="AH27" s="226">
        <f t="shared" si="23"/>
        <v>0</v>
      </c>
      <c r="AI27" s="227"/>
      <c r="AJ27" s="90"/>
      <c r="AK27" s="90"/>
      <c r="AL27" s="168"/>
      <c r="AM27" s="131">
        <f t="shared" si="24"/>
        <v>0</v>
      </c>
      <c r="AN27" s="132">
        <f t="shared" si="24"/>
        <v>0</v>
      </c>
      <c r="AO27" s="132">
        <f t="shared" si="24"/>
        <v>0</v>
      </c>
      <c r="AP27" s="132">
        <f t="shared" si="24"/>
        <v>0</v>
      </c>
      <c r="AQ27" s="132">
        <f t="shared" si="24"/>
        <v>0</v>
      </c>
      <c r="AR27" s="132">
        <f t="shared" si="25"/>
        <v>0</v>
      </c>
      <c r="AS27" s="227"/>
    </row>
    <row r="28" spans="1:45" s="19" customFormat="1">
      <c r="A28" s="45" t="s">
        <v>225</v>
      </c>
      <c r="B28" s="19" t="s">
        <v>9</v>
      </c>
      <c r="C28" s="167">
        <v>1</v>
      </c>
      <c r="D28" s="94" t="s">
        <v>9</v>
      </c>
      <c r="E28" s="170">
        <v>0</v>
      </c>
      <c r="F28" s="169">
        <f t="shared" si="18"/>
        <v>0</v>
      </c>
      <c r="G28" s="170">
        <v>0.5</v>
      </c>
      <c r="H28" s="170">
        <v>6</v>
      </c>
      <c r="I28" s="170">
        <v>0</v>
      </c>
      <c r="J28" s="170">
        <v>0.5</v>
      </c>
      <c r="K28" s="170">
        <v>0.1</v>
      </c>
      <c r="L28" s="94" t="s">
        <v>8</v>
      </c>
      <c r="M28" s="168">
        <f t="shared" si="19"/>
        <v>4200</v>
      </c>
      <c r="N28" s="90">
        <v>5</v>
      </c>
      <c r="O28" s="172">
        <f t="shared" si="2"/>
        <v>4200</v>
      </c>
      <c r="P28" s="172"/>
      <c r="Q28" s="51" t="s">
        <v>29</v>
      </c>
      <c r="R28" s="71" t="s">
        <v>152</v>
      </c>
      <c r="S28" s="138" t="str">
        <f t="shared" si="20"/>
        <v>BPT2010</v>
      </c>
      <c r="T28" s="138" t="str">
        <f t="shared" si="4"/>
        <v>B1.2.4.1.3.12010</v>
      </c>
      <c r="U28" s="138" t="s">
        <v>179</v>
      </c>
      <c r="V28" s="138" t="str">
        <f t="shared" si="21"/>
        <v>Type 1 (Bulkhead to RDO Crate)</v>
      </c>
      <c r="AB28" s="32">
        <v>2010</v>
      </c>
      <c r="AC28" s="132">
        <f t="shared" si="22"/>
        <v>2.5</v>
      </c>
      <c r="AD28" s="132">
        <f t="shared" si="22"/>
        <v>30</v>
      </c>
      <c r="AE28" s="132">
        <f t="shared" si="22"/>
        <v>0</v>
      </c>
      <c r="AF28" s="132">
        <f t="shared" si="22"/>
        <v>2.5</v>
      </c>
      <c r="AG28" s="132">
        <f t="shared" si="22"/>
        <v>0.5</v>
      </c>
      <c r="AH28" s="226">
        <f t="shared" si="23"/>
        <v>0</v>
      </c>
      <c r="AI28" s="227"/>
      <c r="AJ28" s="90"/>
      <c r="AK28" s="90"/>
      <c r="AL28" s="168"/>
      <c r="AM28" s="131">
        <f t="shared" si="24"/>
        <v>0</v>
      </c>
      <c r="AN28" s="132">
        <f t="shared" si="24"/>
        <v>0</v>
      </c>
      <c r="AO28" s="132">
        <f t="shared" si="24"/>
        <v>0</v>
      </c>
      <c r="AP28" s="132">
        <f t="shared" si="24"/>
        <v>0</v>
      </c>
      <c r="AQ28" s="132">
        <f t="shared" si="24"/>
        <v>0</v>
      </c>
      <c r="AR28" s="132">
        <f t="shared" si="25"/>
        <v>0</v>
      </c>
      <c r="AS28" s="227"/>
    </row>
    <row r="29" spans="1:45" s="133" customFormat="1">
      <c r="A29" s="45" t="s">
        <v>226</v>
      </c>
      <c r="B29" s="94" t="s">
        <v>9</v>
      </c>
      <c r="C29" s="167">
        <v>1</v>
      </c>
      <c r="D29" s="94" t="s">
        <v>9</v>
      </c>
      <c r="E29" s="170">
        <v>10</v>
      </c>
      <c r="F29" s="169">
        <f t="shared" si="18"/>
        <v>10</v>
      </c>
      <c r="G29" s="170">
        <v>0</v>
      </c>
      <c r="H29" s="170">
        <v>1</v>
      </c>
      <c r="I29" s="170">
        <v>0</v>
      </c>
      <c r="J29" s="170">
        <v>0</v>
      </c>
      <c r="K29" s="170">
        <v>0</v>
      </c>
      <c r="L29" s="94" t="s">
        <v>8</v>
      </c>
      <c r="M29" s="168">
        <f t="shared" si="19"/>
        <v>585</v>
      </c>
      <c r="N29" s="90">
        <v>5</v>
      </c>
      <c r="O29" s="172">
        <f t="shared" si="2"/>
        <v>635</v>
      </c>
      <c r="P29" s="172"/>
      <c r="Q29" s="51" t="s">
        <v>29</v>
      </c>
      <c r="R29" s="71" t="s">
        <v>152</v>
      </c>
      <c r="S29" s="138" t="str">
        <f t="shared" si="20"/>
        <v>BPT2010</v>
      </c>
      <c r="T29" s="138" t="str">
        <f t="shared" si="4"/>
        <v>B1.2.4.1.3.12010</v>
      </c>
      <c r="U29" s="138" t="s">
        <v>179</v>
      </c>
      <c r="V29" s="138" t="str">
        <f t="shared" si="21"/>
        <v>Type 1 (Bulkhead to RDO Crate)</v>
      </c>
      <c r="W29" s="19"/>
      <c r="X29" s="19"/>
      <c r="Y29" s="19"/>
      <c r="Z29" s="19"/>
      <c r="AA29" s="19"/>
      <c r="AB29" s="32">
        <v>2010</v>
      </c>
      <c r="AC29" s="132">
        <f t="shared" si="22"/>
        <v>0</v>
      </c>
      <c r="AD29" s="132">
        <f t="shared" si="22"/>
        <v>5</v>
      </c>
      <c r="AE29" s="132">
        <f t="shared" si="22"/>
        <v>0</v>
      </c>
      <c r="AF29" s="132">
        <f t="shared" si="22"/>
        <v>0</v>
      </c>
      <c r="AG29" s="132">
        <f t="shared" si="22"/>
        <v>0</v>
      </c>
      <c r="AH29" s="226">
        <f t="shared" si="23"/>
        <v>50</v>
      </c>
      <c r="AI29" s="227"/>
      <c r="AJ29" s="90"/>
      <c r="AK29" s="90"/>
      <c r="AL29" s="168"/>
      <c r="AM29" s="131">
        <f t="shared" si="24"/>
        <v>0</v>
      </c>
      <c r="AN29" s="132">
        <f t="shared" si="24"/>
        <v>0</v>
      </c>
      <c r="AO29" s="132">
        <f t="shared" si="24"/>
        <v>0</v>
      </c>
      <c r="AP29" s="132">
        <f t="shared" si="24"/>
        <v>0</v>
      </c>
      <c r="AQ29" s="132">
        <f t="shared" si="24"/>
        <v>0</v>
      </c>
      <c r="AR29" s="132">
        <f t="shared" si="25"/>
        <v>0</v>
      </c>
      <c r="AS29" s="228"/>
    </row>
    <row r="30" spans="1:45" s="19" customFormat="1">
      <c r="A30" s="45" t="s">
        <v>261</v>
      </c>
      <c r="B30" s="19" t="s">
        <v>9</v>
      </c>
      <c r="C30" s="167">
        <v>1</v>
      </c>
      <c r="D30" s="94" t="s">
        <v>9</v>
      </c>
      <c r="E30" s="170">
        <v>0</v>
      </c>
      <c r="F30" s="169">
        <f t="shared" si="18"/>
        <v>0</v>
      </c>
      <c r="G30" s="170">
        <v>0</v>
      </c>
      <c r="H30" s="170">
        <v>0</v>
      </c>
      <c r="I30" s="170">
        <v>0</v>
      </c>
      <c r="J30" s="170">
        <v>0</v>
      </c>
      <c r="K30" s="170">
        <v>0</v>
      </c>
      <c r="L30" s="94" t="s">
        <v>8</v>
      </c>
      <c r="M30" s="168">
        <f t="shared" si="19"/>
        <v>0</v>
      </c>
      <c r="N30" s="90">
        <v>1</v>
      </c>
      <c r="O30" s="172">
        <f t="shared" si="2"/>
        <v>0</v>
      </c>
      <c r="P30" s="172"/>
      <c r="Q30" s="51" t="s">
        <v>29</v>
      </c>
      <c r="R30" s="71" t="s">
        <v>48</v>
      </c>
      <c r="S30" s="138" t="str">
        <f t="shared" si="20"/>
        <v>BPD2012</v>
      </c>
      <c r="T30" s="138" t="str">
        <f t="shared" si="4"/>
        <v>B1.2.4.1.3.12012</v>
      </c>
      <c r="U30" s="138" t="s">
        <v>179</v>
      </c>
      <c r="V30" s="138" t="str">
        <f t="shared" si="21"/>
        <v>Type 1 (Bulkhead to RDO Crate)</v>
      </c>
      <c r="AB30" s="267">
        <v>2012</v>
      </c>
      <c r="AC30" s="132">
        <f t="shared" si="22"/>
        <v>0</v>
      </c>
      <c r="AD30" s="132">
        <f t="shared" si="22"/>
        <v>0</v>
      </c>
      <c r="AE30" s="132">
        <f t="shared" si="22"/>
        <v>0</v>
      </c>
      <c r="AF30" s="132">
        <f t="shared" si="22"/>
        <v>0</v>
      </c>
      <c r="AG30" s="132">
        <f t="shared" si="22"/>
        <v>0</v>
      </c>
      <c r="AH30" s="226">
        <f t="shared" si="23"/>
        <v>0</v>
      </c>
      <c r="AI30" s="227"/>
      <c r="AJ30" s="90"/>
      <c r="AK30" s="90"/>
      <c r="AL30" s="168"/>
      <c r="AM30" s="131">
        <f t="shared" si="24"/>
        <v>0</v>
      </c>
      <c r="AN30" s="132">
        <f t="shared" si="24"/>
        <v>0</v>
      </c>
      <c r="AO30" s="132">
        <f t="shared" si="24"/>
        <v>0</v>
      </c>
      <c r="AP30" s="132">
        <f t="shared" si="24"/>
        <v>0</v>
      </c>
      <c r="AQ30" s="132">
        <f t="shared" si="24"/>
        <v>0</v>
      </c>
      <c r="AR30" s="132">
        <f t="shared" si="25"/>
        <v>0</v>
      </c>
      <c r="AS30" s="227"/>
    </row>
    <row r="31" spans="1:45" s="19" customFormat="1">
      <c r="A31" s="45" t="s">
        <v>234</v>
      </c>
      <c r="B31" s="19" t="s">
        <v>9</v>
      </c>
      <c r="C31" s="167">
        <v>1</v>
      </c>
      <c r="D31" s="94" t="s">
        <v>9</v>
      </c>
      <c r="E31" s="170">
        <v>0</v>
      </c>
      <c r="F31" s="169">
        <f>E31*C31</f>
        <v>0</v>
      </c>
      <c r="G31" s="170">
        <v>0</v>
      </c>
      <c r="H31" s="170">
        <v>6</v>
      </c>
      <c r="I31" s="170">
        <v>4</v>
      </c>
      <c r="J31" s="170">
        <v>0.1</v>
      </c>
      <c r="K31" s="170">
        <v>0.2</v>
      </c>
      <c r="L31" s="94" t="s">
        <v>8</v>
      </c>
      <c r="M31" s="168">
        <f t="shared" si="19"/>
        <v>9292.3200000000015</v>
      </c>
      <c r="N31" s="90">
        <v>16</v>
      </c>
      <c r="O31" s="172">
        <f>M31+(F31*N31)</f>
        <v>9292.3200000000015</v>
      </c>
      <c r="P31" s="172"/>
      <c r="Q31" s="51" t="s">
        <v>29</v>
      </c>
      <c r="R31" s="71" t="s">
        <v>48</v>
      </c>
      <c r="S31" s="138" t="str">
        <f t="shared" si="20"/>
        <v>BPD2012</v>
      </c>
      <c r="T31" s="138" t="str">
        <f>CONCATENATE(Q31,U31,AB31)</f>
        <v>B1.2.4.1.3.12012</v>
      </c>
      <c r="U31" s="138" t="s">
        <v>179</v>
      </c>
      <c r="V31" s="138" t="str">
        <f t="shared" si="21"/>
        <v>Type 1 (Bulkhead to RDO Crate)</v>
      </c>
      <c r="AB31" s="267">
        <v>2012</v>
      </c>
      <c r="AC31" s="132">
        <f t="shared" ref="AC31:AG32" si="26">IF($Q31="B", (G31*$N31),0)</f>
        <v>0</v>
      </c>
      <c r="AD31" s="132">
        <f t="shared" si="26"/>
        <v>96</v>
      </c>
      <c r="AE31" s="132">
        <f t="shared" si="26"/>
        <v>64</v>
      </c>
      <c r="AF31" s="132">
        <f t="shared" si="26"/>
        <v>1.6</v>
      </c>
      <c r="AG31" s="132">
        <f t="shared" si="26"/>
        <v>3.2</v>
      </c>
      <c r="AH31" s="226">
        <f t="shared" si="23"/>
        <v>0</v>
      </c>
      <c r="AI31" s="227"/>
      <c r="AJ31" s="90"/>
      <c r="AK31" s="90"/>
      <c r="AL31" s="168"/>
      <c r="AM31" s="131">
        <f t="shared" ref="AM31:AQ32" si="27">IF($Q31="C", (G31*$N31),0)</f>
        <v>0</v>
      </c>
      <c r="AN31" s="132">
        <f t="shared" si="27"/>
        <v>0</v>
      </c>
      <c r="AO31" s="132">
        <f t="shared" si="27"/>
        <v>0</v>
      </c>
      <c r="AP31" s="132">
        <f t="shared" si="27"/>
        <v>0</v>
      </c>
      <c r="AQ31" s="132">
        <f t="shared" si="27"/>
        <v>0</v>
      </c>
      <c r="AR31" s="132">
        <f t="shared" si="25"/>
        <v>0</v>
      </c>
      <c r="AS31" s="227"/>
    </row>
    <row r="32" spans="1:45" s="19" customFormat="1">
      <c r="A32" s="45" t="s">
        <v>292</v>
      </c>
      <c r="B32" s="19" t="s">
        <v>9</v>
      </c>
      <c r="C32" s="167">
        <v>1</v>
      </c>
      <c r="D32" s="94" t="s">
        <v>9</v>
      </c>
      <c r="E32" s="170">
        <v>10</v>
      </c>
      <c r="F32" s="169">
        <f>E32*C32</f>
        <v>10</v>
      </c>
      <c r="G32" s="170">
        <v>0</v>
      </c>
      <c r="H32" s="170">
        <v>0.2</v>
      </c>
      <c r="I32" s="170">
        <v>0</v>
      </c>
      <c r="J32" s="170">
        <v>0</v>
      </c>
      <c r="K32" s="170">
        <v>0</v>
      </c>
      <c r="L32" s="94" t="s">
        <v>8</v>
      </c>
      <c r="M32" s="168">
        <f>IF(R32="PD",((Shop*G32)+(M_Tech*H32)+(CMM*I32)+(ENG*J32)+(DES*K32))*N32,((Shop_RD*G32)+(MTECH_RD*H32)+(CMM_RD*I32)+(ENG_RD*J32)+(DES_RD*K32))*N32)</f>
        <v>303.26400000000007</v>
      </c>
      <c r="N32" s="90">
        <v>16</v>
      </c>
      <c r="O32" s="172">
        <f>M32+(F32*N32)</f>
        <v>463.26400000000007</v>
      </c>
      <c r="P32" s="172"/>
      <c r="Q32" s="51" t="s">
        <v>29</v>
      </c>
      <c r="R32" s="71" t="s">
        <v>48</v>
      </c>
      <c r="S32" s="138" t="str">
        <f>CONCATENATE(Q32,R32,AB32)</f>
        <v>BPD2012</v>
      </c>
      <c r="T32" s="138" t="str">
        <f>CONCATENATE(Q32,U32,AB32)</f>
        <v>B1.2.4.1.3.12012</v>
      </c>
      <c r="U32" s="138" t="s">
        <v>179</v>
      </c>
      <c r="V32" s="138" t="str">
        <f t="shared" si="21"/>
        <v>Type 1 (Bulkhead to RDO Crate)</v>
      </c>
      <c r="AB32" s="267">
        <v>2012</v>
      </c>
      <c r="AC32" s="132">
        <f t="shared" si="26"/>
        <v>0</v>
      </c>
      <c r="AD32" s="132">
        <f t="shared" si="26"/>
        <v>3.2</v>
      </c>
      <c r="AE32" s="132">
        <f t="shared" si="26"/>
        <v>0</v>
      </c>
      <c r="AF32" s="132">
        <f t="shared" si="26"/>
        <v>0</v>
      </c>
      <c r="AG32" s="132">
        <f t="shared" si="26"/>
        <v>0</v>
      </c>
      <c r="AH32" s="226">
        <f>IF($Q32="B", (F32*$N32),0)</f>
        <v>160</v>
      </c>
      <c r="AI32" s="227"/>
      <c r="AJ32" s="90"/>
      <c r="AK32" s="90"/>
      <c r="AL32" s="168"/>
      <c r="AM32" s="131">
        <f t="shared" si="27"/>
        <v>0</v>
      </c>
      <c r="AN32" s="132">
        <f t="shared" si="27"/>
        <v>0</v>
      </c>
      <c r="AO32" s="132">
        <f t="shared" si="27"/>
        <v>0</v>
      </c>
      <c r="AP32" s="132">
        <f t="shared" si="27"/>
        <v>0</v>
      </c>
      <c r="AQ32" s="132">
        <f t="shared" si="27"/>
        <v>0</v>
      </c>
      <c r="AR32" s="132">
        <f>IF($Q32="C", (F32*$N32),0)</f>
        <v>0</v>
      </c>
      <c r="AS32" s="227"/>
    </row>
    <row r="33" spans="1:45" s="19" customFormat="1">
      <c r="A33" s="45" t="s">
        <v>226</v>
      </c>
      <c r="B33" s="19" t="s">
        <v>9</v>
      </c>
      <c r="C33" s="167">
        <v>1</v>
      </c>
      <c r="D33" s="94" t="s">
        <v>9</v>
      </c>
      <c r="E33" s="170">
        <v>10</v>
      </c>
      <c r="F33" s="169">
        <f t="shared" si="18"/>
        <v>10</v>
      </c>
      <c r="G33" s="170">
        <v>0</v>
      </c>
      <c r="H33" s="170">
        <v>1</v>
      </c>
      <c r="I33" s="170">
        <v>0</v>
      </c>
      <c r="J33" s="170">
        <v>0</v>
      </c>
      <c r="K33" s="170">
        <v>0</v>
      </c>
      <c r="L33" s="94" t="s">
        <v>8</v>
      </c>
      <c r="M33" s="168">
        <f t="shared" si="19"/>
        <v>1516.3200000000002</v>
      </c>
      <c r="N33" s="90">
        <v>16</v>
      </c>
      <c r="O33" s="172">
        <f t="shared" si="2"/>
        <v>1676.3200000000002</v>
      </c>
      <c r="P33" s="172"/>
      <c r="Q33" s="51" t="s">
        <v>29</v>
      </c>
      <c r="R33" s="71" t="s">
        <v>48</v>
      </c>
      <c r="S33" s="138" t="str">
        <f t="shared" si="20"/>
        <v>BPD2012</v>
      </c>
      <c r="T33" s="138" t="str">
        <f t="shared" si="4"/>
        <v>B1.2.4.1.3.12012</v>
      </c>
      <c r="U33" s="138" t="s">
        <v>179</v>
      </c>
      <c r="V33" s="138" t="str">
        <f t="shared" si="21"/>
        <v>Type 1 (Bulkhead to RDO Crate)</v>
      </c>
      <c r="AB33" s="267">
        <v>2012</v>
      </c>
      <c r="AC33" s="132">
        <f t="shared" si="22"/>
        <v>0</v>
      </c>
      <c r="AD33" s="132">
        <f t="shared" si="22"/>
        <v>16</v>
      </c>
      <c r="AE33" s="132">
        <f t="shared" si="22"/>
        <v>0</v>
      </c>
      <c r="AF33" s="132">
        <f t="shared" si="22"/>
        <v>0</v>
      </c>
      <c r="AG33" s="132">
        <f t="shared" si="22"/>
        <v>0</v>
      </c>
      <c r="AH33" s="226">
        <f t="shared" si="23"/>
        <v>160</v>
      </c>
      <c r="AI33" s="227"/>
      <c r="AJ33" s="90"/>
      <c r="AK33" s="90"/>
      <c r="AL33" s="168"/>
      <c r="AM33" s="131">
        <f t="shared" si="24"/>
        <v>0</v>
      </c>
      <c r="AN33" s="132">
        <f t="shared" si="24"/>
        <v>0</v>
      </c>
      <c r="AO33" s="132">
        <f t="shared" si="24"/>
        <v>0</v>
      </c>
      <c r="AP33" s="132">
        <f t="shared" si="24"/>
        <v>0</v>
      </c>
      <c r="AQ33" s="132">
        <f t="shared" si="24"/>
        <v>0</v>
      </c>
      <c r="AR33" s="132">
        <f t="shared" si="25"/>
        <v>0</v>
      </c>
      <c r="AS33" s="227"/>
    </row>
    <row r="34" spans="1:45" s="19" customFormat="1">
      <c r="A34" s="45" t="s">
        <v>262</v>
      </c>
      <c r="B34" s="19" t="s">
        <v>9</v>
      </c>
      <c r="C34" s="167">
        <v>1</v>
      </c>
      <c r="D34" s="94" t="s">
        <v>9</v>
      </c>
      <c r="E34" s="170">
        <v>0</v>
      </c>
      <c r="F34" s="169">
        <f>E34*C34</f>
        <v>0</v>
      </c>
      <c r="G34" s="170">
        <v>0</v>
      </c>
      <c r="H34" s="170">
        <v>0</v>
      </c>
      <c r="I34" s="170">
        <v>0</v>
      </c>
      <c r="J34" s="170">
        <v>0</v>
      </c>
      <c r="K34" s="170">
        <v>0</v>
      </c>
      <c r="L34" s="94" t="s">
        <v>8</v>
      </c>
      <c r="M34" s="168">
        <f t="shared" si="19"/>
        <v>0</v>
      </c>
      <c r="N34" s="90">
        <v>1</v>
      </c>
      <c r="O34" s="172">
        <f>M34+(F34*N34)</f>
        <v>0</v>
      </c>
      <c r="P34" s="172"/>
      <c r="Q34" s="51" t="s">
        <v>29</v>
      </c>
      <c r="R34" s="71" t="s">
        <v>48</v>
      </c>
      <c r="S34" s="138" t="str">
        <f t="shared" si="20"/>
        <v>BPD2013</v>
      </c>
      <c r="T34" s="138" t="str">
        <f>CONCATENATE(Q34,U34,AB34)</f>
        <v>B1.2.4.1.3.12013</v>
      </c>
      <c r="U34" s="138" t="s">
        <v>179</v>
      </c>
      <c r="V34" s="138" t="str">
        <f t="shared" si="21"/>
        <v>Type 1 (Bulkhead to RDO Crate)</v>
      </c>
      <c r="AB34" s="264">
        <v>2013</v>
      </c>
      <c r="AC34" s="132">
        <f t="shared" ref="AC34:AG37" si="28">IF($Q34="B", (G34*$N34),0)</f>
        <v>0</v>
      </c>
      <c r="AD34" s="132">
        <f t="shared" si="28"/>
        <v>0</v>
      </c>
      <c r="AE34" s="132">
        <f t="shared" si="28"/>
        <v>0</v>
      </c>
      <c r="AF34" s="132">
        <f t="shared" si="28"/>
        <v>0</v>
      </c>
      <c r="AG34" s="132">
        <f t="shared" si="28"/>
        <v>0</v>
      </c>
      <c r="AH34" s="226">
        <f t="shared" si="23"/>
        <v>0</v>
      </c>
      <c r="AI34" s="227"/>
      <c r="AJ34" s="90"/>
      <c r="AK34" s="90"/>
      <c r="AL34" s="168"/>
      <c r="AM34" s="131">
        <f t="shared" ref="AM34:AQ37" si="29">IF($Q34="C", (G34*$N34),0)</f>
        <v>0</v>
      </c>
      <c r="AN34" s="132">
        <f t="shared" si="29"/>
        <v>0</v>
      </c>
      <c r="AO34" s="132">
        <f t="shared" si="29"/>
        <v>0</v>
      </c>
      <c r="AP34" s="132">
        <f t="shared" si="29"/>
        <v>0</v>
      </c>
      <c r="AQ34" s="132">
        <f t="shared" si="29"/>
        <v>0</v>
      </c>
      <c r="AR34" s="132">
        <f t="shared" si="25"/>
        <v>0</v>
      </c>
      <c r="AS34" s="227"/>
    </row>
    <row r="35" spans="1:45" s="19" customFormat="1">
      <c r="A35" s="45" t="s">
        <v>235</v>
      </c>
      <c r="B35" s="19" t="s">
        <v>9</v>
      </c>
      <c r="C35" s="167">
        <v>1</v>
      </c>
      <c r="D35" s="94" t="s">
        <v>9</v>
      </c>
      <c r="E35" s="170">
        <v>0</v>
      </c>
      <c r="F35" s="169">
        <f>E35*C35</f>
        <v>0</v>
      </c>
      <c r="G35" s="170">
        <v>0</v>
      </c>
      <c r="H35" s="170">
        <v>6</v>
      </c>
      <c r="I35" s="170">
        <v>4</v>
      </c>
      <c r="J35" s="170">
        <v>0.1</v>
      </c>
      <c r="K35" s="170">
        <v>0.2</v>
      </c>
      <c r="L35" s="94" t="s">
        <v>8</v>
      </c>
      <c r="M35" s="168">
        <f>IF(R35="PD",((Shop*G35)+(M_Tech*H35)+(CMM*I35)+(ENG*J35)+(DES*K35))*N35,((Shop_RD*G35)+(MTECH_RD*H35)+(CMM_RD*I35)+(ENG_RD*J35)+(DES_RD*K35))*N35)</f>
        <v>26715.420000000006</v>
      </c>
      <c r="N35" s="90">
        <v>46</v>
      </c>
      <c r="O35" s="172">
        <f>M35+(F35*N35)</f>
        <v>26715.420000000006</v>
      </c>
      <c r="P35" s="172"/>
      <c r="Q35" s="51" t="s">
        <v>29</v>
      </c>
      <c r="R35" s="71" t="s">
        <v>48</v>
      </c>
      <c r="S35" s="138" t="str">
        <f>CONCATENATE(Q35,R35,AB35)</f>
        <v>BPD2013</v>
      </c>
      <c r="T35" s="138" t="str">
        <f>CONCATENATE(Q35,U35,AB35)</f>
        <v>B1.2.4.1.3.12013</v>
      </c>
      <c r="U35" s="138" t="s">
        <v>179</v>
      </c>
      <c r="V35" s="138" t="str">
        <f t="shared" si="21"/>
        <v>Type 1 (Bulkhead to RDO Crate)</v>
      </c>
      <c r="AB35" s="264">
        <v>2013</v>
      </c>
      <c r="AC35" s="132">
        <f>IF($Q35="B", (G35*$N35),0)</f>
        <v>0</v>
      </c>
      <c r="AD35" s="132">
        <f>IF($Q35="B", (H35*$N35),0)</f>
        <v>276</v>
      </c>
      <c r="AE35" s="132">
        <f>IF($Q35="B", (I35*$N35),0)</f>
        <v>184</v>
      </c>
      <c r="AF35" s="132">
        <f>IF($Q35="B", (J35*$N35),0)</f>
        <v>4.6000000000000005</v>
      </c>
      <c r="AG35" s="132">
        <f>IF($Q35="B", (K35*$N35),0)</f>
        <v>9.2000000000000011</v>
      </c>
      <c r="AH35" s="226">
        <f>IF($Q35="B", (F35*$N35),0)</f>
        <v>0</v>
      </c>
      <c r="AI35" s="227"/>
      <c r="AJ35" s="90"/>
      <c r="AK35" s="90"/>
      <c r="AL35" s="168"/>
      <c r="AM35" s="131">
        <f>IF($Q35="C", (G35*$N35),0)</f>
        <v>0</v>
      </c>
      <c r="AN35" s="132">
        <f>IF($Q35="C", (H35*$N35),0)</f>
        <v>0</v>
      </c>
      <c r="AO35" s="132">
        <f>IF($Q35="C", (I35*$N35),0)</f>
        <v>0</v>
      </c>
      <c r="AP35" s="132">
        <f>IF($Q35="C", (J35*$N35),0)</f>
        <v>0</v>
      </c>
      <c r="AQ35" s="132">
        <f>IF($Q35="C", (K35*$N35),0)</f>
        <v>0</v>
      </c>
      <c r="AR35" s="132">
        <f>IF($Q35="C", (F35*$N35),0)</f>
        <v>0</v>
      </c>
      <c r="AS35" s="227"/>
    </row>
    <row r="36" spans="1:45" s="19" customFormat="1">
      <c r="A36" s="45" t="s">
        <v>290</v>
      </c>
      <c r="B36" s="19" t="s">
        <v>9</v>
      </c>
      <c r="C36" s="167">
        <v>1</v>
      </c>
      <c r="D36" s="94" t="s">
        <v>9</v>
      </c>
      <c r="E36" s="170">
        <v>10</v>
      </c>
      <c r="F36" s="169">
        <f>E36*C36</f>
        <v>10</v>
      </c>
      <c r="G36" s="170">
        <v>0</v>
      </c>
      <c r="H36" s="170">
        <v>0.2</v>
      </c>
      <c r="I36" s="170">
        <v>0</v>
      </c>
      <c r="J36" s="170">
        <v>0</v>
      </c>
      <c r="K36" s="170">
        <v>0</v>
      </c>
      <c r="L36" s="94" t="s">
        <v>8</v>
      </c>
      <c r="M36" s="168">
        <f t="shared" si="19"/>
        <v>871.88400000000024</v>
      </c>
      <c r="N36" s="90">
        <v>46</v>
      </c>
      <c r="O36" s="172">
        <f>M36+(F36*N36)</f>
        <v>1331.8840000000002</v>
      </c>
      <c r="P36" s="172"/>
      <c r="Q36" s="51" t="s">
        <v>29</v>
      </c>
      <c r="R36" s="71" t="s">
        <v>48</v>
      </c>
      <c r="S36" s="138" t="str">
        <f t="shared" si="20"/>
        <v>BPD2013</v>
      </c>
      <c r="T36" s="138" t="str">
        <f>CONCATENATE(Q36,U36,AB36)</f>
        <v>B1.2.4.1.3.12013</v>
      </c>
      <c r="U36" s="138" t="s">
        <v>179</v>
      </c>
      <c r="V36" s="138" t="str">
        <f t="shared" si="21"/>
        <v>Type 1 (Bulkhead to RDO Crate)</v>
      </c>
      <c r="AB36" s="264">
        <v>2013</v>
      </c>
      <c r="AC36" s="132">
        <f t="shared" si="28"/>
        <v>0</v>
      </c>
      <c r="AD36" s="132">
        <f t="shared" si="28"/>
        <v>9.2000000000000011</v>
      </c>
      <c r="AE36" s="132">
        <f t="shared" si="28"/>
        <v>0</v>
      </c>
      <c r="AF36" s="132">
        <f t="shared" si="28"/>
        <v>0</v>
      </c>
      <c r="AG36" s="132">
        <f t="shared" si="28"/>
        <v>0</v>
      </c>
      <c r="AH36" s="226">
        <f t="shared" si="23"/>
        <v>460</v>
      </c>
      <c r="AI36" s="227"/>
      <c r="AJ36" s="90"/>
      <c r="AK36" s="90"/>
      <c r="AL36" s="168"/>
      <c r="AM36" s="131">
        <f t="shared" si="29"/>
        <v>0</v>
      </c>
      <c r="AN36" s="132">
        <f t="shared" si="29"/>
        <v>0</v>
      </c>
      <c r="AO36" s="132">
        <f t="shared" si="29"/>
        <v>0</v>
      </c>
      <c r="AP36" s="132">
        <f t="shared" si="29"/>
        <v>0</v>
      </c>
      <c r="AQ36" s="132">
        <f t="shared" si="29"/>
        <v>0</v>
      </c>
      <c r="AR36" s="132">
        <f t="shared" si="25"/>
        <v>0</v>
      </c>
      <c r="AS36" s="227"/>
    </row>
    <row r="37" spans="1:45" s="19" customFormat="1">
      <c r="A37" s="45" t="s">
        <v>226</v>
      </c>
      <c r="B37" s="19" t="s">
        <v>9</v>
      </c>
      <c r="C37" s="167">
        <v>1</v>
      </c>
      <c r="D37" s="94" t="s">
        <v>9</v>
      </c>
      <c r="E37" s="170">
        <v>0</v>
      </c>
      <c r="F37" s="169">
        <f>E37*C37</f>
        <v>0</v>
      </c>
      <c r="G37" s="170">
        <v>0</v>
      </c>
      <c r="H37" s="170">
        <v>1</v>
      </c>
      <c r="I37" s="170">
        <v>1</v>
      </c>
      <c r="J37" s="170">
        <v>0.1</v>
      </c>
      <c r="K37" s="170">
        <v>0.1</v>
      </c>
      <c r="L37" s="94" t="s">
        <v>8</v>
      </c>
      <c r="M37" s="168">
        <f t="shared" si="19"/>
        <v>4918.3200000000006</v>
      </c>
      <c r="N37" s="90">
        <v>46</v>
      </c>
      <c r="O37" s="172">
        <f>M37+(F37*N37)</f>
        <v>4918.3200000000006</v>
      </c>
      <c r="P37" s="172"/>
      <c r="Q37" s="51" t="s">
        <v>29</v>
      </c>
      <c r="R37" s="71" t="s">
        <v>48</v>
      </c>
      <c r="S37" s="138" t="str">
        <f t="shared" si="20"/>
        <v>BPD2013</v>
      </c>
      <c r="T37" s="138" t="str">
        <f>CONCATENATE(Q37,U37,AB37)</f>
        <v>B1.2.4.1.3.12013</v>
      </c>
      <c r="U37" s="138" t="s">
        <v>179</v>
      </c>
      <c r="V37" s="138" t="str">
        <f t="shared" si="21"/>
        <v>Type 1 (Bulkhead to RDO Crate)</v>
      </c>
      <c r="AB37" s="264">
        <v>2013</v>
      </c>
      <c r="AC37" s="132">
        <f t="shared" si="28"/>
        <v>0</v>
      </c>
      <c r="AD37" s="132">
        <f t="shared" si="28"/>
        <v>46</v>
      </c>
      <c r="AE37" s="132">
        <f t="shared" si="28"/>
        <v>46</v>
      </c>
      <c r="AF37" s="132">
        <f t="shared" si="28"/>
        <v>4.6000000000000005</v>
      </c>
      <c r="AG37" s="132">
        <f t="shared" si="28"/>
        <v>4.6000000000000005</v>
      </c>
      <c r="AH37" s="226">
        <f t="shared" si="23"/>
        <v>0</v>
      </c>
      <c r="AI37" s="227"/>
      <c r="AJ37" s="90"/>
      <c r="AK37" s="90"/>
      <c r="AL37" s="168"/>
      <c r="AM37" s="131">
        <f t="shared" si="29"/>
        <v>0</v>
      </c>
      <c r="AN37" s="132">
        <f t="shared" si="29"/>
        <v>0</v>
      </c>
      <c r="AO37" s="132">
        <f t="shared" si="29"/>
        <v>0</v>
      </c>
      <c r="AP37" s="132">
        <f t="shared" si="29"/>
        <v>0</v>
      </c>
      <c r="AQ37" s="132">
        <f t="shared" si="29"/>
        <v>0</v>
      </c>
      <c r="AR37" s="132">
        <f t="shared" si="25"/>
        <v>0</v>
      </c>
      <c r="AS37" s="227"/>
    </row>
    <row r="38" spans="1:45" s="19" customFormat="1">
      <c r="A38" s="45" t="s">
        <v>227</v>
      </c>
      <c r="B38" s="19" t="s">
        <v>9</v>
      </c>
      <c r="C38" s="167">
        <v>1</v>
      </c>
      <c r="D38" s="94" t="s">
        <v>9</v>
      </c>
      <c r="E38" s="170">
        <v>2000</v>
      </c>
      <c r="F38" s="169">
        <f t="shared" si="18"/>
        <v>2000</v>
      </c>
      <c r="G38" s="170">
        <v>4</v>
      </c>
      <c r="H38" s="170">
        <v>16</v>
      </c>
      <c r="I38" s="170">
        <v>16</v>
      </c>
      <c r="J38" s="170">
        <v>4</v>
      </c>
      <c r="K38" s="170">
        <v>16</v>
      </c>
      <c r="L38" s="94" t="s">
        <v>8</v>
      </c>
      <c r="M38" s="168">
        <f t="shared" si="19"/>
        <v>2410.5600000000004</v>
      </c>
      <c r="N38" s="90">
        <v>1</v>
      </c>
      <c r="O38" s="172">
        <f t="shared" si="2"/>
        <v>4410.5600000000004</v>
      </c>
      <c r="P38" s="172"/>
      <c r="Q38" s="51" t="s">
        <v>30</v>
      </c>
      <c r="R38" s="71" t="s">
        <v>48</v>
      </c>
      <c r="S38" s="138" t="str">
        <f t="shared" si="20"/>
        <v>CPD2013</v>
      </c>
      <c r="T38" s="138" t="str">
        <f t="shared" si="4"/>
        <v>C1.2.4.1.3.12013</v>
      </c>
      <c r="U38" s="138" t="s">
        <v>179</v>
      </c>
      <c r="V38" s="138" t="str">
        <f t="shared" si="21"/>
        <v>Type 1 (Bulkhead to RDO Crate)</v>
      </c>
      <c r="AB38" s="264">
        <v>2013</v>
      </c>
      <c r="AC38" s="132">
        <f t="shared" si="22"/>
        <v>0</v>
      </c>
      <c r="AD38" s="132">
        <f t="shared" si="22"/>
        <v>0</v>
      </c>
      <c r="AE38" s="132">
        <f t="shared" si="22"/>
        <v>0</v>
      </c>
      <c r="AF38" s="132">
        <f t="shared" si="22"/>
        <v>0</v>
      </c>
      <c r="AG38" s="132">
        <f t="shared" si="22"/>
        <v>0</v>
      </c>
      <c r="AH38" s="226">
        <f t="shared" si="23"/>
        <v>0</v>
      </c>
      <c r="AI38" s="227"/>
      <c r="AJ38" s="90"/>
      <c r="AK38" s="90"/>
      <c r="AL38" s="168"/>
      <c r="AM38" s="131">
        <f t="shared" si="24"/>
        <v>4</v>
      </c>
      <c r="AN38" s="132">
        <f t="shared" si="24"/>
        <v>16</v>
      </c>
      <c r="AO38" s="132">
        <f t="shared" si="24"/>
        <v>16</v>
      </c>
      <c r="AP38" s="132">
        <f t="shared" si="24"/>
        <v>4</v>
      </c>
      <c r="AQ38" s="132">
        <f t="shared" si="24"/>
        <v>16</v>
      </c>
      <c r="AR38" s="132">
        <f t="shared" si="25"/>
        <v>2000</v>
      </c>
      <c r="AS38" s="227"/>
    </row>
    <row r="39" spans="1:45" s="19" customFormat="1">
      <c r="A39" s="46" t="s">
        <v>248</v>
      </c>
      <c r="C39" s="167"/>
      <c r="D39" s="94"/>
      <c r="E39" s="60"/>
      <c r="F39" s="61"/>
      <c r="G39" s="62"/>
      <c r="H39" s="62"/>
      <c r="I39" s="62"/>
      <c r="J39" s="62"/>
      <c r="K39" s="63"/>
      <c r="L39" s="209" t="s">
        <v>41</v>
      </c>
      <c r="M39" s="180">
        <f>SUMIF(Q26:Q38,"B",M26:M38)</f>
        <v>48402.528000000006</v>
      </c>
      <c r="N39" s="65" t="s">
        <v>40</v>
      </c>
      <c r="O39" s="172"/>
      <c r="P39" s="172"/>
      <c r="Q39" s="51"/>
      <c r="R39" s="71"/>
      <c r="S39" s="138"/>
      <c r="T39" s="138"/>
      <c r="U39" s="138"/>
      <c r="V39" s="138"/>
      <c r="AB39" s="32"/>
      <c r="AC39" s="132"/>
      <c r="AD39" s="132"/>
      <c r="AE39" s="135"/>
      <c r="AF39" s="132"/>
      <c r="AG39" s="132"/>
      <c r="AH39" s="226"/>
      <c r="AI39" s="227"/>
      <c r="AJ39" s="132"/>
      <c r="AK39" s="132"/>
      <c r="AL39" s="168"/>
      <c r="AM39" s="131"/>
      <c r="AN39" s="132"/>
      <c r="AO39" s="132"/>
      <c r="AP39" s="132"/>
      <c r="AQ39" s="132"/>
      <c r="AR39" s="132"/>
      <c r="AS39" s="227"/>
    </row>
    <row r="40" spans="1:45" s="19" customFormat="1">
      <c r="A40" s="45" t="s">
        <v>236</v>
      </c>
      <c r="B40" s="19" t="s">
        <v>9</v>
      </c>
      <c r="C40" s="167">
        <v>1</v>
      </c>
      <c r="D40" s="94" t="s">
        <v>9</v>
      </c>
      <c r="E40" s="170">
        <v>0</v>
      </c>
      <c r="F40" s="169">
        <f t="shared" ref="F40:F48" si="30">E40*C40</f>
        <v>0</v>
      </c>
      <c r="G40" s="170">
        <v>0</v>
      </c>
      <c r="H40" s="170">
        <v>0</v>
      </c>
      <c r="I40" s="170">
        <v>0</v>
      </c>
      <c r="J40" s="170">
        <v>16</v>
      </c>
      <c r="K40" s="170">
        <v>32</v>
      </c>
      <c r="L40" s="94" t="s">
        <v>8</v>
      </c>
      <c r="M40" s="168">
        <f t="shared" ref="M40:M48" si="31">IF(R40="PD",((Shop*G40)+(M_Tech*H40)+(CMM*I40)+(ENG*J40)+(DES*K40))*N40,((Shop_RD*G40)+(MTECH_RD*H40)+(CMM_RD*I40)+(ENG_RD*J40)+(DES_RD*K40))*N40)</f>
        <v>2400</v>
      </c>
      <c r="N40" s="90">
        <v>1</v>
      </c>
      <c r="O40" s="172">
        <f t="shared" ref="O40:O48" si="32">M40+(F40*N40)</f>
        <v>2400</v>
      </c>
      <c r="P40" s="172"/>
      <c r="Q40" s="51" t="s">
        <v>29</v>
      </c>
      <c r="R40" s="71" t="s">
        <v>152</v>
      </c>
      <c r="S40" s="138" t="str">
        <f t="shared" ref="S40:S48" si="33">CONCATENATE(Q40,R40,AB40)</f>
        <v>BPT2012</v>
      </c>
      <c r="T40" s="138" t="str">
        <f t="shared" ref="T40:T48" si="34">CONCATENATE(Q40,U40,AB40)</f>
        <v>B1.2.4.1.3.22012</v>
      </c>
      <c r="U40" s="138" t="s">
        <v>182</v>
      </c>
      <c r="V40" s="138" t="str">
        <f t="shared" ref="V40:V48" si="35">LOOKUP(U40,$B$156:$B$182,$A$156:$A$182)</f>
        <v>Type 2 (RDO to PS)</v>
      </c>
      <c r="AB40" s="32">
        <v>2012</v>
      </c>
      <c r="AC40" s="132">
        <f t="shared" ref="AC40:AG48" si="36">IF($Q40="B", (G40*$N40),0)</f>
        <v>0</v>
      </c>
      <c r="AD40" s="132">
        <f t="shared" si="36"/>
        <v>0</v>
      </c>
      <c r="AE40" s="132">
        <f t="shared" si="36"/>
        <v>0</v>
      </c>
      <c r="AF40" s="132">
        <f t="shared" si="36"/>
        <v>16</v>
      </c>
      <c r="AG40" s="132">
        <f t="shared" si="36"/>
        <v>32</v>
      </c>
      <c r="AH40" s="226">
        <f t="shared" ref="AH40:AH48" si="37">IF($Q40="B", (F40*$N40),0)</f>
        <v>0</v>
      </c>
      <c r="AI40" s="227"/>
      <c r="AJ40" s="90"/>
      <c r="AK40" s="90"/>
      <c r="AL40" s="168"/>
      <c r="AM40" s="131">
        <f t="shared" ref="AM40:AQ48" si="38">IF($Q40="C", (G40*$N40),0)</f>
        <v>0</v>
      </c>
      <c r="AN40" s="132">
        <f t="shared" si="38"/>
        <v>0</v>
      </c>
      <c r="AO40" s="132">
        <f t="shared" si="38"/>
        <v>0</v>
      </c>
      <c r="AP40" s="132">
        <f t="shared" si="38"/>
        <v>0</v>
      </c>
      <c r="AQ40" s="132">
        <f t="shared" si="38"/>
        <v>0</v>
      </c>
      <c r="AR40" s="132">
        <f t="shared" ref="AR40:AR48" si="39">IF($Q40="C", (F40*$N40),0)</f>
        <v>0</v>
      </c>
      <c r="AS40" s="227"/>
    </row>
    <row r="41" spans="1:45" s="19" customFormat="1">
      <c r="A41" s="45" t="s">
        <v>237</v>
      </c>
      <c r="B41" s="19" t="s">
        <v>9</v>
      </c>
      <c r="C41" s="167">
        <v>1</v>
      </c>
      <c r="D41" s="94" t="s">
        <v>9</v>
      </c>
      <c r="E41" s="170">
        <v>0</v>
      </c>
      <c r="F41" s="169">
        <f t="shared" si="30"/>
        <v>0</v>
      </c>
      <c r="G41" s="170">
        <v>0</v>
      </c>
      <c r="H41" s="170">
        <v>0</v>
      </c>
      <c r="I41" s="170">
        <v>0</v>
      </c>
      <c r="J41" s="170">
        <v>16</v>
      </c>
      <c r="K41" s="170">
        <v>32</v>
      </c>
      <c r="L41" s="94" t="s">
        <v>8</v>
      </c>
      <c r="M41" s="168">
        <f t="shared" si="31"/>
        <v>2400</v>
      </c>
      <c r="N41" s="90">
        <v>1</v>
      </c>
      <c r="O41" s="172">
        <f t="shared" si="32"/>
        <v>2400</v>
      </c>
      <c r="P41" s="172"/>
      <c r="Q41" s="51" t="s">
        <v>29</v>
      </c>
      <c r="R41" s="71" t="s">
        <v>152</v>
      </c>
      <c r="S41" s="138" t="str">
        <f t="shared" si="33"/>
        <v>BPT2012</v>
      </c>
      <c r="T41" s="138" t="str">
        <f t="shared" si="34"/>
        <v>B1.2.4.1.3.22012</v>
      </c>
      <c r="U41" s="138" t="s">
        <v>182</v>
      </c>
      <c r="V41" s="138" t="str">
        <f t="shared" si="35"/>
        <v>Type 2 (RDO to PS)</v>
      </c>
      <c r="AB41" s="32">
        <v>2012</v>
      </c>
      <c r="AC41" s="132">
        <f t="shared" ref="AC41:AG42" si="40">IF($Q41="B", (G41*$N41),0)</f>
        <v>0</v>
      </c>
      <c r="AD41" s="132">
        <f t="shared" si="40"/>
        <v>0</v>
      </c>
      <c r="AE41" s="132">
        <f t="shared" si="40"/>
        <v>0</v>
      </c>
      <c r="AF41" s="132">
        <f t="shared" si="40"/>
        <v>16</v>
      </c>
      <c r="AG41" s="132">
        <f t="shared" si="40"/>
        <v>32</v>
      </c>
      <c r="AH41" s="226">
        <f t="shared" si="37"/>
        <v>0</v>
      </c>
      <c r="AI41" s="227"/>
      <c r="AJ41" s="90"/>
      <c r="AK41" s="90"/>
      <c r="AL41" s="168"/>
      <c r="AM41" s="131">
        <f t="shared" ref="AM41:AQ42" si="41">IF($Q41="C", (G41*$N41),0)</f>
        <v>0</v>
      </c>
      <c r="AN41" s="132">
        <f t="shared" si="41"/>
        <v>0</v>
      </c>
      <c r="AO41" s="132">
        <f t="shared" si="41"/>
        <v>0</v>
      </c>
      <c r="AP41" s="132">
        <f t="shared" si="41"/>
        <v>0</v>
      </c>
      <c r="AQ41" s="132">
        <f t="shared" si="41"/>
        <v>0</v>
      </c>
      <c r="AR41" s="132">
        <f t="shared" si="39"/>
        <v>0</v>
      </c>
      <c r="AS41" s="227"/>
    </row>
    <row r="42" spans="1:45" s="19" customFormat="1">
      <c r="A42" s="45" t="s">
        <v>263</v>
      </c>
      <c r="B42" s="19" t="s">
        <v>9</v>
      </c>
      <c r="C42" s="167">
        <v>1</v>
      </c>
      <c r="D42" s="94" t="s">
        <v>9</v>
      </c>
      <c r="E42" s="170">
        <v>500</v>
      </c>
      <c r="F42" s="169">
        <f t="shared" si="30"/>
        <v>500</v>
      </c>
      <c r="G42" s="170">
        <v>0</v>
      </c>
      <c r="H42" s="170">
        <v>24</v>
      </c>
      <c r="I42" s="170">
        <v>24</v>
      </c>
      <c r="J42" s="170">
        <v>0</v>
      </c>
      <c r="K42" s="170">
        <v>8</v>
      </c>
      <c r="L42" s="94" t="s">
        <v>8</v>
      </c>
      <c r="M42" s="168">
        <f t="shared" si="31"/>
        <v>2808</v>
      </c>
      <c r="N42" s="90">
        <v>1</v>
      </c>
      <c r="O42" s="172">
        <f t="shared" si="32"/>
        <v>3308</v>
      </c>
      <c r="P42" s="172"/>
      <c r="Q42" s="51" t="s">
        <v>29</v>
      </c>
      <c r="R42" s="71" t="s">
        <v>152</v>
      </c>
      <c r="S42" s="138" t="str">
        <f t="shared" si="33"/>
        <v>BPT2012</v>
      </c>
      <c r="T42" s="138" t="str">
        <f t="shared" si="34"/>
        <v>B1.2.4.1.3.22012</v>
      </c>
      <c r="U42" s="138" t="s">
        <v>182</v>
      </c>
      <c r="V42" s="138" t="str">
        <f t="shared" si="35"/>
        <v>Type 2 (RDO to PS)</v>
      </c>
      <c r="AB42" s="32">
        <v>2012</v>
      </c>
      <c r="AC42" s="132">
        <f t="shared" si="40"/>
        <v>0</v>
      </c>
      <c r="AD42" s="132">
        <f t="shared" si="40"/>
        <v>24</v>
      </c>
      <c r="AE42" s="132">
        <f t="shared" si="40"/>
        <v>24</v>
      </c>
      <c r="AF42" s="132">
        <f t="shared" si="40"/>
        <v>0</v>
      </c>
      <c r="AG42" s="132">
        <f t="shared" si="40"/>
        <v>8</v>
      </c>
      <c r="AH42" s="226">
        <f t="shared" si="37"/>
        <v>500</v>
      </c>
      <c r="AI42" s="227"/>
      <c r="AJ42" s="90"/>
      <c r="AK42" s="90"/>
      <c r="AL42" s="168"/>
      <c r="AM42" s="131">
        <f t="shared" si="41"/>
        <v>0</v>
      </c>
      <c r="AN42" s="132">
        <f t="shared" si="41"/>
        <v>0</v>
      </c>
      <c r="AO42" s="132">
        <f t="shared" si="41"/>
        <v>0</v>
      </c>
      <c r="AP42" s="132">
        <f t="shared" si="41"/>
        <v>0</v>
      </c>
      <c r="AQ42" s="132">
        <f t="shared" si="41"/>
        <v>0</v>
      </c>
      <c r="AR42" s="132">
        <f t="shared" si="39"/>
        <v>0</v>
      </c>
      <c r="AS42" s="227"/>
    </row>
    <row r="43" spans="1:45" s="19" customFormat="1">
      <c r="A43" s="45" t="s">
        <v>238</v>
      </c>
      <c r="B43" s="19" t="s">
        <v>9</v>
      </c>
      <c r="C43" s="167">
        <v>1</v>
      </c>
      <c r="D43" s="94" t="s">
        <v>9</v>
      </c>
      <c r="E43" s="170">
        <v>0</v>
      </c>
      <c r="F43" s="169">
        <f t="shared" si="30"/>
        <v>0</v>
      </c>
      <c r="G43" s="170">
        <v>0</v>
      </c>
      <c r="H43" s="170">
        <v>0</v>
      </c>
      <c r="I43" s="170">
        <v>0</v>
      </c>
      <c r="J43" s="170">
        <v>0</v>
      </c>
      <c r="K43" s="170">
        <v>0</v>
      </c>
      <c r="L43" s="94" t="s">
        <v>8</v>
      </c>
      <c r="M43" s="168">
        <f t="shared" si="31"/>
        <v>0</v>
      </c>
      <c r="N43" s="90">
        <v>1</v>
      </c>
      <c r="O43" s="172">
        <f t="shared" si="32"/>
        <v>0</v>
      </c>
      <c r="P43" s="172"/>
      <c r="Q43" s="51" t="s">
        <v>29</v>
      </c>
      <c r="R43" s="71" t="s">
        <v>48</v>
      </c>
      <c r="S43" s="138" t="str">
        <f t="shared" si="33"/>
        <v>BPD2012</v>
      </c>
      <c r="T43" s="138" t="str">
        <f t="shared" si="34"/>
        <v>B1.2.4.1.3.22012</v>
      </c>
      <c r="U43" s="138" t="s">
        <v>182</v>
      </c>
      <c r="V43" s="138" t="str">
        <f t="shared" si="35"/>
        <v>Type 2 (RDO to PS)</v>
      </c>
      <c r="AB43" s="32">
        <v>2012</v>
      </c>
      <c r="AC43" s="132">
        <f t="shared" si="36"/>
        <v>0</v>
      </c>
      <c r="AD43" s="132">
        <f t="shared" si="36"/>
        <v>0</v>
      </c>
      <c r="AE43" s="132">
        <f t="shared" si="36"/>
        <v>0</v>
      </c>
      <c r="AF43" s="132">
        <f t="shared" si="36"/>
        <v>0</v>
      </c>
      <c r="AG43" s="132">
        <f t="shared" si="36"/>
        <v>0</v>
      </c>
      <c r="AH43" s="226">
        <f t="shared" si="37"/>
        <v>0</v>
      </c>
      <c r="AI43" s="227"/>
      <c r="AJ43" s="90"/>
      <c r="AK43" s="90"/>
      <c r="AL43" s="168"/>
      <c r="AM43" s="131">
        <f t="shared" si="38"/>
        <v>0</v>
      </c>
      <c r="AN43" s="132">
        <f t="shared" si="38"/>
        <v>0</v>
      </c>
      <c r="AO43" s="132">
        <f t="shared" si="38"/>
        <v>0</v>
      </c>
      <c r="AP43" s="132">
        <f t="shared" si="38"/>
        <v>0</v>
      </c>
      <c r="AQ43" s="132">
        <f t="shared" si="38"/>
        <v>0</v>
      </c>
      <c r="AR43" s="132">
        <f t="shared" si="39"/>
        <v>0</v>
      </c>
      <c r="AS43" s="227"/>
    </row>
    <row r="44" spans="1:45" s="19" customFormat="1">
      <c r="A44" s="45" t="s">
        <v>226</v>
      </c>
      <c r="B44" s="19" t="s">
        <v>9</v>
      </c>
      <c r="C44" s="167">
        <v>1</v>
      </c>
      <c r="D44" s="94" t="s">
        <v>9</v>
      </c>
      <c r="E44" s="170">
        <v>0</v>
      </c>
      <c r="F44" s="169">
        <f t="shared" si="30"/>
        <v>0</v>
      </c>
      <c r="G44" s="170">
        <v>0</v>
      </c>
      <c r="H44" s="170">
        <v>8</v>
      </c>
      <c r="I44" s="170">
        <v>16</v>
      </c>
      <c r="J44" s="170">
        <v>0</v>
      </c>
      <c r="K44" s="170">
        <v>4</v>
      </c>
      <c r="L44" s="94" t="s">
        <v>8</v>
      </c>
      <c r="M44" s="168">
        <f t="shared" si="31"/>
        <v>758.16000000000008</v>
      </c>
      <c r="N44" s="90">
        <v>1</v>
      </c>
      <c r="O44" s="172">
        <f t="shared" si="32"/>
        <v>758.16000000000008</v>
      </c>
      <c r="P44" s="172"/>
      <c r="Q44" s="51" t="s">
        <v>29</v>
      </c>
      <c r="R44" s="71" t="s">
        <v>48</v>
      </c>
      <c r="S44" s="138" t="str">
        <f t="shared" si="33"/>
        <v>BPD2012</v>
      </c>
      <c r="T44" s="138" t="str">
        <f t="shared" si="34"/>
        <v>B1.2.4.1.3.22012</v>
      </c>
      <c r="U44" s="138" t="s">
        <v>182</v>
      </c>
      <c r="V44" s="138" t="str">
        <f t="shared" si="35"/>
        <v>Type 2 (RDO to PS)</v>
      </c>
      <c r="AB44" s="32">
        <v>2012</v>
      </c>
      <c r="AC44" s="132">
        <f>IF($Q44="B", (G44*$N44),0)</f>
        <v>0</v>
      </c>
      <c r="AD44" s="132">
        <f>IF($Q44="B", (H44*$N44),0)</f>
        <v>8</v>
      </c>
      <c r="AE44" s="132">
        <f>IF($Q44="B", (I44*$N44),0)</f>
        <v>16</v>
      </c>
      <c r="AF44" s="132">
        <f>IF($Q44="B", (J44*$N44),0)</f>
        <v>0</v>
      </c>
      <c r="AG44" s="132">
        <f>IF($Q44="B", (K44*$N44),0)</f>
        <v>4</v>
      </c>
      <c r="AH44" s="226">
        <f t="shared" si="37"/>
        <v>0</v>
      </c>
      <c r="AI44" s="227"/>
      <c r="AJ44" s="90"/>
      <c r="AK44" s="90"/>
      <c r="AL44" s="168"/>
      <c r="AM44" s="131">
        <f>IF($Q44="C", (G44*$N44),0)</f>
        <v>0</v>
      </c>
      <c r="AN44" s="132">
        <f>IF($Q44="C", (H44*$N44),0)</f>
        <v>0</v>
      </c>
      <c r="AO44" s="132">
        <f>IF($Q44="C", (I44*$N44),0)</f>
        <v>0</v>
      </c>
      <c r="AP44" s="132">
        <f>IF($Q44="C", (J44*$N44),0)</f>
        <v>0</v>
      </c>
      <c r="AQ44" s="132">
        <f>IF($Q44="C", (K44*$N44),0)</f>
        <v>0</v>
      </c>
      <c r="AR44" s="132">
        <f t="shared" si="39"/>
        <v>0</v>
      </c>
      <c r="AS44" s="227"/>
    </row>
    <row r="45" spans="1:45" s="19" customFormat="1">
      <c r="A45" s="45" t="s">
        <v>240</v>
      </c>
      <c r="B45" s="19" t="s">
        <v>9</v>
      </c>
      <c r="C45" s="167">
        <v>1</v>
      </c>
      <c r="D45" s="94" t="s">
        <v>9</v>
      </c>
      <c r="E45" s="170">
        <v>1000</v>
      </c>
      <c r="F45" s="169">
        <f t="shared" si="30"/>
        <v>1000</v>
      </c>
      <c r="G45" s="170">
        <v>0</v>
      </c>
      <c r="H45" s="170">
        <v>40</v>
      </c>
      <c r="I45" s="170">
        <v>16</v>
      </c>
      <c r="J45" s="170">
        <v>0</v>
      </c>
      <c r="K45" s="170">
        <v>4</v>
      </c>
      <c r="L45" s="94" t="s">
        <v>8</v>
      </c>
      <c r="M45" s="168">
        <f t="shared" si="31"/>
        <v>3790.8</v>
      </c>
      <c r="N45" s="90">
        <v>1</v>
      </c>
      <c r="O45" s="172">
        <f t="shared" si="32"/>
        <v>4790.8</v>
      </c>
      <c r="P45" s="172"/>
      <c r="Q45" s="51" t="s">
        <v>29</v>
      </c>
      <c r="R45" s="71" t="s">
        <v>48</v>
      </c>
      <c r="S45" s="138" t="str">
        <f t="shared" si="33"/>
        <v>BPD2012</v>
      </c>
      <c r="T45" s="138" t="str">
        <f t="shared" si="34"/>
        <v>B1.2.4.1.3.22012</v>
      </c>
      <c r="U45" s="138" t="s">
        <v>182</v>
      </c>
      <c r="V45" s="138" t="str">
        <f t="shared" si="35"/>
        <v>Type 2 (RDO to PS)</v>
      </c>
      <c r="AB45" s="32">
        <v>2012</v>
      </c>
      <c r="AC45" s="132">
        <f t="shared" si="36"/>
        <v>0</v>
      </c>
      <c r="AD45" s="132">
        <f t="shared" si="36"/>
        <v>40</v>
      </c>
      <c r="AE45" s="132">
        <f t="shared" si="36"/>
        <v>16</v>
      </c>
      <c r="AF45" s="132">
        <f t="shared" si="36"/>
        <v>0</v>
      </c>
      <c r="AG45" s="132">
        <f t="shared" si="36"/>
        <v>4</v>
      </c>
      <c r="AH45" s="226">
        <f t="shared" si="37"/>
        <v>1000</v>
      </c>
      <c r="AI45" s="227"/>
      <c r="AJ45" s="90"/>
      <c r="AK45" s="90"/>
      <c r="AL45" s="168"/>
      <c r="AM45" s="131">
        <f t="shared" si="38"/>
        <v>0</v>
      </c>
      <c r="AN45" s="132">
        <f t="shared" si="38"/>
        <v>0</v>
      </c>
      <c r="AO45" s="132">
        <f t="shared" si="38"/>
        <v>0</v>
      </c>
      <c r="AP45" s="132">
        <f t="shared" si="38"/>
        <v>0</v>
      </c>
      <c r="AQ45" s="132">
        <f t="shared" si="38"/>
        <v>0</v>
      </c>
      <c r="AR45" s="132">
        <f t="shared" si="39"/>
        <v>0</v>
      </c>
      <c r="AS45" s="227"/>
    </row>
    <row r="46" spans="1:45" s="19" customFormat="1">
      <c r="A46" s="45" t="s">
        <v>239</v>
      </c>
      <c r="B46" s="19" t="s">
        <v>9</v>
      </c>
      <c r="C46" s="167">
        <v>1</v>
      </c>
      <c r="D46" s="94" t="s">
        <v>9</v>
      </c>
      <c r="E46" s="170">
        <v>400</v>
      </c>
      <c r="F46" s="169">
        <f t="shared" si="30"/>
        <v>400</v>
      </c>
      <c r="G46" s="170">
        <v>0</v>
      </c>
      <c r="H46" s="170">
        <v>8</v>
      </c>
      <c r="I46" s="170">
        <v>8</v>
      </c>
      <c r="J46" s="170">
        <v>0</v>
      </c>
      <c r="K46" s="170">
        <v>8</v>
      </c>
      <c r="L46" s="94" t="s">
        <v>8</v>
      </c>
      <c r="M46" s="168">
        <f t="shared" si="31"/>
        <v>758.16000000000008</v>
      </c>
      <c r="N46" s="90">
        <v>1</v>
      </c>
      <c r="O46" s="172">
        <f t="shared" si="32"/>
        <v>1158.1600000000001</v>
      </c>
      <c r="P46" s="172"/>
      <c r="Q46" s="51" t="s">
        <v>29</v>
      </c>
      <c r="R46" s="71" t="s">
        <v>48</v>
      </c>
      <c r="S46" s="138" t="str">
        <f t="shared" si="33"/>
        <v>BPD2012</v>
      </c>
      <c r="T46" s="138" t="str">
        <f t="shared" si="34"/>
        <v>B1.2.4.1.3.22012</v>
      </c>
      <c r="U46" s="138" t="s">
        <v>182</v>
      </c>
      <c r="V46" s="138" t="str">
        <f t="shared" si="35"/>
        <v>Type 2 (RDO to PS)</v>
      </c>
      <c r="AB46" s="32">
        <v>2012</v>
      </c>
      <c r="AC46" s="132">
        <f t="shared" si="36"/>
        <v>0</v>
      </c>
      <c r="AD46" s="132">
        <f t="shared" si="36"/>
        <v>8</v>
      </c>
      <c r="AE46" s="132">
        <f t="shared" si="36"/>
        <v>8</v>
      </c>
      <c r="AF46" s="132">
        <f t="shared" si="36"/>
        <v>0</v>
      </c>
      <c r="AG46" s="132">
        <f t="shared" si="36"/>
        <v>8</v>
      </c>
      <c r="AH46" s="226">
        <f t="shared" si="37"/>
        <v>400</v>
      </c>
      <c r="AI46" s="227"/>
      <c r="AJ46" s="90"/>
      <c r="AK46" s="90"/>
      <c r="AL46" s="168"/>
      <c r="AM46" s="131">
        <f t="shared" si="38"/>
        <v>0</v>
      </c>
      <c r="AN46" s="132">
        <f t="shared" si="38"/>
        <v>0</v>
      </c>
      <c r="AO46" s="132">
        <f t="shared" si="38"/>
        <v>0</v>
      </c>
      <c r="AP46" s="132">
        <f t="shared" si="38"/>
        <v>0</v>
      </c>
      <c r="AQ46" s="132">
        <f t="shared" si="38"/>
        <v>0</v>
      </c>
      <c r="AR46" s="132">
        <f t="shared" si="39"/>
        <v>0</v>
      </c>
      <c r="AS46" s="227"/>
    </row>
    <row r="47" spans="1:45" s="133" customFormat="1">
      <c r="A47" s="45" t="s">
        <v>226</v>
      </c>
      <c r="B47" s="94" t="s">
        <v>9</v>
      </c>
      <c r="C47" s="167">
        <v>1</v>
      </c>
      <c r="D47" s="94" t="s">
        <v>9</v>
      </c>
      <c r="E47" s="170">
        <v>0</v>
      </c>
      <c r="F47" s="169">
        <f t="shared" si="30"/>
        <v>0</v>
      </c>
      <c r="G47" s="170">
        <v>0</v>
      </c>
      <c r="H47" s="170">
        <v>0</v>
      </c>
      <c r="I47" s="170">
        <v>16</v>
      </c>
      <c r="J47" s="170">
        <v>0</v>
      </c>
      <c r="K47" s="170">
        <v>0</v>
      </c>
      <c r="L47" s="94" t="s">
        <v>8</v>
      </c>
      <c r="M47" s="168">
        <f t="shared" si="31"/>
        <v>0</v>
      </c>
      <c r="N47" s="90">
        <v>1</v>
      </c>
      <c r="O47" s="172">
        <f t="shared" si="32"/>
        <v>0</v>
      </c>
      <c r="P47" s="172"/>
      <c r="Q47" s="51" t="s">
        <v>29</v>
      </c>
      <c r="R47" s="71" t="s">
        <v>48</v>
      </c>
      <c r="S47" s="138" t="str">
        <f t="shared" si="33"/>
        <v>BPD2012</v>
      </c>
      <c r="T47" s="138" t="str">
        <f t="shared" si="34"/>
        <v>B1.2.4.1.3.22012</v>
      </c>
      <c r="U47" s="138" t="s">
        <v>182</v>
      </c>
      <c r="V47" s="138" t="str">
        <f t="shared" si="35"/>
        <v>Type 2 (RDO to PS)</v>
      </c>
      <c r="W47" s="19"/>
      <c r="X47" s="19"/>
      <c r="Y47" s="19"/>
      <c r="Z47" s="19"/>
      <c r="AA47" s="19"/>
      <c r="AB47" s="32">
        <v>2012</v>
      </c>
      <c r="AC47" s="132">
        <f t="shared" si="36"/>
        <v>0</v>
      </c>
      <c r="AD47" s="132">
        <f t="shared" si="36"/>
        <v>0</v>
      </c>
      <c r="AE47" s="132">
        <f t="shared" si="36"/>
        <v>16</v>
      </c>
      <c r="AF47" s="132">
        <f t="shared" si="36"/>
        <v>0</v>
      </c>
      <c r="AG47" s="132">
        <f t="shared" si="36"/>
        <v>0</v>
      </c>
      <c r="AH47" s="226">
        <f t="shared" si="37"/>
        <v>0</v>
      </c>
      <c r="AI47" s="227"/>
      <c r="AJ47" s="90"/>
      <c r="AK47" s="90"/>
      <c r="AL47" s="168"/>
      <c r="AM47" s="131">
        <f t="shared" si="38"/>
        <v>0</v>
      </c>
      <c r="AN47" s="132">
        <f t="shared" si="38"/>
        <v>0</v>
      </c>
      <c r="AO47" s="132">
        <f t="shared" si="38"/>
        <v>0</v>
      </c>
      <c r="AP47" s="132">
        <f t="shared" si="38"/>
        <v>0</v>
      </c>
      <c r="AQ47" s="132">
        <f t="shared" si="38"/>
        <v>0</v>
      </c>
      <c r="AR47" s="132">
        <f t="shared" si="39"/>
        <v>0</v>
      </c>
      <c r="AS47" s="228"/>
    </row>
    <row r="48" spans="1:45" s="19" customFormat="1">
      <c r="A48" s="45" t="s">
        <v>227</v>
      </c>
      <c r="B48" s="19" t="s">
        <v>9</v>
      </c>
      <c r="C48" s="167">
        <v>1</v>
      </c>
      <c r="D48" s="94" t="s">
        <v>9</v>
      </c>
      <c r="E48" s="170">
        <v>500</v>
      </c>
      <c r="F48" s="169">
        <f t="shared" si="30"/>
        <v>500</v>
      </c>
      <c r="G48" s="170">
        <v>0</v>
      </c>
      <c r="H48" s="170">
        <v>8</v>
      </c>
      <c r="I48" s="170">
        <v>8</v>
      </c>
      <c r="J48" s="170">
        <v>4</v>
      </c>
      <c r="K48" s="170">
        <v>16</v>
      </c>
      <c r="L48" s="94" t="s">
        <v>8</v>
      </c>
      <c r="M48" s="168">
        <f t="shared" si="31"/>
        <v>1244.1600000000001</v>
      </c>
      <c r="N48" s="90">
        <v>1</v>
      </c>
      <c r="O48" s="172">
        <f t="shared" si="32"/>
        <v>1744.16</v>
      </c>
      <c r="P48" s="172"/>
      <c r="Q48" s="51" t="s">
        <v>30</v>
      </c>
      <c r="R48" s="71" t="s">
        <v>48</v>
      </c>
      <c r="S48" s="138" t="str">
        <f t="shared" si="33"/>
        <v>CPD2012</v>
      </c>
      <c r="T48" s="138" t="str">
        <f t="shared" si="34"/>
        <v>C1.2.4.1.3.22012</v>
      </c>
      <c r="U48" s="138" t="s">
        <v>182</v>
      </c>
      <c r="V48" s="138" t="str">
        <f t="shared" si="35"/>
        <v>Type 2 (RDO to PS)</v>
      </c>
      <c r="AB48" s="32">
        <v>2012</v>
      </c>
      <c r="AC48" s="132">
        <f t="shared" si="36"/>
        <v>0</v>
      </c>
      <c r="AD48" s="132">
        <f t="shared" si="36"/>
        <v>0</v>
      </c>
      <c r="AE48" s="132">
        <f t="shared" si="36"/>
        <v>0</v>
      </c>
      <c r="AF48" s="132">
        <f t="shared" si="36"/>
        <v>0</v>
      </c>
      <c r="AG48" s="132">
        <f t="shared" si="36"/>
        <v>0</v>
      </c>
      <c r="AH48" s="226">
        <f t="shared" si="37"/>
        <v>0</v>
      </c>
      <c r="AI48" s="227"/>
      <c r="AJ48" s="90"/>
      <c r="AK48" s="90"/>
      <c r="AL48" s="168"/>
      <c r="AM48" s="131">
        <f t="shared" si="38"/>
        <v>0</v>
      </c>
      <c r="AN48" s="132">
        <f t="shared" si="38"/>
        <v>8</v>
      </c>
      <c r="AO48" s="132">
        <f t="shared" si="38"/>
        <v>8</v>
      </c>
      <c r="AP48" s="132">
        <f t="shared" si="38"/>
        <v>4</v>
      </c>
      <c r="AQ48" s="132">
        <f t="shared" si="38"/>
        <v>16</v>
      </c>
      <c r="AR48" s="132">
        <f t="shared" si="39"/>
        <v>500</v>
      </c>
      <c r="AS48" s="227"/>
    </row>
    <row r="49" spans="1:45" s="19" customFormat="1">
      <c r="A49" s="46" t="s">
        <v>217</v>
      </c>
      <c r="C49" s="167"/>
      <c r="D49" s="94"/>
      <c r="E49" s="60"/>
      <c r="F49" s="61"/>
      <c r="G49" s="62"/>
      <c r="H49" s="62"/>
      <c r="I49" s="62"/>
      <c r="J49" s="62"/>
      <c r="K49" s="63"/>
      <c r="L49" s="209" t="s">
        <v>41</v>
      </c>
      <c r="M49" s="180">
        <f>SUMIF(Q40:Q48,"B",M40:M48)</f>
        <v>12915.119999999999</v>
      </c>
      <c r="N49" s="65" t="s">
        <v>40</v>
      </c>
      <c r="O49" s="172"/>
      <c r="P49" s="172"/>
      <c r="Q49" s="51"/>
      <c r="R49" s="71"/>
      <c r="S49" s="138"/>
      <c r="T49" s="138"/>
      <c r="U49" s="138"/>
      <c r="V49" s="138"/>
      <c r="AB49" s="32"/>
      <c r="AC49" s="132"/>
      <c r="AD49" s="132"/>
      <c r="AE49" s="135"/>
      <c r="AF49" s="132"/>
      <c r="AG49" s="132"/>
      <c r="AH49" s="226"/>
      <c r="AI49" s="227"/>
      <c r="AJ49" s="132"/>
      <c r="AK49" s="132"/>
      <c r="AL49" s="168"/>
      <c r="AM49" s="131"/>
      <c r="AN49" s="132"/>
      <c r="AO49" s="132"/>
      <c r="AP49" s="132"/>
      <c r="AQ49" s="132"/>
      <c r="AR49" s="132"/>
      <c r="AS49" s="227"/>
    </row>
    <row r="50" spans="1:45" s="19" customFormat="1">
      <c r="A50" s="45" t="s">
        <v>241</v>
      </c>
      <c r="B50" s="19" t="s">
        <v>9</v>
      </c>
      <c r="C50" s="167">
        <v>1</v>
      </c>
      <c r="D50" s="94" t="s">
        <v>9</v>
      </c>
      <c r="E50" s="170">
        <v>0</v>
      </c>
      <c r="F50" s="169">
        <f>E50*C50</f>
        <v>0</v>
      </c>
      <c r="G50" s="170">
        <v>0</v>
      </c>
      <c r="H50" s="170">
        <v>0</v>
      </c>
      <c r="I50" s="170">
        <v>0</v>
      </c>
      <c r="J50" s="170">
        <v>8</v>
      </c>
      <c r="K50" s="170">
        <v>16</v>
      </c>
      <c r="L50" s="94" t="s">
        <v>8</v>
      </c>
      <c r="M50" s="168">
        <f>IF(R50="PD",((Shop*G50)+(M_Tech*H50)+(CMM*I50)+(ENG*J50)+(DES*K50))*N50,((Shop_RD*G50)+(MTECH_RD*H50)+(CMM_RD*I50)+(ENG_RD*J50)+(DES_RD*K50))*N50)</f>
        <v>972.00000000000011</v>
      </c>
      <c r="N50" s="90">
        <v>1</v>
      </c>
      <c r="O50" s="172">
        <f>M50+(F50*N50)</f>
        <v>972.00000000000011</v>
      </c>
      <c r="P50" s="172"/>
      <c r="Q50" s="51" t="s">
        <v>29</v>
      </c>
      <c r="R50" s="71" t="s">
        <v>48</v>
      </c>
      <c r="S50" s="138" t="str">
        <f>CONCATENATE(Q50,R50,AB50)</f>
        <v>BPD2012</v>
      </c>
      <c r="T50" s="138" t="str">
        <f>CONCATENATE(Q50,U50,AB50)</f>
        <v>B1.2.4.1.3.32012</v>
      </c>
      <c r="U50" s="138" t="s">
        <v>183</v>
      </c>
      <c r="V50" s="138" t="str">
        <f>LOOKUP(U50,$B$156:$B$182,$A$156:$A$182)</f>
        <v>Data/Control Fibers</v>
      </c>
      <c r="AB50" s="32">
        <v>2012</v>
      </c>
      <c r="AC50" s="132">
        <f t="shared" ref="AC50:AG54" si="42">IF($Q50="B", (G50*$N50),0)</f>
        <v>0</v>
      </c>
      <c r="AD50" s="132">
        <f t="shared" si="42"/>
        <v>0</v>
      </c>
      <c r="AE50" s="132">
        <f t="shared" si="42"/>
        <v>0</v>
      </c>
      <c r="AF50" s="132">
        <f t="shared" si="42"/>
        <v>8</v>
      </c>
      <c r="AG50" s="132">
        <f t="shared" si="42"/>
        <v>16</v>
      </c>
      <c r="AH50" s="226">
        <f>IF($Q50="B", (F50*$N50),0)</f>
        <v>0</v>
      </c>
      <c r="AI50" s="227"/>
      <c r="AJ50" s="90"/>
      <c r="AK50" s="90"/>
      <c r="AL50" s="168"/>
      <c r="AM50" s="131">
        <f t="shared" ref="AM50:AQ54" si="43">IF($Q50="C", (G50*$N50),0)</f>
        <v>0</v>
      </c>
      <c r="AN50" s="132">
        <f t="shared" si="43"/>
        <v>0</v>
      </c>
      <c r="AO50" s="132">
        <f t="shared" si="43"/>
        <v>0</v>
      </c>
      <c r="AP50" s="132">
        <f t="shared" si="43"/>
        <v>0</v>
      </c>
      <c r="AQ50" s="132">
        <f t="shared" si="43"/>
        <v>0</v>
      </c>
      <c r="AR50" s="132">
        <f>IF($Q50="C", (F50*$N50),0)</f>
        <v>0</v>
      </c>
      <c r="AS50" s="227"/>
    </row>
    <row r="51" spans="1:45" s="19" customFormat="1">
      <c r="A51" s="45" t="s">
        <v>242</v>
      </c>
      <c r="B51" s="19" t="s">
        <v>9</v>
      </c>
      <c r="C51" s="167">
        <v>14</v>
      </c>
      <c r="D51" s="94" t="s">
        <v>9</v>
      </c>
      <c r="E51" s="170">
        <v>300</v>
      </c>
      <c r="F51" s="169">
        <f>E51*C51</f>
        <v>4200</v>
      </c>
      <c r="G51" s="170">
        <v>0</v>
      </c>
      <c r="H51" s="170">
        <v>0</v>
      </c>
      <c r="I51" s="170">
        <v>0</v>
      </c>
      <c r="J51" s="170">
        <v>0</v>
      </c>
      <c r="K51" s="170">
        <v>16</v>
      </c>
      <c r="L51" s="94" t="s">
        <v>8</v>
      </c>
      <c r="M51" s="168">
        <f>IF(R51="PD",((Shop*G51)+(M_Tech*H51)+(CMM*I51)+(ENG*J51)+(DES*K51))*N51,((Shop_RD*G51)+(MTECH_RD*H51)+(CMM_RD*I51)+(ENG_RD*J51)+(DES_RD*K51))*N51)</f>
        <v>0</v>
      </c>
      <c r="N51" s="90">
        <v>1</v>
      </c>
      <c r="O51" s="172">
        <f>M51+(F51*N51)</f>
        <v>4200</v>
      </c>
      <c r="P51" s="172"/>
      <c r="Q51" s="51" t="s">
        <v>29</v>
      </c>
      <c r="R51" s="71" t="s">
        <v>48</v>
      </c>
      <c r="S51" s="138" t="str">
        <f>CONCATENATE(Q51,R51,AB51)</f>
        <v>BPD2012</v>
      </c>
      <c r="T51" s="138" t="str">
        <f>CONCATENATE(Q51,U51,AB51)</f>
        <v>B1.2.4.1.3.32012</v>
      </c>
      <c r="U51" s="138" t="s">
        <v>183</v>
      </c>
      <c r="V51" s="138" t="str">
        <f>LOOKUP(U51,$B$156:$B$182,$A$156:$A$182)</f>
        <v>Data/Control Fibers</v>
      </c>
      <c r="AB51" s="32">
        <v>2012</v>
      </c>
      <c r="AC51" s="132">
        <f t="shared" si="42"/>
        <v>0</v>
      </c>
      <c r="AD51" s="132">
        <f t="shared" si="42"/>
        <v>0</v>
      </c>
      <c r="AE51" s="132">
        <f t="shared" si="42"/>
        <v>0</v>
      </c>
      <c r="AF51" s="132">
        <f t="shared" si="42"/>
        <v>0</v>
      </c>
      <c r="AG51" s="132">
        <f t="shared" si="42"/>
        <v>16</v>
      </c>
      <c r="AH51" s="226">
        <f>IF($Q51="B", (F51*$N51),0)</f>
        <v>4200</v>
      </c>
      <c r="AI51" s="227"/>
      <c r="AJ51" s="90"/>
      <c r="AK51" s="90"/>
      <c r="AL51" s="168"/>
      <c r="AM51" s="131">
        <f t="shared" si="43"/>
        <v>0</v>
      </c>
      <c r="AN51" s="132">
        <f t="shared" si="43"/>
        <v>0</v>
      </c>
      <c r="AO51" s="132">
        <f t="shared" si="43"/>
        <v>0</v>
      </c>
      <c r="AP51" s="132">
        <f t="shared" si="43"/>
        <v>0</v>
      </c>
      <c r="AQ51" s="132">
        <f t="shared" si="43"/>
        <v>0</v>
      </c>
      <c r="AR51" s="132">
        <f>IF($Q51="C", (F51*$N51),0)</f>
        <v>0</v>
      </c>
      <c r="AS51" s="227"/>
    </row>
    <row r="52" spans="1:45" s="19" customFormat="1">
      <c r="A52" s="45" t="s">
        <v>226</v>
      </c>
      <c r="B52" s="19" t="s">
        <v>9</v>
      </c>
      <c r="C52" s="167">
        <v>1</v>
      </c>
      <c r="D52" s="94" t="s">
        <v>9</v>
      </c>
      <c r="E52" s="170">
        <v>0</v>
      </c>
      <c r="F52" s="169">
        <f>E52*C52</f>
        <v>0</v>
      </c>
      <c r="G52" s="170">
        <v>0</v>
      </c>
      <c r="H52" s="170">
        <v>1</v>
      </c>
      <c r="I52" s="170">
        <v>0</v>
      </c>
      <c r="J52" s="170">
        <v>0</v>
      </c>
      <c r="K52" s="170">
        <v>0</v>
      </c>
      <c r="L52" s="94" t="s">
        <v>8</v>
      </c>
      <c r="M52" s="168">
        <f>IF(R52="PD",((Shop*G52)+(M_Tech*H52)+(CMM*I52)+(ENG*J52)+(DES*K52))*N52,((Shop_RD*G52)+(MTECH_RD*H52)+(CMM_RD*I52)+(ENG_RD*J52)+(DES_RD*K52))*N52)</f>
        <v>1326.7800000000002</v>
      </c>
      <c r="N52" s="90">
        <v>14</v>
      </c>
      <c r="O52" s="172">
        <f>M52+(F52*N52)</f>
        <v>1326.7800000000002</v>
      </c>
      <c r="P52" s="172"/>
      <c r="Q52" s="51" t="s">
        <v>29</v>
      </c>
      <c r="R52" s="71" t="s">
        <v>48</v>
      </c>
      <c r="S52" s="138" t="str">
        <f>CONCATENATE(Q52,R52,AB52)</f>
        <v>BPD2012</v>
      </c>
      <c r="T52" s="138" t="str">
        <f>CONCATENATE(Q52,U52,AB52)</f>
        <v>B1.2.4.1.3.32012</v>
      </c>
      <c r="U52" s="138" t="s">
        <v>183</v>
      </c>
      <c r="V52" s="138" t="str">
        <f>LOOKUP(U52,$B$156:$B$182,$A$156:$A$182)</f>
        <v>Data/Control Fibers</v>
      </c>
      <c r="AB52" s="32">
        <v>2012</v>
      </c>
      <c r="AC52" s="132">
        <f t="shared" si="42"/>
        <v>0</v>
      </c>
      <c r="AD52" s="132">
        <f t="shared" si="42"/>
        <v>14</v>
      </c>
      <c r="AE52" s="132">
        <f t="shared" si="42"/>
        <v>0</v>
      </c>
      <c r="AF52" s="132">
        <f t="shared" si="42"/>
        <v>0</v>
      </c>
      <c r="AG52" s="132">
        <f t="shared" si="42"/>
        <v>0</v>
      </c>
      <c r="AH52" s="226">
        <f>IF($Q52="B", (F52*$N52),0)</f>
        <v>0</v>
      </c>
      <c r="AI52" s="227"/>
      <c r="AJ52" s="90"/>
      <c r="AK52" s="90"/>
      <c r="AL52" s="168"/>
      <c r="AM52" s="131">
        <f t="shared" si="43"/>
        <v>0</v>
      </c>
      <c r="AN52" s="132">
        <f t="shared" si="43"/>
        <v>0</v>
      </c>
      <c r="AO52" s="132">
        <f t="shared" si="43"/>
        <v>0</v>
      </c>
      <c r="AP52" s="132">
        <f t="shared" si="43"/>
        <v>0</v>
      </c>
      <c r="AQ52" s="132">
        <f t="shared" si="43"/>
        <v>0</v>
      </c>
      <c r="AR52" s="132">
        <f>IF($Q52="C", (F52*$N52),0)</f>
        <v>0</v>
      </c>
      <c r="AS52" s="227"/>
    </row>
    <row r="53" spans="1:45" s="19" customFormat="1">
      <c r="A53" s="45" t="s">
        <v>281</v>
      </c>
      <c r="B53" s="19" t="s">
        <v>9</v>
      </c>
      <c r="C53" s="167">
        <v>1</v>
      </c>
      <c r="D53" s="94" t="s">
        <v>9</v>
      </c>
      <c r="E53" s="170">
        <v>10</v>
      </c>
      <c r="F53" s="169">
        <f>E53*C53</f>
        <v>10</v>
      </c>
      <c r="G53" s="170">
        <v>0</v>
      </c>
      <c r="H53" s="170">
        <v>0.5</v>
      </c>
      <c r="I53" s="170">
        <v>1</v>
      </c>
      <c r="J53" s="170">
        <v>0.1</v>
      </c>
      <c r="K53" s="170">
        <v>0.1</v>
      </c>
      <c r="L53" s="94" t="s">
        <v>8</v>
      </c>
      <c r="M53" s="168">
        <f>IF(R53="PD",((Shop*G53)+(M_Tech*H53)+(CMM*I53)+(ENG*J53)+(DES*K53))*N53,((Shop_RD*G53)+(MTECH_RD*H53)+(CMM_RD*I53)+(ENG_RD*J53)+(DES_RD*K53))*N53)</f>
        <v>2738.6100000000006</v>
      </c>
      <c r="N53" s="90">
        <v>46</v>
      </c>
      <c r="O53" s="172">
        <f>M53+(F53*N53)</f>
        <v>3198.6100000000006</v>
      </c>
      <c r="P53" s="172"/>
      <c r="Q53" s="51" t="s">
        <v>29</v>
      </c>
      <c r="R53" s="71" t="s">
        <v>48</v>
      </c>
      <c r="S53" s="138" t="str">
        <f>CONCATENATE(Q53,R53,AB53)</f>
        <v>BPD2012</v>
      </c>
      <c r="T53" s="138" t="str">
        <f>CONCATENATE(Q53,U53,AB53)</f>
        <v>B1.2.4.1.3.32012</v>
      </c>
      <c r="U53" s="138" t="s">
        <v>183</v>
      </c>
      <c r="V53" s="138" t="str">
        <f>LOOKUP(U53,$B$156:$B$182,$A$156:$A$182)</f>
        <v>Data/Control Fibers</v>
      </c>
      <c r="AB53" s="32">
        <v>2012</v>
      </c>
      <c r="AC53" s="132">
        <f t="shared" si="42"/>
        <v>0</v>
      </c>
      <c r="AD53" s="132">
        <f t="shared" si="42"/>
        <v>23</v>
      </c>
      <c r="AE53" s="132">
        <f t="shared" si="42"/>
        <v>46</v>
      </c>
      <c r="AF53" s="132">
        <f t="shared" si="42"/>
        <v>4.6000000000000005</v>
      </c>
      <c r="AG53" s="132">
        <f t="shared" si="42"/>
        <v>4.6000000000000005</v>
      </c>
      <c r="AH53" s="226">
        <f>IF($Q53="B", (F53*$N53),0)</f>
        <v>460</v>
      </c>
      <c r="AI53" s="227"/>
      <c r="AJ53" s="90"/>
      <c r="AK53" s="90"/>
      <c r="AL53" s="168"/>
      <c r="AM53" s="131">
        <f t="shared" si="43"/>
        <v>0</v>
      </c>
      <c r="AN53" s="132">
        <f t="shared" si="43"/>
        <v>0</v>
      </c>
      <c r="AO53" s="132">
        <f t="shared" si="43"/>
        <v>0</v>
      </c>
      <c r="AP53" s="132">
        <f t="shared" si="43"/>
        <v>0</v>
      </c>
      <c r="AQ53" s="132">
        <f t="shared" si="43"/>
        <v>0</v>
      </c>
      <c r="AR53" s="132">
        <f>IF($Q53="C", (F53*$N53),0)</f>
        <v>0</v>
      </c>
      <c r="AS53" s="227"/>
    </row>
    <row r="54" spans="1:45" s="133" customFormat="1">
      <c r="A54" s="45" t="s">
        <v>227</v>
      </c>
      <c r="B54" s="94" t="s">
        <v>9</v>
      </c>
      <c r="C54" s="167">
        <v>1</v>
      </c>
      <c r="D54" s="94" t="s">
        <v>9</v>
      </c>
      <c r="E54" s="170">
        <v>600</v>
      </c>
      <c r="F54" s="169">
        <f>E54*C54</f>
        <v>600</v>
      </c>
      <c r="G54" s="170">
        <v>0</v>
      </c>
      <c r="H54" s="170">
        <v>4</v>
      </c>
      <c r="I54" s="170">
        <v>0</v>
      </c>
      <c r="J54" s="170">
        <v>0</v>
      </c>
      <c r="K54" s="170">
        <v>8</v>
      </c>
      <c r="L54" s="94" t="s">
        <v>8</v>
      </c>
      <c r="M54" s="168">
        <f>IF(R54="PD",((Shop*G54)+(M_Tech*H54)+(CMM*I54)+(ENG*J54)+(DES*K54))*N54,((Shop_RD*G54)+(MTECH_RD*H54)+(CMM_RD*I54)+(ENG_RD*J54)+(DES_RD*K54))*N54)</f>
        <v>379.08000000000004</v>
      </c>
      <c r="N54" s="90">
        <v>1</v>
      </c>
      <c r="O54" s="172">
        <f>M54+(F54*N54)</f>
        <v>979.08</v>
      </c>
      <c r="P54" s="172"/>
      <c r="Q54" s="51" t="s">
        <v>30</v>
      </c>
      <c r="R54" s="71" t="s">
        <v>48</v>
      </c>
      <c r="S54" s="138" t="str">
        <f>CONCATENATE(Q54,R54,AB54)</f>
        <v>CPD2012</v>
      </c>
      <c r="T54" s="138" t="str">
        <f>CONCATENATE(Q54,U54,AB54)</f>
        <v>C1.2.4.1.3.32012</v>
      </c>
      <c r="U54" s="138" t="s">
        <v>183</v>
      </c>
      <c r="V54" s="138" t="str">
        <f>LOOKUP(U54,$B$156:$B$182,$A$156:$A$182)</f>
        <v>Data/Control Fibers</v>
      </c>
      <c r="W54" s="19"/>
      <c r="X54" s="19"/>
      <c r="Y54" s="19"/>
      <c r="Z54" s="19"/>
      <c r="AA54" s="19"/>
      <c r="AB54" s="32">
        <v>2012</v>
      </c>
      <c r="AC54" s="132">
        <f t="shared" si="42"/>
        <v>0</v>
      </c>
      <c r="AD54" s="132">
        <f t="shared" si="42"/>
        <v>0</v>
      </c>
      <c r="AE54" s="132">
        <f t="shared" si="42"/>
        <v>0</v>
      </c>
      <c r="AF54" s="132">
        <f t="shared" si="42"/>
        <v>0</v>
      </c>
      <c r="AG54" s="132">
        <f t="shared" si="42"/>
        <v>0</v>
      </c>
      <c r="AH54" s="226">
        <f>IF($Q54="B", (F54*$N54),0)</f>
        <v>0</v>
      </c>
      <c r="AI54" s="227"/>
      <c r="AJ54" s="90"/>
      <c r="AK54" s="90"/>
      <c r="AL54" s="168"/>
      <c r="AM54" s="131">
        <f t="shared" si="43"/>
        <v>0</v>
      </c>
      <c r="AN54" s="132">
        <f t="shared" si="43"/>
        <v>4</v>
      </c>
      <c r="AO54" s="132">
        <f t="shared" si="43"/>
        <v>0</v>
      </c>
      <c r="AP54" s="132">
        <f t="shared" si="43"/>
        <v>0</v>
      </c>
      <c r="AQ54" s="132">
        <f t="shared" si="43"/>
        <v>8</v>
      </c>
      <c r="AR54" s="132">
        <f>IF($Q54="C", (F54*$N54),0)</f>
        <v>600</v>
      </c>
      <c r="AS54" s="228"/>
    </row>
    <row r="55" spans="1:45" s="19" customFormat="1">
      <c r="A55" s="46"/>
      <c r="C55" s="167"/>
      <c r="D55" s="94"/>
      <c r="E55" s="60"/>
      <c r="F55" s="61"/>
      <c r="G55" s="62"/>
      <c r="H55" s="62"/>
      <c r="I55" s="62"/>
      <c r="J55" s="62"/>
      <c r="K55" s="63"/>
      <c r="L55" s="209" t="s">
        <v>41</v>
      </c>
      <c r="M55" s="180">
        <f>SUMIF(Q50:Q54,"B",M50:M54)</f>
        <v>5037.3900000000012</v>
      </c>
      <c r="N55" s="65" t="s">
        <v>40</v>
      </c>
      <c r="O55" s="172"/>
      <c r="P55" s="172"/>
      <c r="Q55" s="51"/>
      <c r="R55" s="71"/>
      <c r="S55" s="138"/>
      <c r="T55" s="138"/>
      <c r="U55" s="138"/>
      <c r="V55" s="138"/>
      <c r="AB55" s="32"/>
      <c r="AC55" s="132"/>
      <c r="AD55" s="132"/>
      <c r="AE55" s="135"/>
      <c r="AF55" s="132"/>
      <c r="AG55" s="132"/>
      <c r="AH55" s="226"/>
      <c r="AI55" s="227"/>
      <c r="AJ55" s="132"/>
      <c r="AK55" s="132"/>
      <c r="AL55" s="168"/>
      <c r="AM55" s="131"/>
      <c r="AN55" s="132"/>
      <c r="AO55" s="132"/>
      <c r="AP55" s="132"/>
      <c r="AQ55" s="132"/>
      <c r="AR55" s="132"/>
      <c r="AS55" s="227"/>
    </row>
    <row r="56" spans="1:45">
      <c r="A56" s="46" t="s">
        <v>186</v>
      </c>
      <c r="B56" s="2" t="s">
        <v>5</v>
      </c>
      <c r="C56" s="160"/>
      <c r="D56" s="208"/>
      <c r="E56" s="161"/>
      <c r="F56" s="162"/>
      <c r="G56" s="163"/>
      <c r="H56" s="163"/>
      <c r="I56" s="163"/>
      <c r="J56" s="164"/>
      <c r="K56" s="165"/>
      <c r="L56" s="208"/>
      <c r="M56" s="4"/>
      <c r="N56" s="166">
        <v>1</v>
      </c>
      <c r="O56" s="4"/>
      <c r="P56" s="4"/>
      <c r="Q56" s="50"/>
      <c r="R56" s="70"/>
      <c r="S56" s="137"/>
      <c r="T56" s="137"/>
      <c r="U56" s="137"/>
      <c r="V56" s="137"/>
      <c r="W56" s="29"/>
      <c r="X56" s="29"/>
      <c r="Y56" s="29"/>
      <c r="Z56" s="29"/>
      <c r="AA56" s="68" t="s">
        <v>45</v>
      </c>
      <c r="AB56" s="36"/>
      <c r="AC56" s="223"/>
      <c r="AD56" s="223"/>
      <c r="AE56" s="223"/>
      <c r="AF56" s="223"/>
      <c r="AG56" s="223"/>
      <c r="AH56" s="223"/>
      <c r="AI56" s="224"/>
      <c r="AM56" s="225"/>
      <c r="AN56" s="223"/>
      <c r="AO56" s="223"/>
      <c r="AP56" s="223"/>
      <c r="AQ56" s="223"/>
      <c r="AR56" s="223"/>
      <c r="AS56" s="224"/>
    </row>
    <row r="57" spans="1:45">
      <c r="A57" s="46" t="s">
        <v>247</v>
      </c>
      <c r="B57" s="2" t="s">
        <v>5</v>
      </c>
      <c r="C57" s="160"/>
      <c r="D57" s="208"/>
      <c r="E57" s="161"/>
      <c r="F57" s="162"/>
      <c r="G57" s="163"/>
      <c r="H57" s="163"/>
      <c r="I57" s="163"/>
      <c r="J57" s="164"/>
      <c r="K57" s="165"/>
      <c r="L57" s="208"/>
      <c r="M57" s="4"/>
      <c r="N57" s="166">
        <v>1</v>
      </c>
      <c r="O57" s="4"/>
      <c r="P57" s="4"/>
      <c r="Q57" s="50"/>
      <c r="R57" s="70"/>
      <c r="S57" s="137"/>
      <c r="T57" s="137"/>
      <c r="U57" s="137"/>
      <c r="V57" s="137"/>
      <c r="W57" s="29"/>
      <c r="X57" s="29"/>
      <c r="Y57" s="29"/>
      <c r="Z57" s="29"/>
      <c r="AA57" s="68" t="s">
        <v>45</v>
      </c>
      <c r="AB57" s="36"/>
      <c r="AC57" s="223"/>
      <c r="AD57" s="223"/>
      <c r="AE57" s="223"/>
      <c r="AF57" s="223"/>
      <c r="AG57" s="223"/>
      <c r="AH57" s="223"/>
      <c r="AI57" s="224"/>
      <c r="AM57" s="225"/>
      <c r="AN57" s="223"/>
      <c r="AO57" s="223"/>
      <c r="AP57" s="223"/>
      <c r="AQ57" s="223"/>
      <c r="AR57" s="223"/>
      <c r="AS57" s="224"/>
    </row>
    <row r="58" spans="1:45" s="19" customFormat="1">
      <c r="A58" s="45" t="s">
        <v>228</v>
      </c>
      <c r="B58" s="19" t="s">
        <v>9</v>
      </c>
      <c r="C58" s="167">
        <v>44</v>
      </c>
      <c r="D58" s="94" t="s">
        <v>9</v>
      </c>
      <c r="E58" s="170">
        <v>600</v>
      </c>
      <c r="F58" s="169">
        <f t="shared" ref="F58:F64" si="44">E58*C58</f>
        <v>26400</v>
      </c>
      <c r="G58" s="170">
        <v>0</v>
      </c>
      <c r="H58" s="170">
        <v>0</v>
      </c>
      <c r="I58" s="170">
        <v>16</v>
      </c>
      <c r="J58" s="170">
        <v>8</v>
      </c>
      <c r="K58" s="170">
        <v>16</v>
      </c>
      <c r="L58" s="94" t="s">
        <v>8</v>
      </c>
      <c r="M58" s="168">
        <f t="shared" ref="M58:M64" si="45">IF(R58="PD",((Shop*G58)+(M_Tech*H58)+(CMM*I58)+(ENG*J58)+(DES*K58))*N58,((Shop_RD*G58)+(MTECH_RD*H58)+(CMM_RD*I58)+(ENG_RD*J58)+(DES_RD*K58))*N58)</f>
        <v>972.00000000000011</v>
      </c>
      <c r="N58" s="90">
        <v>1</v>
      </c>
      <c r="O58" s="172">
        <f t="shared" ref="O58:O64" si="46">M58+(F58*N58)</f>
        <v>27372</v>
      </c>
      <c r="P58" s="172"/>
      <c r="Q58" s="51" t="s">
        <v>29</v>
      </c>
      <c r="R58" s="71" t="s">
        <v>48</v>
      </c>
      <c r="S58" s="138" t="str">
        <f t="shared" ref="S58:S64" si="47">CONCATENATE(Q58,R58,AB58)</f>
        <v>BPD2012</v>
      </c>
      <c r="T58" s="138" t="str">
        <f t="shared" ref="T58:T64" si="48">CONCATENATE(Q58,U58,AB58)</f>
        <v>B1.2.4.1.4.12012</v>
      </c>
      <c r="U58" s="138" t="s">
        <v>219</v>
      </c>
      <c r="V58" s="138" t="str">
        <f t="shared" ref="V58:V64" si="49">LOOKUP(U58,$B$156:$B$182,$A$156:$A$182)</f>
        <v>Type 1 (Bulkhead to RDO Crate)</v>
      </c>
      <c r="AB58" s="32">
        <v>2012</v>
      </c>
      <c r="AC58" s="132">
        <f t="shared" ref="AC58:AG64" si="50">IF($Q58="B", (G58*$N58),0)</f>
        <v>0</v>
      </c>
      <c r="AD58" s="132">
        <f t="shared" si="50"/>
        <v>0</v>
      </c>
      <c r="AE58" s="132">
        <f t="shared" si="50"/>
        <v>16</v>
      </c>
      <c r="AF58" s="132">
        <f t="shared" si="50"/>
        <v>8</v>
      </c>
      <c r="AG58" s="132">
        <f t="shared" si="50"/>
        <v>16</v>
      </c>
      <c r="AH58" s="226">
        <f t="shared" ref="AH58:AH64" si="51">IF($Q58="B", (F58*$N58),0)</f>
        <v>26400</v>
      </c>
      <c r="AI58" s="227"/>
      <c r="AJ58" s="90"/>
      <c r="AK58" s="90"/>
      <c r="AL58" s="168"/>
      <c r="AM58" s="131">
        <f t="shared" ref="AM58:AQ64" si="52">IF($Q58="C", (G58*$N58),0)</f>
        <v>0</v>
      </c>
      <c r="AN58" s="132">
        <f t="shared" si="52"/>
        <v>0</v>
      </c>
      <c r="AO58" s="132">
        <f t="shared" si="52"/>
        <v>0</v>
      </c>
      <c r="AP58" s="132">
        <f t="shared" si="52"/>
        <v>0</v>
      </c>
      <c r="AQ58" s="132">
        <f t="shared" si="52"/>
        <v>0</v>
      </c>
      <c r="AR58" s="132">
        <f t="shared" ref="AR58:AR64" si="53">IF($Q58="C", (F58*$N58),0)</f>
        <v>0</v>
      </c>
      <c r="AS58" s="227"/>
    </row>
    <row r="59" spans="1:45" s="19" customFormat="1">
      <c r="A59" s="45" t="s">
        <v>229</v>
      </c>
      <c r="B59" s="19" t="s">
        <v>9</v>
      </c>
      <c r="C59" s="167">
        <v>6</v>
      </c>
      <c r="D59" s="94" t="s">
        <v>9</v>
      </c>
      <c r="E59" s="170">
        <v>600</v>
      </c>
      <c r="F59" s="169">
        <f t="shared" si="44"/>
        <v>3600</v>
      </c>
      <c r="G59" s="170">
        <v>0</v>
      </c>
      <c r="H59" s="170">
        <v>0</v>
      </c>
      <c r="I59" s="170">
        <v>0</v>
      </c>
      <c r="J59" s="170">
        <v>0</v>
      </c>
      <c r="K59" s="170">
        <v>8</v>
      </c>
      <c r="L59" s="94" t="s">
        <v>8</v>
      </c>
      <c r="M59" s="168">
        <f t="shared" si="45"/>
        <v>0</v>
      </c>
      <c r="N59" s="90">
        <v>1</v>
      </c>
      <c r="O59" s="172">
        <f t="shared" si="46"/>
        <v>3600</v>
      </c>
      <c r="P59" s="172"/>
      <c r="Q59" s="51" t="s">
        <v>29</v>
      </c>
      <c r="R59" s="71" t="s">
        <v>48</v>
      </c>
      <c r="S59" s="138" t="str">
        <f t="shared" si="47"/>
        <v>BPD2012</v>
      </c>
      <c r="T59" s="138" t="str">
        <f t="shared" si="48"/>
        <v>B1.2.4.1.4.12012</v>
      </c>
      <c r="U59" s="138" t="s">
        <v>219</v>
      </c>
      <c r="V59" s="138" t="str">
        <f t="shared" si="49"/>
        <v>Type 1 (Bulkhead to RDO Crate)</v>
      </c>
      <c r="AB59" s="32">
        <v>2012</v>
      </c>
      <c r="AC59" s="132">
        <f t="shared" si="50"/>
        <v>0</v>
      </c>
      <c r="AD59" s="132">
        <f t="shared" si="50"/>
        <v>0</v>
      </c>
      <c r="AE59" s="132">
        <f t="shared" si="50"/>
        <v>0</v>
      </c>
      <c r="AF59" s="132">
        <f t="shared" si="50"/>
        <v>0</v>
      </c>
      <c r="AG59" s="132">
        <f t="shared" si="50"/>
        <v>8</v>
      </c>
      <c r="AH59" s="226">
        <f t="shared" si="51"/>
        <v>3600</v>
      </c>
      <c r="AI59" s="227"/>
      <c r="AJ59" s="90"/>
      <c r="AK59" s="90"/>
      <c r="AL59" s="168"/>
      <c r="AM59" s="131">
        <f t="shared" si="52"/>
        <v>0</v>
      </c>
      <c r="AN59" s="132">
        <f t="shared" si="52"/>
        <v>0</v>
      </c>
      <c r="AO59" s="132">
        <f t="shared" si="52"/>
        <v>0</v>
      </c>
      <c r="AP59" s="132">
        <f t="shared" si="52"/>
        <v>0</v>
      </c>
      <c r="AQ59" s="132">
        <f t="shared" si="52"/>
        <v>0</v>
      </c>
      <c r="AR59" s="132">
        <f t="shared" si="53"/>
        <v>0</v>
      </c>
      <c r="AS59" s="227"/>
    </row>
    <row r="60" spans="1:45" s="19" customFormat="1">
      <c r="A60" s="45" t="s">
        <v>230</v>
      </c>
      <c r="B60" s="19" t="s">
        <v>9</v>
      </c>
      <c r="C60" s="167">
        <v>1</v>
      </c>
      <c r="D60" s="94" t="s">
        <v>9</v>
      </c>
      <c r="E60" s="170">
        <v>0</v>
      </c>
      <c r="F60" s="169">
        <f t="shared" si="44"/>
        <v>0</v>
      </c>
      <c r="G60" s="170">
        <v>0</v>
      </c>
      <c r="H60" s="170">
        <v>0</v>
      </c>
      <c r="I60" s="170">
        <v>0.5</v>
      </c>
      <c r="J60" s="170">
        <v>0</v>
      </c>
      <c r="K60" s="170">
        <v>0</v>
      </c>
      <c r="L60" s="94" t="s">
        <v>8</v>
      </c>
      <c r="M60" s="168">
        <f t="shared" si="45"/>
        <v>0</v>
      </c>
      <c r="N60" s="90">
        <v>44</v>
      </c>
      <c r="O60" s="172">
        <f t="shared" si="46"/>
        <v>0</v>
      </c>
      <c r="P60" s="172"/>
      <c r="Q60" s="51" t="s">
        <v>29</v>
      </c>
      <c r="R60" s="71" t="s">
        <v>48</v>
      </c>
      <c r="S60" s="138" t="str">
        <f t="shared" si="47"/>
        <v>BPD2012</v>
      </c>
      <c r="T60" s="138" t="str">
        <f t="shared" si="48"/>
        <v>B1.2.4.1.4.12012</v>
      </c>
      <c r="U60" s="138" t="s">
        <v>219</v>
      </c>
      <c r="V60" s="138" t="str">
        <f t="shared" si="49"/>
        <v>Type 1 (Bulkhead to RDO Crate)</v>
      </c>
      <c r="AB60" s="32">
        <v>2012</v>
      </c>
      <c r="AC60" s="132">
        <f t="shared" si="50"/>
        <v>0</v>
      </c>
      <c r="AD60" s="132">
        <f t="shared" si="50"/>
        <v>0</v>
      </c>
      <c r="AE60" s="132">
        <f t="shared" si="50"/>
        <v>22</v>
      </c>
      <c r="AF60" s="132">
        <f t="shared" si="50"/>
        <v>0</v>
      </c>
      <c r="AG60" s="132">
        <f t="shared" si="50"/>
        <v>0</v>
      </c>
      <c r="AH60" s="226">
        <f t="shared" si="51"/>
        <v>0</v>
      </c>
      <c r="AI60" s="227"/>
      <c r="AJ60" s="90"/>
      <c r="AK60" s="90"/>
      <c r="AL60" s="168"/>
      <c r="AM60" s="131">
        <f t="shared" si="52"/>
        <v>0</v>
      </c>
      <c r="AN60" s="132">
        <f t="shared" si="52"/>
        <v>0</v>
      </c>
      <c r="AO60" s="132">
        <f t="shared" si="52"/>
        <v>0</v>
      </c>
      <c r="AP60" s="132">
        <f t="shared" si="52"/>
        <v>0</v>
      </c>
      <c r="AQ60" s="132">
        <f t="shared" si="52"/>
        <v>0</v>
      </c>
      <c r="AR60" s="132">
        <f t="shared" si="53"/>
        <v>0</v>
      </c>
      <c r="AS60" s="227"/>
    </row>
    <row r="61" spans="1:45" s="133" customFormat="1">
      <c r="A61" s="45" t="s">
        <v>233</v>
      </c>
      <c r="B61" s="94" t="s">
        <v>9</v>
      </c>
      <c r="C61" s="167">
        <v>1</v>
      </c>
      <c r="D61" s="94" t="s">
        <v>9</v>
      </c>
      <c r="E61" s="170">
        <v>0</v>
      </c>
      <c r="F61" s="169">
        <f t="shared" si="44"/>
        <v>0</v>
      </c>
      <c r="G61" s="170">
        <v>0</v>
      </c>
      <c r="H61" s="170">
        <v>6</v>
      </c>
      <c r="I61" s="170">
        <v>1</v>
      </c>
      <c r="J61" s="170">
        <v>0.1</v>
      </c>
      <c r="K61" s="170">
        <v>0.2</v>
      </c>
      <c r="L61" s="94" t="s">
        <v>8</v>
      </c>
      <c r="M61" s="168">
        <f t="shared" si="45"/>
        <v>25553.880000000005</v>
      </c>
      <c r="N61" s="90">
        <v>44</v>
      </c>
      <c r="O61" s="172">
        <f t="shared" si="46"/>
        <v>25553.880000000005</v>
      </c>
      <c r="P61" s="172"/>
      <c r="Q61" s="51" t="s">
        <v>29</v>
      </c>
      <c r="R61" s="71" t="s">
        <v>48</v>
      </c>
      <c r="S61" s="138" t="str">
        <f t="shared" si="47"/>
        <v>BPD2012</v>
      </c>
      <c r="T61" s="138" t="str">
        <f t="shared" si="48"/>
        <v>B1.2.4.1.4.12012</v>
      </c>
      <c r="U61" s="138" t="s">
        <v>219</v>
      </c>
      <c r="V61" s="138" t="str">
        <f t="shared" si="49"/>
        <v>Type 1 (Bulkhead to RDO Crate)</v>
      </c>
      <c r="W61" s="19"/>
      <c r="X61" s="19"/>
      <c r="Y61" s="19"/>
      <c r="Z61" s="19"/>
      <c r="AA61" s="19"/>
      <c r="AB61" s="32">
        <v>2012</v>
      </c>
      <c r="AC61" s="132">
        <f t="shared" si="50"/>
        <v>0</v>
      </c>
      <c r="AD61" s="132">
        <f t="shared" si="50"/>
        <v>264</v>
      </c>
      <c r="AE61" s="132">
        <f t="shared" si="50"/>
        <v>44</v>
      </c>
      <c r="AF61" s="132">
        <f t="shared" si="50"/>
        <v>4.4000000000000004</v>
      </c>
      <c r="AG61" s="132">
        <f t="shared" si="50"/>
        <v>8.8000000000000007</v>
      </c>
      <c r="AH61" s="226">
        <f t="shared" si="51"/>
        <v>0</v>
      </c>
      <c r="AI61" s="227"/>
      <c r="AJ61" s="90"/>
      <c r="AK61" s="90"/>
      <c r="AL61" s="168"/>
      <c r="AM61" s="131">
        <f t="shared" si="52"/>
        <v>0</v>
      </c>
      <c r="AN61" s="132">
        <f t="shared" si="52"/>
        <v>0</v>
      </c>
      <c r="AO61" s="132">
        <f t="shared" si="52"/>
        <v>0</v>
      </c>
      <c r="AP61" s="132">
        <f t="shared" si="52"/>
        <v>0</v>
      </c>
      <c r="AQ61" s="132">
        <f t="shared" si="52"/>
        <v>0</v>
      </c>
      <c r="AR61" s="132">
        <f t="shared" si="53"/>
        <v>0</v>
      </c>
      <c r="AS61" s="228"/>
    </row>
    <row r="62" spans="1:45" s="19" customFormat="1">
      <c r="A62" s="45" t="s">
        <v>230</v>
      </c>
      <c r="B62" s="94" t="s">
        <v>9</v>
      </c>
      <c r="C62" s="167">
        <v>1</v>
      </c>
      <c r="D62" s="94" t="s">
        <v>9</v>
      </c>
      <c r="E62" s="170">
        <v>0</v>
      </c>
      <c r="F62" s="169">
        <f>E62*C62</f>
        <v>0</v>
      </c>
      <c r="G62" s="170">
        <v>0</v>
      </c>
      <c r="H62" s="170">
        <v>1</v>
      </c>
      <c r="I62" s="170">
        <v>0</v>
      </c>
      <c r="J62" s="170">
        <v>0</v>
      </c>
      <c r="K62" s="170">
        <v>0.1</v>
      </c>
      <c r="L62" s="94" t="s">
        <v>8</v>
      </c>
      <c r="M62" s="168">
        <f>IF(R62="PD",((Shop*G62)+(M_Tech*H62)+(CMM*I62)+(ENG*J62)+(DES*K62))*N62,((Shop_RD*G62)+(MTECH_RD*H62)+(CMM_RD*I62)+(ENG_RD*J62)+(DES_RD*K62))*N62)</f>
        <v>4169.88</v>
      </c>
      <c r="N62" s="90">
        <v>44</v>
      </c>
      <c r="O62" s="172">
        <f>M62+(F62*N62)</f>
        <v>4169.88</v>
      </c>
      <c r="P62" s="172"/>
      <c r="Q62" s="51" t="s">
        <v>29</v>
      </c>
      <c r="R62" s="71" t="s">
        <v>48</v>
      </c>
      <c r="S62" s="138" t="str">
        <f>CONCATENATE(Q62,R62,AB62)</f>
        <v>BPD2012</v>
      </c>
      <c r="T62" s="138" t="str">
        <f>CONCATENATE(Q62,U62,AB62)</f>
        <v>B1.2.4.1.4.12012</v>
      </c>
      <c r="U62" s="138" t="s">
        <v>219</v>
      </c>
      <c r="V62" s="138" t="str">
        <f t="shared" si="49"/>
        <v>Type 1 (Bulkhead to RDO Crate)</v>
      </c>
      <c r="AB62" s="32">
        <v>2012</v>
      </c>
      <c r="AC62" s="132">
        <f t="shared" ref="AC62:AG63" si="54">IF($Q62="B", (G62*$N62),0)</f>
        <v>0</v>
      </c>
      <c r="AD62" s="132">
        <f t="shared" si="54"/>
        <v>44</v>
      </c>
      <c r="AE62" s="132">
        <f t="shared" si="54"/>
        <v>0</v>
      </c>
      <c r="AF62" s="132">
        <f t="shared" si="54"/>
        <v>0</v>
      </c>
      <c r="AG62" s="132">
        <f t="shared" si="54"/>
        <v>4.4000000000000004</v>
      </c>
      <c r="AH62" s="226">
        <f>IF($Q62="B", (F62*$N62),0)</f>
        <v>0</v>
      </c>
      <c r="AI62" s="227"/>
      <c r="AJ62" s="90"/>
      <c r="AK62" s="90"/>
      <c r="AL62" s="168"/>
      <c r="AM62" s="131">
        <f t="shared" ref="AM62:AQ63" si="55">IF($Q62="C", (G62*$N62),0)</f>
        <v>0</v>
      </c>
      <c r="AN62" s="132">
        <f t="shared" si="55"/>
        <v>0</v>
      </c>
      <c r="AO62" s="132">
        <f t="shared" si="55"/>
        <v>0</v>
      </c>
      <c r="AP62" s="132">
        <f t="shared" si="55"/>
        <v>0</v>
      </c>
      <c r="AQ62" s="132">
        <f t="shared" si="55"/>
        <v>0</v>
      </c>
      <c r="AR62" s="132">
        <f>IF($Q62="C", (F62*$N62),0)</f>
        <v>0</v>
      </c>
      <c r="AS62" s="227"/>
    </row>
    <row r="63" spans="1:45" s="19" customFormat="1">
      <c r="A63" s="45" t="s">
        <v>281</v>
      </c>
      <c r="B63" s="19" t="s">
        <v>9</v>
      </c>
      <c r="C63" s="167">
        <v>1</v>
      </c>
      <c r="D63" s="94" t="s">
        <v>9</v>
      </c>
      <c r="E63" s="170">
        <v>10</v>
      </c>
      <c r="F63" s="169">
        <f>E63*C63</f>
        <v>10</v>
      </c>
      <c r="G63" s="170">
        <v>0</v>
      </c>
      <c r="H63" s="170">
        <v>0.5</v>
      </c>
      <c r="I63" s="170">
        <v>1</v>
      </c>
      <c r="J63" s="170">
        <v>0.1</v>
      </c>
      <c r="K63" s="170">
        <v>0.1</v>
      </c>
      <c r="L63" s="94" t="s">
        <v>8</v>
      </c>
      <c r="M63" s="168">
        <f>IF(R63="PD",((Shop*G63)+(M_Tech*H63)+(CMM*I63)+(ENG*J63)+(DES*K63))*N63,((Shop_RD*G63)+(MTECH_RD*H63)+(CMM_RD*I63)+(ENG_RD*J63)+(DES_RD*K63))*N63)</f>
        <v>2738.6100000000006</v>
      </c>
      <c r="N63" s="90">
        <v>46</v>
      </c>
      <c r="O63" s="172">
        <f>M63+(F63*N63)</f>
        <v>3198.6100000000006</v>
      </c>
      <c r="P63" s="172"/>
      <c r="Q63" s="51" t="s">
        <v>29</v>
      </c>
      <c r="R63" s="71" t="s">
        <v>48</v>
      </c>
      <c r="S63" s="138" t="str">
        <f>CONCATENATE(Q63,R63,AB63)</f>
        <v>BPD2012</v>
      </c>
      <c r="T63" s="138" t="str">
        <f>CONCATENATE(Q63,U63,AB63)</f>
        <v>B1.2.4.1.3.32012</v>
      </c>
      <c r="U63" s="138" t="s">
        <v>183</v>
      </c>
      <c r="V63" s="138" t="str">
        <f t="shared" si="49"/>
        <v>Data/Control Fibers</v>
      </c>
      <c r="AB63" s="32">
        <v>2012</v>
      </c>
      <c r="AC63" s="132">
        <f t="shared" si="54"/>
        <v>0</v>
      </c>
      <c r="AD63" s="132">
        <f t="shared" si="54"/>
        <v>23</v>
      </c>
      <c r="AE63" s="132">
        <f t="shared" si="54"/>
        <v>46</v>
      </c>
      <c r="AF63" s="132">
        <f t="shared" si="54"/>
        <v>4.6000000000000005</v>
      </c>
      <c r="AG63" s="132">
        <f t="shared" si="54"/>
        <v>4.6000000000000005</v>
      </c>
      <c r="AH63" s="226">
        <f>IF($Q63="B", (F63*$N63),0)</f>
        <v>460</v>
      </c>
      <c r="AI63" s="227"/>
      <c r="AJ63" s="90"/>
      <c r="AK63" s="90"/>
      <c r="AL63" s="168"/>
      <c r="AM63" s="131">
        <f t="shared" si="55"/>
        <v>0</v>
      </c>
      <c r="AN63" s="132">
        <f t="shared" si="55"/>
        <v>0</v>
      </c>
      <c r="AO63" s="132">
        <f t="shared" si="55"/>
        <v>0</v>
      </c>
      <c r="AP63" s="132">
        <f t="shared" si="55"/>
        <v>0</v>
      </c>
      <c r="AQ63" s="132">
        <f t="shared" si="55"/>
        <v>0</v>
      </c>
      <c r="AR63" s="132">
        <f>IF($Q63="C", (F63*$N63),0)</f>
        <v>0</v>
      </c>
      <c r="AS63" s="227"/>
    </row>
    <row r="64" spans="1:45" s="19" customFormat="1">
      <c r="A64" s="45" t="s">
        <v>227</v>
      </c>
      <c r="B64" s="94" t="s">
        <v>9</v>
      </c>
      <c r="C64" s="167">
        <v>1</v>
      </c>
      <c r="D64" s="94" t="s">
        <v>9</v>
      </c>
      <c r="E64" s="170">
        <v>2000</v>
      </c>
      <c r="F64" s="169">
        <f t="shared" si="44"/>
        <v>2000</v>
      </c>
      <c r="G64" s="170">
        <v>4</v>
      </c>
      <c r="H64" s="170">
        <v>8</v>
      </c>
      <c r="I64" s="170">
        <v>32</v>
      </c>
      <c r="J64" s="170">
        <v>8</v>
      </c>
      <c r="K64" s="170">
        <v>16</v>
      </c>
      <c r="L64" s="94" t="s">
        <v>8</v>
      </c>
      <c r="M64" s="168">
        <f t="shared" si="45"/>
        <v>2138.4</v>
      </c>
      <c r="N64" s="90">
        <v>1</v>
      </c>
      <c r="O64" s="172">
        <f t="shared" si="46"/>
        <v>4138.3999999999996</v>
      </c>
      <c r="P64" s="172"/>
      <c r="Q64" s="51" t="s">
        <v>30</v>
      </c>
      <c r="R64" s="71" t="s">
        <v>48</v>
      </c>
      <c r="S64" s="138" t="str">
        <f t="shared" si="47"/>
        <v>CPD2012</v>
      </c>
      <c r="T64" s="138" t="str">
        <f t="shared" si="48"/>
        <v>C1.2.4.1.4.12012</v>
      </c>
      <c r="U64" s="138" t="s">
        <v>219</v>
      </c>
      <c r="V64" s="138" t="str">
        <f t="shared" si="49"/>
        <v>Type 1 (Bulkhead to RDO Crate)</v>
      </c>
      <c r="AB64" s="32">
        <v>2012</v>
      </c>
      <c r="AC64" s="132">
        <f t="shared" si="50"/>
        <v>0</v>
      </c>
      <c r="AD64" s="132">
        <f t="shared" si="50"/>
        <v>0</v>
      </c>
      <c r="AE64" s="132">
        <f t="shared" si="50"/>
        <v>0</v>
      </c>
      <c r="AF64" s="132">
        <f t="shared" si="50"/>
        <v>0</v>
      </c>
      <c r="AG64" s="132">
        <f t="shared" si="50"/>
        <v>0</v>
      </c>
      <c r="AH64" s="226">
        <f t="shared" si="51"/>
        <v>0</v>
      </c>
      <c r="AI64" s="227"/>
      <c r="AJ64" s="90"/>
      <c r="AK64" s="90"/>
      <c r="AL64" s="168"/>
      <c r="AM64" s="131">
        <f t="shared" si="52"/>
        <v>4</v>
      </c>
      <c r="AN64" s="132">
        <f t="shared" si="52"/>
        <v>8</v>
      </c>
      <c r="AO64" s="132">
        <f t="shared" si="52"/>
        <v>32</v>
      </c>
      <c r="AP64" s="132">
        <f t="shared" si="52"/>
        <v>8</v>
      </c>
      <c r="AQ64" s="132">
        <f t="shared" si="52"/>
        <v>16</v>
      </c>
      <c r="AR64" s="132">
        <f t="shared" si="53"/>
        <v>2000</v>
      </c>
      <c r="AS64" s="227"/>
    </row>
    <row r="65" spans="1:45" s="19" customFormat="1">
      <c r="A65" s="46" t="s">
        <v>248</v>
      </c>
      <c r="C65" s="167"/>
      <c r="D65" s="94"/>
      <c r="E65" s="60"/>
      <c r="F65" s="61"/>
      <c r="G65" s="62"/>
      <c r="H65" s="62"/>
      <c r="I65" s="62"/>
      <c r="J65" s="62"/>
      <c r="K65" s="63"/>
      <c r="L65" s="209" t="s">
        <v>41</v>
      </c>
      <c r="M65" s="180">
        <f>SUMIF(Q58:Q64,"B",M58:M64)</f>
        <v>33434.37000000001</v>
      </c>
      <c r="N65" s="65" t="s">
        <v>40</v>
      </c>
      <c r="O65" s="172"/>
      <c r="P65" s="172"/>
      <c r="Q65" s="51"/>
      <c r="R65" s="71"/>
      <c r="S65" s="138"/>
      <c r="T65" s="138"/>
      <c r="U65" s="138"/>
      <c r="V65" s="138"/>
      <c r="AB65" s="32"/>
      <c r="AC65" s="132"/>
      <c r="AD65" s="132"/>
      <c r="AE65" s="135"/>
      <c r="AF65" s="132"/>
      <c r="AG65" s="132"/>
      <c r="AH65" s="226"/>
      <c r="AI65" s="227"/>
      <c r="AJ65" s="132"/>
      <c r="AK65" s="132"/>
      <c r="AL65" s="168"/>
      <c r="AM65" s="131"/>
      <c r="AN65" s="132"/>
      <c r="AO65" s="132"/>
      <c r="AP65" s="132"/>
      <c r="AQ65" s="132"/>
      <c r="AR65" s="132"/>
      <c r="AS65" s="227"/>
    </row>
    <row r="66" spans="1:45" s="19" customFormat="1">
      <c r="A66" s="45" t="s">
        <v>240</v>
      </c>
      <c r="B66" s="19" t="s">
        <v>9</v>
      </c>
      <c r="C66" s="167">
        <v>1</v>
      </c>
      <c r="D66" s="94" t="s">
        <v>9</v>
      </c>
      <c r="E66" s="170">
        <v>1000</v>
      </c>
      <c r="F66" s="169">
        <f>E66*C66</f>
        <v>1000</v>
      </c>
      <c r="G66" s="170">
        <v>0</v>
      </c>
      <c r="H66" s="170">
        <v>40</v>
      </c>
      <c r="I66" s="170">
        <v>16</v>
      </c>
      <c r="J66" s="170">
        <v>8</v>
      </c>
      <c r="K66" s="170">
        <v>8</v>
      </c>
      <c r="L66" s="94" t="s">
        <v>8</v>
      </c>
      <c r="M66" s="168">
        <f>IF(R66="PD",((Shop*G66)+(M_Tech*H66)+(CMM*I66)+(ENG*J66)+(DES*K66))*N66,((Shop_RD*G66)+(MTECH_RD*H66)+(CMM_RD*I66)+(ENG_RD*J66)+(DES_RD*K66))*N66)</f>
        <v>4762.8</v>
      </c>
      <c r="N66" s="90">
        <v>1</v>
      </c>
      <c r="O66" s="172">
        <f>M66+(F66*N66)</f>
        <v>5762.8</v>
      </c>
      <c r="P66" s="172"/>
      <c r="Q66" s="51" t="s">
        <v>29</v>
      </c>
      <c r="R66" s="71" t="s">
        <v>48</v>
      </c>
      <c r="S66" s="138" t="str">
        <f>CONCATENATE(Q66,R66,AB66)</f>
        <v>BPD2012</v>
      </c>
      <c r="T66" s="138" t="str">
        <f>CONCATENATE(Q66,U66,AB66)</f>
        <v>B1.2.4.1.4.22012</v>
      </c>
      <c r="U66" s="138" t="s">
        <v>220</v>
      </c>
      <c r="V66" s="138" t="str">
        <f>LOOKUP(U66,$B$156:$B$182,$A$156:$A$182)</f>
        <v>Type 2 (RDO to PS)</v>
      </c>
      <c r="AB66" s="32">
        <v>2012</v>
      </c>
      <c r="AC66" s="132">
        <f t="shared" ref="AC66:AG69" si="56">IF($Q66="B", (G66*$N66),0)</f>
        <v>0</v>
      </c>
      <c r="AD66" s="132">
        <f t="shared" si="56"/>
        <v>40</v>
      </c>
      <c r="AE66" s="132">
        <f t="shared" si="56"/>
        <v>16</v>
      </c>
      <c r="AF66" s="132">
        <f t="shared" si="56"/>
        <v>8</v>
      </c>
      <c r="AG66" s="132">
        <f t="shared" si="56"/>
        <v>8</v>
      </c>
      <c r="AH66" s="226">
        <f>IF($Q66="B", (F66*$N66),0)</f>
        <v>1000</v>
      </c>
      <c r="AI66" s="227"/>
      <c r="AJ66" s="90"/>
      <c r="AK66" s="90"/>
      <c r="AL66" s="168"/>
      <c r="AM66" s="131">
        <f t="shared" ref="AM66:AQ69" si="57">IF($Q66="C", (G66*$N66),0)</f>
        <v>0</v>
      </c>
      <c r="AN66" s="132">
        <f t="shared" si="57"/>
        <v>0</v>
      </c>
      <c r="AO66" s="132">
        <f t="shared" si="57"/>
        <v>0</v>
      </c>
      <c r="AP66" s="132">
        <f t="shared" si="57"/>
        <v>0</v>
      </c>
      <c r="AQ66" s="132">
        <f t="shared" si="57"/>
        <v>0</v>
      </c>
      <c r="AR66" s="132">
        <f>IF($Q66="C", (F66*$N66),0)</f>
        <v>0</v>
      </c>
      <c r="AS66" s="227"/>
    </row>
    <row r="67" spans="1:45" s="19" customFormat="1">
      <c r="A67" s="45" t="s">
        <v>239</v>
      </c>
      <c r="B67" s="19" t="s">
        <v>9</v>
      </c>
      <c r="C67" s="167">
        <v>1</v>
      </c>
      <c r="D67" s="94" t="s">
        <v>9</v>
      </c>
      <c r="E67" s="170">
        <v>400</v>
      </c>
      <c r="F67" s="169">
        <f>E67*C67</f>
        <v>400</v>
      </c>
      <c r="G67" s="170">
        <v>0</v>
      </c>
      <c r="H67" s="170">
        <v>8</v>
      </c>
      <c r="I67" s="170">
        <v>8</v>
      </c>
      <c r="J67" s="170">
        <v>0</v>
      </c>
      <c r="K67" s="170">
        <v>8</v>
      </c>
      <c r="L67" s="94" t="s">
        <v>8</v>
      </c>
      <c r="M67" s="168">
        <f>IF(R67="PD",((Shop*G67)+(M_Tech*H67)+(CMM*I67)+(ENG*J67)+(DES*K67))*N67,((Shop_RD*G67)+(MTECH_RD*H67)+(CMM_RD*I67)+(ENG_RD*J67)+(DES_RD*K67))*N67)</f>
        <v>758.16000000000008</v>
      </c>
      <c r="N67" s="90">
        <v>1</v>
      </c>
      <c r="O67" s="172">
        <f>M67+(F67*N67)</f>
        <v>1158.1600000000001</v>
      </c>
      <c r="P67" s="172"/>
      <c r="Q67" s="51" t="s">
        <v>29</v>
      </c>
      <c r="R67" s="71" t="s">
        <v>48</v>
      </c>
      <c r="S67" s="138" t="str">
        <f>CONCATENATE(Q67,R67,AB67)</f>
        <v>BPD2012</v>
      </c>
      <c r="T67" s="138" t="str">
        <f>CONCATENATE(Q67,U67,AB67)</f>
        <v>B1.2.4.1.4.22012</v>
      </c>
      <c r="U67" s="138" t="s">
        <v>220</v>
      </c>
      <c r="V67" s="138" t="str">
        <f>LOOKUP(U67,$B$156:$B$182,$A$156:$A$182)</f>
        <v>Type 2 (RDO to PS)</v>
      </c>
      <c r="AB67" s="32">
        <v>2012</v>
      </c>
      <c r="AC67" s="132">
        <f t="shared" si="56"/>
        <v>0</v>
      </c>
      <c r="AD67" s="132">
        <f t="shared" si="56"/>
        <v>8</v>
      </c>
      <c r="AE67" s="132">
        <f t="shared" si="56"/>
        <v>8</v>
      </c>
      <c r="AF67" s="132">
        <f t="shared" si="56"/>
        <v>0</v>
      </c>
      <c r="AG67" s="132">
        <f t="shared" si="56"/>
        <v>8</v>
      </c>
      <c r="AH67" s="226">
        <f>IF($Q67="B", (F67*$N67),0)</f>
        <v>400</v>
      </c>
      <c r="AI67" s="227"/>
      <c r="AJ67" s="90"/>
      <c r="AK67" s="90"/>
      <c r="AL67" s="168"/>
      <c r="AM67" s="131">
        <f t="shared" si="57"/>
        <v>0</v>
      </c>
      <c r="AN67" s="132">
        <f t="shared" si="57"/>
        <v>0</v>
      </c>
      <c r="AO67" s="132">
        <f t="shared" si="57"/>
        <v>0</v>
      </c>
      <c r="AP67" s="132">
        <f t="shared" si="57"/>
        <v>0</v>
      </c>
      <c r="AQ67" s="132">
        <f t="shared" si="57"/>
        <v>0</v>
      </c>
      <c r="AR67" s="132">
        <f>IF($Q67="C", (F67*$N67),0)</f>
        <v>0</v>
      </c>
      <c r="AS67" s="227"/>
    </row>
    <row r="68" spans="1:45" s="19" customFormat="1">
      <c r="A68" s="45" t="s">
        <v>226</v>
      </c>
      <c r="B68" s="19" t="s">
        <v>9</v>
      </c>
      <c r="C68" s="167">
        <v>1</v>
      </c>
      <c r="D68" s="94" t="s">
        <v>9</v>
      </c>
      <c r="E68" s="170">
        <v>0</v>
      </c>
      <c r="F68" s="169">
        <f>E68*C68</f>
        <v>0</v>
      </c>
      <c r="G68" s="170">
        <v>0</v>
      </c>
      <c r="H68" s="170">
        <v>8</v>
      </c>
      <c r="I68" s="170">
        <v>16</v>
      </c>
      <c r="J68" s="170">
        <v>0</v>
      </c>
      <c r="K68" s="170">
        <v>8</v>
      </c>
      <c r="L68" s="94" t="s">
        <v>8</v>
      </c>
      <c r="M68" s="168">
        <f>IF(R68="PD",((Shop*G68)+(M_Tech*H68)+(CMM*I68)+(ENG*J68)+(DES*K68))*N68,((Shop_RD*G68)+(MTECH_RD*H68)+(CMM_RD*I68)+(ENG_RD*J68)+(DES_RD*K68))*N68)</f>
        <v>758.16000000000008</v>
      </c>
      <c r="N68" s="90">
        <v>1</v>
      </c>
      <c r="O68" s="172">
        <f>M68+(F68*N68)</f>
        <v>758.16000000000008</v>
      </c>
      <c r="P68" s="172"/>
      <c r="Q68" s="51" t="s">
        <v>29</v>
      </c>
      <c r="R68" s="71" t="s">
        <v>48</v>
      </c>
      <c r="S68" s="138" t="str">
        <f>CONCATENATE(Q68,R68,AB68)</f>
        <v>BPD2012</v>
      </c>
      <c r="T68" s="138" t="str">
        <f>CONCATENATE(Q68,U68,AB68)</f>
        <v>B1.2.4.1.4.22012</v>
      </c>
      <c r="U68" s="138" t="s">
        <v>220</v>
      </c>
      <c r="V68" s="138" t="str">
        <f>LOOKUP(U68,$B$156:$B$182,$A$156:$A$182)</f>
        <v>Type 2 (RDO to PS)</v>
      </c>
      <c r="AB68" s="32">
        <v>2012</v>
      </c>
      <c r="AC68" s="132">
        <f t="shared" si="56"/>
        <v>0</v>
      </c>
      <c r="AD68" s="132">
        <f t="shared" si="56"/>
        <v>8</v>
      </c>
      <c r="AE68" s="132">
        <f t="shared" si="56"/>
        <v>16</v>
      </c>
      <c r="AF68" s="132">
        <f t="shared" si="56"/>
        <v>0</v>
      </c>
      <c r="AG68" s="132">
        <f t="shared" si="56"/>
        <v>8</v>
      </c>
      <c r="AH68" s="226">
        <f>IF($Q68="B", (F68*$N68),0)</f>
        <v>0</v>
      </c>
      <c r="AI68" s="227"/>
      <c r="AJ68" s="90"/>
      <c r="AK68" s="90"/>
      <c r="AL68" s="168"/>
      <c r="AM68" s="131">
        <f t="shared" si="57"/>
        <v>0</v>
      </c>
      <c r="AN68" s="132">
        <f t="shared" si="57"/>
        <v>0</v>
      </c>
      <c r="AO68" s="132">
        <f t="shared" si="57"/>
        <v>0</v>
      </c>
      <c r="AP68" s="132">
        <f t="shared" si="57"/>
        <v>0</v>
      </c>
      <c r="AQ68" s="132">
        <f t="shared" si="57"/>
        <v>0</v>
      </c>
      <c r="AR68" s="132">
        <f>IF($Q68="C", (F68*$N68),0)</f>
        <v>0</v>
      </c>
      <c r="AS68" s="227"/>
    </row>
    <row r="69" spans="1:45" s="133" customFormat="1">
      <c r="A69" s="45" t="s">
        <v>227</v>
      </c>
      <c r="B69" s="94" t="s">
        <v>9</v>
      </c>
      <c r="C69" s="167">
        <v>1</v>
      </c>
      <c r="D69" s="94" t="s">
        <v>9</v>
      </c>
      <c r="E69" s="170">
        <v>500</v>
      </c>
      <c r="F69" s="169">
        <f>E69*C69</f>
        <v>500</v>
      </c>
      <c r="G69" s="170">
        <v>0</v>
      </c>
      <c r="H69" s="170">
        <v>8</v>
      </c>
      <c r="I69" s="170">
        <v>8</v>
      </c>
      <c r="J69" s="170">
        <v>4</v>
      </c>
      <c r="K69" s="170">
        <v>8</v>
      </c>
      <c r="L69" s="94" t="s">
        <v>8</v>
      </c>
      <c r="M69" s="168">
        <f>IF(R69="PD",((Shop*G69)+(M_Tech*H69)+(CMM*I69)+(ENG*J69)+(DES*K69))*N69,((Shop_RD*G69)+(MTECH_RD*H69)+(CMM_RD*I69)+(ENG_RD*J69)+(DES_RD*K69))*N69)</f>
        <v>1244.1600000000001</v>
      </c>
      <c r="N69" s="90">
        <v>1</v>
      </c>
      <c r="O69" s="172">
        <f>M69+(F69*N69)</f>
        <v>1744.16</v>
      </c>
      <c r="P69" s="172"/>
      <c r="Q69" s="51" t="s">
        <v>30</v>
      </c>
      <c r="R69" s="71" t="s">
        <v>48</v>
      </c>
      <c r="S69" s="138" t="str">
        <f>CONCATENATE(Q69,R69,AB69)</f>
        <v>CPD2012</v>
      </c>
      <c r="T69" s="138" t="str">
        <f>CONCATENATE(Q69,U69,AB69)</f>
        <v>C1.2.4.1.4.22012</v>
      </c>
      <c r="U69" s="138" t="s">
        <v>220</v>
      </c>
      <c r="V69" s="138" t="str">
        <f>LOOKUP(U69,$B$156:$B$182,$A$156:$A$182)</f>
        <v>Type 2 (RDO to PS)</v>
      </c>
      <c r="W69" s="19"/>
      <c r="X69" s="19"/>
      <c r="Y69" s="19"/>
      <c r="Z69" s="19"/>
      <c r="AA69" s="19"/>
      <c r="AB69" s="32">
        <v>2012</v>
      </c>
      <c r="AC69" s="132">
        <f t="shared" si="56"/>
        <v>0</v>
      </c>
      <c r="AD69" s="132">
        <f t="shared" si="56"/>
        <v>0</v>
      </c>
      <c r="AE69" s="132">
        <f t="shared" si="56"/>
        <v>0</v>
      </c>
      <c r="AF69" s="132">
        <f t="shared" si="56"/>
        <v>0</v>
      </c>
      <c r="AG69" s="132">
        <f t="shared" si="56"/>
        <v>0</v>
      </c>
      <c r="AH69" s="226">
        <f>IF($Q69="B", (F69*$N69),0)</f>
        <v>0</v>
      </c>
      <c r="AI69" s="227"/>
      <c r="AJ69" s="90"/>
      <c r="AK69" s="90"/>
      <c r="AL69" s="168"/>
      <c r="AM69" s="131">
        <f t="shared" si="57"/>
        <v>0</v>
      </c>
      <c r="AN69" s="132">
        <f t="shared" si="57"/>
        <v>8</v>
      </c>
      <c r="AO69" s="132">
        <f t="shared" si="57"/>
        <v>8</v>
      </c>
      <c r="AP69" s="132">
        <f t="shared" si="57"/>
        <v>4</v>
      </c>
      <c r="AQ69" s="132">
        <f t="shared" si="57"/>
        <v>8</v>
      </c>
      <c r="AR69" s="132">
        <f>IF($Q69="C", (F69*$N69),0)</f>
        <v>500</v>
      </c>
      <c r="AS69" s="228"/>
    </row>
    <row r="70" spans="1:45" s="19" customFormat="1">
      <c r="A70" s="46" t="s">
        <v>217</v>
      </c>
      <c r="C70" s="167"/>
      <c r="D70" s="94"/>
      <c r="E70" s="60"/>
      <c r="F70" s="61"/>
      <c r="G70" s="62"/>
      <c r="H70" s="62"/>
      <c r="I70" s="62"/>
      <c r="J70" s="62"/>
      <c r="K70" s="63"/>
      <c r="L70" s="209" t="s">
        <v>41</v>
      </c>
      <c r="M70" s="180">
        <f>SUMIF(Q26:Q38,"B",M26:M38)</f>
        <v>48402.528000000006</v>
      </c>
      <c r="N70" s="65" t="s">
        <v>40</v>
      </c>
      <c r="O70" s="172"/>
      <c r="P70" s="172"/>
      <c r="Q70" s="51"/>
      <c r="R70" s="71"/>
      <c r="S70" s="138"/>
      <c r="T70" s="138"/>
      <c r="U70" s="138"/>
      <c r="V70" s="138"/>
      <c r="AB70" s="32"/>
      <c r="AC70" s="132"/>
      <c r="AD70" s="132"/>
      <c r="AE70" s="135"/>
      <c r="AF70" s="132"/>
      <c r="AG70" s="132"/>
      <c r="AH70" s="226"/>
      <c r="AI70" s="227"/>
      <c r="AJ70" s="132"/>
      <c r="AK70" s="132"/>
      <c r="AL70" s="168"/>
      <c r="AM70" s="131"/>
      <c r="AN70" s="132"/>
      <c r="AO70" s="132"/>
      <c r="AP70" s="132"/>
      <c r="AQ70" s="132"/>
      <c r="AR70" s="132"/>
      <c r="AS70" s="227"/>
    </row>
    <row r="71" spans="1:45" s="19" customFormat="1">
      <c r="A71" s="45" t="s">
        <v>242</v>
      </c>
      <c r="B71" s="19" t="s">
        <v>9</v>
      </c>
      <c r="C71" s="167">
        <v>14</v>
      </c>
      <c r="D71" s="94" t="s">
        <v>9</v>
      </c>
      <c r="E71" s="170">
        <v>300</v>
      </c>
      <c r="F71" s="169">
        <f>E71*C71</f>
        <v>4200</v>
      </c>
      <c r="G71" s="170">
        <v>0</v>
      </c>
      <c r="H71" s="170">
        <v>0</v>
      </c>
      <c r="I71" s="170">
        <v>0</v>
      </c>
      <c r="J71" s="170">
        <v>0</v>
      </c>
      <c r="K71" s="170">
        <v>16</v>
      </c>
      <c r="L71" s="94" t="s">
        <v>8</v>
      </c>
      <c r="M71" s="168">
        <f>IF(R71="PD",((Shop*G71)+(M_Tech*H71)+(CMM*I71)+(ENG*J71)+(DES*K71))*N71,((Shop_RD*G71)+(MTECH_RD*H71)+(CMM_RD*I71)+(ENG_RD*J71)+(DES_RD*K71))*N71)</f>
        <v>0</v>
      </c>
      <c r="N71" s="90">
        <v>1</v>
      </c>
      <c r="O71" s="172">
        <f>M71+(F71*N71)</f>
        <v>4200</v>
      </c>
      <c r="P71" s="172"/>
      <c r="Q71" s="51" t="s">
        <v>29</v>
      </c>
      <c r="R71" s="71" t="s">
        <v>48</v>
      </c>
      <c r="S71" s="138" t="str">
        <f>CONCATENATE(Q71,R71,AB71)</f>
        <v>BPD2012</v>
      </c>
      <c r="T71" s="138" t="str">
        <f>CONCATENATE(Q71,U71,AB71)</f>
        <v>B1.2.4.1.4.32012</v>
      </c>
      <c r="U71" s="138" t="s">
        <v>221</v>
      </c>
      <c r="V71" s="138" t="str">
        <f>LOOKUP(U71,$B$156:$B$182,$A$156:$A$182)</f>
        <v>Data/Control Fibers</v>
      </c>
      <c r="AB71" s="32">
        <v>2012</v>
      </c>
      <c r="AC71" s="132">
        <f t="shared" ref="AC71:AG73" si="58">IF($Q71="B", (G71*$N71),0)</f>
        <v>0</v>
      </c>
      <c r="AD71" s="132">
        <f t="shared" si="58"/>
        <v>0</v>
      </c>
      <c r="AE71" s="132">
        <f t="shared" si="58"/>
        <v>0</v>
      </c>
      <c r="AF71" s="132">
        <f t="shared" si="58"/>
        <v>0</v>
      </c>
      <c r="AG71" s="132">
        <f t="shared" si="58"/>
        <v>16</v>
      </c>
      <c r="AH71" s="226">
        <f>IF($Q71="B", (F71*$N71),0)</f>
        <v>4200</v>
      </c>
      <c r="AI71" s="227"/>
      <c r="AJ71" s="90"/>
      <c r="AK71" s="90"/>
      <c r="AL71" s="168"/>
      <c r="AM71" s="131">
        <f t="shared" ref="AM71:AQ73" si="59">IF($Q71="C", (G71*$N71),0)</f>
        <v>0</v>
      </c>
      <c r="AN71" s="132">
        <f t="shared" si="59"/>
        <v>0</v>
      </c>
      <c r="AO71" s="132">
        <f t="shared" si="59"/>
        <v>0</v>
      </c>
      <c r="AP71" s="132">
        <f t="shared" si="59"/>
        <v>0</v>
      </c>
      <c r="AQ71" s="132">
        <f t="shared" si="59"/>
        <v>0</v>
      </c>
      <c r="AR71" s="132">
        <f>IF($Q71="C", (F71*$N71),0)</f>
        <v>0</v>
      </c>
      <c r="AS71" s="227"/>
    </row>
    <row r="72" spans="1:45" s="19" customFormat="1">
      <c r="A72" s="45" t="s">
        <v>226</v>
      </c>
      <c r="B72" s="19" t="s">
        <v>9</v>
      </c>
      <c r="C72" s="167">
        <v>1</v>
      </c>
      <c r="D72" s="94" t="s">
        <v>9</v>
      </c>
      <c r="E72" s="170">
        <v>0</v>
      </c>
      <c r="F72" s="169">
        <f>E72*C72</f>
        <v>0</v>
      </c>
      <c r="G72" s="170">
        <v>0</v>
      </c>
      <c r="H72" s="170">
        <v>1</v>
      </c>
      <c r="I72" s="170">
        <v>0</v>
      </c>
      <c r="J72" s="170">
        <v>0</v>
      </c>
      <c r="K72" s="170">
        <v>0</v>
      </c>
      <c r="L72" s="94" t="s">
        <v>8</v>
      </c>
      <c r="M72" s="168">
        <f>IF(R72="PD",((Shop*G72)+(M_Tech*H72)+(CMM*I72)+(ENG*J72)+(DES*K72))*N72,((Shop_RD*G72)+(MTECH_RD*H72)+(CMM_RD*I72)+(ENG_RD*J72)+(DES_RD*K72))*N72)</f>
        <v>1326.7800000000002</v>
      </c>
      <c r="N72" s="90">
        <v>14</v>
      </c>
      <c r="O72" s="172">
        <f>M72+(F72*N72)</f>
        <v>1326.7800000000002</v>
      </c>
      <c r="P72" s="172"/>
      <c r="Q72" s="51" t="s">
        <v>29</v>
      </c>
      <c r="R72" s="71" t="s">
        <v>48</v>
      </c>
      <c r="S72" s="138" t="str">
        <f>CONCATENATE(Q72,R72,AB72)</f>
        <v>BPD2012</v>
      </c>
      <c r="T72" s="138" t="str">
        <f>CONCATENATE(Q72,U72,AB72)</f>
        <v>B1.2.4.1.4.32012</v>
      </c>
      <c r="U72" s="138" t="s">
        <v>221</v>
      </c>
      <c r="V72" s="138" t="str">
        <f>LOOKUP(U72,$B$156:$B$182,$A$156:$A$182)</f>
        <v>Data/Control Fibers</v>
      </c>
      <c r="AB72" s="32">
        <v>2012</v>
      </c>
      <c r="AC72" s="132">
        <f t="shared" si="58"/>
        <v>0</v>
      </c>
      <c r="AD72" s="132">
        <f t="shared" si="58"/>
        <v>14</v>
      </c>
      <c r="AE72" s="132">
        <f t="shared" si="58"/>
        <v>0</v>
      </c>
      <c r="AF72" s="132">
        <f t="shared" si="58"/>
        <v>0</v>
      </c>
      <c r="AG72" s="132">
        <f t="shared" si="58"/>
        <v>0</v>
      </c>
      <c r="AH72" s="226">
        <f>IF($Q72="B", (F72*$N72),0)</f>
        <v>0</v>
      </c>
      <c r="AI72" s="227"/>
      <c r="AJ72" s="90"/>
      <c r="AK72" s="90"/>
      <c r="AL72" s="168"/>
      <c r="AM72" s="131">
        <f t="shared" si="59"/>
        <v>0</v>
      </c>
      <c r="AN72" s="132">
        <f t="shared" si="59"/>
        <v>0</v>
      </c>
      <c r="AO72" s="132">
        <f t="shared" si="59"/>
        <v>0</v>
      </c>
      <c r="AP72" s="132">
        <f t="shared" si="59"/>
        <v>0</v>
      </c>
      <c r="AQ72" s="132">
        <f t="shared" si="59"/>
        <v>0</v>
      </c>
      <c r="AR72" s="132">
        <f>IF($Q72="C", (F72*$N72),0)</f>
        <v>0</v>
      </c>
      <c r="AS72" s="227"/>
    </row>
    <row r="73" spans="1:45" s="19" customFormat="1">
      <c r="A73" s="45" t="s">
        <v>227</v>
      </c>
      <c r="B73" s="19" t="s">
        <v>9</v>
      </c>
      <c r="C73" s="167">
        <v>1</v>
      </c>
      <c r="D73" s="94" t="s">
        <v>9</v>
      </c>
      <c r="E73" s="170">
        <v>600</v>
      </c>
      <c r="F73" s="169">
        <f>E73*C73</f>
        <v>600</v>
      </c>
      <c r="G73" s="170">
        <v>0</v>
      </c>
      <c r="H73" s="170">
        <v>4</v>
      </c>
      <c r="I73" s="170">
        <v>0</v>
      </c>
      <c r="J73" s="170">
        <v>0</v>
      </c>
      <c r="K73" s="170">
        <v>8</v>
      </c>
      <c r="L73" s="94" t="s">
        <v>8</v>
      </c>
      <c r="M73" s="168">
        <f>IF(R73="PD",((Shop*G73)+(M_Tech*H73)+(CMM*I73)+(ENG*J73)+(DES*K73))*N73,((Shop_RD*G73)+(MTECH_RD*H73)+(CMM_RD*I73)+(ENG_RD*J73)+(DES_RD*K73))*N73)</f>
        <v>379.08000000000004</v>
      </c>
      <c r="N73" s="90">
        <v>1</v>
      </c>
      <c r="O73" s="172">
        <f>M73+(F73*N73)</f>
        <v>979.08</v>
      </c>
      <c r="P73" s="172"/>
      <c r="Q73" s="51" t="s">
        <v>30</v>
      </c>
      <c r="R73" s="71" t="s">
        <v>48</v>
      </c>
      <c r="S73" s="138" t="str">
        <f>CONCATENATE(Q73,R73,AB73)</f>
        <v>CPD2012</v>
      </c>
      <c r="T73" s="138" t="str">
        <f>CONCATENATE(Q73,U73,AB73)</f>
        <v>C1.2.4.1.4.32012</v>
      </c>
      <c r="U73" s="138" t="s">
        <v>221</v>
      </c>
      <c r="V73" s="138" t="str">
        <f>LOOKUP(U73,$B$156:$B$182,$A$156:$A$182)</f>
        <v>Data/Control Fibers</v>
      </c>
      <c r="AB73" s="32">
        <v>2012</v>
      </c>
      <c r="AC73" s="132">
        <f t="shared" si="58"/>
        <v>0</v>
      </c>
      <c r="AD73" s="132">
        <f t="shared" si="58"/>
        <v>0</v>
      </c>
      <c r="AE73" s="132">
        <f t="shared" si="58"/>
        <v>0</v>
      </c>
      <c r="AF73" s="132">
        <f t="shared" si="58"/>
        <v>0</v>
      </c>
      <c r="AG73" s="132">
        <f t="shared" si="58"/>
        <v>0</v>
      </c>
      <c r="AH73" s="226">
        <f>IF($Q73="B", (F73*$N73),0)</f>
        <v>0</v>
      </c>
      <c r="AI73" s="227"/>
      <c r="AJ73" s="90"/>
      <c r="AK73" s="90"/>
      <c r="AL73" s="168"/>
      <c r="AM73" s="131">
        <f t="shared" si="59"/>
        <v>0</v>
      </c>
      <c r="AN73" s="132">
        <f t="shared" si="59"/>
        <v>4</v>
      </c>
      <c r="AO73" s="132">
        <f t="shared" si="59"/>
        <v>0</v>
      </c>
      <c r="AP73" s="132">
        <f t="shared" si="59"/>
        <v>0</v>
      </c>
      <c r="AQ73" s="132">
        <f t="shared" si="59"/>
        <v>8</v>
      </c>
      <c r="AR73" s="132">
        <f>IF($Q73="C", (F73*$N73),0)</f>
        <v>600</v>
      </c>
      <c r="AS73" s="227"/>
    </row>
    <row r="74" spans="1:45">
      <c r="A74" s="20" t="s">
        <v>222</v>
      </c>
      <c r="B74" s="3"/>
      <c r="C74" s="173"/>
      <c r="D74" s="14"/>
      <c r="E74" s="174"/>
      <c r="F74" s="175"/>
      <c r="G74" s="173"/>
      <c r="H74" s="173"/>
      <c r="I74" s="173"/>
      <c r="J74" s="173"/>
      <c r="K74" s="176"/>
      <c r="L74" s="14"/>
      <c r="M74" s="174">
        <f>SUMIF(Q6:Q73,"B",M6:M73)</f>
        <v>156638.23200000005</v>
      </c>
      <c r="N74" s="280" t="s">
        <v>40</v>
      </c>
      <c r="O74" s="281"/>
      <c r="P74" s="282"/>
      <c r="Q74" s="52"/>
      <c r="R74" s="73"/>
      <c r="S74" s="139"/>
      <c r="T74" s="139"/>
      <c r="U74" s="139"/>
      <c r="V74" s="139"/>
      <c r="W74" s="3"/>
      <c r="X74" s="3"/>
      <c r="Y74" s="3"/>
      <c r="Z74" s="3"/>
      <c r="AA74" s="3"/>
      <c r="AB74" s="33"/>
      <c r="AC74" s="5">
        <f>SUM(AC6:AC73)</f>
        <v>9</v>
      </c>
      <c r="AD74" s="5">
        <f>SUM(AD6:AD73)</f>
        <v>1418.6000000000001</v>
      </c>
      <c r="AE74" s="5">
        <f>SUM(AE6:AE73)</f>
        <v>743</v>
      </c>
      <c r="AF74" s="5">
        <f>SUM(AF6:AF73)</f>
        <v>139.5</v>
      </c>
      <c r="AG74" s="5">
        <f>SUM(AG6:AG73)</f>
        <v>406.09999999999997</v>
      </c>
      <c r="AH74" s="174"/>
      <c r="AI74" s="175">
        <f>SUM(AH6:AH73)</f>
        <v>90810</v>
      </c>
      <c r="AJ74" s="174">
        <f>(Shop*AC74)+M_Tech*AD74+CMM*AE74+ENG*AF74+DES*AG74+AI74</f>
        <v>243118.51200000005</v>
      </c>
      <c r="AK74" s="174"/>
      <c r="AL74" s="175">
        <f>Shop*AM74+M_Tech*AN74+CMM*AO74+ENG*AP74+DES*AQ74+AS74</f>
        <v>52867.26</v>
      </c>
      <c r="AM74" s="5">
        <f>SUM(AM6:AM73)</f>
        <v>20</v>
      </c>
      <c r="AN74" s="5">
        <f>SUM(AN6:AN73)</f>
        <v>108</v>
      </c>
      <c r="AO74" s="5">
        <f>SUM(AO6:AO73)</f>
        <v>136</v>
      </c>
      <c r="AP74" s="5">
        <f>SUM(AP6:AP73)</f>
        <v>52.6</v>
      </c>
      <c r="AQ74" s="5">
        <f>SUM(AQ6:AQ73)</f>
        <v>129.19999999999999</v>
      </c>
      <c r="AR74" s="174"/>
      <c r="AS74" s="175">
        <f>SUM(AR6:AR73)</f>
        <v>34200</v>
      </c>
    </row>
    <row r="75" spans="1:45">
      <c r="F75" s="162"/>
      <c r="G75" s="160"/>
      <c r="H75" s="160"/>
      <c r="I75" s="160"/>
      <c r="J75" s="160"/>
      <c r="K75" s="177"/>
      <c r="M75" s="110"/>
      <c r="N75" s="7"/>
      <c r="O75" s="178"/>
      <c r="P75" s="178"/>
      <c r="Q75" s="34"/>
      <c r="R75" s="72"/>
      <c r="S75" s="140"/>
      <c r="T75" s="140"/>
      <c r="U75" s="140"/>
      <c r="V75" s="140"/>
      <c r="W75"/>
      <c r="X75"/>
      <c r="Y75"/>
      <c r="Z75"/>
      <c r="AA75"/>
      <c r="AB75" s="35"/>
      <c r="AC75" s="30"/>
      <c r="AD75" s="30"/>
      <c r="AE75" s="30"/>
      <c r="AF75" s="30"/>
      <c r="AG75" s="30"/>
      <c r="AH75" s="229"/>
      <c r="AI75" s="230"/>
      <c r="AJ75" s="6"/>
      <c r="AK75" s="6"/>
      <c r="AM75" s="31"/>
      <c r="AN75" s="4"/>
      <c r="AO75" s="4"/>
      <c r="AP75" s="4"/>
      <c r="AQ75" s="4"/>
      <c r="AR75" s="4"/>
      <c r="AS75" s="231"/>
    </row>
    <row r="76" spans="1:45" s="19" customFormat="1" ht="15.75">
      <c r="A76" s="48" t="s">
        <v>191</v>
      </c>
      <c r="C76" s="167"/>
      <c r="D76" s="94"/>
      <c r="E76" s="168"/>
      <c r="F76" s="169"/>
      <c r="G76" s="170"/>
      <c r="H76" s="170"/>
      <c r="I76" s="170"/>
      <c r="J76" s="170"/>
      <c r="K76" s="171"/>
      <c r="L76" s="94"/>
      <c r="M76" s="168"/>
      <c r="N76" s="90"/>
      <c r="O76" s="172"/>
      <c r="P76" s="172"/>
      <c r="Q76" s="51"/>
      <c r="R76" s="71"/>
      <c r="S76" s="138"/>
      <c r="T76" s="138"/>
      <c r="U76" s="138"/>
      <c r="V76" s="138"/>
      <c r="AB76" s="32"/>
      <c r="AC76" s="132"/>
      <c r="AD76" s="132"/>
      <c r="AE76" s="132"/>
      <c r="AF76" s="132"/>
      <c r="AG76" s="132"/>
      <c r="AH76" s="226"/>
      <c r="AI76" s="227"/>
      <c r="AJ76" s="132"/>
      <c r="AK76" s="132"/>
      <c r="AL76" s="168"/>
      <c r="AM76" s="131"/>
      <c r="AN76" s="132"/>
      <c r="AO76" s="132"/>
      <c r="AP76" s="132"/>
      <c r="AQ76" s="132"/>
      <c r="AR76" s="132"/>
      <c r="AS76" s="227"/>
    </row>
    <row r="77" spans="1:45" s="19" customFormat="1" ht="15.75">
      <c r="A77" s="46" t="s">
        <v>194</v>
      </c>
      <c r="C77" s="167"/>
      <c r="D77" s="94"/>
      <c r="E77" s="60"/>
      <c r="F77" s="61"/>
      <c r="G77" s="62"/>
      <c r="H77" s="62"/>
      <c r="I77" s="62"/>
      <c r="J77" s="62"/>
      <c r="K77" s="63"/>
      <c r="L77" s="109"/>
      <c r="M77" s="58"/>
      <c r="N77" s="179">
        <v>1</v>
      </c>
      <c r="O77" s="172"/>
      <c r="P77" s="172"/>
      <c r="Q77" s="51"/>
      <c r="R77" s="71"/>
      <c r="S77" s="138"/>
      <c r="T77" s="138"/>
      <c r="U77" s="138"/>
      <c r="V77" s="138"/>
      <c r="AB77" s="32"/>
      <c r="AC77" s="132"/>
      <c r="AD77" s="132"/>
      <c r="AE77" s="135"/>
      <c r="AF77" s="132"/>
      <c r="AG77" s="132"/>
      <c r="AH77" s="226"/>
      <c r="AI77" s="227"/>
      <c r="AJ77" s="132"/>
      <c r="AK77" s="132"/>
      <c r="AL77" s="168"/>
      <c r="AM77" s="131"/>
      <c r="AN77" s="132"/>
      <c r="AO77" s="132"/>
      <c r="AP77" s="132"/>
      <c r="AQ77" s="132"/>
      <c r="AR77" s="132"/>
      <c r="AS77" s="227"/>
    </row>
    <row r="78" spans="1:45" s="19" customFormat="1">
      <c r="A78" s="45" t="s">
        <v>267</v>
      </c>
      <c r="B78" s="94" t="s">
        <v>9</v>
      </c>
      <c r="C78" s="167">
        <v>1</v>
      </c>
      <c r="D78" s="94" t="s">
        <v>9</v>
      </c>
      <c r="E78" s="170">
        <v>0</v>
      </c>
      <c r="F78" s="169">
        <f>E78*C78</f>
        <v>0</v>
      </c>
      <c r="G78" s="170">
        <v>0</v>
      </c>
      <c r="H78" s="170">
        <v>0</v>
      </c>
      <c r="I78" s="170">
        <v>0</v>
      </c>
      <c r="J78" s="170">
        <v>40</v>
      </c>
      <c r="K78" s="170">
        <v>8</v>
      </c>
      <c r="L78" s="94" t="s">
        <v>8</v>
      </c>
      <c r="M78" s="168">
        <f>IF(R78="PD",((Shop*G78)+(M_Tech*H78)+(CMM*I78)+(ENG*J78)+(DES*K78))*N78,((Shop_RD*G78)+(MTECH_RD*H78)+(CMM_RD*I78)+(ENG_RD*J78)+(DES_RD*K78))*N78)</f>
        <v>6000</v>
      </c>
      <c r="N78" s="90">
        <v>1</v>
      </c>
      <c r="O78" s="172">
        <f>M78+(F78*N78)</f>
        <v>6000</v>
      </c>
      <c r="P78" s="172"/>
      <c r="Q78" s="51" t="s">
        <v>29</v>
      </c>
      <c r="R78" s="71" t="s">
        <v>152</v>
      </c>
      <c r="S78" s="138" t="str">
        <f>CONCATENATE(Q78,R78,AB78)</f>
        <v>BPTSTAR</v>
      </c>
      <c r="T78" s="138" t="str">
        <f>CONCATENATE(Q78,U78,AB78)</f>
        <v>B1.2.4.2.1STAR</v>
      </c>
      <c r="U78" s="138" t="s">
        <v>193</v>
      </c>
      <c r="V78" s="138" t="str">
        <f>LOOKUP(U78,$B$156:$B$182,$A$156:$A$182)</f>
        <v>Internal Ducting (Engineering)</v>
      </c>
      <c r="AB78" s="32" t="s">
        <v>132</v>
      </c>
      <c r="AC78" s="132">
        <f t="shared" ref="AC78:AG80" si="60">IF($Q78="B", (G78*$N78),0)</f>
        <v>0</v>
      </c>
      <c r="AD78" s="132">
        <f t="shared" si="60"/>
        <v>0</v>
      </c>
      <c r="AE78" s="132">
        <f t="shared" si="60"/>
        <v>0</v>
      </c>
      <c r="AF78" s="132">
        <f t="shared" si="60"/>
        <v>40</v>
      </c>
      <c r="AG78" s="132">
        <f t="shared" si="60"/>
        <v>8</v>
      </c>
      <c r="AH78" s="226">
        <f>IF($Q78="B", (F78*$N78),0)</f>
        <v>0</v>
      </c>
      <c r="AI78" s="227"/>
      <c r="AJ78" s="132"/>
      <c r="AK78" s="132"/>
      <c r="AL78" s="168"/>
      <c r="AM78" s="131">
        <f t="shared" ref="AM78:AQ80" si="61">IF($Q78="C", (G78*$N78),0)</f>
        <v>0</v>
      </c>
      <c r="AN78" s="132">
        <f t="shared" si="61"/>
        <v>0</v>
      </c>
      <c r="AO78" s="132">
        <f t="shared" si="61"/>
        <v>0</v>
      </c>
      <c r="AP78" s="132">
        <f t="shared" si="61"/>
        <v>0</v>
      </c>
      <c r="AQ78" s="132">
        <f t="shared" si="61"/>
        <v>0</v>
      </c>
      <c r="AR78" s="132">
        <f>IF($Q78="C", (F78*$N78),0)</f>
        <v>0</v>
      </c>
      <c r="AS78" s="227"/>
    </row>
    <row r="79" spans="1:45" s="19" customFormat="1">
      <c r="A79" s="45" t="s">
        <v>268</v>
      </c>
      <c r="B79" s="94" t="s">
        <v>9</v>
      </c>
      <c r="C79" s="167">
        <v>1</v>
      </c>
      <c r="D79" s="94" t="s">
        <v>9</v>
      </c>
      <c r="E79" s="170">
        <v>0</v>
      </c>
      <c r="F79" s="169">
        <f>E79*C79</f>
        <v>0</v>
      </c>
      <c r="G79" s="170">
        <v>0</v>
      </c>
      <c r="H79" s="170">
        <v>0</v>
      </c>
      <c r="I79" s="170">
        <v>0</v>
      </c>
      <c r="J79" s="170">
        <v>16</v>
      </c>
      <c r="K79" s="170">
        <v>8</v>
      </c>
      <c r="L79" s="94" t="s">
        <v>8</v>
      </c>
      <c r="M79" s="168">
        <f>IF(R79="PD",((Shop*G79)+(M_Tech*H79)+(CMM*I79)+(ENG*J79)+(DES*K79))*N79,((Shop_RD*G79)+(MTECH_RD*H79)+(CMM_RD*I79)+(ENG_RD*J79)+(DES_RD*K79))*N79)</f>
        <v>2400</v>
      </c>
      <c r="N79" s="90">
        <v>1</v>
      </c>
      <c r="O79" s="172">
        <f>M79+(F79*N79)</f>
        <v>2400</v>
      </c>
      <c r="P79" s="172"/>
      <c r="Q79" s="51" t="s">
        <v>29</v>
      </c>
      <c r="R79" s="71" t="s">
        <v>152</v>
      </c>
      <c r="S79" s="138" t="str">
        <f>CONCATENATE(Q79,R79,AB79)</f>
        <v>BPTSTAR</v>
      </c>
      <c r="T79" s="138" t="str">
        <f>CONCATENATE(Q79,U79,AB79)</f>
        <v>B1.2.4.2.1STAR</v>
      </c>
      <c r="U79" s="138" t="s">
        <v>193</v>
      </c>
      <c r="V79" s="138" t="str">
        <f>LOOKUP(U79,$B$156:$B$182,$A$156:$A$182)</f>
        <v>Internal Ducting (Engineering)</v>
      </c>
      <c r="AB79" s="32" t="s">
        <v>132</v>
      </c>
      <c r="AC79" s="132">
        <f t="shared" si="60"/>
        <v>0</v>
      </c>
      <c r="AD79" s="132">
        <f t="shared" si="60"/>
        <v>0</v>
      </c>
      <c r="AE79" s="132">
        <f t="shared" si="60"/>
        <v>0</v>
      </c>
      <c r="AF79" s="132">
        <f t="shared" si="60"/>
        <v>16</v>
      </c>
      <c r="AG79" s="132">
        <f t="shared" si="60"/>
        <v>8</v>
      </c>
      <c r="AH79" s="226">
        <f>IF($Q79="B", (F79*$N79),0)</f>
        <v>0</v>
      </c>
      <c r="AI79" s="227"/>
      <c r="AJ79" s="132"/>
      <c r="AK79" s="132"/>
      <c r="AL79" s="168"/>
      <c r="AM79" s="131">
        <f t="shared" si="61"/>
        <v>0</v>
      </c>
      <c r="AN79" s="132">
        <f t="shared" si="61"/>
        <v>0</v>
      </c>
      <c r="AO79" s="132">
        <f t="shared" si="61"/>
        <v>0</v>
      </c>
      <c r="AP79" s="132">
        <f t="shared" si="61"/>
        <v>0</v>
      </c>
      <c r="AQ79" s="132">
        <f t="shared" si="61"/>
        <v>0</v>
      </c>
      <c r="AR79" s="132">
        <f>IF($Q79="C", (F79*$N79),0)</f>
        <v>0</v>
      </c>
      <c r="AS79" s="227"/>
    </row>
    <row r="80" spans="1:45" s="19" customFormat="1">
      <c r="A80" s="45" t="s">
        <v>227</v>
      </c>
      <c r="B80" s="94" t="s">
        <v>9</v>
      </c>
      <c r="C80" s="167">
        <v>1</v>
      </c>
      <c r="D80" s="94" t="s">
        <v>9</v>
      </c>
      <c r="E80" s="170">
        <v>0</v>
      </c>
      <c r="F80" s="169">
        <f>E80*C80</f>
        <v>0</v>
      </c>
      <c r="G80" s="170">
        <v>0</v>
      </c>
      <c r="H80" s="170">
        <v>0</v>
      </c>
      <c r="I80" s="170">
        <v>0</v>
      </c>
      <c r="J80" s="170">
        <v>16</v>
      </c>
      <c r="K80" s="170">
        <v>8</v>
      </c>
      <c r="L80" s="94" t="s">
        <v>8</v>
      </c>
      <c r="M80" s="168">
        <f>IF(R80="PD",((Shop*G80)+(M_Tech*H80)+(CMM*I80)+(ENG*J80)+(DES*K80))*N80,((Shop_RD*G80)+(MTECH_RD*H80)+(CMM_RD*I80)+(ENG_RD*J80)+(DES_RD*K80))*N80)</f>
        <v>2400</v>
      </c>
      <c r="N80" s="90">
        <v>1</v>
      </c>
      <c r="O80" s="172">
        <f>M80+(F80*N80)</f>
        <v>2400</v>
      </c>
      <c r="P80" s="172"/>
      <c r="Q80" s="51" t="s">
        <v>30</v>
      </c>
      <c r="R80" s="71" t="s">
        <v>152</v>
      </c>
      <c r="S80" s="138" t="str">
        <f>CONCATENATE(Q80,R80,AB80)</f>
        <v>CPTSTAR</v>
      </c>
      <c r="T80" s="138" t="str">
        <f>CONCATENATE(Q80,U80,AB80)</f>
        <v>C1.2.4.2.1STAR</v>
      </c>
      <c r="U80" s="138" t="s">
        <v>193</v>
      </c>
      <c r="V80" s="138" t="str">
        <f>LOOKUP(U80,$B$156:$B$182,$A$156:$A$182)</f>
        <v>Internal Ducting (Engineering)</v>
      </c>
      <c r="AB80" s="32" t="s">
        <v>132</v>
      </c>
      <c r="AC80" s="132">
        <f t="shared" si="60"/>
        <v>0</v>
      </c>
      <c r="AD80" s="132">
        <f t="shared" si="60"/>
        <v>0</v>
      </c>
      <c r="AE80" s="132">
        <f t="shared" si="60"/>
        <v>0</v>
      </c>
      <c r="AF80" s="132">
        <f t="shared" si="60"/>
        <v>0</v>
      </c>
      <c r="AG80" s="132">
        <f t="shared" si="60"/>
        <v>0</v>
      </c>
      <c r="AH80" s="226">
        <f>IF($Q80="B", (F80*$N80),0)</f>
        <v>0</v>
      </c>
      <c r="AI80" s="227"/>
      <c r="AJ80" s="132"/>
      <c r="AK80" s="132"/>
      <c r="AL80" s="168"/>
      <c r="AM80" s="131">
        <f t="shared" si="61"/>
        <v>0</v>
      </c>
      <c r="AN80" s="132">
        <f t="shared" si="61"/>
        <v>0</v>
      </c>
      <c r="AO80" s="132">
        <f t="shared" si="61"/>
        <v>0</v>
      </c>
      <c r="AP80" s="132">
        <f t="shared" si="61"/>
        <v>16</v>
      </c>
      <c r="AQ80" s="132">
        <f t="shared" si="61"/>
        <v>8</v>
      </c>
      <c r="AR80" s="132">
        <f>IF($Q80="C", (F80*$N80),0)</f>
        <v>0</v>
      </c>
      <c r="AS80" s="227"/>
    </row>
    <row r="81" spans="1:45" s="19" customFormat="1">
      <c r="A81" s="46" t="s">
        <v>196</v>
      </c>
      <c r="C81" s="167"/>
      <c r="D81" s="94"/>
      <c r="E81" s="60"/>
      <c r="F81" s="61"/>
      <c r="G81" s="62"/>
      <c r="H81" s="62"/>
      <c r="I81" s="62"/>
      <c r="J81" s="62"/>
      <c r="K81" s="63"/>
      <c r="L81" s="209" t="s">
        <v>41</v>
      </c>
      <c r="M81" s="180">
        <f>SUMIF(Q78:Q80,"B",M78:M80)</f>
        <v>8400</v>
      </c>
      <c r="N81" s="65" t="s">
        <v>40</v>
      </c>
      <c r="O81" s="172"/>
      <c r="P81" s="172"/>
      <c r="Q81" s="51"/>
      <c r="R81" s="71"/>
      <c r="S81" s="138"/>
      <c r="T81" s="138"/>
      <c r="U81" s="138"/>
      <c r="V81" s="138"/>
      <c r="AB81" s="32"/>
      <c r="AC81" s="132"/>
      <c r="AD81" s="132"/>
      <c r="AE81" s="135"/>
      <c r="AF81" s="132"/>
      <c r="AG81" s="132"/>
      <c r="AH81" s="226"/>
      <c r="AI81" s="227"/>
      <c r="AJ81" s="132"/>
      <c r="AK81" s="132"/>
      <c r="AL81" s="168"/>
      <c r="AM81" s="131"/>
      <c r="AN81" s="132"/>
      <c r="AO81" s="132"/>
      <c r="AP81" s="132"/>
      <c r="AQ81" s="132"/>
      <c r="AR81" s="132"/>
      <c r="AS81" s="227"/>
    </row>
    <row r="82" spans="1:45" s="19" customFormat="1">
      <c r="A82" s="45" t="s">
        <v>269</v>
      </c>
      <c r="B82" s="94" t="s">
        <v>9</v>
      </c>
      <c r="C82" s="167">
        <v>1</v>
      </c>
      <c r="D82" s="94" t="s">
        <v>9</v>
      </c>
      <c r="E82" s="168">
        <v>2000</v>
      </c>
      <c r="F82" s="169">
        <f t="shared" ref="F82:F87" si="62">E82*C82</f>
        <v>2000</v>
      </c>
      <c r="G82" s="170">
        <v>24</v>
      </c>
      <c r="H82" s="170">
        <v>40</v>
      </c>
      <c r="I82" s="170">
        <v>0</v>
      </c>
      <c r="J82" s="170">
        <v>40</v>
      </c>
      <c r="K82" s="170">
        <v>16</v>
      </c>
      <c r="L82" s="94" t="s">
        <v>8</v>
      </c>
      <c r="M82" s="168">
        <f t="shared" ref="M82:M87" si="63">IF(R82="PD",((Shop*G82)+(M_Tech*H82)+(CMM*I82)+(ENG*J82)+(DES*K82))*N82,((Shop_RD*G82)+(MTECH_RD*H82)+(CMM_RD*I82)+(ENG_RD*J82)+(DES_RD*K82))*N82)</f>
        <v>13704</v>
      </c>
      <c r="N82" s="90">
        <v>1</v>
      </c>
      <c r="O82" s="172">
        <f t="shared" ref="O82:O87" si="64">M82+(F82*N82)</f>
        <v>15704</v>
      </c>
      <c r="P82" s="172"/>
      <c r="Q82" s="51" t="s">
        <v>29</v>
      </c>
      <c r="R82" s="71" t="s">
        <v>152</v>
      </c>
      <c r="S82" s="138" t="str">
        <f t="shared" ref="S82:S87" si="65">CONCATENATE(Q82,R82,AB82)</f>
        <v>BPT2012</v>
      </c>
      <c r="T82" s="138" t="str">
        <f t="shared" ref="T82:T87" si="66">CONCATENATE(Q82,U82,AB82)</f>
        <v>B1.2.4.2.22012</v>
      </c>
      <c r="U82" s="138" t="s">
        <v>195</v>
      </c>
      <c r="V82" s="138" t="str">
        <f t="shared" ref="V82:V87" si="67">LOOKUP(U82,$B$156:$B$182,$A$156:$A$182)</f>
        <v>Internal Ducting (Production)</v>
      </c>
      <c r="AB82" s="32">
        <v>2012</v>
      </c>
      <c r="AC82" s="132">
        <f t="shared" ref="AC82:AG87" si="68">IF($Q82="B", (G82*$N82),0)</f>
        <v>24</v>
      </c>
      <c r="AD82" s="132">
        <f t="shared" si="68"/>
        <v>40</v>
      </c>
      <c r="AE82" s="132">
        <f t="shared" si="68"/>
        <v>0</v>
      </c>
      <c r="AF82" s="132">
        <f t="shared" si="68"/>
        <v>40</v>
      </c>
      <c r="AG82" s="132">
        <f t="shared" si="68"/>
        <v>16</v>
      </c>
      <c r="AH82" s="226">
        <f t="shared" ref="AH82:AH87" si="69">IF($Q82="B", (F82*$N82),0)</f>
        <v>2000</v>
      </c>
      <c r="AI82" s="227"/>
      <c r="AJ82" s="132"/>
      <c r="AK82" s="132"/>
      <c r="AL82" s="168"/>
      <c r="AM82" s="131">
        <f t="shared" ref="AM82:AQ87" si="70">IF($Q82="C", (G82*$N82),0)</f>
        <v>0</v>
      </c>
      <c r="AN82" s="132">
        <f t="shared" si="70"/>
        <v>0</v>
      </c>
      <c r="AO82" s="132">
        <f t="shared" si="70"/>
        <v>0</v>
      </c>
      <c r="AP82" s="132">
        <f t="shared" si="70"/>
        <v>0</v>
      </c>
      <c r="AQ82" s="132">
        <f t="shared" si="70"/>
        <v>0</v>
      </c>
      <c r="AR82" s="132">
        <f t="shared" ref="AR82:AR87" si="71">IF($Q82="C", (F82*$N82),0)</f>
        <v>0</v>
      </c>
      <c r="AS82" s="227"/>
    </row>
    <row r="83" spans="1:45" s="19" customFormat="1">
      <c r="A83" s="45" t="s">
        <v>270</v>
      </c>
      <c r="B83" s="94" t="s">
        <v>9</v>
      </c>
      <c r="C83" s="167">
        <v>1</v>
      </c>
      <c r="D83" s="94" t="s">
        <v>9</v>
      </c>
      <c r="E83" s="168">
        <v>0</v>
      </c>
      <c r="F83" s="169">
        <f t="shared" si="62"/>
        <v>0</v>
      </c>
      <c r="G83" s="170">
        <v>0</v>
      </c>
      <c r="H83" s="170">
        <v>32</v>
      </c>
      <c r="I83" s="170">
        <v>0</v>
      </c>
      <c r="J83" s="170">
        <v>16</v>
      </c>
      <c r="K83" s="170">
        <v>0</v>
      </c>
      <c r="L83" s="94" t="s">
        <v>8</v>
      </c>
      <c r="M83" s="168">
        <f t="shared" si="63"/>
        <v>6144</v>
      </c>
      <c r="N83" s="90">
        <v>1</v>
      </c>
      <c r="O83" s="172">
        <f t="shared" si="64"/>
        <v>6144</v>
      </c>
      <c r="P83" s="172"/>
      <c r="Q83" s="51" t="s">
        <v>29</v>
      </c>
      <c r="R83" s="71" t="s">
        <v>152</v>
      </c>
      <c r="S83" s="138" t="str">
        <f t="shared" si="65"/>
        <v>BPT2012</v>
      </c>
      <c r="T83" s="138" t="str">
        <f t="shared" si="66"/>
        <v>B1.2.4.2.22012</v>
      </c>
      <c r="U83" s="138" t="s">
        <v>195</v>
      </c>
      <c r="V83" s="138" t="str">
        <f t="shared" si="67"/>
        <v>Internal Ducting (Production)</v>
      </c>
      <c r="AB83" s="32">
        <v>2012</v>
      </c>
      <c r="AC83" s="132">
        <f t="shared" si="68"/>
        <v>0</v>
      </c>
      <c r="AD83" s="132">
        <f t="shared" si="68"/>
        <v>32</v>
      </c>
      <c r="AE83" s="132">
        <f t="shared" si="68"/>
        <v>0</v>
      </c>
      <c r="AF83" s="132">
        <f t="shared" si="68"/>
        <v>16</v>
      </c>
      <c r="AG83" s="132">
        <f t="shared" si="68"/>
        <v>0</v>
      </c>
      <c r="AH83" s="226">
        <f t="shared" si="69"/>
        <v>0</v>
      </c>
      <c r="AI83" s="227"/>
      <c r="AJ83" s="132"/>
      <c r="AK83" s="132"/>
      <c r="AL83" s="168"/>
      <c r="AM83" s="131">
        <f t="shared" si="70"/>
        <v>0</v>
      </c>
      <c r="AN83" s="132">
        <f t="shared" si="70"/>
        <v>0</v>
      </c>
      <c r="AO83" s="132">
        <f t="shared" si="70"/>
        <v>0</v>
      </c>
      <c r="AP83" s="132">
        <f t="shared" si="70"/>
        <v>0</v>
      </c>
      <c r="AQ83" s="132">
        <f t="shared" si="70"/>
        <v>0</v>
      </c>
      <c r="AR83" s="132">
        <f t="shared" si="71"/>
        <v>0</v>
      </c>
      <c r="AS83" s="227"/>
    </row>
    <row r="84" spans="1:45" s="19" customFormat="1">
      <c r="A84" s="45" t="s">
        <v>276</v>
      </c>
      <c r="B84" s="94" t="s">
        <v>9</v>
      </c>
      <c r="C84" s="167">
        <v>1</v>
      </c>
      <c r="D84" s="94" t="s">
        <v>9</v>
      </c>
      <c r="E84" s="168">
        <v>2000</v>
      </c>
      <c r="F84" s="169">
        <f t="shared" si="62"/>
        <v>2000</v>
      </c>
      <c r="G84" s="170">
        <v>0</v>
      </c>
      <c r="H84" s="170">
        <v>0</v>
      </c>
      <c r="I84" s="170">
        <v>0</v>
      </c>
      <c r="J84" s="170">
        <v>8</v>
      </c>
      <c r="K84" s="170">
        <v>8</v>
      </c>
      <c r="L84" s="94" t="s">
        <v>8</v>
      </c>
      <c r="M84" s="168">
        <f t="shared" si="63"/>
        <v>972.00000000000011</v>
      </c>
      <c r="N84" s="90">
        <v>1</v>
      </c>
      <c r="O84" s="172">
        <f t="shared" si="64"/>
        <v>2972</v>
      </c>
      <c r="P84" s="172"/>
      <c r="Q84" s="51" t="s">
        <v>29</v>
      </c>
      <c r="R84" s="71" t="s">
        <v>48</v>
      </c>
      <c r="S84" s="138" t="str">
        <f t="shared" si="65"/>
        <v>BPD2012</v>
      </c>
      <c r="T84" s="138" t="str">
        <f t="shared" si="66"/>
        <v>B1.2.4.2.22012</v>
      </c>
      <c r="U84" s="138" t="s">
        <v>195</v>
      </c>
      <c r="V84" s="138" t="str">
        <f t="shared" si="67"/>
        <v>Internal Ducting (Production)</v>
      </c>
      <c r="AB84" s="32">
        <v>2012</v>
      </c>
      <c r="AC84" s="132">
        <f t="shared" si="68"/>
        <v>0</v>
      </c>
      <c r="AD84" s="132">
        <f t="shared" si="68"/>
        <v>0</v>
      </c>
      <c r="AE84" s="132">
        <f t="shared" si="68"/>
        <v>0</v>
      </c>
      <c r="AF84" s="132">
        <f t="shared" si="68"/>
        <v>8</v>
      </c>
      <c r="AG84" s="132">
        <f t="shared" si="68"/>
        <v>8</v>
      </c>
      <c r="AH84" s="226">
        <f t="shared" si="69"/>
        <v>2000</v>
      </c>
      <c r="AI84" s="227"/>
      <c r="AJ84" s="132"/>
      <c r="AK84" s="132"/>
      <c r="AL84" s="168"/>
      <c r="AM84" s="131">
        <f t="shared" si="70"/>
        <v>0</v>
      </c>
      <c r="AN84" s="132">
        <f t="shared" si="70"/>
        <v>0</v>
      </c>
      <c r="AO84" s="132">
        <f t="shared" si="70"/>
        <v>0</v>
      </c>
      <c r="AP84" s="132">
        <f t="shared" si="70"/>
        <v>0</v>
      </c>
      <c r="AQ84" s="132">
        <f t="shared" si="70"/>
        <v>0</v>
      </c>
      <c r="AR84" s="132">
        <f t="shared" si="71"/>
        <v>0</v>
      </c>
      <c r="AS84" s="227"/>
    </row>
    <row r="85" spans="1:45" s="19" customFormat="1">
      <c r="A85" s="45" t="s">
        <v>277</v>
      </c>
      <c r="B85" s="94" t="s">
        <v>9</v>
      </c>
      <c r="C85" s="167">
        <v>1</v>
      </c>
      <c r="D85" s="94" t="s">
        <v>9</v>
      </c>
      <c r="E85" s="168">
        <v>0</v>
      </c>
      <c r="F85" s="169">
        <f t="shared" si="62"/>
        <v>0</v>
      </c>
      <c r="G85" s="170">
        <v>0</v>
      </c>
      <c r="H85" s="170">
        <v>40</v>
      </c>
      <c r="I85" s="170">
        <v>0</v>
      </c>
      <c r="J85" s="170">
        <v>16</v>
      </c>
      <c r="K85" s="170">
        <v>8</v>
      </c>
      <c r="L85" s="94" t="s">
        <v>8</v>
      </c>
      <c r="M85" s="168">
        <f t="shared" si="63"/>
        <v>5734.8</v>
      </c>
      <c r="N85" s="90">
        <v>1</v>
      </c>
      <c r="O85" s="172">
        <f t="shared" si="64"/>
        <v>5734.8</v>
      </c>
      <c r="P85" s="172"/>
      <c r="Q85" s="51" t="s">
        <v>29</v>
      </c>
      <c r="R85" s="71" t="s">
        <v>48</v>
      </c>
      <c r="S85" s="138" t="str">
        <f t="shared" si="65"/>
        <v>BPD2012</v>
      </c>
      <c r="T85" s="138" t="str">
        <f t="shared" si="66"/>
        <v>B1.2.4.2.22012</v>
      </c>
      <c r="U85" s="138" t="s">
        <v>195</v>
      </c>
      <c r="V85" s="138" t="str">
        <f t="shared" si="67"/>
        <v>Internal Ducting (Production)</v>
      </c>
      <c r="AB85" s="32">
        <v>2012</v>
      </c>
      <c r="AC85" s="132">
        <f>IF($Q85="B", (G85*$N85),0)</f>
        <v>0</v>
      </c>
      <c r="AD85" s="132">
        <f>IF($Q85="B", (H85*$N85),0)</f>
        <v>40</v>
      </c>
      <c r="AE85" s="132">
        <f>IF($Q85="B", (I85*$N85),0)</f>
        <v>0</v>
      </c>
      <c r="AF85" s="132">
        <f>IF($Q85="B", (J85*$N85),0)</f>
        <v>16</v>
      </c>
      <c r="AG85" s="132">
        <f>IF($Q85="B", (K85*$N85),0)</f>
        <v>8</v>
      </c>
      <c r="AH85" s="226">
        <f t="shared" si="69"/>
        <v>0</v>
      </c>
      <c r="AI85" s="227"/>
      <c r="AJ85" s="132"/>
      <c r="AK85" s="132"/>
      <c r="AL85" s="168"/>
      <c r="AM85" s="131">
        <f>IF($Q85="C", (G85*$N85),0)</f>
        <v>0</v>
      </c>
      <c r="AN85" s="132">
        <f>IF($Q85="C", (H85*$N85),0)</f>
        <v>0</v>
      </c>
      <c r="AO85" s="132">
        <f>IF($Q85="C", (I85*$N85),0)</f>
        <v>0</v>
      </c>
      <c r="AP85" s="132">
        <f>IF($Q85="C", (J85*$N85),0)</f>
        <v>0</v>
      </c>
      <c r="AQ85" s="132">
        <f>IF($Q85="C", (K85*$N85),0)</f>
        <v>0</v>
      </c>
      <c r="AR85" s="132">
        <f t="shared" si="71"/>
        <v>0</v>
      </c>
      <c r="AS85" s="227"/>
    </row>
    <row r="86" spans="1:45" s="19" customFormat="1">
      <c r="A86" s="45" t="s">
        <v>278</v>
      </c>
      <c r="B86" s="94" t="s">
        <v>9</v>
      </c>
      <c r="C86" s="167">
        <v>1</v>
      </c>
      <c r="D86" s="94" t="s">
        <v>9</v>
      </c>
      <c r="E86" s="168">
        <v>500</v>
      </c>
      <c r="F86" s="169">
        <f t="shared" si="62"/>
        <v>500</v>
      </c>
      <c r="G86" s="170">
        <v>32</v>
      </c>
      <c r="H86" s="170">
        <v>40</v>
      </c>
      <c r="I86" s="170">
        <v>8</v>
      </c>
      <c r="J86" s="170">
        <v>32</v>
      </c>
      <c r="K86" s="170">
        <v>8</v>
      </c>
      <c r="L86" s="94" t="s">
        <v>8</v>
      </c>
      <c r="M86" s="168">
        <f t="shared" si="63"/>
        <v>10944.720000000001</v>
      </c>
      <c r="N86" s="90">
        <v>1</v>
      </c>
      <c r="O86" s="172">
        <f t="shared" si="64"/>
        <v>11444.720000000001</v>
      </c>
      <c r="P86" s="172"/>
      <c r="Q86" s="51" t="s">
        <v>29</v>
      </c>
      <c r="R86" s="71" t="s">
        <v>48</v>
      </c>
      <c r="S86" s="138" t="str">
        <f t="shared" si="65"/>
        <v>BPD2012</v>
      </c>
      <c r="T86" s="138" t="str">
        <f t="shared" si="66"/>
        <v>B1.2.4.2.22012</v>
      </c>
      <c r="U86" s="138" t="s">
        <v>195</v>
      </c>
      <c r="V86" s="138" t="str">
        <f t="shared" si="67"/>
        <v>Internal Ducting (Production)</v>
      </c>
      <c r="AB86" s="32">
        <v>2012</v>
      </c>
      <c r="AC86" s="132">
        <f t="shared" si="68"/>
        <v>32</v>
      </c>
      <c r="AD86" s="132">
        <f t="shared" si="68"/>
        <v>40</v>
      </c>
      <c r="AE86" s="132">
        <f t="shared" si="68"/>
        <v>8</v>
      </c>
      <c r="AF86" s="132">
        <f t="shared" si="68"/>
        <v>32</v>
      </c>
      <c r="AG86" s="132">
        <f t="shared" si="68"/>
        <v>8</v>
      </c>
      <c r="AH86" s="226">
        <f t="shared" si="69"/>
        <v>500</v>
      </c>
      <c r="AI86" s="227"/>
      <c r="AJ86" s="132"/>
      <c r="AK86" s="132"/>
      <c r="AL86" s="168"/>
      <c r="AM86" s="131">
        <f t="shared" si="70"/>
        <v>0</v>
      </c>
      <c r="AN86" s="132">
        <f t="shared" si="70"/>
        <v>0</v>
      </c>
      <c r="AO86" s="132">
        <f t="shared" si="70"/>
        <v>0</v>
      </c>
      <c r="AP86" s="132">
        <f t="shared" si="70"/>
        <v>0</v>
      </c>
      <c r="AQ86" s="132">
        <f t="shared" si="70"/>
        <v>0</v>
      </c>
      <c r="AR86" s="132">
        <f t="shared" si="71"/>
        <v>0</v>
      </c>
      <c r="AS86" s="227"/>
    </row>
    <row r="87" spans="1:45" s="19" customFormat="1">
      <c r="A87" s="45" t="s">
        <v>227</v>
      </c>
      <c r="B87" s="94" t="s">
        <v>9</v>
      </c>
      <c r="C87" s="167">
        <v>1</v>
      </c>
      <c r="D87" s="94" t="s">
        <v>9</v>
      </c>
      <c r="E87" s="168">
        <v>500</v>
      </c>
      <c r="F87" s="169">
        <f t="shared" si="62"/>
        <v>500</v>
      </c>
      <c r="G87" s="170">
        <v>8</v>
      </c>
      <c r="H87" s="170">
        <v>24</v>
      </c>
      <c r="I87" s="170">
        <v>0</v>
      </c>
      <c r="J87" s="170">
        <v>16</v>
      </c>
      <c r="K87" s="170">
        <v>8</v>
      </c>
      <c r="L87" s="94" t="s">
        <v>8</v>
      </c>
      <c r="M87" s="168">
        <f t="shared" si="63"/>
        <v>5034.9600000000009</v>
      </c>
      <c r="N87" s="90">
        <v>1</v>
      </c>
      <c r="O87" s="172">
        <f t="shared" si="64"/>
        <v>5534.9600000000009</v>
      </c>
      <c r="P87" s="172"/>
      <c r="Q87" s="51" t="s">
        <v>30</v>
      </c>
      <c r="R87" s="71" t="s">
        <v>48</v>
      </c>
      <c r="S87" s="138" t="str">
        <f t="shared" si="65"/>
        <v>CPD2012</v>
      </c>
      <c r="T87" s="138" t="str">
        <f t="shared" si="66"/>
        <v>C1.2.4.2.22012</v>
      </c>
      <c r="U87" s="138" t="s">
        <v>195</v>
      </c>
      <c r="V87" s="138" t="str">
        <f t="shared" si="67"/>
        <v>Internal Ducting (Production)</v>
      </c>
      <c r="AB87" s="32">
        <v>2012</v>
      </c>
      <c r="AC87" s="132">
        <f t="shared" si="68"/>
        <v>0</v>
      </c>
      <c r="AD87" s="132">
        <f t="shared" si="68"/>
        <v>0</v>
      </c>
      <c r="AE87" s="132">
        <f t="shared" si="68"/>
        <v>0</v>
      </c>
      <c r="AF87" s="132">
        <f t="shared" si="68"/>
        <v>0</v>
      </c>
      <c r="AG87" s="132">
        <f t="shared" si="68"/>
        <v>0</v>
      </c>
      <c r="AH87" s="226">
        <f t="shared" si="69"/>
        <v>0</v>
      </c>
      <c r="AI87" s="227"/>
      <c r="AJ87" s="132"/>
      <c r="AK87" s="132"/>
      <c r="AL87" s="168"/>
      <c r="AM87" s="131">
        <f t="shared" si="70"/>
        <v>8</v>
      </c>
      <c r="AN87" s="132">
        <f t="shared" si="70"/>
        <v>24</v>
      </c>
      <c r="AO87" s="132">
        <f t="shared" si="70"/>
        <v>0</v>
      </c>
      <c r="AP87" s="132">
        <f t="shared" si="70"/>
        <v>16</v>
      </c>
      <c r="AQ87" s="132">
        <f t="shared" si="70"/>
        <v>8</v>
      </c>
      <c r="AR87" s="132">
        <f t="shared" si="71"/>
        <v>500</v>
      </c>
      <c r="AS87" s="227"/>
    </row>
    <row r="88" spans="1:45" s="19" customFormat="1">
      <c r="A88" s="46" t="s">
        <v>198</v>
      </c>
      <c r="C88" s="167"/>
      <c r="D88" s="94"/>
      <c r="E88" s="60"/>
      <c r="F88" s="61"/>
      <c r="G88" s="62"/>
      <c r="H88" s="62"/>
      <c r="I88" s="62"/>
      <c r="J88" s="62"/>
      <c r="K88" s="63"/>
      <c r="L88" s="209" t="s">
        <v>41</v>
      </c>
      <c r="M88" s="180">
        <f>SUMIF(Q82:Q87,"B",M82:M87)</f>
        <v>37499.520000000004</v>
      </c>
      <c r="N88" s="65" t="s">
        <v>40</v>
      </c>
      <c r="O88" s="172"/>
      <c r="P88" s="172"/>
      <c r="Q88" s="51"/>
      <c r="R88" s="71"/>
      <c r="S88" s="138"/>
      <c r="T88" s="138"/>
      <c r="U88" s="138"/>
      <c r="V88" s="138"/>
      <c r="AB88" s="32"/>
      <c r="AC88" s="132"/>
      <c r="AD88" s="132"/>
      <c r="AE88" s="135"/>
      <c r="AF88" s="132"/>
      <c r="AG88" s="132"/>
      <c r="AH88" s="226"/>
      <c r="AI88" s="227"/>
      <c r="AJ88" s="132"/>
      <c r="AK88" s="132"/>
      <c r="AL88" s="168"/>
      <c r="AM88" s="131"/>
      <c r="AN88" s="132"/>
      <c r="AO88" s="132"/>
      <c r="AP88" s="132"/>
      <c r="AQ88" s="132"/>
      <c r="AR88" s="132"/>
      <c r="AS88" s="227"/>
    </row>
    <row r="89" spans="1:45" s="19" customFormat="1">
      <c r="A89" s="45" t="s">
        <v>267</v>
      </c>
      <c r="B89" s="94" t="s">
        <v>9</v>
      </c>
      <c r="C89" s="167">
        <v>1</v>
      </c>
      <c r="D89" s="94" t="s">
        <v>9</v>
      </c>
      <c r="E89" s="168">
        <v>0</v>
      </c>
      <c r="F89" s="169">
        <f t="shared" ref="F89:F94" si="72">E89*C89</f>
        <v>0</v>
      </c>
      <c r="G89" s="170">
        <v>0</v>
      </c>
      <c r="H89" s="170">
        <v>0</v>
      </c>
      <c r="I89" s="170">
        <v>0</v>
      </c>
      <c r="J89" s="170">
        <v>32</v>
      </c>
      <c r="K89" s="170">
        <v>16</v>
      </c>
      <c r="L89" s="94" t="s">
        <v>8</v>
      </c>
      <c r="M89" s="168">
        <f t="shared" ref="M89:M94" si="73">IF(R89="PD",((Shop*G89)+(M_Tech*H89)+(CMM*I89)+(ENG*J89)+(DES*K89))*N89,((Shop_RD*G89)+(MTECH_RD*H89)+(CMM_RD*I89)+(ENG_RD*J89)+(DES_RD*K89))*N89)</f>
        <v>3888.0000000000005</v>
      </c>
      <c r="N89" s="90">
        <v>1</v>
      </c>
      <c r="O89" s="172">
        <f t="shared" ref="O89:O94" si="74">M89+(F89*N89)</f>
        <v>3888.0000000000005</v>
      </c>
      <c r="P89" s="172"/>
      <c r="Q89" s="51" t="s">
        <v>29</v>
      </c>
      <c r="R89" s="71" t="s">
        <v>48</v>
      </c>
      <c r="S89" s="138" t="str">
        <f t="shared" ref="S89:S94" si="75">CONCATENATE(Q89,R89,AB89)</f>
        <v>BPD2012</v>
      </c>
      <c r="T89" s="138" t="str">
        <f t="shared" ref="T89:T94" si="76">CONCATENATE(Q89,U89,AB89)</f>
        <v>B1.2.4.2.32012</v>
      </c>
      <c r="U89" s="138" t="s">
        <v>197</v>
      </c>
      <c r="V89" s="138" t="str">
        <f t="shared" ref="V89:V94" si="77">LOOKUP(U89,$B$156:$B$182,$A$156:$A$182)</f>
        <v>External Ducting</v>
      </c>
      <c r="AB89" s="32">
        <v>2012</v>
      </c>
      <c r="AC89" s="132">
        <f>IF($Q89="B", (G89*$N89),0)</f>
        <v>0</v>
      </c>
      <c r="AD89" s="132">
        <f>IF($Q89="B", (H89*$N89),0)</f>
        <v>0</v>
      </c>
      <c r="AE89" s="132">
        <f>IF($Q89="B", (I89*$N89),0)</f>
        <v>0</v>
      </c>
      <c r="AF89" s="132">
        <f>IF($Q89="B", (J89*$N89),0)</f>
        <v>32</v>
      </c>
      <c r="AG89" s="132">
        <f>IF($Q89="B", (K89*$N89),0)</f>
        <v>16</v>
      </c>
      <c r="AH89" s="226">
        <f t="shared" ref="AH89:AH94" si="78">IF($Q89="B", (F89*$N89),0)</f>
        <v>0</v>
      </c>
      <c r="AI89" s="227"/>
      <c r="AJ89" s="132"/>
      <c r="AK89" s="132"/>
      <c r="AL89" s="168"/>
      <c r="AM89" s="131">
        <f>IF($Q89="C", (G89*$N89),0)</f>
        <v>0</v>
      </c>
      <c r="AN89" s="132">
        <f>IF($Q89="C", (H89*$N89),0)</f>
        <v>0</v>
      </c>
      <c r="AO89" s="132">
        <f>IF($Q89="C", (I89*$N89),0)</f>
        <v>0</v>
      </c>
      <c r="AP89" s="132">
        <f>IF($Q89="C", (J89*$N89),0)</f>
        <v>0</v>
      </c>
      <c r="AQ89" s="132">
        <f>IF($Q89="C", (K89*$N89),0)</f>
        <v>0</v>
      </c>
      <c r="AR89" s="132">
        <f t="shared" ref="AR89:AR94" si="79">IF($Q89="C", (F89*$N89),0)</f>
        <v>0</v>
      </c>
      <c r="AS89" s="227"/>
    </row>
    <row r="90" spans="1:45" s="19" customFormat="1">
      <c r="A90" s="45" t="s">
        <v>269</v>
      </c>
      <c r="B90" s="94" t="s">
        <v>9</v>
      </c>
      <c r="C90" s="167">
        <v>1</v>
      </c>
      <c r="D90" s="94" t="s">
        <v>9</v>
      </c>
      <c r="E90" s="168">
        <v>0</v>
      </c>
      <c r="F90" s="169">
        <f t="shared" si="72"/>
        <v>0</v>
      </c>
      <c r="G90" s="170">
        <v>0</v>
      </c>
      <c r="H90" s="170">
        <v>32</v>
      </c>
      <c r="I90" s="170">
        <v>8</v>
      </c>
      <c r="J90" s="170">
        <v>8</v>
      </c>
      <c r="K90" s="170">
        <v>8</v>
      </c>
      <c r="L90" s="94" t="s">
        <v>8</v>
      </c>
      <c r="M90" s="168">
        <f t="shared" si="73"/>
        <v>4944</v>
      </c>
      <c r="N90" s="90">
        <v>1</v>
      </c>
      <c r="O90" s="172">
        <f t="shared" si="74"/>
        <v>4944</v>
      </c>
      <c r="P90" s="172"/>
      <c r="Q90" s="51" t="s">
        <v>29</v>
      </c>
      <c r="R90" s="71" t="s">
        <v>152</v>
      </c>
      <c r="S90" s="138" t="str">
        <f t="shared" si="75"/>
        <v>BPT2012</v>
      </c>
      <c r="T90" s="138" t="str">
        <f t="shared" si="76"/>
        <v>B1.2.4.2.32012</v>
      </c>
      <c r="U90" s="138" t="s">
        <v>197</v>
      </c>
      <c r="V90" s="138" t="str">
        <f t="shared" si="77"/>
        <v>External Ducting</v>
      </c>
      <c r="AB90" s="32">
        <v>2012</v>
      </c>
      <c r="AC90" s="132">
        <f t="shared" ref="AC90:AG94" si="80">IF($Q90="B", (G90*$N90),0)</f>
        <v>0</v>
      </c>
      <c r="AD90" s="132">
        <f t="shared" si="80"/>
        <v>32</v>
      </c>
      <c r="AE90" s="132">
        <f t="shared" si="80"/>
        <v>8</v>
      </c>
      <c r="AF90" s="132">
        <f t="shared" si="80"/>
        <v>8</v>
      </c>
      <c r="AG90" s="132">
        <f t="shared" si="80"/>
        <v>8</v>
      </c>
      <c r="AH90" s="226">
        <f t="shared" si="78"/>
        <v>0</v>
      </c>
      <c r="AI90" s="227"/>
      <c r="AJ90" s="132"/>
      <c r="AK90" s="132"/>
      <c r="AL90" s="168"/>
      <c r="AM90" s="131">
        <f t="shared" ref="AM90:AQ94" si="81">IF($Q90="C", (G90*$N90),0)</f>
        <v>0</v>
      </c>
      <c r="AN90" s="132">
        <f t="shared" si="81"/>
        <v>0</v>
      </c>
      <c r="AO90" s="132">
        <f t="shared" si="81"/>
        <v>0</v>
      </c>
      <c r="AP90" s="132">
        <f t="shared" si="81"/>
        <v>0</v>
      </c>
      <c r="AQ90" s="132">
        <f t="shared" si="81"/>
        <v>0</v>
      </c>
      <c r="AR90" s="132">
        <f t="shared" si="79"/>
        <v>0</v>
      </c>
      <c r="AS90" s="227"/>
    </row>
    <row r="91" spans="1:45" s="19" customFormat="1">
      <c r="A91" s="45" t="s">
        <v>270</v>
      </c>
      <c r="B91" s="94" t="s">
        <v>9</v>
      </c>
      <c r="C91" s="167">
        <v>1</v>
      </c>
      <c r="D91" s="94" t="s">
        <v>9</v>
      </c>
      <c r="E91" s="168">
        <v>500</v>
      </c>
      <c r="F91" s="169">
        <f t="shared" si="72"/>
        <v>500</v>
      </c>
      <c r="G91" s="170">
        <v>0</v>
      </c>
      <c r="H91" s="170">
        <v>24</v>
      </c>
      <c r="I91" s="170">
        <v>0</v>
      </c>
      <c r="J91" s="170">
        <v>8</v>
      </c>
      <c r="K91" s="170">
        <v>8</v>
      </c>
      <c r="L91" s="94" t="s">
        <v>8</v>
      </c>
      <c r="M91" s="168">
        <f t="shared" si="73"/>
        <v>4008</v>
      </c>
      <c r="N91" s="90">
        <v>1</v>
      </c>
      <c r="O91" s="172">
        <f t="shared" si="74"/>
        <v>4508</v>
      </c>
      <c r="P91" s="172"/>
      <c r="Q91" s="51" t="s">
        <v>29</v>
      </c>
      <c r="R91" s="71" t="s">
        <v>152</v>
      </c>
      <c r="S91" s="138" t="str">
        <f t="shared" si="75"/>
        <v>BPT2012</v>
      </c>
      <c r="T91" s="138" t="str">
        <f t="shared" si="76"/>
        <v>B1.2.4.2.32012</v>
      </c>
      <c r="U91" s="138" t="s">
        <v>197</v>
      </c>
      <c r="V91" s="138" t="str">
        <f t="shared" si="77"/>
        <v>External Ducting</v>
      </c>
      <c r="AB91" s="32">
        <v>2012</v>
      </c>
      <c r="AC91" s="132">
        <f t="shared" si="80"/>
        <v>0</v>
      </c>
      <c r="AD91" s="132">
        <f t="shared" si="80"/>
        <v>24</v>
      </c>
      <c r="AE91" s="132">
        <f t="shared" si="80"/>
        <v>0</v>
      </c>
      <c r="AF91" s="132">
        <f t="shared" si="80"/>
        <v>8</v>
      </c>
      <c r="AG91" s="132">
        <f t="shared" si="80"/>
        <v>8</v>
      </c>
      <c r="AH91" s="226">
        <f t="shared" si="78"/>
        <v>500</v>
      </c>
      <c r="AI91" s="227"/>
      <c r="AJ91" s="132"/>
      <c r="AK91" s="132"/>
      <c r="AL91" s="168"/>
      <c r="AM91" s="131">
        <f t="shared" si="81"/>
        <v>0</v>
      </c>
      <c r="AN91" s="132">
        <f t="shared" si="81"/>
        <v>0</v>
      </c>
      <c r="AO91" s="132">
        <f t="shared" si="81"/>
        <v>0</v>
      </c>
      <c r="AP91" s="132">
        <f t="shared" si="81"/>
        <v>0</v>
      </c>
      <c r="AQ91" s="132">
        <f t="shared" si="81"/>
        <v>0</v>
      </c>
      <c r="AR91" s="132">
        <f t="shared" si="79"/>
        <v>0</v>
      </c>
      <c r="AS91" s="227"/>
    </row>
    <row r="92" spans="1:45" s="19" customFormat="1">
      <c r="A92" s="45" t="s">
        <v>276</v>
      </c>
      <c r="B92" s="94" t="s">
        <v>9</v>
      </c>
      <c r="C92" s="167">
        <v>200</v>
      </c>
      <c r="D92" s="94" t="s">
        <v>9</v>
      </c>
      <c r="E92" s="168">
        <v>10</v>
      </c>
      <c r="F92" s="169">
        <f t="shared" si="72"/>
        <v>2000</v>
      </c>
      <c r="G92" s="170">
        <v>0</v>
      </c>
      <c r="H92" s="170">
        <v>0</v>
      </c>
      <c r="I92" s="170">
        <v>0</v>
      </c>
      <c r="J92" s="170">
        <v>8</v>
      </c>
      <c r="K92" s="170">
        <v>8</v>
      </c>
      <c r="L92" s="94" t="s">
        <v>8</v>
      </c>
      <c r="M92" s="168">
        <f t="shared" si="73"/>
        <v>972.00000000000011</v>
      </c>
      <c r="N92" s="90">
        <v>1</v>
      </c>
      <c r="O92" s="172">
        <f t="shared" si="74"/>
        <v>2972</v>
      </c>
      <c r="P92" s="172"/>
      <c r="Q92" s="51" t="s">
        <v>29</v>
      </c>
      <c r="R92" s="71" t="s">
        <v>48</v>
      </c>
      <c r="S92" s="138" t="str">
        <f t="shared" si="75"/>
        <v>BPD2012</v>
      </c>
      <c r="T92" s="138" t="str">
        <f t="shared" si="76"/>
        <v>B1.2.4.2.32012</v>
      </c>
      <c r="U92" s="138" t="s">
        <v>197</v>
      </c>
      <c r="V92" s="138" t="str">
        <f t="shared" si="77"/>
        <v>External Ducting</v>
      </c>
      <c r="AB92" s="32">
        <v>2012</v>
      </c>
      <c r="AC92" s="132">
        <f t="shared" si="80"/>
        <v>0</v>
      </c>
      <c r="AD92" s="132">
        <f t="shared" si="80"/>
        <v>0</v>
      </c>
      <c r="AE92" s="132">
        <f t="shared" si="80"/>
        <v>0</v>
      </c>
      <c r="AF92" s="132">
        <f t="shared" si="80"/>
        <v>8</v>
      </c>
      <c r="AG92" s="132">
        <f t="shared" si="80"/>
        <v>8</v>
      </c>
      <c r="AH92" s="226">
        <f t="shared" si="78"/>
        <v>2000</v>
      </c>
      <c r="AI92" s="227"/>
      <c r="AJ92" s="132"/>
      <c r="AK92" s="132"/>
      <c r="AL92" s="168"/>
      <c r="AM92" s="131">
        <f t="shared" si="81"/>
        <v>0</v>
      </c>
      <c r="AN92" s="132">
        <f t="shared" si="81"/>
        <v>0</v>
      </c>
      <c r="AO92" s="132">
        <f t="shared" si="81"/>
        <v>0</v>
      </c>
      <c r="AP92" s="132">
        <f t="shared" si="81"/>
        <v>0</v>
      </c>
      <c r="AQ92" s="132">
        <f t="shared" si="81"/>
        <v>0</v>
      </c>
      <c r="AR92" s="132">
        <f t="shared" si="79"/>
        <v>0</v>
      </c>
      <c r="AS92" s="227"/>
    </row>
    <row r="93" spans="1:45" s="19" customFormat="1">
      <c r="A93" s="45" t="s">
        <v>277</v>
      </c>
      <c r="B93" s="94" t="s">
        <v>9</v>
      </c>
      <c r="C93" s="167">
        <v>1</v>
      </c>
      <c r="D93" s="94" t="s">
        <v>9</v>
      </c>
      <c r="E93" s="168">
        <v>0</v>
      </c>
      <c r="F93" s="169">
        <f t="shared" si="72"/>
        <v>0</v>
      </c>
      <c r="G93" s="170">
        <v>0</v>
      </c>
      <c r="H93" s="170">
        <v>0</v>
      </c>
      <c r="I93" s="170">
        <v>0</v>
      </c>
      <c r="J93" s="170">
        <v>0</v>
      </c>
      <c r="K93" s="170">
        <v>0</v>
      </c>
      <c r="L93" s="94" t="s">
        <v>8</v>
      </c>
      <c r="M93" s="168">
        <f t="shared" si="73"/>
        <v>0</v>
      </c>
      <c r="N93" s="90">
        <v>1</v>
      </c>
      <c r="O93" s="172">
        <f t="shared" si="74"/>
        <v>0</v>
      </c>
      <c r="P93" s="172"/>
      <c r="Q93" s="51" t="s">
        <v>29</v>
      </c>
      <c r="R93" s="71" t="s">
        <v>48</v>
      </c>
      <c r="S93" s="138" t="str">
        <f t="shared" si="75"/>
        <v>BPDSTAR</v>
      </c>
      <c r="T93" s="138" t="str">
        <f t="shared" si="76"/>
        <v>B1.2.4.2.3STAR</v>
      </c>
      <c r="U93" s="138" t="s">
        <v>197</v>
      </c>
      <c r="V93" s="138" t="str">
        <f t="shared" si="77"/>
        <v>External Ducting</v>
      </c>
      <c r="AB93" s="32" t="s">
        <v>132</v>
      </c>
      <c r="AC93" s="132">
        <f t="shared" si="80"/>
        <v>0</v>
      </c>
      <c r="AD93" s="132">
        <f t="shared" si="80"/>
        <v>0</v>
      </c>
      <c r="AE93" s="132">
        <f t="shared" si="80"/>
        <v>0</v>
      </c>
      <c r="AF93" s="132">
        <f t="shared" si="80"/>
        <v>0</v>
      </c>
      <c r="AG93" s="132">
        <f t="shared" si="80"/>
        <v>0</v>
      </c>
      <c r="AH93" s="226">
        <f t="shared" si="78"/>
        <v>0</v>
      </c>
      <c r="AI93" s="227"/>
      <c r="AJ93" s="132"/>
      <c r="AK93" s="132"/>
      <c r="AL93" s="168"/>
      <c r="AM93" s="131">
        <f t="shared" si="81"/>
        <v>0</v>
      </c>
      <c r="AN93" s="132">
        <f t="shared" si="81"/>
        <v>0</v>
      </c>
      <c r="AO93" s="132">
        <f t="shared" si="81"/>
        <v>0</v>
      </c>
      <c r="AP93" s="132">
        <f t="shared" si="81"/>
        <v>0</v>
      </c>
      <c r="AQ93" s="132">
        <f t="shared" si="81"/>
        <v>0</v>
      </c>
      <c r="AR93" s="132">
        <f t="shared" si="79"/>
        <v>0</v>
      </c>
      <c r="AS93" s="227"/>
    </row>
    <row r="94" spans="1:45" s="19" customFormat="1">
      <c r="A94" s="45" t="s">
        <v>227</v>
      </c>
      <c r="B94" s="94" t="s">
        <v>9</v>
      </c>
      <c r="C94" s="167">
        <v>1</v>
      </c>
      <c r="D94" s="94" t="s">
        <v>9</v>
      </c>
      <c r="E94" s="170">
        <v>500</v>
      </c>
      <c r="F94" s="169">
        <f t="shared" si="72"/>
        <v>500</v>
      </c>
      <c r="G94" s="170">
        <v>0</v>
      </c>
      <c r="H94" s="170">
        <v>16</v>
      </c>
      <c r="I94" s="170">
        <v>8</v>
      </c>
      <c r="J94" s="170">
        <v>24</v>
      </c>
      <c r="K94" s="170">
        <v>8</v>
      </c>
      <c r="L94" s="94" t="s">
        <v>8</v>
      </c>
      <c r="M94" s="168">
        <f t="shared" si="73"/>
        <v>5472</v>
      </c>
      <c r="N94" s="90">
        <v>1</v>
      </c>
      <c r="O94" s="172">
        <f t="shared" si="74"/>
        <v>5972</v>
      </c>
      <c r="P94" s="172"/>
      <c r="Q94" s="51" t="s">
        <v>30</v>
      </c>
      <c r="R94" s="71" t="s">
        <v>152</v>
      </c>
      <c r="S94" s="138" t="str">
        <f t="shared" si="75"/>
        <v>CPT2012</v>
      </c>
      <c r="T94" s="138" t="str">
        <f t="shared" si="76"/>
        <v>C1.2.4.2.32012</v>
      </c>
      <c r="U94" s="138" t="s">
        <v>197</v>
      </c>
      <c r="V94" s="138" t="str">
        <f t="shared" si="77"/>
        <v>External Ducting</v>
      </c>
      <c r="AB94" s="32">
        <v>2012</v>
      </c>
      <c r="AC94" s="132">
        <f t="shared" si="80"/>
        <v>0</v>
      </c>
      <c r="AD94" s="132">
        <f t="shared" si="80"/>
        <v>0</v>
      </c>
      <c r="AE94" s="132">
        <f t="shared" si="80"/>
        <v>0</v>
      </c>
      <c r="AF94" s="132">
        <f t="shared" si="80"/>
        <v>0</v>
      </c>
      <c r="AG94" s="132">
        <f t="shared" si="80"/>
        <v>0</v>
      </c>
      <c r="AH94" s="226">
        <f t="shared" si="78"/>
        <v>0</v>
      </c>
      <c r="AI94" s="227"/>
      <c r="AJ94" s="132"/>
      <c r="AK94" s="132"/>
      <c r="AL94" s="168"/>
      <c r="AM94" s="131">
        <f t="shared" si="81"/>
        <v>0</v>
      </c>
      <c r="AN94" s="132">
        <f t="shared" si="81"/>
        <v>16</v>
      </c>
      <c r="AO94" s="132">
        <f t="shared" si="81"/>
        <v>8</v>
      </c>
      <c r="AP94" s="132">
        <f t="shared" si="81"/>
        <v>24</v>
      </c>
      <c r="AQ94" s="132">
        <f t="shared" si="81"/>
        <v>8</v>
      </c>
      <c r="AR94" s="132">
        <f t="shared" si="79"/>
        <v>500</v>
      </c>
      <c r="AS94" s="227"/>
    </row>
    <row r="95" spans="1:45" s="19" customFormat="1">
      <c r="A95" s="46" t="s">
        <v>200</v>
      </c>
      <c r="C95" s="167"/>
      <c r="D95" s="94"/>
      <c r="E95" s="60"/>
      <c r="F95" s="61"/>
      <c r="G95" s="62"/>
      <c r="H95" s="62"/>
      <c r="I95" s="62"/>
      <c r="J95" s="62"/>
      <c r="K95" s="63"/>
      <c r="L95" s="209" t="s">
        <v>41</v>
      </c>
      <c r="M95" s="180">
        <f>SUMIF(Q90:Q94,"B",M90:M94)</f>
        <v>9924</v>
      </c>
      <c r="N95" s="65" t="s">
        <v>40</v>
      </c>
      <c r="O95" s="172"/>
      <c r="P95" s="172"/>
      <c r="Q95" s="51"/>
      <c r="R95" s="71"/>
      <c r="S95" s="138"/>
      <c r="T95" s="138"/>
      <c r="U95" s="138"/>
      <c r="V95" s="138"/>
      <c r="AB95" s="32"/>
      <c r="AC95" s="132"/>
      <c r="AD95" s="132"/>
      <c r="AE95" s="135"/>
      <c r="AF95" s="132"/>
      <c r="AG95" s="132"/>
      <c r="AH95" s="226"/>
      <c r="AI95" s="227"/>
      <c r="AJ95" s="132"/>
      <c r="AK95" s="132"/>
      <c r="AL95" s="168"/>
      <c r="AM95" s="131"/>
      <c r="AN95" s="132"/>
      <c r="AO95" s="132"/>
      <c r="AP95" s="132"/>
      <c r="AQ95" s="132"/>
      <c r="AR95" s="132"/>
      <c r="AS95" s="227"/>
    </row>
    <row r="96" spans="1:45" s="19" customFormat="1">
      <c r="A96" s="45" t="s">
        <v>267</v>
      </c>
      <c r="B96" s="94" t="s">
        <v>9</v>
      </c>
      <c r="C96" s="167">
        <v>1</v>
      </c>
      <c r="D96" s="94" t="s">
        <v>9</v>
      </c>
      <c r="E96" s="170">
        <v>0</v>
      </c>
      <c r="F96" s="169">
        <f>E96*C96</f>
        <v>0</v>
      </c>
      <c r="G96" s="170">
        <v>0</v>
      </c>
      <c r="H96" s="170">
        <v>0</v>
      </c>
      <c r="I96" s="170">
        <v>0</v>
      </c>
      <c r="J96" s="170">
        <v>40</v>
      </c>
      <c r="K96" s="170">
        <v>0</v>
      </c>
      <c r="L96" s="94" t="s">
        <v>8</v>
      </c>
      <c r="M96" s="168">
        <f>IF(R96="PD",((Shop*G96)+(M_Tech*H96)+(CMM*I96)+(ENG*J96)+(DES*K96))*N96,((Shop_RD*G96)+(MTECH_RD*H96)+(CMM_RD*I96)+(ENG_RD*J96)+(DES_RD*K96))*N96)</f>
        <v>6000</v>
      </c>
      <c r="N96" s="90">
        <v>1</v>
      </c>
      <c r="O96" s="172">
        <f>M96+(F96*N96)</f>
        <v>6000</v>
      </c>
      <c r="P96" s="172"/>
      <c r="Q96" s="51" t="s">
        <v>29</v>
      </c>
      <c r="R96" s="71" t="s">
        <v>152</v>
      </c>
      <c r="S96" s="138" t="str">
        <f>CONCATENATE(Q96,R96,AB96)</f>
        <v>BPT2012</v>
      </c>
      <c r="T96" s="138" t="str">
        <f>CONCATENATE(Q96,U96,AB96)</f>
        <v>B1.2.4.2.42012</v>
      </c>
      <c r="U96" s="138" t="s">
        <v>199</v>
      </c>
      <c r="V96" s="138" t="str">
        <f>LOOKUP(U96,$B$156:$B$182,$A$156:$A$182)</f>
        <v>Test Ducting</v>
      </c>
      <c r="AB96" s="32">
        <v>2012</v>
      </c>
      <c r="AC96" s="132">
        <f t="shared" ref="AC96:AG100" si="82">IF($Q96="B", (G96*$N96),0)</f>
        <v>0</v>
      </c>
      <c r="AD96" s="132">
        <f t="shared" si="82"/>
        <v>0</v>
      </c>
      <c r="AE96" s="132">
        <f t="shared" si="82"/>
        <v>0</v>
      </c>
      <c r="AF96" s="132">
        <f t="shared" si="82"/>
        <v>40</v>
      </c>
      <c r="AG96" s="132">
        <f t="shared" si="82"/>
        <v>0</v>
      </c>
      <c r="AH96" s="226">
        <f>IF($Q96="B", (F96*$N96),0)</f>
        <v>0</v>
      </c>
      <c r="AI96" s="227"/>
      <c r="AJ96" s="132"/>
      <c r="AK96" s="132"/>
      <c r="AL96" s="168"/>
      <c r="AM96" s="131">
        <f t="shared" ref="AM96:AQ100" si="83">IF($Q96="C", (G96*$N96),0)</f>
        <v>0</v>
      </c>
      <c r="AN96" s="132">
        <f t="shared" si="83"/>
        <v>0</v>
      </c>
      <c r="AO96" s="132">
        <f t="shared" si="83"/>
        <v>0</v>
      </c>
      <c r="AP96" s="132">
        <f t="shared" si="83"/>
        <v>0</v>
      </c>
      <c r="AQ96" s="132">
        <f t="shared" si="83"/>
        <v>0</v>
      </c>
      <c r="AR96" s="132">
        <f>IF($Q96="C", (F96*$N96),0)</f>
        <v>0</v>
      </c>
      <c r="AS96" s="227"/>
    </row>
    <row r="97" spans="1:45" s="19" customFormat="1">
      <c r="A97" s="45" t="s">
        <v>268</v>
      </c>
      <c r="B97" s="94" t="s">
        <v>9</v>
      </c>
      <c r="C97" s="167">
        <v>1</v>
      </c>
      <c r="D97" s="94" t="s">
        <v>9</v>
      </c>
      <c r="E97" s="170">
        <v>0</v>
      </c>
      <c r="F97" s="169">
        <f>E97*C97</f>
        <v>0</v>
      </c>
      <c r="G97" s="170">
        <v>0</v>
      </c>
      <c r="H97" s="170">
        <v>24</v>
      </c>
      <c r="I97" s="170">
        <v>24</v>
      </c>
      <c r="J97" s="170">
        <v>24</v>
      </c>
      <c r="K97" s="170">
        <v>0</v>
      </c>
      <c r="L97" s="94" t="s">
        <v>8</v>
      </c>
      <c r="M97" s="168">
        <f>IF(R97="PD",((Shop*G97)+(M_Tech*H97)+(CMM*I97)+(ENG*J97)+(DES*K97))*N97,((Shop_RD*G97)+(MTECH_RD*H97)+(CMM_RD*I97)+(ENG_RD*J97)+(DES_RD*K97))*N97)</f>
        <v>6408</v>
      </c>
      <c r="N97" s="90">
        <v>1</v>
      </c>
      <c r="O97" s="172">
        <f>M97+(F97*N97)</f>
        <v>6408</v>
      </c>
      <c r="P97" s="172"/>
      <c r="Q97" s="51" t="s">
        <v>29</v>
      </c>
      <c r="R97" s="71" t="s">
        <v>152</v>
      </c>
      <c r="S97" s="138" t="str">
        <f>CONCATENATE(Q97,R97,AB97)</f>
        <v>BPT2012</v>
      </c>
      <c r="T97" s="138" t="str">
        <f>CONCATENATE(Q97,U97,AB97)</f>
        <v>B1.2.4.2.42012</v>
      </c>
      <c r="U97" s="138" t="s">
        <v>199</v>
      </c>
      <c r="V97" s="138" t="str">
        <f>LOOKUP(U97,$B$156:$B$182,$A$156:$A$182)</f>
        <v>Test Ducting</v>
      </c>
      <c r="AB97" s="32">
        <v>2012</v>
      </c>
      <c r="AC97" s="132">
        <f t="shared" si="82"/>
        <v>0</v>
      </c>
      <c r="AD97" s="132">
        <f t="shared" si="82"/>
        <v>24</v>
      </c>
      <c r="AE97" s="132">
        <f t="shared" si="82"/>
        <v>24</v>
      </c>
      <c r="AF97" s="132">
        <f t="shared" si="82"/>
        <v>24</v>
      </c>
      <c r="AG97" s="132">
        <f t="shared" si="82"/>
        <v>0</v>
      </c>
      <c r="AH97" s="226">
        <f>IF($Q97="B", (F97*$N97),0)</f>
        <v>0</v>
      </c>
      <c r="AI97" s="227"/>
      <c r="AJ97" s="132"/>
      <c r="AK97" s="132"/>
      <c r="AL97" s="168"/>
      <c r="AM97" s="131">
        <f t="shared" si="83"/>
        <v>0</v>
      </c>
      <c r="AN97" s="132">
        <f t="shared" si="83"/>
        <v>0</v>
      </c>
      <c r="AO97" s="132">
        <f t="shared" si="83"/>
        <v>0</v>
      </c>
      <c r="AP97" s="132">
        <f t="shared" si="83"/>
        <v>0</v>
      </c>
      <c r="AQ97" s="132">
        <f t="shared" si="83"/>
        <v>0</v>
      </c>
      <c r="AR97" s="132">
        <f>IF($Q97="C", (F97*$N97),0)</f>
        <v>0</v>
      </c>
      <c r="AS97" s="227"/>
    </row>
    <row r="98" spans="1:45" s="19" customFormat="1">
      <c r="A98" s="45" t="s">
        <v>276</v>
      </c>
      <c r="B98" s="94" t="s">
        <v>9</v>
      </c>
      <c r="C98" s="167">
        <v>200</v>
      </c>
      <c r="D98" s="94" t="s">
        <v>279</v>
      </c>
      <c r="E98" s="170">
        <v>10</v>
      </c>
      <c r="F98" s="169">
        <f>E98*C98</f>
        <v>2000</v>
      </c>
      <c r="G98" s="170">
        <v>0</v>
      </c>
      <c r="H98" s="170">
        <v>0</v>
      </c>
      <c r="I98" s="170">
        <v>0</v>
      </c>
      <c r="J98" s="170">
        <v>0</v>
      </c>
      <c r="K98" s="170">
        <v>0</v>
      </c>
      <c r="L98" s="94" t="s">
        <v>8</v>
      </c>
      <c r="M98" s="168">
        <f>IF(R98="PD",((Shop*G98)+(M_Tech*H98)+(CMM*I98)+(ENG*J98)+(DES*K98))*N98,((Shop_RD*G98)+(MTECH_RD*H98)+(CMM_RD*I98)+(ENG_RD*J98)+(DES_RD*K98))*N98)</f>
        <v>0</v>
      </c>
      <c r="N98" s="90">
        <v>1</v>
      </c>
      <c r="O98" s="172">
        <f>M98+(F98*N98)</f>
        <v>2000</v>
      </c>
      <c r="P98" s="172"/>
      <c r="Q98" s="51" t="s">
        <v>29</v>
      </c>
      <c r="R98" s="71" t="s">
        <v>152</v>
      </c>
      <c r="S98" s="138" t="str">
        <f>CONCATENATE(Q98,R98,AB98)</f>
        <v>BPT2012</v>
      </c>
      <c r="T98" s="138" t="str">
        <f>CONCATENATE(Q98,U98,AB98)</f>
        <v>B1.2.4.2.42012</v>
      </c>
      <c r="U98" s="138" t="s">
        <v>199</v>
      </c>
      <c r="V98" s="138" t="str">
        <f>LOOKUP(U98,$B$156:$B$182,$A$156:$A$182)</f>
        <v>Test Ducting</v>
      </c>
      <c r="AB98" s="32">
        <v>2012</v>
      </c>
      <c r="AC98" s="132">
        <f t="shared" si="82"/>
        <v>0</v>
      </c>
      <c r="AD98" s="132">
        <f t="shared" si="82"/>
        <v>0</v>
      </c>
      <c r="AE98" s="132">
        <f t="shared" si="82"/>
        <v>0</v>
      </c>
      <c r="AF98" s="132">
        <f t="shared" si="82"/>
        <v>0</v>
      </c>
      <c r="AG98" s="132">
        <f t="shared" si="82"/>
        <v>0</v>
      </c>
      <c r="AH98" s="226">
        <f>IF($Q98="B", (F98*$N98),0)</f>
        <v>2000</v>
      </c>
      <c r="AI98" s="227"/>
      <c r="AJ98" s="132"/>
      <c r="AK98" s="132"/>
      <c r="AL98" s="168"/>
      <c r="AM98" s="131">
        <f t="shared" si="83"/>
        <v>0</v>
      </c>
      <c r="AN98" s="132">
        <f t="shared" si="83"/>
        <v>0</v>
      </c>
      <c r="AO98" s="132">
        <f t="shared" si="83"/>
        <v>0</v>
      </c>
      <c r="AP98" s="132">
        <f t="shared" si="83"/>
        <v>0</v>
      </c>
      <c r="AQ98" s="132">
        <f t="shared" si="83"/>
        <v>0</v>
      </c>
      <c r="AR98" s="132">
        <f>IF($Q98="C", (F98*$N98),0)</f>
        <v>0</v>
      </c>
      <c r="AS98" s="227"/>
    </row>
    <row r="99" spans="1:45" s="19" customFormat="1">
      <c r="A99" s="45" t="s">
        <v>277</v>
      </c>
      <c r="B99" s="94" t="s">
        <v>9</v>
      </c>
      <c r="C99" s="167">
        <v>1</v>
      </c>
      <c r="D99" s="94" t="s">
        <v>9</v>
      </c>
      <c r="E99" s="170">
        <v>20</v>
      </c>
      <c r="F99" s="169">
        <f>E99*C99</f>
        <v>20</v>
      </c>
      <c r="G99" s="170">
        <v>16</v>
      </c>
      <c r="H99" s="170">
        <v>60</v>
      </c>
      <c r="I99" s="170">
        <v>20</v>
      </c>
      <c r="J99" s="170">
        <v>8</v>
      </c>
      <c r="K99" s="170">
        <v>0</v>
      </c>
      <c r="L99" s="94" t="s">
        <v>8</v>
      </c>
      <c r="M99" s="168">
        <f>IF(R99="PD",((Shop*G99)+(M_Tech*H99)+(CMM*I99)+(ENG*J99)+(DES*K99))*N99,((Shop_RD*G99)+(MTECH_RD*H99)+(CMM_RD*I99)+(ENG_RD*J99)+(DES_RD*K99))*N99)</f>
        <v>10236</v>
      </c>
      <c r="N99" s="90">
        <v>1</v>
      </c>
      <c r="O99" s="172">
        <f>M99+(F99*N99)</f>
        <v>10256</v>
      </c>
      <c r="P99" s="172"/>
      <c r="Q99" s="51" t="s">
        <v>29</v>
      </c>
      <c r="R99" s="71" t="s">
        <v>152</v>
      </c>
      <c r="S99" s="138" t="str">
        <f>CONCATENATE(Q99,R99,AB99)</f>
        <v>BPT2012</v>
      </c>
      <c r="T99" s="138" t="str">
        <f>CONCATENATE(Q99,U99,AB99)</f>
        <v>B1.2.4.2.42012</v>
      </c>
      <c r="U99" s="138" t="s">
        <v>199</v>
      </c>
      <c r="V99" s="138" t="str">
        <f>LOOKUP(U99,$B$156:$B$182,$A$156:$A$182)</f>
        <v>Test Ducting</v>
      </c>
      <c r="AB99" s="32">
        <v>2012</v>
      </c>
      <c r="AC99" s="132">
        <f t="shared" si="82"/>
        <v>16</v>
      </c>
      <c r="AD99" s="132">
        <f t="shared" si="82"/>
        <v>60</v>
      </c>
      <c r="AE99" s="132">
        <f t="shared" si="82"/>
        <v>20</v>
      </c>
      <c r="AF99" s="132">
        <f t="shared" si="82"/>
        <v>8</v>
      </c>
      <c r="AG99" s="132">
        <f t="shared" si="82"/>
        <v>0</v>
      </c>
      <c r="AH99" s="226">
        <f>IF($Q99="B", (F99*$N99),0)</f>
        <v>20</v>
      </c>
      <c r="AI99" s="227"/>
      <c r="AJ99" s="132"/>
      <c r="AK99" s="132"/>
      <c r="AL99" s="168"/>
      <c r="AM99" s="131">
        <f t="shared" si="83"/>
        <v>0</v>
      </c>
      <c r="AN99" s="132">
        <f t="shared" si="83"/>
        <v>0</v>
      </c>
      <c r="AO99" s="132">
        <f t="shared" si="83"/>
        <v>0</v>
      </c>
      <c r="AP99" s="132">
        <f t="shared" si="83"/>
        <v>0</v>
      </c>
      <c r="AQ99" s="132">
        <f t="shared" si="83"/>
        <v>0</v>
      </c>
      <c r="AR99" s="132">
        <f>IF($Q99="C", (F99*$N99),0)</f>
        <v>0</v>
      </c>
      <c r="AS99" s="227"/>
    </row>
    <row r="100" spans="1:45" s="19" customFormat="1">
      <c r="A100" s="45" t="s">
        <v>227</v>
      </c>
      <c r="B100" s="94" t="s">
        <v>9</v>
      </c>
      <c r="C100" s="167">
        <v>1</v>
      </c>
      <c r="D100" s="94" t="s">
        <v>9</v>
      </c>
      <c r="E100" s="170">
        <v>500</v>
      </c>
      <c r="F100" s="169">
        <f>E100*C100</f>
        <v>500</v>
      </c>
      <c r="G100" s="170">
        <v>16</v>
      </c>
      <c r="H100" s="170">
        <v>60</v>
      </c>
      <c r="I100" s="170">
        <v>20</v>
      </c>
      <c r="J100" s="170">
        <v>8</v>
      </c>
      <c r="K100" s="170">
        <v>0</v>
      </c>
      <c r="L100" s="94" t="s">
        <v>8</v>
      </c>
      <c r="M100" s="168">
        <f>IF(R100="PD",((Shop*G100)+(M_Tech*H100)+(CMM*I100)+(ENG*J100)+(DES*K100))*N100,((Shop_RD*G100)+(MTECH_RD*H100)+(CMM_RD*I100)+(ENG_RD*J100)+(DES_RD*K100))*N100)</f>
        <v>10236</v>
      </c>
      <c r="N100" s="90">
        <v>1</v>
      </c>
      <c r="O100" s="172">
        <f>M100+(F100*N100)</f>
        <v>10736</v>
      </c>
      <c r="P100" s="172"/>
      <c r="Q100" s="51" t="s">
        <v>30</v>
      </c>
      <c r="R100" s="71" t="s">
        <v>152</v>
      </c>
      <c r="S100" s="138" t="str">
        <f>CONCATENATE(Q100,R100,AB100)</f>
        <v>CPT2012</v>
      </c>
      <c r="T100" s="138" t="str">
        <f>CONCATENATE(Q100,U100,AB100)</f>
        <v>C1.2.4.2.42012</v>
      </c>
      <c r="U100" s="138" t="s">
        <v>199</v>
      </c>
      <c r="V100" s="138" t="str">
        <f>LOOKUP(U100,$B$156:$B$182,$A$156:$A$182)</f>
        <v>Test Ducting</v>
      </c>
      <c r="AB100" s="32">
        <v>2012</v>
      </c>
      <c r="AC100" s="132">
        <f t="shared" si="82"/>
        <v>0</v>
      </c>
      <c r="AD100" s="132">
        <f t="shared" si="82"/>
        <v>0</v>
      </c>
      <c r="AE100" s="132">
        <f t="shared" si="82"/>
        <v>0</v>
      </c>
      <c r="AF100" s="132">
        <f t="shared" si="82"/>
        <v>0</v>
      </c>
      <c r="AG100" s="132">
        <f t="shared" si="82"/>
        <v>0</v>
      </c>
      <c r="AH100" s="226">
        <f>IF($Q100="B", (F100*$N100),0)</f>
        <v>0</v>
      </c>
      <c r="AI100" s="227"/>
      <c r="AJ100" s="132"/>
      <c r="AK100" s="132"/>
      <c r="AL100" s="168"/>
      <c r="AM100" s="131">
        <f t="shared" si="83"/>
        <v>16</v>
      </c>
      <c r="AN100" s="132">
        <f t="shared" si="83"/>
        <v>60</v>
      </c>
      <c r="AO100" s="132">
        <f t="shared" si="83"/>
        <v>20</v>
      </c>
      <c r="AP100" s="132">
        <f t="shared" si="83"/>
        <v>8</v>
      </c>
      <c r="AQ100" s="132">
        <f t="shared" si="83"/>
        <v>0</v>
      </c>
      <c r="AR100" s="132">
        <f>IF($Q100="C", (F100*$N100),0)</f>
        <v>500</v>
      </c>
      <c r="AS100" s="227"/>
    </row>
    <row r="101" spans="1:45" s="19" customFormat="1">
      <c r="A101" s="46"/>
      <c r="C101" s="167"/>
      <c r="D101" s="94"/>
      <c r="E101" s="60"/>
      <c r="F101" s="61"/>
      <c r="G101" s="62"/>
      <c r="H101" s="62"/>
      <c r="I101" s="62"/>
      <c r="J101" s="62"/>
      <c r="K101" s="63"/>
      <c r="L101" s="209" t="s">
        <v>41</v>
      </c>
      <c r="M101" s="180">
        <f>SUMIF(Q96:Q100,"B",M96:M100)</f>
        <v>22644</v>
      </c>
      <c r="N101" s="65" t="s">
        <v>40</v>
      </c>
      <c r="O101" s="172"/>
      <c r="P101" s="172"/>
      <c r="Q101" s="51"/>
      <c r="R101" s="71"/>
      <c r="S101" s="138"/>
      <c r="T101" s="138"/>
      <c r="U101" s="138"/>
      <c r="V101" s="138"/>
      <c r="AB101" s="32"/>
      <c r="AC101" s="132"/>
      <c r="AD101" s="132"/>
      <c r="AE101" s="135"/>
      <c r="AF101" s="132"/>
      <c r="AG101" s="132"/>
      <c r="AH101" s="226"/>
      <c r="AI101" s="227"/>
      <c r="AJ101" s="132"/>
      <c r="AK101" s="132"/>
      <c r="AL101" s="168"/>
      <c r="AM101" s="131"/>
      <c r="AN101" s="132"/>
      <c r="AO101" s="132"/>
      <c r="AP101" s="132"/>
      <c r="AQ101" s="132"/>
      <c r="AR101" s="132"/>
      <c r="AS101" s="227"/>
    </row>
    <row r="102" spans="1:45">
      <c r="A102" s="20" t="s">
        <v>280</v>
      </c>
      <c r="B102" s="3"/>
      <c r="C102" s="173"/>
      <c r="D102" s="14"/>
      <c r="E102" s="174"/>
      <c r="F102" s="175"/>
      <c r="G102" s="173"/>
      <c r="H102" s="173"/>
      <c r="I102" s="173"/>
      <c r="J102" s="173"/>
      <c r="K102" s="176"/>
      <c r="L102" s="14"/>
      <c r="M102" s="174">
        <f>SUMIF(Q78:Q101,"B",M78:M101)</f>
        <v>82355.520000000004</v>
      </c>
      <c r="N102" s="280" t="s">
        <v>40</v>
      </c>
      <c r="O102" s="281"/>
      <c r="P102" s="282"/>
      <c r="Q102" s="52"/>
      <c r="R102" s="73"/>
      <c r="S102" s="139"/>
      <c r="T102" s="139"/>
      <c r="U102" s="139"/>
      <c r="V102" s="139"/>
      <c r="W102" s="3"/>
      <c r="X102" s="3"/>
      <c r="Y102" s="3"/>
      <c r="Z102" s="3"/>
      <c r="AA102" s="3"/>
      <c r="AB102" s="33"/>
      <c r="AC102" s="5">
        <f>SUM(AC37:AC101)</f>
        <v>81</v>
      </c>
      <c r="AD102" s="5">
        <f>SUM(AD37:AD101)</f>
        <v>2274.6000000000004</v>
      </c>
      <c r="AE102" s="5">
        <f>SUM(AE37:AE101)</f>
        <v>1143</v>
      </c>
      <c r="AF102" s="5">
        <f>SUM(AF37:AF101)</f>
        <v>509.7</v>
      </c>
      <c r="AG102" s="5">
        <f>SUM(AG37:AG101)</f>
        <v>713.09999999999991</v>
      </c>
      <c r="AH102" s="174"/>
      <c r="AI102" s="175">
        <f>SUM(AH37:AH101)</f>
        <v>51640</v>
      </c>
      <c r="AJ102" s="174">
        <f>(Shop*AC102)+M_Tech*AD102+CMM*AE102+ENG*AF102+DES*AG102+AI102</f>
        <v>337399.25200000004</v>
      </c>
      <c r="AK102" s="174"/>
      <c r="AL102" s="175">
        <f>Shop*AM102+M_Tech*AN102+CMM*AO102+ENG*AP102+DES*AQ102+AS102</f>
        <v>53865.14</v>
      </c>
      <c r="AM102" s="5">
        <f>SUM(AM37:AM101)</f>
        <v>52</v>
      </c>
      <c r="AN102" s="5">
        <f>SUM(AN37:AN101)</f>
        <v>256</v>
      </c>
      <c r="AO102" s="5">
        <f>SUM(AO37:AO101)</f>
        <v>228</v>
      </c>
      <c r="AP102" s="5">
        <f>SUM(AP37:AP101)</f>
        <v>136.6</v>
      </c>
      <c r="AQ102" s="5">
        <f>SUM(AQ37:AQ101)</f>
        <v>225.2</v>
      </c>
      <c r="AR102" s="174"/>
      <c r="AS102" s="175">
        <f>SUM(AR37:AR101)</f>
        <v>7700</v>
      </c>
    </row>
    <row r="103" spans="1:45">
      <c r="F103" s="162"/>
      <c r="G103" s="160"/>
      <c r="H103" s="160"/>
      <c r="I103" s="160"/>
      <c r="J103" s="160"/>
      <c r="K103" s="177"/>
      <c r="M103" s="110"/>
      <c r="N103" s="7"/>
      <c r="O103" s="178"/>
      <c r="P103" s="178"/>
      <c r="Q103" s="34"/>
      <c r="R103" s="72"/>
      <c r="S103" s="140"/>
      <c r="T103" s="140"/>
      <c r="U103" s="140"/>
      <c r="V103" s="140"/>
      <c r="W103"/>
      <c r="X103"/>
      <c r="Y103"/>
      <c r="Z103"/>
      <c r="AA103"/>
      <c r="AB103" s="35"/>
      <c r="AC103" s="30"/>
      <c r="AD103" s="30"/>
      <c r="AE103" s="30"/>
      <c r="AF103" s="30"/>
      <c r="AG103" s="30"/>
      <c r="AH103" s="229"/>
      <c r="AI103" s="230"/>
      <c r="AJ103" s="6"/>
      <c r="AK103" s="6"/>
      <c r="AM103" s="31"/>
      <c r="AN103" s="4"/>
      <c r="AO103" s="4"/>
      <c r="AP103" s="4"/>
      <c r="AQ103" s="4"/>
      <c r="AR103" s="4"/>
      <c r="AS103" s="231"/>
    </row>
    <row r="104" spans="1:45" ht="15.75">
      <c r="A104" s="48" t="s">
        <v>201</v>
      </c>
      <c r="F104" s="162"/>
      <c r="G104" s="160"/>
      <c r="H104" s="160"/>
      <c r="I104" s="160"/>
      <c r="J104" s="160"/>
      <c r="K104" s="177"/>
      <c r="M104" s="110"/>
      <c r="N104" s="7"/>
      <c r="O104" s="178"/>
      <c r="P104" s="178"/>
      <c r="Q104" s="51"/>
      <c r="R104" s="71"/>
      <c r="S104" s="138"/>
      <c r="T104" s="138"/>
      <c r="U104" s="138"/>
      <c r="V104" s="138"/>
      <c r="W104"/>
      <c r="X104"/>
      <c r="Y104"/>
      <c r="Z104"/>
      <c r="AA104"/>
      <c r="AB104" s="32"/>
      <c r="AC104" s="4"/>
      <c r="AD104" s="4"/>
      <c r="AE104" s="4"/>
      <c r="AF104" s="4"/>
      <c r="AG104" s="4"/>
      <c r="AH104" s="161"/>
      <c r="AI104" s="231"/>
      <c r="AJ104" s="4"/>
      <c r="AK104" s="4"/>
      <c r="AM104" s="31"/>
      <c r="AN104" s="4"/>
      <c r="AO104" s="4"/>
      <c r="AP104" s="4"/>
      <c r="AQ104" s="4"/>
      <c r="AR104" s="4"/>
      <c r="AS104" s="231"/>
    </row>
    <row r="105" spans="1:45" s="18" customFormat="1">
      <c r="A105" s="46" t="s">
        <v>244</v>
      </c>
      <c r="B105" s="19"/>
      <c r="C105" s="153"/>
      <c r="D105" s="94"/>
      <c r="E105" s="110"/>
      <c r="F105" s="162"/>
      <c r="G105" s="170"/>
      <c r="H105" s="160"/>
      <c r="I105" s="160"/>
      <c r="J105" s="160"/>
      <c r="K105" s="177"/>
      <c r="L105" s="209"/>
      <c r="M105" s="180"/>
      <c r="N105" s="65"/>
      <c r="O105" s="180"/>
      <c r="P105" s="178"/>
      <c r="Q105" s="51"/>
      <c r="R105" s="71"/>
      <c r="S105" s="138"/>
      <c r="T105" s="138"/>
      <c r="U105" s="138"/>
      <c r="V105" s="138"/>
      <c r="W105"/>
      <c r="X105"/>
      <c r="Y105"/>
      <c r="Z105"/>
      <c r="AA105"/>
      <c r="AB105" s="32"/>
      <c r="AC105" s="4"/>
      <c r="AD105" s="4"/>
      <c r="AE105" s="4"/>
      <c r="AF105" s="4"/>
      <c r="AG105" s="4"/>
      <c r="AH105" s="161"/>
      <c r="AI105" s="232"/>
      <c r="AJ105" s="233"/>
      <c r="AK105" s="233"/>
      <c r="AL105" s="110"/>
      <c r="AM105" s="31"/>
      <c r="AN105" s="4"/>
      <c r="AO105" s="4"/>
      <c r="AP105" s="4"/>
      <c r="AQ105" s="4"/>
      <c r="AR105" s="4"/>
      <c r="AS105" s="232"/>
    </row>
    <row r="106" spans="1:45" s="133" customFormat="1">
      <c r="A106" s="45" t="s">
        <v>243</v>
      </c>
      <c r="B106" s="94" t="s">
        <v>9</v>
      </c>
      <c r="C106" s="167">
        <v>1</v>
      </c>
      <c r="D106" s="94" t="s">
        <v>9</v>
      </c>
      <c r="E106" s="170">
        <v>0</v>
      </c>
      <c r="F106" s="169">
        <f>E106*C106</f>
        <v>0</v>
      </c>
      <c r="G106" s="170">
        <v>0</v>
      </c>
      <c r="H106" s="170">
        <v>0</v>
      </c>
      <c r="I106" s="170">
        <v>0</v>
      </c>
      <c r="J106" s="170">
        <v>40</v>
      </c>
      <c r="K106" s="170">
        <v>80</v>
      </c>
      <c r="L106" s="94" t="s">
        <v>8</v>
      </c>
      <c r="M106" s="168">
        <f>IF(R106="PD",((Shop*G106)+(M_Tech*H106)+(CMM*I106)+(ENG*J106)+(DES*K106))*N106,((Shop_RD*G106)+(MTECH_RD*H106)+(CMM_RD*I106)+(ENG_RD*J106)+(DES_RD*K106))*N106)</f>
        <v>6000</v>
      </c>
      <c r="N106" s="90">
        <v>1</v>
      </c>
      <c r="O106" s="172">
        <f>M106+(F106*N106)</f>
        <v>6000</v>
      </c>
      <c r="P106" s="172"/>
      <c r="Q106" s="51" t="s">
        <v>29</v>
      </c>
      <c r="R106" s="71" t="s">
        <v>152</v>
      </c>
      <c r="S106" s="138" t="str">
        <f>CONCATENATE(Q106,R106,AB106)</f>
        <v>BPT2011</v>
      </c>
      <c r="T106" s="138" t="str">
        <f>CONCATENATE(Q106,U106,AB106)</f>
        <v>B1.2.4.3.12011</v>
      </c>
      <c r="U106" s="138" t="s">
        <v>202</v>
      </c>
      <c r="V106" s="138" t="str">
        <f>LOOKUP(U106,$B$156:$B$182,$A$156:$A$182)</f>
        <v>RDO Crate Prototype</v>
      </c>
      <c r="W106" s="19"/>
      <c r="X106" s="19"/>
      <c r="Y106" s="19"/>
      <c r="Z106" s="19"/>
      <c r="AA106" s="19"/>
      <c r="AB106" s="32">
        <v>2011</v>
      </c>
      <c r="AC106" s="132">
        <f t="shared" ref="AC106:AG109" si="84">IF($Q106="B", (G106*$N106),0)</f>
        <v>0</v>
      </c>
      <c r="AD106" s="132">
        <f t="shared" si="84"/>
        <v>0</v>
      </c>
      <c r="AE106" s="132">
        <f t="shared" si="84"/>
        <v>0</v>
      </c>
      <c r="AF106" s="132">
        <f t="shared" si="84"/>
        <v>40</v>
      </c>
      <c r="AG106" s="132">
        <f t="shared" si="84"/>
        <v>80</v>
      </c>
      <c r="AH106" s="226">
        <f>IF($Q106="B", (F106*$N106),0)</f>
        <v>0</v>
      </c>
      <c r="AI106" s="228"/>
      <c r="AJ106" s="234"/>
      <c r="AK106" s="234"/>
      <c r="AL106" s="168"/>
      <c r="AM106" s="131">
        <f t="shared" ref="AM106:AQ109" si="85">IF($Q106="C", (G106*$N106),0)</f>
        <v>0</v>
      </c>
      <c r="AN106" s="132">
        <f t="shared" si="85"/>
        <v>0</v>
      </c>
      <c r="AO106" s="132">
        <f t="shared" si="85"/>
        <v>0</v>
      </c>
      <c r="AP106" s="132">
        <f t="shared" si="85"/>
        <v>0</v>
      </c>
      <c r="AQ106" s="132">
        <f t="shared" si="85"/>
        <v>0</v>
      </c>
      <c r="AR106" s="132">
        <f>IF($Q106="C", (F106*$N106),0)</f>
        <v>0</v>
      </c>
      <c r="AS106" s="228"/>
    </row>
    <row r="107" spans="1:45" s="133" customFormat="1">
      <c r="A107" s="45" t="s">
        <v>225</v>
      </c>
      <c r="B107" s="94" t="s">
        <v>9</v>
      </c>
      <c r="C107" s="167">
        <v>1</v>
      </c>
      <c r="D107" s="94" t="s">
        <v>9</v>
      </c>
      <c r="E107" s="170">
        <v>3000</v>
      </c>
      <c r="F107" s="169">
        <f>E107*C107</f>
        <v>3000</v>
      </c>
      <c r="G107" s="170">
        <v>40</v>
      </c>
      <c r="H107" s="170">
        <v>60</v>
      </c>
      <c r="I107" s="170">
        <v>40</v>
      </c>
      <c r="J107" s="170">
        <v>16</v>
      </c>
      <c r="K107" s="170">
        <v>40</v>
      </c>
      <c r="L107" s="94" t="s">
        <v>8</v>
      </c>
      <c r="M107" s="168">
        <f>IF(R107="PD",((Shop*G107)+(M_Tech*H107)+(CMM*I107)+(ENG*J107)+(DES*K107))*N107,((Shop_RD*G107)+(MTECH_RD*H107)+(CMM_RD*I107)+(ENG_RD*J107)+(DES_RD*K107))*N107)</f>
        <v>14460</v>
      </c>
      <c r="N107" s="90">
        <v>1</v>
      </c>
      <c r="O107" s="172">
        <f>M107+(F107*N107)</f>
        <v>17460</v>
      </c>
      <c r="P107" s="172"/>
      <c r="Q107" s="51" t="s">
        <v>29</v>
      </c>
      <c r="R107" s="71" t="s">
        <v>152</v>
      </c>
      <c r="S107" s="138" t="str">
        <f>CONCATENATE(Q107,R107,AB107)</f>
        <v>BPT2011</v>
      </c>
      <c r="T107" s="138" t="str">
        <f>CONCATENATE(Q107,U107,AB107)</f>
        <v>B1.2.4.3.12011</v>
      </c>
      <c r="U107" s="138" t="s">
        <v>202</v>
      </c>
      <c r="V107" s="138" t="str">
        <f>LOOKUP(U107,$B$156:$B$182,$A$156:$A$182)</f>
        <v>RDO Crate Prototype</v>
      </c>
      <c r="W107" s="19"/>
      <c r="X107" s="19"/>
      <c r="Y107" s="19"/>
      <c r="Z107" s="19"/>
      <c r="AA107" s="19"/>
      <c r="AB107" s="32">
        <v>2011</v>
      </c>
      <c r="AC107" s="132">
        <f t="shared" si="84"/>
        <v>40</v>
      </c>
      <c r="AD107" s="132">
        <f t="shared" si="84"/>
        <v>60</v>
      </c>
      <c r="AE107" s="132">
        <f t="shared" si="84"/>
        <v>40</v>
      </c>
      <c r="AF107" s="132">
        <f t="shared" si="84"/>
        <v>16</v>
      </c>
      <c r="AG107" s="132">
        <f t="shared" si="84"/>
        <v>40</v>
      </c>
      <c r="AH107" s="226">
        <f>IF($Q107="B", (F107*$N107),0)</f>
        <v>3000</v>
      </c>
      <c r="AI107" s="228"/>
      <c r="AJ107" s="234"/>
      <c r="AK107" s="234"/>
      <c r="AL107" s="168"/>
      <c r="AM107" s="131">
        <f t="shared" si="85"/>
        <v>0</v>
      </c>
      <c r="AN107" s="132">
        <f t="shared" si="85"/>
        <v>0</v>
      </c>
      <c r="AO107" s="132">
        <f t="shared" si="85"/>
        <v>0</v>
      </c>
      <c r="AP107" s="132">
        <f t="shared" si="85"/>
        <v>0</v>
      </c>
      <c r="AQ107" s="132">
        <f t="shared" si="85"/>
        <v>0</v>
      </c>
      <c r="AR107" s="132">
        <f>IF($Q107="C", (F107*$N107),0)</f>
        <v>0</v>
      </c>
      <c r="AS107" s="228"/>
    </row>
    <row r="108" spans="1:45" s="133" customFormat="1">
      <c r="A108" s="45" t="s">
        <v>226</v>
      </c>
      <c r="B108" s="94" t="s">
        <v>9</v>
      </c>
      <c r="C108" s="167">
        <v>1</v>
      </c>
      <c r="D108" s="94" t="s">
        <v>9</v>
      </c>
      <c r="E108" s="170">
        <v>500</v>
      </c>
      <c r="F108" s="169">
        <f>E108*C108</f>
        <v>500</v>
      </c>
      <c r="G108" s="170">
        <v>0</v>
      </c>
      <c r="H108" s="170">
        <v>24</v>
      </c>
      <c r="I108" s="170">
        <v>40</v>
      </c>
      <c r="J108" s="170">
        <v>0</v>
      </c>
      <c r="K108" s="170">
        <v>40</v>
      </c>
      <c r="L108" s="94" t="s">
        <v>8</v>
      </c>
      <c r="M108" s="168">
        <f>IF(R108="PD",((Shop*G108)+(M_Tech*H108)+(CMM*I108)+(ENG*J108)+(DES*K108))*N108,((Shop_RD*G108)+(MTECH_RD*H108)+(CMM_RD*I108)+(ENG_RD*J108)+(DES_RD*K108))*N108)</f>
        <v>2808</v>
      </c>
      <c r="N108" s="90">
        <v>1</v>
      </c>
      <c r="O108" s="172">
        <f>M108+(F108*N108)</f>
        <v>3308</v>
      </c>
      <c r="P108" s="172"/>
      <c r="Q108" s="51" t="s">
        <v>29</v>
      </c>
      <c r="R108" s="71" t="s">
        <v>152</v>
      </c>
      <c r="S108" s="138" t="str">
        <f>CONCATENATE(Q108,R108,AB108)</f>
        <v>BPT2011</v>
      </c>
      <c r="T108" s="138" t="str">
        <f>CONCATENATE(Q108,U108,AB108)</f>
        <v>B1.2.4.3.12011</v>
      </c>
      <c r="U108" s="138" t="s">
        <v>202</v>
      </c>
      <c r="V108" s="138" t="str">
        <f>LOOKUP(U108,$B$156:$B$182,$A$156:$A$182)</f>
        <v>RDO Crate Prototype</v>
      </c>
      <c r="W108" s="19"/>
      <c r="X108" s="19"/>
      <c r="Y108" s="19"/>
      <c r="Z108" s="19"/>
      <c r="AA108" s="19"/>
      <c r="AB108" s="32">
        <v>2011</v>
      </c>
      <c r="AC108" s="132">
        <f t="shared" si="84"/>
        <v>0</v>
      </c>
      <c r="AD108" s="132">
        <f t="shared" si="84"/>
        <v>24</v>
      </c>
      <c r="AE108" s="132">
        <f t="shared" si="84"/>
        <v>40</v>
      </c>
      <c r="AF108" s="132">
        <f t="shared" si="84"/>
        <v>0</v>
      </c>
      <c r="AG108" s="132">
        <f t="shared" si="84"/>
        <v>40</v>
      </c>
      <c r="AH108" s="226">
        <f>IF($Q108="B", (F108*$N108),0)</f>
        <v>500</v>
      </c>
      <c r="AI108" s="228"/>
      <c r="AJ108" s="234"/>
      <c r="AK108" s="234"/>
      <c r="AL108" s="168"/>
      <c r="AM108" s="131">
        <f t="shared" si="85"/>
        <v>0</v>
      </c>
      <c r="AN108" s="132">
        <f t="shared" si="85"/>
        <v>0</v>
      </c>
      <c r="AO108" s="132">
        <f t="shared" si="85"/>
        <v>0</v>
      </c>
      <c r="AP108" s="132">
        <f t="shared" si="85"/>
        <v>0</v>
      </c>
      <c r="AQ108" s="132">
        <f t="shared" si="85"/>
        <v>0</v>
      </c>
      <c r="AR108" s="132">
        <f>IF($Q108="C", (F108*$N108),0)</f>
        <v>0</v>
      </c>
      <c r="AS108" s="228"/>
    </row>
    <row r="109" spans="1:45" s="133" customFormat="1">
      <c r="A109" s="45" t="s">
        <v>227</v>
      </c>
      <c r="B109" s="94" t="s">
        <v>9</v>
      </c>
      <c r="C109" s="167">
        <v>1</v>
      </c>
      <c r="D109" s="94" t="s">
        <v>9</v>
      </c>
      <c r="E109" s="170">
        <v>0</v>
      </c>
      <c r="F109" s="169">
        <f>E109*C109</f>
        <v>0</v>
      </c>
      <c r="G109" s="170">
        <v>0</v>
      </c>
      <c r="H109" s="170">
        <v>0</v>
      </c>
      <c r="I109" s="170">
        <v>0</v>
      </c>
      <c r="J109" s="170">
        <v>16</v>
      </c>
      <c r="K109" s="170">
        <v>40</v>
      </c>
      <c r="L109" s="94" t="s">
        <v>8</v>
      </c>
      <c r="M109" s="168">
        <f>IF(R109="PD",((Shop*G109)+(M_Tech*H109)+(CMM*I109)+(ENG*J109)+(DES*K109))*N109,((Shop_RD*G109)+(MTECH_RD*H109)+(CMM_RD*I109)+(ENG_RD*J109)+(DES_RD*K109))*N109)</f>
        <v>2400</v>
      </c>
      <c r="N109" s="90">
        <v>1</v>
      </c>
      <c r="O109" s="172">
        <f>M109+(F109*N109)</f>
        <v>2400</v>
      </c>
      <c r="P109" s="172"/>
      <c r="Q109" s="51" t="s">
        <v>30</v>
      </c>
      <c r="R109" s="71" t="s">
        <v>152</v>
      </c>
      <c r="S109" s="138" t="str">
        <f>CONCATENATE(Q109,R109,AB109)</f>
        <v>CPT2011</v>
      </c>
      <c r="T109" s="138" t="str">
        <f>CONCATENATE(Q109,U109,AB109)</f>
        <v>C1.2.4.3.12011</v>
      </c>
      <c r="U109" s="138" t="s">
        <v>202</v>
      </c>
      <c r="V109" s="138" t="str">
        <f>LOOKUP(U109,$B$156:$B$182,$A$156:$A$182)</f>
        <v>RDO Crate Prototype</v>
      </c>
      <c r="W109" s="19"/>
      <c r="X109" s="19"/>
      <c r="Y109" s="19"/>
      <c r="Z109" s="19"/>
      <c r="AA109" s="19"/>
      <c r="AB109" s="32">
        <v>2011</v>
      </c>
      <c r="AC109" s="132">
        <f t="shared" si="84"/>
        <v>0</v>
      </c>
      <c r="AD109" s="132">
        <f t="shared" si="84"/>
        <v>0</v>
      </c>
      <c r="AE109" s="132">
        <f t="shared" si="84"/>
        <v>0</v>
      </c>
      <c r="AF109" s="132">
        <f t="shared" si="84"/>
        <v>0</v>
      </c>
      <c r="AG109" s="132">
        <f t="shared" si="84"/>
        <v>0</v>
      </c>
      <c r="AH109" s="226">
        <f>IF($Q109="B", (F109*$N109),0)</f>
        <v>0</v>
      </c>
      <c r="AI109" s="228"/>
      <c r="AJ109" s="234"/>
      <c r="AK109" s="234"/>
      <c r="AL109" s="168"/>
      <c r="AM109" s="131">
        <f t="shared" si="85"/>
        <v>0</v>
      </c>
      <c r="AN109" s="132">
        <f t="shared" si="85"/>
        <v>0</v>
      </c>
      <c r="AO109" s="132">
        <f t="shared" si="85"/>
        <v>0</v>
      </c>
      <c r="AP109" s="132">
        <f t="shared" si="85"/>
        <v>16</v>
      </c>
      <c r="AQ109" s="132">
        <f t="shared" si="85"/>
        <v>40</v>
      </c>
      <c r="AR109" s="132">
        <f>IF($Q109="C", (F109*$N109),0)</f>
        <v>0</v>
      </c>
      <c r="AS109" s="228"/>
    </row>
    <row r="110" spans="1:45" s="49" customFormat="1">
      <c r="A110" s="46" t="s">
        <v>245</v>
      </c>
      <c r="C110" s="181"/>
      <c r="D110" s="109"/>
      <c r="E110" s="60"/>
      <c r="F110" s="61"/>
      <c r="G110" s="62"/>
      <c r="H110" s="62"/>
      <c r="I110" s="62"/>
      <c r="J110" s="62"/>
      <c r="K110" s="63"/>
      <c r="L110" s="209" t="s">
        <v>41</v>
      </c>
      <c r="M110" s="180">
        <f>SUMIF(Q106:Q109,"B",M106:M109)</f>
        <v>23268</v>
      </c>
      <c r="N110" s="65" t="s">
        <v>41</v>
      </c>
      <c r="O110" s="182"/>
      <c r="P110" s="182"/>
      <c r="Q110" s="51"/>
      <c r="R110" s="71"/>
      <c r="S110" s="138"/>
      <c r="T110" s="138"/>
      <c r="U110" s="138"/>
      <c r="V110" s="138"/>
      <c r="W110" s="19"/>
      <c r="X110" s="19"/>
      <c r="Y110" s="19"/>
      <c r="Z110" s="19"/>
      <c r="AA110" s="19"/>
      <c r="AB110" s="54"/>
      <c r="AC110" s="55"/>
      <c r="AD110" s="55"/>
      <c r="AE110" s="56"/>
      <c r="AF110" s="55"/>
      <c r="AG110" s="55"/>
      <c r="AH110" s="38"/>
      <c r="AI110" s="235"/>
      <c r="AJ110" s="55"/>
      <c r="AK110" s="55"/>
      <c r="AL110" s="168"/>
      <c r="AM110" s="57"/>
      <c r="AN110" s="55"/>
      <c r="AO110" s="55"/>
      <c r="AP110" s="55"/>
      <c r="AQ110" s="55"/>
      <c r="AR110" s="55"/>
      <c r="AS110" s="235"/>
    </row>
    <row r="111" spans="1:45" s="19" customFormat="1">
      <c r="A111" s="45" t="s">
        <v>249</v>
      </c>
      <c r="B111" s="94" t="s">
        <v>9</v>
      </c>
      <c r="C111" s="167">
        <v>4</v>
      </c>
      <c r="D111" s="94" t="s">
        <v>9</v>
      </c>
      <c r="E111" s="170">
        <v>3000</v>
      </c>
      <c r="F111" s="169">
        <f>E111*C111</f>
        <v>12000</v>
      </c>
      <c r="G111" s="170">
        <v>24</v>
      </c>
      <c r="H111" s="170">
        <v>12</v>
      </c>
      <c r="I111" s="170">
        <v>0</v>
      </c>
      <c r="J111" s="170">
        <v>0.1</v>
      </c>
      <c r="K111" s="170">
        <v>0.2</v>
      </c>
      <c r="L111" s="94" t="s">
        <v>8</v>
      </c>
      <c r="M111" s="168">
        <f>IF(R111="PD",((Shop*G111)+(M_Tech*H111)+(CMM*I111)+(ENG*J111)+(DES*K111))*N111,((Shop_RD*G111)+(MTECH_RD*H111)+(CMM_RD*I111)+(ENG_RD*J111)+(DES_RD*K111))*N111)</f>
        <v>17772</v>
      </c>
      <c r="N111" s="90">
        <v>4</v>
      </c>
      <c r="O111" s="172">
        <f>M111+(F111*N111)</f>
        <v>65772</v>
      </c>
      <c r="P111" s="172"/>
      <c r="Q111" s="51" t="s">
        <v>29</v>
      </c>
      <c r="R111" s="71" t="s">
        <v>152</v>
      </c>
      <c r="S111" s="138" t="str">
        <f>CONCATENATE(Q111,R111,AB111)</f>
        <v>BPT2012</v>
      </c>
      <c r="T111" s="138" t="str">
        <f>CONCATENATE(Q111,U111,AB111)</f>
        <v>B1.2.4.3.22012</v>
      </c>
      <c r="U111" s="138" t="s">
        <v>204</v>
      </c>
      <c r="V111" s="138" t="str">
        <f>LOOKUP(U111,$B$156:$B$182,$A$156:$A$182)</f>
        <v>RDO Crate Production</v>
      </c>
      <c r="AB111" s="32">
        <v>2012</v>
      </c>
      <c r="AC111" s="132">
        <f t="shared" ref="AC111:AG112" si="86">IF($Q111="B", (G111*$N111),0)</f>
        <v>96</v>
      </c>
      <c r="AD111" s="132">
        <f t="shared" si="86"/>
        <v>48</v>
      </c>
      <c r="AE111" s="132">
        <f t="shared" si="86"/>
        <v>0</v>
      </c>
      <c r="AF111" s="132">
        <f t="shared" si="86"/>
        <v>0.4</v>
      </c>
      <c r="AG111" s="132">
        <f t="shared" si="86"/>
        <v>0.8</v>
      </c>
      <c r="AH111" s="226">
        <f>IF($Q111="B", (F111*$N111),0)</f>
        <v>48000</v>
      </c>
      <c r="AI111" s="227"/>
      <c r="AJ111" s="132"/>
      <c r="AK111" s="132"/>
      <c r="AL111" s="168"/>
      <c r="AM111" s="131">
        <f t="shared" ref="AM111:AQ112" si="87">IF($Q111="C", (G111*$N111),0)</f>
        <v>0</v>
      </c>
      <c r="AN111" s="132">
        <f t="shared" si="87"/>
        <v>0</v>
      </c>
      <c r="AO111" s="132">
        <f t="shared" si="87"/>
        <v>0</v>
      </c>
      <c r="AP111" s="132">
        <f t="shared" si="87"/>
        <v>0</v>
      </c>
      <c r="AQ111" s="132">
        <f t="shared" si="87"/>
        <v>0</v>
      </c>
      <c r="AR111" s="132">
        <f>IF($Q111="C", (F111*$N111),0)</f>
        <v>0</v>
      </c>
      <c r="AS111" s="227"/>
    </row>
    <row r="112" spans="1:45" s="19" customFormat="1">
      <c r="A112" s="45" t="s">
        <v>250</v>
      </c>
      <c r="B112" s="94" t="s">
        <v>9</v>
      </c>
      <c r="C112" s="167">
        <v>4</v>
      </c>
      <c r="D112" s="94" t="s">
        <v>9</v>
      </c>
      <c r="E112" s="170">
        <v>800</v>
      </c>
      <c r="F112" s="169">
        <f>E112*C112</f>
        <v>3200</v>
      </c>
      <c r="G112" s="170">
        <v>24</v>
      </c>
      <c r="H112" s="170">
        <v>24</v>
      </c>
      <c r="I112" s="170">
        <v>0</v>
      </c>
      <c r="J112" s="170">
        <v>0</v>
      </c>
      <c r="K112" s="170">
        <v>0</v>
      </c>
      <c r="L112" s="94" t="s">
        <v>8</v>
      </c>
      <c r="M112" s="168">
        <f>IF(R112="PD",((Shop*G112)+(M_Tech*H112)+(CMM*I112)+(ENG*J112)+(DES*K112))*N112,((Shop_RD*G112)+(MTECH_RD*H112)+(CMM_RD*I112)+(ENG_RD*J112)+(DES_RD*K112))*N112)</f>
        <v>5832</v>
      </c>
      <c r="N112" s="90">
        <v>1</v>
      </c>
      <c r="O112" s="172">
        <f>M112+(F112*N112)</f>
        <v>9032</v>
      </c>
      <c r="P112" s="172"/>
      <c r="Q112" s="51" t="s">
        <v>29</v>
      </c>
      <c r="R112" s="71" t="s">
        <v>152</v>
      </c>
      <c r="S112" s="138" t="str">
        <f>CONCATENATE(Q112,R112,AB112)</f>
        <v>BPT2012</v>
      </c>
      <c r="T112" s="138" t="str">
        <f>CONCATENATE(Q112,U112,AB112)</f>
        <v>B1.2.4.3.22012</v>
      </c>
      <c r="U112" s="138" t="s">
        <v>204</v>
      </c>
      <c r="V112" s="138" t="str">
        <f>LOOKUP(U112,$B$156:$B$182,$A$156:$A$182)</f>
        <v>RDO Crate Production</v>
      </c>
      <c r="AB112" s="32">
        <v>2012</v>
      </c>
      <c r="AC112" s="132">
        <f t="shared" si="86"/>
        <v>24</v>
      </c>
      <c r="AD112" s="132">
        <f t="shared" si="86"/>
        <v>24</v>
      </c>
      <c r="AE112" s="132">
        <f t="shared" si="86"/>
        <v>0</v>
      </c>
      <c r="AF112" s="132">
        <f t="shared" si="86"/>
        <v>0</v>
      </c>
      <c r="AG112" s="132">
        <f t="shared" si="86"/>
        <v>0</v>
      </c>
      <c r="AH112" s="226">
        <f>IF($Q112="B", (F112*$N112),0)</f>
        <v>3200</v>
      </c>
      <c r="AI112" s="227"/>
      <c r="AJ112" s="132"/>
      <c r="AK112" s="132"/>
      <c r="AL112" s="168"/>
      <c r="AM112" s="131">
        <f t="shared" si="87"/>
        <v>0</v>
      </c>
      <c r="AN112" s="132">
        <f t="shared" si="87"/>
        <v>0</v>
      </c>
      <c r="AO112" s="132">
        <f t="shared" si="87"/>
        <v>0</v>
      </c>
      <c r="AP112" s="132">
        <f t="shared" si="87"/>
        <v>0</v>
      </c>
      <c r="AQ112" s="132">
        <f t="shared" si="87"/>
        <v>0</v>
      </c>
      <c r="AR112" s="132">
        <f>IF($Q112="C", (F112*$N112),0)</f>
        <v>0</v>
      </c>
      <c r="AS112" s="227"/>
    </row>
    <row r="113" spans="1:45" s="19" customFormat="1">
      <c r="A113" s="45" t="s">
        <v>287</v>
      </c>
      <c r="B113" s="94" t="s">
        <v>9</v>
      </c>
      <c r="C113" s="167">
        <v>1</v>
      </c>
      <c r="D113" s="94" t="s">
        <v>9</v>
      </c>
      <c r="E113" s="170">
        <v>0</v>
      </c>
      <c r="F113" s="169">
        <f>E113*C113</f>
        <v>0</v>
      </c>
      <c r="G113" s="170">
        <v>24</v>
      </c>
      <c r="H113" s="170">
        <v>24</v>
      </c>
      <c r="I113" s="170">
        <v>0</v>
      </c>
      <c r="J113" s="170">
        <v>24</v>
      </c>
      <c r="K113" s="170">
        <v>0</v>
      </c>
      <c r="L113" s="94" t="s">
        <v>8</v>
      </c>
      <c r="M113" s="168">
        <f>IF(R113="PD",((Shop*G113)+(M_Tech*H113)+(CMM*I113)+(ENG*J113)+(DES*K113))*N113,((Shop_RD*G113)+(MTECH_RD*H113)+(CMM_RD*I113)+(ENG_RD*J113)+(DES_RD*K113))*N113)</f>
        <v>9432</v>
      </c>
      <c r="N113" s="90">
        <v>1</v>
      </c>
      <c r="O113" s="172">
        <f>M113+(F113*N113)</f>
        <v>9432</v>
      </c>
      <c r="P113" s="172"/>
      <c r="Q113" s="51" t="s">
        <v>29</v>
      </c>
      <c r="R113" s="71" t="s">
        <v>152</v>
      </c>
      <c r="S113" s="138" t="str">
        <f>CONCATENATE(Q113,R113,AB113)</f>
        <v>BPTSTAR</v>
      </c>
      <c r="T113" s="138" t="str">
        <f>CONCATENATE(Q113,U113,AB113)</f>
        <v>B1.2.4.3.2STAR</v>
      </c>
      <c r="U113" s="138" t="s">
        <v>204</v>
      </c>
      <c r="V113" s="138" t="str">
        <f>LOOKUP(U113,$B$156:$B$182,$A$156:$A$182)</f>
        <v>RDO Crate Production</v>
      </c>
      <c r="AB113" s="32" t="s">
        <v>132</v>
      </c>
      <c r="AC113" s="132">
        <f t="shared" ref="AC113:AG114" si="88">IF($Q113="B", (G113*$N113),0)</f>
        <v>24</v>
      </c>
      <c r="AD113" s="132">
        <f t="shared" si="88"/>
        <v>24</v>
      </c>
      <c r="AE113" s="132">
        <f t="shared" si="88"/>
        <v>0</v>
      </c>
      <c r="AF113" s="132">
        <f t="shared" si="88"/>
        <v>24</v>
      </c>
      <c r="AG113" s="132">
        <f t="shared" si="88"/>
        <v>0</v>
      </c>
      <c r="AH113" s="226">
        <f>IF($Q113="B", (F113*$N113),0)</f>
        <v>0</v>
      </c>
      <c r="AI113" s="227"/>
      <c r="AJ113" s="132"/>
      <c r="AK113" s="132"/>
      <c r="AL113" s="168"/>
      <c r="AM113" s="131">
        <f t="shared" ref="AM113:AQ114" si="89">IF($Q113="C", (G113*$N113),0)</f>
        <v>0</v>
      </c>
      <c r="AN113" s="132">
        <f t="shared" si="89"/>
        <v>0</v>
      </c>
      <c r="AO113" s="132">
        <f t="shared" si="89"/>
        <v>0</v>
      </c>
      <c r="AP113" s="132">
        <f t="shared" si="89"/>
        <v>0</v>
      </c>
      <c r="AQ113" s="132">
        <f t="shared" si="89"/>
        <v>0</v>
      </c>
      <c r="AR113" s="132">
        <f>IF($Q113="C", (F113*$N113),0)</f>
        <v>0</v>
      </c>
      <c r="AS113" s="227"/>
    </row>
    <row r="114" spans="1:45" s="19" customFormat="1">
      <c r="A114" s="45" t="s">
        <v>227</v>
      </c>
      <c r="B114" s="94" t="s">
        <v>9</v>
      </c>
      <c r="C114" s="167">
        <v>1</v>
      </c>
      <c r="D114" s="94" t="s">
        <v>9</v>
      </c>
      <c r="E114" s="170">
        <v>0</v>
      </c>
      <c r="F114" s="169">
        <f>E114*C114</f>
        <v>0</v>
      </c>
      <c r="G114" s="170">
        <v>0</v>
      </c>
      <c r="H114" s="170">
        <v>0</v>
      </c>
      <c r="I114" s="170">
        <v>0</v>
      </c>
      <c r="J114" s="170">
        <v>0</v>
      </c>
      <c r="K114" s="170">
        <v>0</v>
      </c>
      <c r="L114" s="94" t="s">
        <v>8</v>
      </c>
      <c r="M114" s="168">
        <f>IF(R114="PD",((Shop*G114)+(M_Tech*H114)+(CMM*I114)+(ENG*J114)+(DES*K114))*N114,((Shop_RD*G114)+(MTECH_RD*H114)+(CMM_RD*I114)+(ENG_RD*J114)+(DES_RD*K114))*N114)</f>
        <v>0</v>
      </c>
      <c r="N114" s="90">
        <v>1</v>
      </c>
      <c r="O114" s="172">
        <f>M114+(F114*N114)</f>
        <v>0</v>
      </c>
      <c r="P114" s="172"/>
      <c r="Q114" s="51" t="s">
        <v>29</v>
      </c>
      <c r="R114" s="71" t="s">
        <v>152</v>
      </c>
      <c r="S114" s="138" t="str">
        <f>CONCATENATE(Q114,R114,AB114)</f>
        <v>BPT2011</v>
      </c>
      <c r="T114" s="138" t="str">
        <f>CONCATENATE(Q114,U114,AB114)</f>
        <v>B1.2.4.3.22011</v>
      </c>
      <c r="U114" s="138" t="s">
        <v>204</v>
      </c>
      <c r="V114" s="138" t="str">
        <f>LOOKUP(U114,$B$156:$B$182,$A$156:$A$182)</f>
        <v>RDO Crate Production</v>
      </c>
      <c r="AB114" s="32">
        <v>2011</v>
      </c>
      <c r="AC114" s="132">
        <f t="shared" si="88"/>
        <v>0</v>
      </c>
      <c r="AD114" s="132">
        <f t="shared" si="88"/>
        <v>0</v>
      </c>
      <c r="AE114" s="132">
        <f t="shared" si="88"/>
        <v>0</v>
      </c>
      <c r="AF114" s="132">
        <f t="shared" si="88"/>
        <v>0</v>
      </c>
      <c r="AG114" s="132">
        <f t="shared" si="88"/>
        <v>0</v>
      </c>
      <c r="AH114" s="226">
        <f>IF($Q114="B", (F114*$N114),0)</f>
        <v>0</v>
      </c>
      <c r="AI114" s="227"/>
      <c r="AJ114" s="132"/>
      <c r="AK114" s="132"/>
      <c r="AL114" s="168"/>
      <c r="AM114" s="131">
        <f t="shared" si="89"/>
        <v>0</v>
      </c>
      <c r="AN114" s="132">
        <f t="shared" si="89"/>
        <v>0</v>
      </c>
      <c r="AO114" s="132">
        <f t="shared" si="89"/>
        <v>0</v>
      </c>
      <c r="AP114" s="132">
        <f t="shared" si="89"/>
        <v>0</v>
      </c>
      <c r="AQ114" s="132">
        <f t="shared" si="89"/>
        <v>0</v>
      </c>
      <c r="AR114" s="132">
        <f>IF($Q114="C", (F114*$N114),0)</f>
        <v>0</v>
      </c>
      <c r="AS114" s="227"/>
    </row>
    <row r="115" spans="1:45" s="49" customFormat="1">
      <c r="A115" s="46" t="s">
        <v>207</v>
      </c>
      <c r="C115" s="181"/>
      <c r="D115" s="109"/>
      <c r="E115" s="60"/>
      <c r="F115" s="61"/>
      <c r="G115" s="62"/>
      <c r="H115" s="62"/>
      <c r="I115" s="62"/>
      <c r="J115" s="62"/>
      <c r="K115" s="63"/>
      <c r="L115" s="209" t="s">
        <v>41</v>
      </c>
      <c r="M115" s="180">
        <f>SUMIF(Q111:Q114,"B",M111:M114)</f>
        <v>33036</v>
      </c>
      <c r="N115" s="65" t="s">
        <v>41</v>
      </c>
      <c r="O115" s="182"/>
      <c r="P115" s="182"/>
      <c r="Q115" s="51"/>
      <c r="R115" s="71"/>
      <c r="S115" s="138"/>
      <c r="T115" s="138"/>
      <c r="U115" s="138"/>
      <c r="V115" s="138"/>
      <c r="W115" s="19"/>
      <c r="X115" s="19"/>
      <c r="Y115" s="19"/>
      <c r="Z115" s="19"/>
      <c r="AA115" s="19"/>
      <c r="AB115" s="54"/>
      <c r="AC115" s="55"/>
      <c r="AD115" s="55"/>
      <c r="AE115" s="56"/>
      <c r="AF115" s="55"/>
      <c r="AG115" s="55"/>
      <c r="AH115" s="38"/>
      <c r="AI115" s="235"/>
      <c r="AJ115" s="55"/>
      <c r="AK115" s="55"/>
      <c r="AL115" s="168"/>
      <c r="AM115" s="57"/>
      <c r="AN115" s="55"/>
      <c r="AO115" s="55"/>
      <c r="AP115" s="55"/>
      <c r="AQ115" s="55"/>
      <c r="AR115" s="55"/>
      <c r="AS115" s="235"/>
    </row>
    <row r="116" spans="1:45" s="19" customFormat="1">
      <c r="A116" s="45" t="s">
        <v>251</v>
      </c>
      <c r="B116" s="94" t="s">
        <v>9</v>
      </c>
      <c r="C116" s="167">
        <v>1</v>
      </c>
      <c r="D116" s="94" t="s">
        <v>9</v>
      </c>
      <c r="E116" s="170">
        <v>0</v>
      </c>
      <c r="F116" s="169">
        <f t="shared" ref="F116:F121" si="90">E116*C116</f>
        <v>0</v>
      </c>
      <c r="G116" s="170">
        <v>0</v>
      </c>
      <c r="H116" s="170">
        <v>0</v>
      </c>
      <c r="I116" s="170">
        <v>32</v>
      </c>
      <c r="J116" s="170">
        <v>16</v>
      </c>
      <c r="K116" s="170">
        <v>32</v>
      </c>
      <c r="L116" s="94" t="s">
        <v>8</v>
      </c>
      <c r="M116" s="168">
        <f t="shared" ref="M116:M121" si="91">IF(R116="PD",((Shop*G116)+(M_Tech*H116)+(CMM*I116)+(ENG*J116)+(DES*K116))*N116,((Shop_RD*G116)+(MTECH_RD*H116)+(CMM_RD*I116)+(ENG_RD*J116)+(DES_RD*K116))*N116)</f>
        <v>1944.0000000000002</v>
      </c>
      <c r="N116" s="90">
        <v>1</v>
      </c>
      <c r="O116" s="172">
        <f t="shared" ref="O116:O121" si="92">M116+(F116*N116)</f>
        <v>1944.0000000000002</v>
      </c>
      <c r="P116" s="172"/>
      <c r="Q116" s="51" t="s">
        <v>29</v>
      </c>
      <c r="R116" s="71" t="s">
        <v>48</v>
      </c>
      <c r="S116" s="138" t="str">
        <f t="shared" ref="S116:S121" si="93">CONCATENATE(Q116,R116,AB116)</f>
        <v>BPD2010</v>
      </c>
      <c r="T116" s="138" t="str">
        <f t="shared" ref="T116:T121" si="94">CONCATENATE(Q116,U116,AB116)</f>
        <v>B1.2.4.3.32010</v>
      </c>
      <c r="U116" s="138" t="s">
        <v>206</v>
      </c>
      <c r="V116" s="138" t="str">
        <f t="shared" ref="V116:V121" si="95">LOOKUP(U116,$B$156:$B$182,$A$156:$A$182)</f>
        <v>Power Supplies</v>
      </c>
      <c r="AB116" s="32">
        <v>2010</v>
      </c>
      <c r="AC116" s="132">
        <f t="shared" ref="AC116:AC121" si="96">IF($Q116="B", (G116*$N116),0)</f>
        <v>0</v>
      </c>
      <c r="AD116" s="132">
        <f t="shared" ref="AD116:AD121" si="97">IF($Q116="B", (H116*$N116),0)</f>
        <v>0</v>
      </c>
      <c r="AE116" s="132">
        <f t="shared" ref="AE116:AE121" si="98">IF($Q116="B", (I116*$N116),0)</f>
        <v>32</v>
      </c>
      <c r="AF116" s="132">
        <f t="shared" ref="AF116:AF121" si="99">IF($Q116="B", (J116*$N116),0)</f>
        <v>16</v>
      </c>
      <c r="AG116" s="132">
        <f t="shared" ref="AG116:AG121" si="100">IF($Q116="B", (K116*$N116),0)</f>
        <v>32</v>
      </c>
      <c r="AH116" s="226">
        <f t="shared" ref="AH116:AH121" si="101">IF($Q116="B", (F116*$N116),0)</f>
        <v>0</v>
      </c>
      <c r="AI116" s="227"/>
      <c r="AJ116" s="132"/>
      <c r="AK116" s="132"/>
      <c r="AL116" s="168"/>
      <c r="AM116" s="131">
        <f t="shared" ref="AM116:AM121" si="102">IF($Q116="C", (G116*$N116),0)</f>
        <v>0</v>
      </c>
      <c r="AN116" s="132">
        <f t="shared" ref="AN116:AN121" si="103">IF($Q116="C", (H116*$N116),0)</f>
        <v>0</v>
      </c>
      <c r="AO116" s="132">
        <f t="shared" ref="AO116:AO121" si="104">IF($Q116="C", (I116*$N116),0)</f>
        <v>0</v>
      </c>
      <c r="AP116" s="132">
        <f t="shared" ref="AP116:AP121" si="105">IF($Q116="C", (J116*$N116),0)</f>
        <v>0</v>
      </c>
      <c r="AQ116" s="132">
        <f t="shared" ref="AQ116:AQ121" si="106">IF($Q116="C", (K116*$N116),0)</f>
        <v>0</v>
      </c>
      <c r="AR116" s="132">
        <f t="shared" ref="AR116:AR121" si="107">IF($Q116="C", (F116*$N116),0)</f>
        <v>0</v>
      </c>
      <c r="AS116" s="227"/>
    </row>
    <row r="117" spans="1:45" s="19" customFormat="1">
      <c r="A117" s="45" t="s">
        <v>252</v>
      </c>
      <c r="B117" s="94" t="s">
        <v>9</v>
      </c>
      <c r="C117" s="167">
        <v>1</v>
      </c>
      <c r="D117" s="94" t="s">
        <v>9</v>
      </c>
      <c r="E117" s="170">
        <v>1500</v>
      </c>
      <c r="F117" s="169">
        <f t="shared" si="90"/>
        <v>1500</v>
      </c>
      <c r="G117" s="170">
        <v>0</v>
      </c>
      <c r="H117" s="170">
        <v>0</v>
      </c>
      <c r="I117" s="170">
        <v>8</v>
      </c>
      <c r="J117" s="170">
        <v>4</v>
      </c>
      <c r="K117" s="170">
        <v>8</v>
      </c>
      <c r="L117" s="94" t="s">
        <v>8</v>
      </c>
      <c r="M117" s="168">
        <f t="shared" si="91"/>
        <v>486.00000000000006</v>
      </c>
      <c r="N117" s="90">
        <v>1</v>
      </c>
      <c r="O117" s="172">
        <f t="shared" si="92"/>
        <v>1986</v>
      </c>
      <c r="P117" s="172"/>
      <c r="Q117" s="51" t="s">
        <v>29</v>
      </c>
      <c r="R117" s="71" t="s">
        <v>48</v>
      </c>
      <c r="S117" s="138" t="str">
        <f t="shared" si="93"/>
        <v>BPD2010</v>
      </c>
      <c r="T117" s="138" t="str">
        <f t="shared" si="94"/>
        <v>B1.2.4.3.32010</v>
      </c>
      <c r="U117" s="138" t="s">
        <v>206</v>
      </c>
      <c r="V117" s="138" t="str">
        <f t="shared" si="95"/>
        <v>Power Supplies</v>
      </c>
      <c r="AB117" s="32">
        <v>2010</v>
      </c>
      <c r="AC117" s="132">
        <f t="shared" si="96"/>
        <v>0</v>
      </c>
      <c r="AD117" s="132">
        <f t="shared" si="97"/>
        <v>0</v>
      </c>
      <c r="AE117" s="132">
        <f t="shared" si="98"/>
        <v>8</v>
      </c>
      <c r="AF117" s="132">
        <f t="shared" si="99"/>
        <v>4</v>
      </c>
      <c r="AG117" s="132">
        <f t="shared" si="100"/>
        <v>8</v>
      </c>
      <c r="AH117" s="226">
        <f t="shared" si="101"/>
        <v>1500</v>
      </c>
      <c r="AI117" s="227"/>
      <c r="AJ117" s="132"/>
      <c r="AK117" s="132"/>
      <c r="AL117" s="168"/>
      <c r="AM117" s="131">
        <f t="shared" si="102"/>
        <v>0</v>
      </c>
      <c r="AN117" s="132">
        <f t="shared" si="103"/>
        <v>0</v>
      </c>
      <c r="AO117" s="132">
        <f t="shared" si="104"/>
        <v>0</v>
      </c>
      <c r="AP117" s="132">
        <f t="shared" si="105"/>
        <v>0</v>
      </c>
      <c r="AQ117" s="132">
        <f t="shared" si="106"/>
        <v>0</v>
      </c>
      <c r="AR117" s="132">
        <f t="shared" si="107"/>
        <v>0</v>
      </c>
      <c r="AS117" s="227"/>
    </row>
    <row r="118" spans="1:45" s="19" customFormat="1">
      <c r="A118" s="45" t="s">
        <v>253</v>
      </c>
      <c r="B118" s="94" t="s">
        <v>9</v>
      </c>
      <c r="C118" s="167">
        <v>1</v>
      </c>
      <c r="D118" s="94" t="s">
        <v>9</v>
      </c>
      <c r="E118" s="170">
        <v>400</v>
      </c>
      <c r="F118" s="169">
        <f t="shared" si="90"/>
        <v>400</v>
      </c>
      <c r="G118" s="170">
        <v>0</v>
      </c>
      <c r="H118" s="170">
        <v>8</v>
      </c>
      <c r="I118" s="170">
        <v>16</v>
      </c>
      <c r="J118" s="170">
        <v>8</v>
      </c>
      <c r="K118" s="170">
        <v>16</v>
      </c>
      <c r="L118" s="94" t="s">
        <v>8</v>
      </c>
      <c r="M118" s="168">
        <f t="shared" si="91"/>
        <v>1730.1600000000003</v>
      </c>
      <c r="N118" s="90">
        <v>1</v>
      </c>
      <c r="O118" s="172">
        <f t="shared" si="92"/>
        <v>2130.1600000000003</v>
      </c>
      <c r="P118" s="172"/>
      <c r="Q118" s="51" t="s">
        <v>29</v>
      </c>
      <c r="R118" s="71" t="s">
        <v>48</v>
      </c>
      <c r="S118" s="138" t="str">
        <f t="shared" si="93"/>
        <v>BPD2010</v>
      </c>
      <c r="T118" s="138" t="str">
        <f t="shared" si="94"/>
        <v>B1.2.4.3.32010</v>
      </c>
      <c r="U118" s="138" t="s">
        <v>206</v>
      </c>
      <c r="V118" s="138" t="str">
        <f t="shared" si="95"/>
        <v>Power Supplies</v>
      </c>
      <c r="AB118" s="32">
        <v>2010</v>
      </c>
      <c r="AC118" s="132">
        <f t="shared" si="96"/>
        <v>0</v>
      </c>
      <c r="AD118" s="132">
        <f t="shared" si="97"/>
        <v>8</v>
      </c>
      <c r="AE118" s="132">
        <f t="shared" si="98"/>
        <v>16</v>
      </c>
      <c r="AF118" s="132">
        <f t="shared" si="99"/>
        <v>8</v>
      </c>
      <c r="AG118" s="132">
        <f t="shared" si="100"/>
        <v>16</v>
      </c>
      <c r="AH118" s="226">
        <f t="shared" si="101"/>
        <v>400</v>
      </c>
      <c r="AI118" s="227"/>
      <c r="AJ118" s="132"/>
      <c r="AK118" s="132"/>
      <c r="AL118" s="168"/>
      <c r="AM118" s="131">
        <f t="shared" si="102"/>
        <v>0</v>
      </c>
      <c r="AN118" s="132">
        <f t="shared" si="103"/>
        <v>0</v>
      </c>
      <c r="AO118" s="132">
        <f t="shared" si="104"/>
        <v>0</v>
      </c>
      <c r="AP118" s="132">
        <f t="shared" si="105"/>
        <v>0</v>
      </c>
      <c r="AQ118" s="132">
        <f t="shared" si="106"/>
        <v>0</v>
      </c>
      <c r="AR118" s="132">
        <f t="shared" si="107"/>
        <v>0</v>
      </c>
      <c r="AS118" s="227"/>
    </row>
    <row r="119" spans="1:45" s="19" customFormat="1">
      <c r="A119" s="45" t="s">
        <v>254</v>
      </c>
      <c r="B119" s="94" t="s">
        <v>9</v>
      </c>
      <c r="C119" s="167">
        <v>3</v>
      </c>
      <c r="D119" s="94" t="s">
        <v>9</v>
      </c>
      <c r="E119" s="170">
        <v>1500</v>
      </c>
      <c r="F119" s="169">
        <f t="shared" si="90"/>
        <v>4500</v>
      </c>
      <c r="G119" s="170">
        <v>0</v>
      </c>
      <c r="H119" s="170">
        <v>0</v>
      </c>
      <c r="I119" s="170">
        <v>8</v>
      </c>
      <c r="J119" s="170">
        <v>0</v>
      </c>
      <c r="K119" s="170">
        <v>8</v>
      </c>
      <c r="L119" s="94" t="s">
        <v>8</v>
      </c>
      <c r="M119" s="168">
        <f t="shared" si="91"/>
        <v>0</v>
      </c>
      <c r="N119" s="90">
        <v>1</v>
      </c>
      <c r="O119" s="172">
        <f t="shared" si="92"/>
        <v>4500</v>
      </c>
      <c r="P119" s="172"/>
      <c r="Q119" s="51" t="s">
        <v>29</v>
      </c>
      <c r="R119" s="71" t="s">
        <v>48</v>
      </c>
      <c r="S119" s="138" t="str">
        <f t="shared" si="93"/>
        <v>BPD2010</v>
      </c>
      <c r="T119" s="138" t="str">
        <f t="shared" si="94"/>
        <v>B1.2.4.3.32010</v>
      </c>
      <c r="U119" s="138" t="s">
        <v>206</v>
      </c>
      <c r="V119" s="138" t="str">
        <f t="shared" si="95"/>
        <v>Power Supplies</v>
      </c>
      <c r="AB119" s="32">
        <v>2010</v>
      </c>
      <c r="AC119" s="132">
        <f t="shared" si="96"/>
        <v>0</v>
      </c>
      <c r="AD119" s="132">
        <f t="shared" si="97"/>
        <v>0</v>
      </c>
      <c r="AE119" s="132">
        <f t="shared" si="98"/>
        <v>8</v>
      </c>
      <c r="AF119" s="132">
        <f t="shared" si="99"/>
        <v>0</v>
      </c>
      <c r="AG119" s="132">
        <f t="shared" si="100"/>
        <v>8</v>
      </c>
      <c r="AH119" s="226">
        <f t="shared" si="101"/>
        <v>4500</v>
      </c>
      <c r="AI119" s="227"/>
      <c r="AJ119" s="132"/>
      <c r="AK119" s="132"/>
      <c r="AL119" s="168"/>
      <c r="AM119" s="131">
        <f t="shared" si="102"/>
        <v>0</v>
      </c>
      <c r="AN119" s="132">
        <f t="shared" si="103"/>
        <v>0</v>
      </c>
      <c r="AO119" s="132">
        <f t="shared" si="104"/>
        <v>0</v>
      </c>
      <c r="AP119" s="132">
        <f t="shared" si="105"/>
        <v>0</v>
      </c>
      <c r="AQ119" s="132">
        <f t="shared" si="106"/>
        <v>0</v>
      </c>
      <c r="AR119" s="132">
        <f t="shared" si="107"/>
        <v>0</v>
      </c>
      <c r="AS119" s="227"/>
    </row>
    <row r="120" spans="1:45" s="19" customFormat="1">
      <c r="A120" s="45" t="s">
        <v>253</v>
      </c>
      <c r="B120" s="94" t="s">
        <v>9</v>
      </c>
      <c r="C120" s="167">
        <v>1</v>
      </c>
      <c r="D120" s="94" t="s">
        <v>9</v>
      </c>
      <c r="E120" s="170">
        <v>0</v>
      </c>
      <c r="F120" s="169">
        <f t="shared" si="90"/>
        <v>0</v>
      </c>
      <c r="G120" s="170">
        <v>0</v>
      </c>
      <c r="H120" s="170">
        <v>0</v>
      </c>
      <c r="I120" s="170">
        <v>8</v>
      </c>
      <c r="J120" s="170">
        <v>8</v>
      </c>
      <c r="K120" s="170">
        <v>16</v>
      </c>
      <c r="L120" s="94" t="s">
        <v>8</v>
      </c>
      <c r="M120" s="168">
        <f t="shared" si="91"/>
        <v>2916.0000000000005</v>
      </c>
      <c r="N120" s="90">
        <v>3</v>
      </c>
      <c r="O120" s="172">
        <f t="shared" si="92"/>
        <v>2916.0000000000005</v>
      </c>
      <c r="P120" s="172"/>
      <c r="Q120" s="51" t="s">
        <v>30</v>
      </c>
      <c r="R120" s="71" t="s">
        <v>48</v>
      </c>
      <c r="S120" s="138" t="str">
        <f t="shared" si="93"/>
        <v>CPD2011</v>
      </c>
      <c r="T120" s="138" t="str">
        <f t="shared" si="94"/>
        <v>C1.2.4.3.32011</v>
      </c>
      <c r="U120" s="138" t="s">
        <v>206</v>
      </c>
      <c r="V120" s="138" t="str">
        <f t="shared" si="95"/>
        <v>Power Supplies</v>
      </c>
      <c r="AB120" s="32">
        <v>2011</v>
      </c>
      <c r="AC120" s="132">
        <f t="shared" si="96"/>
        <v>0</v>
      </c>
      <c r="AD120" s="132">
        <f t="shared" si="97"/>
        <v>0</v>
      </c>
      <c r="AE120" s="132">
        <f t="shared" si="98"/>
        <v>0</v>
      </c>
      <c r="AF120" s="132">
        <f t="shared" si="99"/>
        <v>0</v>
      </c>
      <c r="AG120" s="132">
        <f t="shared" si="100"/>
        <v>0</v>
      </c>
      <c r="AH120" s="226">
        <f t="shared" si="101"/>
        <v>0</v>
      </c>
      <c r="AI120" s="227"/>
      <c r="AJ120" s="132"/>
      <c r="AK120" s="132"/>
      <c r="AL120" s="168"/>
      <c r="AM120" s="131">
        <f t="shared" si="102"/>
        <v>0</v>
      </c>
      <c r="AN120" s="132">
        <f t="shared" si="103"/>
        <v>0</v>
      </c>
      <c r="AO120" s="132">
        <f t="shared" si="104"/>
        <v>24</v>
      </c>
      <c r="AP120" s="132">
        <f t="shared" si="105"/>
        <v>24</v>
      </c>
      <c r="AQ120" s="132">
        <f t="shared" si="106"/>
        <v>48</v>
      </c>
      <c r="AR120" s="132">
        <f t="shared" si="107"/>
        <v>0</v>
      </c>
      <c r="AS120" s="227"/>
    </row>
    <row r="121" spans="1:45" s="19" customFormat="1">
      <c r="A121" s="45" t="s">
        <v>227</v>
      </c>
      <c r="B121" s="94" t="s">
        <v>9</v>
      </c>
      <c r="C121" s="167">
        <v>1</v>
      </c>
      <c r="D121" s="94" t="s">
        <v>9</v>
      </c>
      <c r="E121" s="170">
        <v>1500</v>
      </c>
      <c r="F121" s="169">
        <f t="shared" si="90"/>
        <v>1500</v>
      </c>
      <c r="G121" s="170">
        <v>0</v>
      </c>
      <c r="H121" s="170">
        <v>4</v>
      </c>
      <c r="I121" s="170">
        <v>16</v>
      </c>
      <c r="J121" s="170">
        <v>8</v>
      </c>
      <c r="K121" s="170">
        <v>16</v>
      </c>
      <c r="L121" s="94" t="s">
        <v>8</v>
      </c>
      <c r="M121" s="168">
        <f t="shared" si="91"/>
        <v>1351.0800000000002</v>
      </c>
      <c r="N121" s="90">
        <v>1</v>
      </c>
      <c r="O121" s="172">
        <f t="shared" si="92"/>
        <v>2851.08</v>
      </c>
      <c r="P121" s="172"/>
      <c r="Q121" s="51" t="s">
        <v>30</v>
      </c>
      <c r="R121" s="71" t="s">
        <v>48</v>
      </c>
      <c r="S121" s="138" t="str">
        <f t="shared" si="93"/>
        <v>CPD2011</v>
      </c>
      <c r="T121" s="138" t="str">
        <f t="shared" si="94"/>
        <v>C1.2.4.3.32011</v>
      </c>
      <c r="U121" s="138" t="s">
        <v>206</v>
      </c>
      <c r="V121" s="138" t="str">
        <f t="shared" si="95"/>
        <v>Power Supplies</v>
      </c>
      <c r="AB121" s="32">
        <v>2011</v>
      </c>
      <c r="AC121" s="132">
        <f t="shared" si="96"/>
        <v>0</v>
      </c>
      <c r="AD121" s="132">
        <f t="shared" si="97"/>
        <v>0</v>
      </c>
      <c r="AE121" s="132">
        <f t="shared" si="98"/>
        <v>0</v>
      </c>
      <c r="AF121" s="132">
        <f t="shared" si="99"/>
        <v>0</v>
      </c>
      <c r="AG121" s="132">
        <f t="shared" si="100"/>
        <v>0</v>
      </c>
      <c r="AH121" s="226">
        <f t="shared" si="101"/>
        <v>0</v>
      </c>
      <c r="AI121" s="227"/>
      <c r="AJ121" s="132"/>
      <c r="AK121" s="132"/>
      <c r="AL121" s="168"/>
      <c r="AM121" s="131">
        <f t="shared" si="102"/>
        <v>0</v>
      </c>
      <c r="AN121" s="132">
        <f t="shared" si="103"/>
        <v>4</v>
      </c>
      <c r="AO121" s="132">
        <f t="shared" si="104"/>
        <v>16</v>
      </c>
      <c r="AP121" s="132">
        <f t="shared" si="105"/>
        <v>8</v>
      </c>
      <c r="AQ121" s="132">
        <f t="shared" si="106"/>
        <v>16</v>
      </c>
      <c r="AR121" s="132">
        <f t="shared" si="107"/>
        <v>1500</v>
      </c>
      <c r="AS121" s="227"/>
    </row>
    <row r="122" spans="1:45" s="49" customFormat="1">
      <c r="A122" s="46" t="s">
        <v>209</v>
      </c>
      <c r="C122" s="181"/>
      <c r="D122" s="109"/>
      <c r="E122" s="60"/>
      <c r="F122" s="61"/>
      <c r="G122" s="62"/>
      <c r="H122" s="62"/>
      <c r="I122" s="62"/>
      <c r="J122" s="62"/>
      <c r="K122" s="63"/>
      <c r="L122" s="209" t="s">
        <v>41</v>
      </c>
      <c r="M122" s="180">
        <f>SUMIF(Q116:Q121,"B",M116:M121)</f>
        <v>4160.1600000000008</v>
      </c>
      <c r="N122" s="65" t="s">
        <v>41</v>
      </c>
      <c r="O122" s="182"/>
      <c r="P122" s="182"/>
      <c r="Q122" s="51"/>
      <c r="R122" s="71"/>
      <c r="S122" s="138"/>
      <c r="T122" s="138"/>
      <c r="U122" s="138"/>
      <c r="V122" s="138"/>
      <c r="W122"/>
      <c r="X122"/>
      <c r="Y122"/>
      <c r="Z122"/>
      <c r="AA122"/>
      <c r="AB122" s="54"/>
      <c r="AC122" s="55"/>
      <c r="AD122" s="55"/>
      <c r="AE122" s="56"/>
      <c r="AF122" s="55"/>
      <c r="AG122" s="55"/>
      <c r="AH122" s="38"/>
      <c r="AI122" s="235"/>
      <c r="AJ122" s="55"/>
      <c r="AK122" s="55"/>
      <c r="AL122" s="110"/>
      <c r="AM122" s="57"/>
      <c r="AN122" s="55"/>
      <c r="AO122" s="55"/>
      <c r="AP122" s="55"/>
      <c r="AQ122" s="55"/>
      <c r="AR122" s="55"/>
      <c r="AS122" s="235"/>
    </row>
    <row r="123" spans="1:45" s="19" customFormat="1">
      <c r="A123" s="45" t="s">
        <v>274</v>
      </c>
      <c r="B123" s="94" t="s">
        <v>9</v>
      </c>
      <c r="C123" s="167">
        <v>1</v>
      </c>
      <c r="D123" s="94" t="s">
        <v>9</v>
      </c>
      <c r="E123" s="170">
        <v>10000</v>
      </c>
      <c r="F123" s="169">
        <f>E123*C123</f>
        <v>10000</v>
      </c>
      <c r="G123" s="170">
        <v>0</v>
      </c>
      <c r="H123" s="170">
        <v>0</v>
      </c>
      <c r="I123" s="170">
        <v>0</v>
      </c>
      <c r="J123" s="170">
        <v>16</v>
      </c>
      <c r="K123" s="170">
        <v>0</v>
      </c>
      <c r="L123" s="94" t="s">
        <v>8</v>
      </c>
      <c r="M123" s="168">
        <f>IF(R123="PD",((Shop*G123)+(M_Tech*H123)+(CMM*I123)+(ENG*J123)+(DES*K123))*N123,((Shop_RD*G123)+(MTECH_RD*H123)+(CMM_RD*I123)+(ENG_RD*J123)+(DES_RD*K123))*N123)</f>
        <v>1944.0000000000002</v>
      </c>
      <c r="N123" s="90">
        <v>1</v>
      </c>
      <c r="O123" s="172">
        <f>M123+(F123*N123)</f>
        <v>11944</v>
      </c>
      <c r="P123" s="172"/>
      <c r="Q123" s="51" t="s">
        <v>29</v>
      </c>
      <c r="R123" s="71" t="s">
        <v>48</v>
      </c>
      <c r="S123" s="138" t="str">
        <f>CONCATENATE(Q123,R123,AB123)</f>
        <v>BPD2010</v>
      </c>
      <c r="T123" s="138" t="str">
        <f>CONCATENATE(Q123,U123,AB123)</f>
        <v>B1.2.4.3.42010</v>
      </c>
      <c r="U123" s="138" t="s">
        <v>208</v>
      </c>
      <c r="V123" s="138" t="str">
        <f t="shared" ref="V123:V130" si="108">LOOKUP(U123,$B$156:$B$182,$A$156:$A$182)</f>
        <v>Cooling Plant</v>
      </c>
      <c r="AB123" s="32">
        <v>2010</v>
      </c>
      <c r="AC123" s="132">
        <f t="shared" ref="AC123:AG124" si="109">IF($Q123="B", (G123*$N123),0)</f>
        <v>0</v>
      </c>
      <c r="AD123" s="132">
        <f t="shared" si="109"/>
        <v>0</v>
      </c>
      <c r="AE123" s="132">
        <f t="shared" si="109"/>
        <v>0</v>
      </c>
      <c r="AF123" s="132">
        <f t="shared" si="109"/>
        <v>16</v>
      </c>
      <c r="AG123" s="132">
        <f t="shared" si="109"/>
        <v>0</v>
      </c>
      <c r="AH123" s="226">
        <f>IF($Q123="B", (F123*$N123),0)</f>
        <v>10000</v>
      </c>
      <c r="AI123" s="227"/>
      <c r="AJ123" s="132"/>
      <c r="AK123" s="132"/>
      <c r="AL123" s="168"/>
      <c r="AM123" s="131">
        <f t="shared" ref="AM123:AQ124" si="110">IF($Q123="C", (G123*$N123),0)</f>
        <v>0</v>
      </c>
      <c r="AN123" s="132">
        <f t="shared" si="110"/>
        <v>0</v>
      </c>
      <c r="AO123" s="132">
        <f t="shared" si="110"/>
        <v>0</v>
      </c>
      <c r="AP123" s="132">
        <f t="shared" si="110"/>
        <v>0</v>
      </c>
      <c r="AQ123" s="132">
        <f t="shared" si="110"/>
        <v>0</v>
      </c>
      <c r="AR123" s="132">
        <f>IF($Q123="C", (F123*$N123),0)</f>
        <v>0</v>
      </c>
      <c r="AS123" s="227"/>
    </row>
    <row r="124" spans="1:45" s="19" customFormat="1">
      <c r="A124" s="45" t="s">
        <v>271</v>
      </c>
      <c r="B124" s="94" t="s">
        <v>9</v>
      </c>
      <c r="C124" s="167">
        <v>1</v>
      </c>
      <c r="D124" s="94" t="s">
        <v>9</v>
      </c>
      <c r="E124" s="170">
        <v>20000</v>
      </c>
      <c r="F124" s="169">
        <f>E124*C124</f>
        <v>20000</v>
      </c>
      <c r="G124" s="170">
        <v>0</v>
      </c>
      <c r="H124" s="170">
        <v>0</v>
      </c>
      <c r="I124" s="170">
        <v>0</v>
      </c>
      <c r="J124" s="170">
        <v>16</v>
      </c>
      <c r="K124" s="170">
        <v>0</v>
      </c>
      <c r="L124" s="94" t="s">
        <v>8</v>
      </c>
      <c r="M124" s="168">
        <f>IF(R124="PD",((Shop*G124)+(M_Tech*H124)+(CMM*I124)+(ENG*J124)+(DES*K124))*N124,((Shop_RD*G124)+(MTECH_RD*H124)+(CMM_RD*I124)+(ENG_RD*J124)+(DES_RD*K124))*N124)</f>
        <v>1944.0000000000002</v>
      </c>
      <c r="N124" s="90">
        <v>1</v>
      </c>
      <c r="O124" s="172">
        <f>M124+(F124*N124)</f>
        <v>21944</v>
      </c>
      <c r="P124" s="172"/>
      <c r="Q124" s="51" t="s">
        <v>29</v>
      </c>
      <c r="R124" s="71" t="s">
        <v>48</v>
      </c>
      <c r="S124" s="138" t="str">
        <f>CONCATENATE(Q124,R124,AB124)</f>
        <v>BPD2010</v>
      </c>
      <c r="T124" s="138" t="str">
        <f>CONCATENATE(Q124,U124,AB124)</f>
        <v>B1.2.4.3.42010</v>
      </c>
      <c r="U124" s="138" t="s">
        <v>208</v>
      </c>
      <c r="V124" s="138" t="str">
        <f t="shared" si="108"/>
        <v>Cooling Plant</v>
      </c>
      <c r="AB124" s="32">
        <v>2010</v>
      </c>
      <c r="AC124" s="132">
        <f t="shared" si="109"/>
        <v>0</v>
      </c>
      <c r="AD124" s="132">
        <f t="shared" si="109"/>
        <v>0</v>
      </c>
      <c r="AE124" s="132">
        <f t="shared" si="109"/>
        <v>0</v>
      </c>
      <c r="AF124" s="132">
        <f t="shared" si="109"/>
        <v>16</v>
      </c>
      <c r="AG124" s="132">
        <f t="shared" si="109"/>
        <v>0</v>
      </c>
      <c r="AH124" s="226">
        <f>IF($Q124="B", (F124*$N124),0)</f>
        <v>20000</v>
      </c>
      <c r="AI124" s="227"/>
      <c r="AJ124" s="132"/>
      <c r="AK124" s="132"/>
      <c r="AL124" s="168"/>
      <c r="AM124" s="131">
        <f t="shared" si="110"/>
        <v>0</v>
      </c>
      <c r="AN124" s="132">
        <f t="shared" si="110"/>
        <v>0</v>
      </c>
      <c r="AO124" s="132">
        <f t="shared" si="110"/>
        <v>0</v>
      </c>
      <c r="AP124" s="132">
        <f t="shared" si="110"/>
        <v>0</v>
      </c>
      <c r="AQ124" s="132">
        <f t="shared" si="110"/>
        <v>0</v>
      </c>
      <c r="AR124" s="132">
        <f>IF($Q124="C", (F124*$N124),0)</f>
        <v>0</v>
      </c>
      <c r="AS124" s="227"/>
    </row>
    <row r="125" spans="1:45" s="19" customFormat="1">
      <c r="A125" s="45" t="s">
        <v>282</v>
      </c>
      <c r="B125" s="94" t="s">
        <v>9</v>
      </c>
      <c r="C125" s="167">
        <v>1</v>
      </c>
      <c r="D125" s="94" t="s">
        <v>9</v>
      </c>
      <c r="E125" s="170">
        <v>5000</v>
      </c>
      <c r="F125" s="169">
        <f t="shared" ref="F125:F130" si="111">E125*C125</f>
        <v>5000</v>
      </c>
      <c r="G125" s="170">
        <v>0</v>
      </c>
      <c r="H125" s="170">
        <v>0</v>
      </c>
      <c r="I125" s="170">
        <v>0</v>
      </c>
      <c r="J125" s="170">
        <v>16</v>
      </c>
      <c r="K125" s="170">
        <v>0</v>
      </c>
      <c r="L125" s="94" t="s">
        <v>8</v>
      </c>
      <c r="M125" s="168">
        <f t="shared" ref="M125:M130" si="112">IF(R125="PD",((Shop*G125)+(M_Tech*H125)+(CMM*I125)+(ENG*J125)+(DES*K125))*N125,((Shop_RD*G125)+(MTECH_RD*H125)+(CMM_RD*I125)+(ENG_RD*J125)+(DES_RD*K125))*N125)</f>
        <v>1944.0000000000002</v>
      </c>
      <c r="N125" s="90">
        <v>1</v>
      </c>
      <c r="O125" s="172">
        <f t="shared" ref="O125:O130" si="113">M125+(F125*N125)</f>
        <v>6944</v>
      </c>
      <c r="P125" s="172"/>
      <c r="Q125" s="51" t="s">
        <v>29</v>
      </c>
      <c r="R125" s="71" t="s">
        <v>48</v>
      </c>
      <c r="S125" s="138" t="str">
        <f t="shared" ref="S125:S130" si="114">CONCATENATE(Q125,R125,AB125)</f>
        <v>BPD2010</v>
      </c>
      <c r="T125" s="138" t="str">
        <f t="shared" ref="T125:T130" si="115">CONCATENATE(Q125,U125,AB125)</f>
        <v>B1.2.4.3.42010</v>
      </c>
      <c r="U125" s="138" t="s">
        <v>208</v>
      </c>
      <c r="V125" s="138" t="str">
        <f t="shared" si="108"/>
        <v>Cooling Plant</v>
      </c>
      <c r="AB125" s="32">
        <v>2010</v>
      </c>
      <c r="AC125" s="132">
        <f t="shared" ref="AC125:AC130" si="116">IF($Q125="B", (G125*$N125),0)</f>
        <v>0</v>
      </c>
      <c r="AD125" s="132">
        <f t="shared" ref="AD125:AD130" si="117">IF($Q125="B", (H125*$N125),0)</f>
        <v>0</v>
      </c>
      <c r="AE125" s="132">
        <f t="shared" ref="AE125:AE130" si="118">IF($Q125="B", (I125*$N125),0)</f>
        <v>0</v>
      </c>
      <c r="AF125" s="132">
        <f t="shared" ref="AF125:AF130" si="119">IF($Q125="B", (J125*$N125),0)</f>
        <v>16</v>
      </c>
      <c r="AG125" s="132">
        <f t="shared" ref="AG125:AG130" si="120">IF($Q125="B", (K125*$N125),0)</f>
        <v>0</v>
      </c>
      <c r="AH125" s="226">
        <f t="shared" ref="AH125:AH130" si="121">IF($Q125="B", (F125*$N125),0)</f>
        <v>5000</v>
      </c>
      <c r="AI125" s="227"/>
      <c r="AJ125" s="132"/>
      <c r="AK125" s="132"/>
      <c r="AL125" s="168"/>
      <c r="AM125" s="131">
        <f t="shared" ref="AM125:AM130" si="122">IF($Q125="C", (G125*$N125),0)</f>
        <v>0</v>
      </c>
      <c r="AN125" s="132">
        <f t="shared" ref="AN125:AN130" si="123">IF($Q125="C", (H125*$N125),0)</f>
        <v>0</v>
      </c>
      <c r="AO125" s="132">
        <f t="shared" ref="AO125:AO130" si="124">IF($Q125="C", (I125*$N125),0)</f>
        <v>0</v>
      </c>
      <c r="AP125" s="132">
        <f t="shared" ref="AP125:AP130" si="125">IF($Q125="C", (J125*$N125),0)</f>
        <v>0</v>
      </c>
      <c r="AQ125" s="132">
        <f t="shared" ref="AQ125:AQ130" si="126">IF($Q125="C", (K125*$N125),0)</f>
        <v>0</v>
      </c>
      <c r="AR125" s="132">
        <f t="shared" ref="AR125:AR130" si="127">IF($Q125="C", (F125*$N125),0)</f>
        <v>0</v>
      </c>
      <c r="AS125" s="227"/>
    </row>
    <row r="126" spans="1:45" s="19" customFormat="1">
      <c r="A126" s="45" t="s">
        <v>272</v>
      </c>
      <c r="B126" s="94" t="s">
        <v>9</v>
      </c>
      <c r="C126" s="167">
        <v>1</v>
      </c>
      <c r="D126" s="94" t="s">
        <v>9</v>
      </c>
      <c r="E126" s="170">
        <v>4000</v>
      </c>
      <c r="F126" s="169">
        <f t="shared" si="111"/>
        <v>4000</v>
      </c>
      <c r="G126" s="170">
        <v>0</v>
      </c>
      <c r="H126" s="170">
        <v>0</v>
      </c>
      <c r="I126" s="170">
        <v>0</v>
      </c>
      <c r="J126" s="170">
        <v>80</v>
      </c>
      <c r="K126" s="170">
        <v>0</v>
      </c>
      <c r="L126" s="94" t="s">
        <v>8</v>
      </c>
      <c r="M126" s="168">
        <f t="shared" si="112"/>
        <v>9720.0000000000018</v>
      </c>
      <c r="N126" s="90">
        <v>1</v>
      </c>
      <c r="O126" s="172">
        <f t="shared" si="113"/>
        <v>13720.000000000002</v>
      </c>
      <c r="P126" s="172"/>
      <c r="Q126" s="51" t="s">
        <v>29</v>
      </c>
      <c r="R126" s="71" t="s">
        <v>48</v>
      </c>
      <c r="S126" s="138" t="str">
        <f t="shared" si="114"/>
        <v>BPDSTAR</v>
      </c>
      <c r="T126" s="138" t="str">
        <f t="shared" si="115"/>
        <v>B1.2.4.3.4STAR</v>
      </c>
      <c r="U126" s="138" t="s">
        <v>208</v>
      </c>
      <c r="V126" s="138" t="str">
        <f t="shared" si="108"/>
        <v>Cooling Plant</v>
      </c>
      <c r="AB126" s="32" t="s">
        <v>132</v>
      </c>
      <c r="AC126" s="132">
        <f t="shared" si="116"/>
        <v>0</v>
      </c>
      <c r="AD126" s="132">
        <f t="shared" si="117"/>
        <v>0</v>
      </c>
      <c r="AE126" s="132">
        <f t="shared" si="118"/>
        <v>0</v>
      </c>
      <c r="AF126" s="132">
        <f t="shared" si="119"/>
        <v>80</v>
      </c>
      <c r="AG126" s="132">
        <f t="shared" si="120"/>
        <v>0</v>
      </c>
      <c r="AH126" s="226">
        <f t="shared" si="121"/>
        <v>4000</v>
      </c>
      <c r="AI126" s="227"/>
      <c r="AJ126" s="132"/>
      <c r="AK126" s="132"/>
      <c r="AL126" s="168"/>
      <c r="AM126" s="131">
        <f t="shared" si="122"/>
        <v>0</v>
      </c>
      <c r="AN126" s="132">
        <f t="shared" si="123"/>
        <v>0</v>
      </c>
      <c r="AO126" s="132">
        <f t="shared" si="124"/>
        <v>0</v>
      </c>
      <c r="AP126" s="132">
        <f t="shared" si="125"/>
        <v>0</v>
      </c>
      <c r="AQ126" s="132">
        <f t="shared" si="126"/>
        <v>0</v>
      </c>
      <c r="AR126" s="132">
        <f t="shared" si="127"/>
        <v>0</v>
      </c>
      <c r="AS126" s="227"/>
    </row>
    <row r="127" spans="1:45" s="19" customFormat="1">
      <c r="A127" s="45" t="s">
        <v>273</v>
      </c>
      <c r="B127" s="94" t="s">
        <v>9</v>
      </c>
      <c r="C127" s="167">
        <v>1</v>
      </c>
      <c r="D127" s="94" t="s">
        <v>9</v>
      </c>
      <c r="E127" s="170">
        <v>2000</v>
      </c>
      <c r="F127" s="169">
        <f>E127*C127</f>
        <v>2000</v>
      </c>
      <c r="G127" s="170">
        <v>0</v>
      </c>
      <c r="H127" s="170">
        <v>40</v>
      </c>
      <c r="I127" s="170">
        <v>120</v>
      </c>
      <c r="J127" s="170">
        <v>32</v>
      </c>
      <c r="K127" s="171">
        <v>0</v>
      </c>
      <c r="L127" s="94" t="s">
        <v>8</v>
      </c>
      <c r="M127" s="168">
        <f>IF(R127="PD",((Shop*G127)+(M_Tech*H127)+(CMM*I127)+(ENG*J127)+(DES*K127))*N127,((Shop_RD*G127)+(MTECH_RD*H127)+(CMM_RD*I127)+(ENG_RD*J127)+(DES_RD*K127))*N127)</f>
        <v>7678.8000000000011</v>
      </c>
      <c r="N127" s="90">
        <v>1</v>
      </c>
      <c r="O127" s="172">
        <f>M127+(F127*N127)</f>
        <v>9678.8000000000011</v>
      </c>
      <c r="P127" s="172"/>
      <c r="Q127" s="51" t="s">
        <v>29</v>
      </c>
      <c r="R127" s="71" t="s">
        <v>48</v>
      </c>
      <c r="S127" s="138" t="str">
        <f>CONCATENATE(Q127,R127,AB127)</f>
        <v>BPD2011</v>
      </c>
      <c r="T127" s="138" t="str">
        <f>CONCATENATE(Q127,U127,AB127)</f>
        <v>B1.2.4.3.42011</v>
      </c>
      <c r="U127" s="138" t="s">
        <v>208</v>
      </c>
      <c r="V127" s="138" t="str">
        <f t="shared" si="108"/>
        <v>Cooling Plant</v>
      </c>
      <c r="AB127" s="32">
        <v>2011</v>
      </c>
      <c r="AC127" s="132">
        <f>IF($Q127="B", (G127*$N127),0)</f>
        <v>0</v>
      </c>
      <c r="AD127" s="132">
        <f>IF($Q127="B", (H127*$N127),0)</f>
        <v>40</v>
      </c>
      <c r="AE127" s="132">
        <f>IF($Q127="B", (I127*$N127),0)</f>
        <v>120</v>
      </c>
      <c r="AF127" s="132">
        <f>IF($Q127="B", (J127*$N127),0)</f>
        <v>32</v>
      </c>
      <c r="AG127" s="132">
        <f>IF($Q127="B", (K127*$N127),0)</f>
        <v>0</v>
      </c>
      <c r="AH127" s="226">
        <f>IF($Q127="B", (F127*$N127),0)</f>
        <v>2000</v>
      </c>
      <c r="AI127" s="227"/>
      <c r="AJ127" s="132"/>
      <c r="AK127" s="132"/>
      <c r="AL127" s="168"/>
      <c r="AM127" s="131">
        <f>IF($Q127="C", (G127*$N127),0)</f>
        <v>0</v>
      </c>
      <c r="AN127" s="132">
        <f>IF($Q127="C", (H127*$N127),0)</f>
        <v>0</v>
      </c>
      <c r="AO127" s="132">
        <f>IF($Q127="C", (I127*$N127),0)</f>
        <v>0</v>
      </c>
      <c r="AP127" s="132">
        <f>IF($Q127="C", (J127*$N127),0)</f>
        <v>0</v>
      </c>
      <c r="AQ127" s="132">
        <f>IF($Q127="C", (K127*$N127),0)</f>
        <v>0</v>
      </c>
      <c r="AR127" s="132">
        <f>IF($Q127="C", (F127*$N127),0)</f>
        <v>0</v>
      </c>
      <c r="AS127" s="227"/>
    </row>
    <row r="128" spans="1:45" s="19" customFormat="1">
      <c r="A128" s="45" t="s">
        <v>289</v>
      </c>
      <c r="B128" s="94" t="s">
        <v>9</v>
      </c>
      <c r="C128" s="167">
        <v>1</v>
      </c>
      <c r="D128" s="94" t="s">
        <v>9</v>
      </c>
      <c r="E128" s="170">
        <v>2000</v>
      </c>
      <c r="F128" s="169">
        <f t="shared" si="111"/>
        <v>2000</v>
      </c>
      <c r="G128" s="170">
        <v>0</v>
      </c>
      <c r="H128" s="170">
        <v>40</v>
      </c>
      <c r="I128" s="170">
        <v>120</v>
      </c>
      <c r="J128" s="170">
        <v>32</v>
      </c>
      <c r="K128" s="171">
        <v>0</v>
      </c>
      <c r="L128" s="94" t="s">
        <v>8</v>
      </c>
      <c r="M128" s="168">
        <f t="shared" si="112"/>
        <v>7678.8000000000011</v>
      </c>
      <c r="N128" s="90">
        <v>1</v>
      </c>
      <c r="O128" s="172">
        <f t="shared" si="113"/>
        <v>9678.8000000000011</v>
      </c>
      <c r="P128" s="172"/>
      <c r="Q128" s="51" t="s">
        <v>30</v>
      </c>
      <c r="R128" s="71" t="s">
        <v>48</v>
      </c>
      <c r="S128" s="138" t="str">
        <f t="shared" si="114"/>
        <v>CPD2011</v>
      </c>
      <c r="T128" s="138" t="str">
        <f t="shared" si="115"/>
        <v>C1.2.4.3.42011</v>
      </c>
      <c r="U128" s="138" t="s">
        <v>208</v>
      </c>
      <c r="V128" s="138" t="str">
        <f t="shared" si="108"/>
        <v>Cooling Plant</v>
      </c>
      <c r="AB128" s="32">
        <v>2011</v>
      </c>
      <c r="AC128" s="132">
        <f t="shared" si="116"/>
        <v>0</v>
      </c>
      <c r="AD128" s="132">
        <f t="shared" si="117"/>
        <v>0</v>
      </c>
      <c r="AE128" s="132">
        <f t="shared" si="118"/>
        <v>0</v>
      </c>
      <c r="AF128" s="132">
        <f t="shared" si="119"/>
        <v>0</v>
      </c>
      <c r="AG128" s="132">
        <f t="shared" si="120"/>
        <v>0</v>
      </c>
      <c r="AH128" s="226">
        <f t="shared" si="121"/>
        <v>0</v>
      </c>
      <c r="AI128" s="227"/>
      <c r="AJ128" s="132"/>
      <c r="AK128" s="132"/>
      <c r="AL128" s="168"/>
      <c r="AM128" s="131">
        <f t="shared" si="122"/>
        <v>0</v>
      </c>
      <c r="AN128" s="132">
        <f t="shared" si="123"/>
        <v>40</v>
      </c>
      <c r="AO128" s="132">
        <f t="shared" si="124"/>
        <v>120</v>
      </c>
      <c r="AP128" s="132">
        <f t="shared" si="125"/>
        <v>32</v>
      </c>
      <c r="AQ128" s="132">
        <f t="shared" si="126"/>
        <v>0</v>
      </c>
      <c r="AR128" s="132">
        <f t="shared" si="127"/>
        <v>2000</v>
      </c>
      <c r="AS128" s="227"/>
    </row>
    <row r="129" spans="1:45" s="19" customFormat="1">
      <c r="A129" s="45" t="s">
        <v>283</v>
      </c>
      <c r="B129" s="94" t="s">
        <v>9</v>
      </c>
      <c r="C129" s="167">
        <v>1</v>
      </c>
      <c r="D129" s="94" t="s">
        <v>9</v>
      </c>
      <c r="E129" s="170">
        <v>4000</v>
      </c>
      <c r="F129" s="169">
        <f t="shared" si="111"/>
        <v>4000</v>
      </c>
      <c r="G129" s="170">
        <v>16</v>
      </c>
      <c r="H129" s="170">
        <v>80</v>
      </c>
      <c r="I129" s="170">
        <v>40</v>
      </c>
      <c r="J129" s="170">
        <v>40</v>
      </c>
      <c r="K129" s="170">
        <v>16</v>
      </c>
      <c r="L129" s="94" t="s">
        <v>8</v>
      </c>
      <c r="M129" s="168">
        <f t="shared" si="112"/>
        <v>14074.560000000001</v>
      </c>
      <c r="N129" s="90">
        <v>1</v>
      </c>
      <c r="O129" s="172">
        <f t="shared" si="113"/>
        <v>18074.560000000001</v>
      </c>
      <c r="P129" s="172"/>
      <c r="Q129" s="51" t="s">
        <v>29</v>
      </c>
      <c r="R129" s="71" t="s">
        <v>48</v>
      </c>
      <c r="S129" s="138" t="str">
        <f t="shared" si="114"/>
        <v>BPDSTAR</v>
      </c>
      <c r="T129" s="138" t="str">
        <f t="shared" si="115"/>
        <v>B1.2.4.3.4STAR</v>
      </c>
      <c r="U129" s="138" t="s">
        <v>208</v>
      </c>
      <c r="V129" s="138" t="str">
        <f t="shared" si="108"/>
        <v>Cooling Plant</v>
      </c>
      <c r="AB129" s="32" t="s">
        <v>132</v>
      </c>
      <c r="AC129" s="132">
        <f t="shared" si="116"/>
        <v>16</v>
      </c>
      <c r="AD129" s="132">
        <f t="shared" si="117"/>
        <v>80</v>
      </c>
      <c r="AE129" s="132">
        <f t="shared" si="118"/>
        <v>40</v>
      </c>
      <c r="AF129" s="132">
        <f t="shared" si="119"/>
        <v>40</v>
      </c>
      <c r="AG129" s="132">
        <f t="shared" si="120"/>
        <v>16</v>
      </c>
      <c r="AH129" s="226">
        <f t="shared" si="121"/>
        <v>4000</v>
      </c>
      <c r="AI129" s="227"/>
      <c r="AJ129" s="132"/>
      <c r="AK129" s="132"/>
      <c r="AL129" s="168"/>
      <c r="AM129" s="131">
        <f t="shared" si="122"/>
        <v>0</v>
      </c>
      <c r="AN129" s="132">
        <f t="shared" si="123"/>
        <v>0</v>
      </c>
      <c r="AO129" s="132">
        <f t="shared" si="124"/>
        <v>0</v>
      </c>
      <c r="AP129" s="132">
        <f t="shared" si="125"/>
        <v>0</v>
      </c>
      <c r="AQ129" s="132">
        <f t="shared" si="126"/>
        <v>0</v>
      </c>
      <c r="AR129" s="132">
        <f t="shared" si="127"/>
        <v>0</v>
      </c>
      <c r="AS129" s="227"/>
    </row>
    <row r="130" spans="1:45" s="19" customFormat="1">
      <c r="A130" s="45" t="s">
        <v>227</v>
      </c>
      <c r="B130" s="94" t="s">
        <v>9</v>
      </c>
      <c r="C130" s="167">
        <v>1</v>
      </c>
      <c r="D130" s="94" t="s">
        <v>9</v>
      </c>
      <c r="E130" s="170">
        <v>10000</v>
      </c>
      <c r="F130" s="169">
        <f t="shared" si="111"/>
        <v>10000</v>
      </c>
      <c r="G130" s="170">
        <v>8</v>
      </c>
      <c r="H130" s="170">
        <v>40</v>
      </c>
      <c r="I130" s="170">
        <v>40</v>
      </c>
      <c r="J130" s="170">
        <v>80</v>
      </c>
      <c r="K130" s="170">
        <v>8</v>
      </c>
      <c r="L130" s="94" t="s">
        <v>8</v>
      </c>
      <c r="M130" s="168">
        <f t="shared" si="112"/>
        <v>14327.280000000002</v>
      </c>
      <c r="N130" s="90">
        <v>1</v>
      </c>
      <c r="O130" s="172">
        <f t="shared" si="113"/>
        <v>24327.280000000002</v>
      </c>
      <c r="P130" s="172"/>
      <c r="Q130" s="51" t="s">
        <v>30</v>
      </c>
      <c r="R130" s="71" t="s">
        <v>48</v>
      </c>
      <c r="S130" s="138" t="str">
        <f t="shared" si="114"/>
        <v>CPD2012</v>
      </c>
      <c r="T130" s="138" t="str">
        <f t="shared" si="115"/>
        <v>C1.2.4.3.42012</v>
      </c>
      <c r="U130" s="138" t="s">
        <v>208</v>
      </c>
      <c r="V130" s="138" t="str">
        <f t="shared" si="108"/>
        <v>Cooling Plant</v>
      </c>
      <c r="AB130" s="32">
        <v>2012</v>
      </c>
      <c r="AC130" s="132">
        <f t="shared" si="116"/>
        <v>0</v>
      </c>
      <c r="AD130" s="132">
        <f t="shared" si="117"/>
        <v>0</v>
      </c>
      <c r="AE130" s="132">
        <f t="shared" si="118"/>
        <v>0</v>
      </c>
      <c r="AF130" s="132">
        <f t="shared" si="119"/>
        <v>0</v>
      </c>
      <c r="AG130" s="132">
        <f t="shared" si="120"/>
        <v>0</v>
      </c>
      <c r="AH130" s="226">
        <f t="shared" si="121"/>
        <v>0</v>
      </c>
      <c r="AI130" s="227"/>
      <c r="AJ130" s="132"/>
      <c r="AK130" s="132"/>
      <c r="AL130" s="168"/>
      <c r="AM130" s="131">
        <f t="shared" si="122"/>
        <v>8</v>
      </c>
      <c r="AN130" s="132">
        <f t="shared" si="123"/>
        <v>40</v>
      </c>
      <c r="AO130" s="132">
        <f t="shared" si="124"/>
        <v>40</v>
      </c>
      <c r="AP130" s="132">
        <f t="shared" si="125"/>
        <v>80</v>
      </c>
      <c r="AQ130" s="132">
        <f t="shared" si="126"/>
        <v>8</v>
      </c>
      <c r="AR130" s="132">
        <f t="shared" si="127"/>
        <v>10000</v>
      </c>
      <c r="AS130" s="227"/>
    </row>
    <row r="131" spans="1:45" s="49" customFormat="1">
      <c r="A131" s="46" t="s">
        <v>246</v>
      </c>
      <c r="C131" s="181"/>
      <c r="D131" s="109"/>
      <c r="E131" s="60"/>
      <c r="F131" s="61"/>
      <c r="G131" s="62"/>
      <c r="H131" s="62"/>
      <c r="I131" s="62"/>
      <c r="J131" s="62"/>
      <c r="K131" s="63"/>
      <c r="L131" s="209" t="s">
        <v>41</v>
      </c>
      <c r="M131" s="180">
        <f>SUMIF(Q123:Q130,"B",M123:M130)</f>
        <v>37305.360000000001</v>
      </c>
      <c r="N131" s="65" t="s">
        <v>41</v>
      </c>
      <c r="O131" s="182"/>
      <c r="P131" s="182"/>
      <c r="Q131" s="51"/>
      <c r="R131" s="71"/>
      <c r="S131" s="138"/>
      <c r="T131" s="138"/>
      <c r="U131" s="138"/>
      <c r="V131" s="138"/>
      <c r="W131" s="19"/>
      <c r="X131" s="19"/>
      <c r="Y131" s="19"/>
      <c r="Z131" s="19"/>
      <c r="AA131" s="19"/>
      <c r="AB131" s="54"/>
      <c r="AC131" s="55"/>
      <c r="AD131" s="55"/>
      <c r="AE131" s="56"/>
      <c r="AF131" s="55"/>
      <c r="AG131" s="55"/>
      <c r="AH131" s="38"/>
      <c r="AI131" s="235"/>
      <c r="AJ131" s="55"/>
      <c r="AK131" s="55"/>
      <c r="AL131" s="168"/>
      <c r="AM131" s="57"/>
      <c r="AN131" s="55"/>
      <c r="AO131" s="55"/>
      <c r="AP131" s="55"/>
      <c r="AQ131" s="55"/>
      <c r="AR131" s="55"/>
      <c r="AS131" s="235"/>
    </row>
    <row r="132" spans="1:45" s="19" customFormat="1">
      <c r="A132" s="45" t="s">
        <v>265</v>
      </c>
      <c r="B132" s="94" t="s">
        <v>9</v>
      </c>
      <c r="C132" s="167">
        <v>1</v>
      </c>
      <c r="D132" s="94" t="s">
        <v>9</v>
      </c>
      <c r="E132" s="168">
        <v>1500</v>
      </c>
      <c r="F132" s="169">
        <f>E132*C132</f>
        <v>1500</v>
      </c>
      <c r="G132" s="170">
        <v>0</v>
      </c>
      <c r="H132" s="170">
        <v>0</v>
      </c>
      <c r="I132" s="170">
        <v>8</v>
      </c>
      <c r="J132" s="170">
        <v>8</v>
      </c>
      <c r="K132" s="170">
        <v>8</v>
      </c>
      <c r="L132" s="94" t="s">
        <v>8</v>
      </c>
      <c r="M132" s="168">
        <f>IF(R132="PD",((Shop*G132)+(M_Tech*H132)+(CMM*I132)+(ENG*J132)+(DES*K132))*N132,((Shop_RD*G132)+(MTECH_RD*H132)+(CMM_RD*I132)+(ENG_RD*J132)+(DES_RD*K132))*N132)</f>
        <v>972.00000000000011</v>
      </c>
      <c r="N132" s="90">
        <v>1</v>
      </c>
      <c r="O132" s="172">
        <f>M132+(F132*N132)</f>
        <v>2472</v>
      </c>
      <c r="P132" s="172"/>
      <c r="Q132" s="51" t="s">
        <v>29</v>
      </c>
      <c r="R132" s="71" t="s">
        <v>48</v>
      </c>
      <c r="S132" s="138" t="str">
        <f>CONCATENATE(Q132,R132,AB132)</f>
        <v>BPD2013</v>
      </c>
      <c r="T132" s="138" t="str">
        <f>CONCATENATE(Q132,U132,AB132)</f>
        <v>B1.2.4.3.52013</v>
      </c>
      <c r="U132" s="138" t="s">
        <v>210</v>
      </c>
      <c r="V132" s="138" t="str">
        <f>LOOKUP(U132,$B$156:$B$182,$A$156:$A$182)</f>
        <v>Test RDO</v>
      </c>
      <c r="AB132" s="32">
        <v>2013</v>
      </c>
      <c r="AC132" s="132">
        <f>IF($Q132="B", (G132*$N132),0)</f>
        <v>0</v>
      </c>
      <c r="AD132" s="132">
        <f>IF($Q132="B", (H132*$N132),0)</f>
        <v>0</v>
      </c>
      <c r="AE132" s="132">
        <f>IF($Q132="B", (I132*$N132),0)</f>
        <v>8</v>
      </c>
      <c r="AF132" s="132">
        <f>IF($Q132="B", (J132*$N132),0)</f>
        <v>8</v>
      </c>
      <c r="AG132" s="132">
        <f>IF($Q132="B", (K132*$N132),0)</f>
        <v>8</v>
      </c>
      <c r="AH132" s="226">
        <f>IF($Q132="B", (F132*$N132),0)</f>
        <v>1500</v>
      </c>
      <c r="AI132" s="227"/>
      <c r="AJ132" s="132"/>
      <c r="AK132" s="132"/>
      <c r="AL132" s="168"/>
      <c r="AM132" s="131">
        <f>IF($Q132="C", (G132*$N132),0)</f>
        <v>0</v>
      </c>
      <c r="AN132" s="132">
        <f>IF($Q132="C", (H132*$N132),0)</f>
        <v>0</v>
      </c>
      <c r="AO132" s="132">
        <f>IF($Q132="C", (I132*$N132),0)</f>
        <v>0</v>
      </c>
      <c r="AP132" s="132">
        <f>IF($Q132="C", (J132*$N132),0)</f>
        <v>0</v>
      </c>
      <c r="AQ132" s="132">
        <f>IF($Q132="C", (K132*$N132),0)</f>
        <v>0</v>
      </c>
      <c r="AR132" s="132">
        <f>IF($Q132="C", (F132*$N132),0)</f>
        <v>0</v>
      </c>
      <c r="AS132" s="227"/>
    </row>
    <row r="133" spans="1:45" s="19" customFormat="1">
      <c r="A133" s="45" t="s">
        <v>266</v>
      </c>
      <c r="B133" s="94" t="s">
        <v>9</v>
      </c>
      <c r="C133" s="167">
        <v>1</v>
      </c>
      <c r="D133" s="94" t="s">
        <v>9</v>
      </c>
      <c r="E133" s="168">
        <v>500</v>
      </c>
      <c r="F133" s="169">
        <f>E133*C133</f>
        <v>500</v>
      </c>
      <c r="G133" s="170">
        <v>0</v>
      </c>
      <c r="H133" s="170">
        <v>0</v>
      </c>
      <c r="I133" s="170">
        <v>8</v>
      </c>
      <c r="J133" s="170">
        <v>8</v>
      </c>
      <c r="K133" s="170">
        <v>8</v>
      </c>
      <c r="L133" s="94" t="s">
        <v>8</v>
      </c>
      <c r="M133" s="168">
        <f>IF(R133="PD",((Shop*G133)+(M_Tech*H133)+(CMM*I133)+(ENG*J133)+(DES*K133))*N133,((Shop_RD*G133)+(MTECH_RD*H133)+(CMM_RD*I133)+(ENG_RD*J133)+(DES_RD*K133))*N133)</f>
        <v>972.00000000000011</v>
      </c>
      <c r="N133" s="90">
        <v>1</v>
      </c>
      <c r="O133" s="172">
        <f>M133+(F133*N133)</f>
        <v>1472</v>
      </c>
      <c r="P133" s="172"/>
      <c r="Q133" s="51" t="s">
        <v>29</v>
      </c>
      <c r="R133" s="71" t="s">
        <v>48</v>
      </c>
      <c r="S133" s="138" t="str">
        <f>CONCATENATE(Q133,R133,AB133)</f>
        <v>BPD2013</v>
      </c>
      <c r="T133" s="138" t="str">
        <f>CONCATENATE(Q133,U133,AB133)</f>
        <v>B1.2.4.3.52013</v>
      </c>
      <c r="U133" s="138" t="s">
        <v>210</v>
      </c>
      <c r="V133" s="138" t="str">
        <f>LOOKUP(U133,$B$156:$B$182,$A$156:$A$182)</f>
        <v>Test RDO</v>
      </c>
      <c r="AB133" s="32">
        <v>2013</v>
      </c>
      <c r="AC133" s="132">
        <f t="shared" ref="AC133:AG135" si="128">IF($Q133="B", (G133*$N133),0)</f>
        <v>0</v>
      </c>
      <c r="AD133" s="132">
        <f t="shared" si="128"/>
        <v>0</v>
      </c>
      <c r="AE133" s="132">
        <f t="shared" si="128"/>
        <v>8</v>
      </c>
      <c r="AF133" s="132">
        <f t="shared" si="128"/>
        <v>8</v>
      </c>
      <c r="AG133" s="132">
        <f t="shared" si="128"/>
        <v>8</v>
      </c>
      <c r="AH133" s="226">
        <f>IF($Q133="B", (F133*$N133),0)</f>
        <v>500</v>
      </c>
      <c r="AI133" s="227"/>
      <c r="AJ133" s="132"/>
      <c r="AK133" s="132"/>
      <c r="AL133" s="168"/>
      <c r="AM133" s="131">
        <f t="shared" ref="AM133:AQ135" si="129">IF($Q133="C", (G133*$N133),0)</f>
        <v>0</v>
      </c>
      <c r="AN133" s="132">
        <f t="shared" si="129"/>
        <v>0</v>
      </c>
      <c r="AO133" s="132">
        <f t="shared" si="129"/>
        <v>0</v>
      </c>
      <c r="AP133" s="132">
        <f t="shared" si="129"/>
        <v>0</v>
      </c>
      <c r="AQ133" s="132">
        <f t="shared" si="129"/>
        <v>0</v>
      </c>
      <c r="AR133" s="132">
        <f>IF($Q133="C", (F133*$N133),0)</f>
        <v>0</v>
      </c>
      <c r="AS133" s="227"/>
    </row>
    <row r="134" spans="1:45" s="19" customFormat="1">
      <c r="A134" s="45" t="s">
        <v>255</v>
      </c>
      <c r="B134" s="94" t="s">
        <v>9</v>
      </c>
      <c r="C134" s="167">
        <v>1</v>
      </c>
      <c r="D134" s="94" t="s">
        <v>9</v>
      </c>
      <c r="E134" s="168">
        <v>0</v>
      </c>
      <c r="F134" s="169">
        <f>E134*C134</f>
        <v>0</v>
      </c>
      <c r="G134" s="170">
        <v>0</v>
      </c>
      <c r="H134" s="170">
        <v>0</v>
      </c>
      <c r="I134" s="170">
        <v>8</v>
      </c>
      <c r="J134" s="170">
        <v>8</v>
      </c>
      <c r="K134" s="170">
        <v>8</v>
      </c>
      <c r="L134" s="94" t="s">
        <v>8</v>
      </c>
      <c r="M134" s="168">
        <f>IF(R134="PD",((Shop*G134)+(M_Tech*H134)+(CMM*I134)+(ENG*J134)+(DES*K134))*N134,((Shop_RD*G134)+(MTECH_RD*H134)+(CMM_RD*I134)+(ENG_RD*J134)+(DES_RD*K134))*N134)</f>
        <v>972.00000000000011</v>
      </c>
      <c r="N134" s="90">
        <v>1</v>
      </c>
      <c r="O134" s="172">
        <f>M134+(F134*N134)</f>
        <v>972.00000000000011</v>
      </c>
      <c r="P134" s="172"/>
      <c r="Q134" s="51" t="s">
        <v>29</v>
      </c>
      <c r="R134" s="71" t="s">
        <v>48</v>
      </c>
      <c r="S134" s="138" t="str">
        <f>CONCATENATE(Q134,R134,AB134)</f>
        <v>BPD2013</v>
      </c>
      <c r="T134" s="138" t="str">
        <f>CONCATENATE(Q134,U134,AB134)</f>
        <v>B1.2.4.3.52013</v>
      </c>
      <c r="U134" s="138" t="s">
        <v>210</v>
      </c>
      <c r="V134" s="138" t="str">
        <f>LOOKUP(U134,$B$156:$B$182,$A$156:$A$182)</f>
        <v>Test RDO</v>
      </c>
      <c r="AB134" s="32">
        <v>2013</v>
      </c>
      <c r="AC134" s="132">
        <f t="shared" si="128"/>
        <v>0</v>
      </c>
      <c r="AD134" s="132">
        <f t="shared" si="128"/>
        <v>0</v>
      </c>
      <c r="AE134" s="132">
        <f t="shared" si="128"/>
        <v>8</v>
      </c>
      <c r="AF134" s="132">
        <f t="shared" si="128"/>
        <v>8</v>
      </c>
      <c r="AG134" s="132">
        <f t="shared" si="128"/>
        <v>8</v>
      </c>
      <c r="AH134" s="226">
        <f>IF($Q134="B", (F134*$N134),0)</f>
        <v>0</v>
      </c>
      <c r="AI134" s="227"/>
      <c r="AJ134" s="132"/>
      <c r="AK134" s="132"/>
      <c r="AL134" s="168"/>
      <c r="AM134" s="131">
        <f t="shared" si="129"/>
        <v>0</v>
      </c>
      <c r="AN134" s="132">
        <f t="shared" si="129"/>
        <v>0</v>
      </c>
      <c r="AO134" s="132">
        <f t="shared" si="129"/>
        <v>0</v>
      </c>
      <c r="AP134" s="132">
        <f t="shared" si="129"/>
        <v>0</v>
      </c>
      <c r="AQ134" s="132">
        <f t="shared" si="129"/>
        <v>0</v>
      </c>
      <c r="AR134" s="132">
        <f>IF($Q134="C", (F134*$N134),0)</f>
        <v>0</v>
      </c>
      <c r="AS134" s="227"/>
    </row>
    <row r="135" spans="1:45" s="19" customFormat="1">
      <c r="A135" s="45" t="s">
        <v>227</v>
      </c>
      <c r="B135" s="94" t="s">
        <v>9</v>
      </c>
      <c r="C135" s="167">
        <v>1</v>
      </c>
      <c r="D135" s="94" t="s">
        <v>9</v>
      </c>
      <c r="E135" s="168">
        <v>2000</v>
      </c>
      <c r="F135" s="169">
        <f>E135*C135</f>
        <v>2000</v>
      </c>
      <c r="G135" s="170">
        <v>0</v>
      </c>
      <c r="H135" s="170">
        <v>0</v>
      </c>
      <c r="I135" s="170">
        <v>16</v>
      </c>
      <c r="J135" s="170">
        <v>8</v>
      </c>
      <c r="K135" s="170">
        <v>16</v>
      </c>
      <c r="L135" s="94" t="s">
        <v>8</v>
      </c>
      <c r="M135" s="168">
        <f>IF(R135="PD",((Shop*G135)+(M_Tech*H135)+(CMM*I135)+(ENG*J135)+(DES*K135))*N135,((Shop_RD*G135)+(MTECH_RD*H135)+(CMM_RD*I135)+(ENG_RD*J135)+(DES_RD*K135))*N135)</f>
        <v>972.00000000000011</v>
      </c>
      <c r="N135" s="90">
        <v>1</v>
      </c>
      <c r="O135" s="172">
        <f>M135+(F135*N135)</f>
        <v>2972</v>
      </c>
      <c r="P135" s="172"/>
      <c r="Q135" s="51" t="s">
        <v>30</v>
      </c>
      <c r="R135" s="71" t="s">
        <v>48</v>
      </c>
      <c r="S135" s="138" t="str">
        <f>CONCATENATE(Q135,R135,AB135)</f>
        <v>CPD2013</v>
      </c>
      <c r="T135" s="138" t="str">
        <f>CONCATENATE(Q135,U135,AB135)</f>
        <v>C1.2.4.3.52013</v>
      </c>
      <c r="U135" s="138" t="s">
        <v>210</v>
      </c>
      <c r="V135" s="138" t="str">
        <f>LOOKUP(U135,$B$156:$B$182,$A$156:$A$182)</f>
        <v>Test RDO</v>
      </c>
      <c r="AB135" s="32">
        <v>2013</v>
      </c>
      <c r="AC135" s="132">
        <f t="shared" si="128"/>
        <v>0</v>
      </c>
      <c r="AD135" s="132">
        <f t="shared" si="128"/>
        <v>0</v>
      </c>
      <c r="AE135" s="132">
        <f t="shared" si="128"/>
        <v>0</v>
      </c>
      <c r="AF135" s="132">
        <f t="shared" si="128"/>
        <v>0</v>
      </c>
      <c r="AG135" s="132">
        <f t="shared" si="128"/>
        <v>0</v>
      </c>
      <c r="AH135" s="226">
        <f>IF($Q135="B", (F135*$N135),0)</f>
        <v>0</v>
      </c>
      <c r="AI135" s="227"/>
      <c r="AJ135" s="132"/>
      <c r="AK135" s="132"/>
      <c r="AL135" s="168"/>
      <c r="AM135" s="131">
        <f t="shared" si="129"/>
        <v>0</v>
      </c>
      <c r="AN135" s="132">
        <f t="shared" si="129"/>
        <v>0</v>
      </c>
      <c r="AO135" s="132">
        <f t="shared" si="129"/>
        <v>16</v>
      </c>
      <c r="AP135" s="132">
        <f t="shared" si="129"/>
        <v>8</v>
      </c>
      <c r="AQ135" s="132">
        <f t="shared" si="129"/>
        <v>16</v>
      </c>
      <c r="AR135" s="132">
        <f>IF($Q135="C", (F135*$N135),0)</f>
        <v>2000</v>
      </c>
      <c r="AS135" s="227"/>
    </row>
    <row r="136" spans="1:45" s="19" customFormat="1">
      <c r="A136" s="46" t="s">
        <v>213</v>
      </c>
      <c r="C136" s="167"/>
      <c r="D136" s="94"/>
      <c r="E136" s="60"/>
      <c r="F136" s="61"/>
      <c r="G136" s="62"/>
      <c r="H136" s="62"/>
      <c r="I136" s="62"/>
      <c r="J136" s="62"/>
      <c r="K136" s="63"/>
      <c r="L136" s="209" t="s">
        <v>41</v>
      </c>
      <c r="M136" s="180">
        <f>SUMIF(Q132:Q135,"B",M132:M135)</f>
        <v>2916.0000000000005</v>
      </c>
      <c r="N136" s="65" t="s">
        <v>41</v>
      </c>
      <c r="O136" s="172"/>
      <c r="P136" s="172"/>
      <c r="Q136" s="51"/>
      <c r="R136" s="71"/>
      <c r="S136" s="138"/>
      <c r="T136" s="138"/>
      <c r="U136" s="138"/>
      <c r="V136" s="138"/>
      <c r="AB136" s="32"/>
      <c r="AC136" s="132"/>
      <c r="AD136" s="132"/>
      <c r="AE136" s="135"/>
      <c r="AF136" s="132"/>
      <c r="AG136" s="132"/>
      <c r="AH136" s="226"/>
      <c r="AI136" s="227"/>
      <c r="AJ136" s="132"/>
      <c r="AK136" s="132"/>
      <c r="AL136" s="168"/>
      <c r="AM136" s="131"/>
      <c r="AN136" s="132"/>
      <c r="AO136" s="132"/>
      <c r="AP136" s="132"/>
      <c r="AQ136" s="132"/>
      <c r="AR136" s="132"/>
      <c r="AS136" s="227"/>
    </row>
    <row r="137" spans="1:45" s="19" customFormat="1">
      <c r="A137" s="45" t="s">
        <v>254</v>
      </c>
      <c r="B137" s="94" t="s">
        <v>9</v>
      </c>
      <c r="C137" s="167">
        <v>3</v>
      </c>
      <c r="D137" s="94" t="s">
        <v>9</v>
      </c>
      <c r="E137" s="170">
        <v>1500</v>
      </c>
      <c r="F137" s="169">
        <f>E137*C137</f>
        <v>4500</v>
      </c>
      <c r="G137" s="170">
        <v>0</v>
      </c>
      <c r="H137" s="170">
        <v>0</v>
      </c>
      <c r="I137" s="170">
        <v>16</v>
      </c>
      <c r="J137" s="170">
        <v>8</v>
      </c>
      <c r="K137" s="170">
        <v>16</v>
      </c>
      <c r="L137" s="94" t="s">
        <v>8</v>
      </c>
      <c r="M137" s="168">
        <f>IF(R137="PD",((Shop*G137)+(M_Tech*H137)+(CMM*I137)+(ENG*J137)+(DES*K137))*N137,((Shop_RD*G137)+(MTECH_RD*H137)+(CMM_RD*I137)+(ENG_RD*J137)+(DES_RD*K137))*N137)</f>
        <v>972.00000000000011</v>
      </c>
      <c r="N137" s="90">
        <v>1</v>
      </c>
      <c r="O137" s="172">
        <f>M137+(F137*N137)</f>
        <v>5472</v>
      </c>
      <c r="P137" s="172"/>
      <c r="Q137" s="51" t="s">
        <v>29</v>
      </c>
      <c r="R137" s="71" t="s">
        <v>48</v>
      </c>
      <c r="S137" s="138" t="str">
        <f>CONCATENATE(Q137,R137,AB137)</f>
        <v>BPD2011</v>
      </c>
      <c r="T137" s="138" t="str">
        <f>CONCATENATE(Q137,U137,AB137)</f>
        <v>B1.2.4.3.62011</v>
      </c>
      <c r="U137" s="138" t="s">
        <v>212</v>
      </c>
      <c r="V137" s="138" t="str">
        <f>LOOKUP(U137,$B$156:$B$182,$A$156:$A$182)</f>
        <v>Test Power Supplies</v>
      </c>
      <c r="AB137" s="32">
        <v>2011</v>
      </c>
      <c r="AC137" s="132">
        <f t="shared" ref="AC137:AG139" si="130">IF($Q137="B", (G137*$N137),0)</f>
        <v>0</v>
      </c>
      <c r="AD137" s="132">
        <f t="shared" si="130"/>
        <v>0</v>
      </c>
      <c r="AE137" s="132">
        <f t="shared" si="130"/>
        <v>16</v>
      </c>
      <c r="AF137" s="132">
        <f t="shared" si="130"/>
        <v>8</v>
      </c>
      <c r="AG137" s="132">
        <f t="shared" si="130"/>
        <v>16</v>
      </c>
      <c r="AH137" s="226">
        <f>IF($Q137="B", (F137*$N137),0)</f>
        <v>4500</v>
      </c>
      <c r="AI137" s="227"/>
      <c r="AJ137" s="132"/>
      <c r="AK137" s="132"/>
      <c r="AL137" s="168"/>
      <c r="AM137" s="131">
        <f t="shared" ref="AM137:AQ139" si="131">IF($Q137="C", (G137*$N137),0)</f>
        <v>0</v>
      </c>
      <c r="AN137" s="132">
        <f t="shared" si="131"/>
        <v>0</v>
      </c>
      <c r="AO137" s="132">
        <f t="shared" si="131"/>
        <v>0</v>
      </c>
      <c r="AP137" s="132">
        <f t="shared" si="131"/>
        <v>0</v>
      </c>
      <c r="AQ137" s="132">
        <f t="shared" si="131"/>
        <v>0</v>
      </c>
      <c r="AR137" s="132">
        <f>IF($Q137="C", (F137*$N137),0)</f>
        <v>0</v>
      </c>
      <c r="AS137" s="227"/>
    </row>
    <row r="138" spans="1:45" s="19" customFormat="1">
      <c r="A138" s="45" t="s">
        <v>253</v>
      </c>
      <c r="B138" s="94" t="s">
        <v>9</v>
      </c>
      <c r="C138" s="167">
        <v>1</v>
      </c>
      <c r="D138" s="94" t="s">
        <v>9</v>
      </c>
      <c r="E138" s="170">
        <v>0</v>
      </c>
      <c r="F138" s="169">
        <f>E138*C138</f>
        <v>0</v>
      </c>
      <c r="G138" s="170">
        <v>0</v>
      </c>
      <c r="H138" s="170">
        <v>8</v>
      </c>
      <c r="I138" s="170">
        <v>16</v>
      </c>
      <c r="J138" s="170">
        <v>8</v>
      </c>
      <c r="K138" s="170">
        <v>16</v>
      </c>
      <c r="L138" s="94" t="s">
        <v>8</v>
      </c>
      <c r="M138" s="168">
        <f>IF(R138="PD",((Shop*G138)+(M_Tech*H138)+(CMM*I138)+(ENG*J138)+(DES*K138))*N138,((Shop_RD*G138)+(MTECH_RD*H138)+(CMM_RD*I138)+(ENG_RD*J138)+(DES_RD*K138))*N138)</f>
        <v>1730.1600000000003</v>
      </c>
      <c r="N138" s="90">
        <v>1</v>
      </c>
      <c r="O138" s="172">
        <f>M138+(F138*N138)</f>
        <v>1730.1600000000003</v>
      </c>
      <c r="P138" s="172"/>
      <c r="Q138" s="51" t="s">
        <v>29</v>
      </c>
      <c r="R138" s="71" t="s">
        <v>48</v>
      </c>
      <c r="S138" s="138" t="str">
        <f>CONCATENATE(Q138,R138,AB138)</f>
        <v>BPD2011</v>
      </c>
      <c r="T138" s="138" t="str">
        <f>CONCATENATE(Q138,U138,AB138)</f>
        <v>B1.2.4.3.62011</v>
      </c>
      <c r="U138" s="138" t="s">
        <v>212</v>
      </c>
      <c r="V138" s="138" t="str">
        <f>LOOKUP(U138,$B$156:$B$182,$A$156:$A$182)</f>
        <v>Test Power Supplies</v>
      </c>
      <c r="AB138" s="32">
        <v>2011</v>
      </c>
      <c r="AC138" s="132">
        <f t="shared" si="130"/>
        <v>0</v>
      </c>
      <c r="AD138" s="132">
        <f t="shared" si="130"/>
        <v>8</v>
      </c>
      <c r="AE138" s="132">
        <f t="shared" si="130"/>
        <v>16</v>
      </c>
      <c r="AF138" s="132">
        <f t="shared" si="130"/>
        <v>8</v>
      </c>
      <c r="AG138" s="132">
        <f t="shared" si="130"/>
        <v>16</v>
      </c>
      <c r="AH138" s="226">
        <f>IF($Q138="B", (F138*$N138),0)</f>
        <v>0</v>
      </c>
      <c r="AI138" s="227"/>
      <c r="AJ138" s="132"/>
      <c r="AK138" s="132"/>
      <c r="AL138" s="168"/>
      <c r="AM138" s="131">
        <f t="shared" si="131"/>
        <v>0</v>
      </c>
      <c r="AN138" s="132">
        <f t="shared" si="131"/>
        <v>0</v>
      </c>
      <c r="AO138" s="132">
        <f t="shared" si="131"/>
        <v>0</v>
      </c>
      <c r="AP138" s="132">
        <f t="shared" si="131"/>
        <v>0</v>
      </c>
      <c r="AQ138" s="132">
        <f t="shared" si="131"/>
        <v>0</v>
      </c>
      <c r="AR138" s="132">
        <f>IF($Q138="C", (F138*$N138),0)</f>
        <v>0</v>
      </c>
      <c r="AS138" s="227"/>
    </row>
    <row r="139" spans="1:45" s="19" customFormat="1">
      <c r="A139" s="45" t="s">
        <v>227</v>
      </c>
      <c r="B139" s="94" t="s">
        <v>9</v>
      </c>
      <c r="C139" s="167">
        <v>1</v>
      </c>
      <c r="D139" s="94" t="s">
        <v>9</v>
      </c>
      <c r="E139" s="170">
        <v>0</v>
      </c>
      <c r="F139" s="169">
        <f>E139*C139</f>
        <v>0</v>
      </c>
      <c r="G139" s="170">
        <v>0</v>
      </c>
      <c r="H139" s="170">
        <v>4</v>
      </c>
      <c r="I139" s="170">
        <v>16</v>
      </c>
      <c r="J139" s="170">
        <v>4</v>
      </c>
      <c r="K139" s="170">
        <v>16</v>
      </c>
      <c r="L139" s="94" t="s">
        <v>8</v>
      </c>
      <c r="M139" s="168">
        <f>IF(R139="PD",((Shop*G139)+(M_Tech*H139)+(CMM*I139)+(ENG*J139)+(DES*K139))*N139,((Shop_RD*G139)+(MTECH_RD*H139)+(CMM_RD*I139)+(ENG_RD*J139)+(DES_RD*K139))*N139)</f>
        <v>865.08000000000015</v>
      </c>
      <c r="N139" s="90">
        <v>1</v>
      </c>
      <c r="O139" s="172">
        <f>M139+(F139*N139)</f>
        <v>865.08000000000015</v>
      </c>
      <c r="P139" s="172"/>
      <c r="Q139" s="51" t="s">
        <v>30</v>
      </c>
      <c r="R139" s="71" t="s">
        <v>48</v>
      </c>
      <c r="S139" s="138" t="str">
        <f>CONCATENATE(Q139,R139,AB139)</f>
        <v>CPD2011</v>
      </c>
      <c r="T139" s="138" t="str">
        <f>CONCATENATE(Q139,U139,AB139)</f>
        <v>C1.2.4.3.62011</v>
      </c>
      <c r="U139" s="138" t="s">
        <v>212</v>
      </c>
      <c r="V139" s="138" t="str">
        <f>LOOKUP(U139,$B$156:$B$182,$A$156:$A$182)</f>
        <v>Test Power Supplies</v>
      </c>
      <c r="AB139" s="32">
        <v>2011</v>
      </c>
      <c r="AC139" s="132">
        <f t="shared" si="130"/>
        <v>0</v>
      </c>
      <c r="AD139" s="132">
        <f t="shared" si="130"/>
        <v>0</v>
      </c>
      <c r="AE139" s="132">
        <f t="shared" si="130"/>
        <v>0</v>
      </c>
      <c r="AF139" s="132">
        <f t="shared" si="130"/>
        <v>0</v>
      </c>
      <c r="AG139" s="132">
        <f t="shared" si="130"/>
        <v>0</v>
      </c>
      <c r="AH139" s="226">
        <f>IF($Q139="B", (F139*$N139),0)</f>
        <v>0</v>
      </c>
      <c r="AI139" s="227"/>
      <c r="AJ139" s="132"/>
      <c r="AK139" s="132"/>
      <c r="AL139" s="168"/>
      <c r="AM139" s="131">
        <f t="shared" si="131"/>
        <v>0</v>
      </c>
      <c r="AN139" s="132">
        <f t="shared" si="131"/>
        <v>4</v>
      </c>
      <c r="AO139" s="132">
        <f t="shared" si="131"/>
        <v>16</v>
      </c>
      <c r="AP139" s="132">
        <f t="shared" si="131"/>
        <v>4</v>
      </c>
      <c r="AQ139" s="132">
        <f t="shared" si="131"/>
        <v>16</v>
      </c>
      <c r="AR139" s="132">
        <f>IF($Q139="C", (F139*$N139),0)</f>
        <v>0</v>
      </c>
      <c r="AS139" s="227"/>
    </row>
    <row r="140" spans="1:45" s="49" customFormat="1">
      <c r="A140" s="46" t="s">
        <v>215</v>
      </c>
      <c r="C140" s="181"/>
      <c r="D140" s="109"/>
      <c r="E140" s="60"/>
      <c r="F140" s="61"/>
      <c r="G140" s="62"/>
      <c r="H140" s="62"/>
      <c r="I140" s="62"/>
      <c r="J140" s="62"/>
      <c r="K140" s="63"/>
      <c r="L140" s="209" t="s">
        <v>41</v>
      </c>
      <c r="M140" s="180">
        <f>SUMIF(Q137:Q139,"B",M137:M139)</f>
        <v>2702.1600000000003</v>
      </c>
      <c r="N140" s="65" t="s">
        <v>41</v>
      </c>
      <c r="O140" s="182"/>
      <c r="P140" s="182"/>
      <c r="Q140" s="51"/>
      <c r="R140" s="71"/>
      <c r="S140" s="138"/>
      <c r="T140" s="138"/>
      <c r="U140" s="138"/>
      <c r="V140" s="138"/>
      <c r="W140" s="19"/>
      <c r="X140" s="19"/>
      <c r="Y140" s="19"/>
      <c r="Z140" s="19"/>
      <c r="AA140" s="19"/>
      <c r="AB140" s="54"/>
      <c r="AC140" s="55"/>
      <c r="AD140" s="55"/>
      <c r="AE140" s="56"/>
      <c r="AF140" s="55"/>
      <c r="AG140" s="55"/>
      <c r="AH140" s="38"/>
      <c r="AI140" s="235"/>
      <c r="AJ140" s="55"/>
      <c r="AK140" s="55"/>
      <c r="AL140" s="168"/>
      <c r="AM140" s="57"/>
      <c r="AN140" s="55"/>
      <c r="AO140" s="55"/>
      <c r="AP140" s="55"/>
      <c r="AQ140" s="55"/>
      <c r="AR140" s="55"/>
      <c r="AS140" s="235"/>
    </row>
    <row r="141" spans="1:45" s="19" customFormat="1">
      <c r="A141" s="45" t="s">
        <v>284</v>
      </c>
      <c r="B141" s="94" t="s">
        <v>9</v>
      </c>
      <c r="C141" s="167">
        <v>1</v>
      </c>
      <c r="D141" s="94" t="s">
        <v>9</v>
      </c>
      <c r="E141" s="168">
        <v>0</v>
      </c>
      <c r="F141" s="169">
        <f t="shared" ref="F141:F146" si="132">E141*C141</f>
        <v>0</v>
      </c>
      <c r="G141" s="170">
        <v>0</v>
      </c>
      <c r="H141" s="170">
        <v>0</v>
      </c>
      <c r="I141" s="170">
        <v>0</v>
      </c>
      <c r="J141" s="170">
        <v>0</v>
      </c>
      <c r="K141" s="171">
        <v>16</v>
      </c>
      <c r="L141" s="94" t="s">
        <v>8</v>
      </c>
      <c r="M141" s="168">
        <f t="shared" ref="M141:M146" si="133">IF(R141="PD",((Shop*G141)+(M_Tech*H141)+(CMM*I141)+(ENG*J141)+(DES*K141))*N141,((Shop_RD*G141)+(MTECH_RD*H141)+(CMM_RD*I141)+(ENG_RD*J141)+(DES_RD*K141))*N141)</f>
        <v>0</v>
      </c>
      <c r="N141" s="90">
        <v>1</v>
      </c>
      <c r="O141" s="172">
        <f t="shared" ref="O141:O146" si="134">M141+(F141*N141)</f>
        <v>0</v>
      </c>
      <c r="P141" s="172"/>
      <c r="Q141" s="51" t="s">
        <v>29</v>
      </c>
      <c r="R141" s="71" t="s">
        <v>152</v>
      </c>
      <c r="S141" s="138" t="str">
        <f t="shared" ref="S141:S146" si="135">CONCATENATE(Q141,R141,AB141)</f>
        <v>BPT2011</v>
      </c>
      <c r="T141" s="138" t="str">
        <f t="shared" ref="T141:T146" si="136">CONCATENATE(Q141,U141,AB141)</f>
        <v>B1.2.4.3.72011</v>
      </c>
      <c r="U141" s="138" t="s">
        <v>214</v>
      </c>
      <c r="V141" s="138" t="str">
        <f t="shared" ref="V141:V146" si="137">LOOKUP(U141,$B$156:$B$182,$A$156:$A$182)</f>
        <v>Test Cooling Plant</v>
      </c>
      <c r="AB141" s="32">
        <v>2011</v>
      </c>
      <c r="AC141" s="132">
        <f t="shared" ref="AC141:AG146" si="138">IF($Q141="B", (G141*$N141),0)</f>
        <v>0</v>
      </c>
      <c r="AD141" s="132">
        <f t="shared" si="138"/>
        <v>0</v>
      </c>
      <c r="AE141" s="132">
        <f t="shared" si="138"/>
        <v>0</v>
      </c>
      <c r="AF141" s="132">
        <f t="shared" si="138"/>
        <v>0</v>
      </c>
      <c r="AG141" s="132">
        <f t="shared" si="138"/>
        <v>16</v>
      </c>
      <c r="AH141" s="226">
        <f t="shared" ref="AH141:AH146" si="139">IF($Q141="B", (F141*$N141),0)</f>
        <v>0</v>
      </c>
      <c r="AI141" s="227"/>
      <c r="AJ141" s="132"/>
      <c r="AK141" s="132"/>
      <c r="AL141" s="168"/>
      <c r="AM141" s="131">
        <f t="shared" ref="AM141:AQ146" si="140">IF($Q141="C", (G141*$N141),0)</f>
        <v>0</v>
      </c>
      <c r="AN141" s="132">
        <f t="shared" si="140"/>
        <v>0</v>
      </c>
      <c r="AO141" s="132">
        <f t="shared" si="140"/>
        <v>0</v>
      </c>
      <c r="AP141" s="132">
        <f t="shared" si="140"/>
        <v>0</v>
      </c>
      <c r="AQ141" s="132">
        <f t="shared" si="140"/>
        <v>0</v>
      </c>
      <c r="AR141" s="132">
        <f t="shared" ref="AR141:AR146" si="141">IF($Q141="C", (F141*$N141),0)</f>
        <v>0</v>
      </c>
      <c r="AS141" s="227"/>
    </row>
    <row r="142" spans="1:45" s="19" customFormat="1">
      <c r="A142" s="45" t="s">
        <v>286</v>
      </c>
      <c r="B142" s="94" t="s">
        <v>9</v>
      </c>
      <c r="C142" s="167">
        <v>1</v>
      </c>
      <c r="D142" s="94" t="s">
        <v>9</v>
      </c>
      <c r="E142" s="168">
        <v>1500</v>
      </c>
      <c r="F142" s="169">
        <f t="shared" si="132"/>
        <v>1500</v>
      </c>
      <c r="G142" s="170">
        <v>0</v>
      </c>
      <c r="H142" s="170">
        <v>16</v>
      </c>
      <c r="I142" s="170">
        <v>0</v>
      </c>
      <c r="J142" s="170">
        <v>8</v>
      </c>
      <c r="K142" s="171">
        <v>0</v>
      </c>
      <c r="L142" s="94" t="s">
        <v>8</v>
      </c>
      <c r="M142" s="168">
        <f>IF(R142="PD",((Shop*G142)+(M_Tech*H142)+(CMM*I142)+(ENG*J142)+(DES*K142))*N142,((Shop_RD*G142)+(MTECH_RD*H142)+(CMM_RD*I142)+(ENG_RD*J142)+(DES_RD*K142))*N142)</f>
        <v>3072</v>
      </c>
      <c r="N142" s="90">
        <v>1</v>
      </c>
      <c r="O142" s="172">
        <f>M142+(F142*N142)</f>
        <v>4572</v>
      </c>
      <c r="P142" s="172"/>
      <c r="Q142" s="51" t="s">
        <v>29</v>
      </c>
      <c r="R142" s="71" t="s">
        <v>152</v>
      </c>
      <c r="S142" s="138" t="str">
        <f>CONCATENATE(Q142,R142,AB142)</f>
        <v>BPT2012</v>
      </c>
      <c r="T142" s="138" t="str">
        <f>CONCATENATE(Q142,U142,AB142)</f>
        <v>B1.2.4.3.72012</v>
      </c>
      <c r="U142" s="138" t="s">
        <v>214</v>
      </c>
      <c r="V142" s="138" t="str">
        <f t="shared" si="137"/>
        <v>Test Cooling Plant</v>
      </c>
      <c r="AB142" s="32">
        <v>2012</v>
      </c>
      <c r="AC142" s="132">
        <f>IF($Q142="B", (G142*$N142),0)</f>
        <v>0</v>
      </c>
      <c r="AD142" s="132">
        <f>IF($Q142="B", (H142*$N142),0)</f>
        <v>16</v>
      </c>
      <c r="AE142" s="132">
        <f>IF($Q142="B", (I142*$N142),0)</f>
        <v>0</v>
      </c>
      <c r="AF142" s="132">
        <f>IF($Q142="B", (J142*$N142),0)</f>
        <v>8</v>
      </c>
      <c r="AG142" s="132">
        <f>IF($Q142="B", (K142*$N142),0)</f>
        <v>0</v>
      </c>
      <c r="AH142" s="226">
        <f>IF($Q142="B", (F142*$N142),0)</f>
        <v>1500</v>
      </c>
      <c r="AI142" s="227"/>
      <c r="AJ142" s="132"/>
      <c r="AK142" s="132"/>
      <c r="AL142" s="168"/>
      <c r="AM142" s="131">
        <f>IF($Q142="C", (G142*$N142),0)</f>
        <v>0</v>
      </c>
      <c r="AN142" s="132">
        <f>IF($Q142="C", (H142*$N142),0)</f>
        <v>0</v>
      </c>
      <c r="AO142" s="132">
        <f>IF($Q142="C", (I142*$N142),0)</f>
        <v>0</v>
      </c>
      <c r="AP142" s="132">
        <f>IF($Q142="C", (J142*$N142),0)</f>
        <v>0</v>
      </c>
      <c r="AQ142" s="132">
        <f>IF($Q142="C", (K142*$N142),0)</f>
        <v>0</v>
      </c>
      <c r="AR142" s="132">
        <f>IF($Q142="C", (F142*$N142),0)</f>
        <v>0</v>
      </c>
      <c r="AS142" s="227"/>
    </row>
    <row r="143" spans="1:45" s="19" customFormat="1">
      <c r="A143" s="45" t="s">
        <v>285</v>
      </c>
      <c r="B143" s="94" t="s">
        <v>9</v>
      </c>
      <c r="C143" s="167">
        <v>1</v>
      </c>
      <c r="D143" s="94" t="s">
        <v>9</v>
      </c>
      <c r="E143" s="168">
        <v>5000</v>
      </c>
      <c r="F143" s="169">
        <f t="shared" si="132"/>
        <v>5000</v>
      </c>
      <c r="G143" s="170">
        <v>0</v>
      </c>
      <c r="H143" s="170">
        <v>0</v>
      </c>
      <c r="I143" s="170">
        <v>0</v>
      </c>
      <c r="J143" s="170">
        <v>8</v>
      </c>
      <c r="K143" s="171">
        <v>0</v>
      </c>
      <c r="L143" s="94" t="s">
        <v>8</v>
      </c>
      <c r="M143" s="168">
        <f t="shared" si="133"/>
        <v>1200</v>
      </c>
      <c r="N143" s="90">
        <v>1</v>
      </c>
      <c r="O143" s="172">
        <f t="shared" si="134"/>
        <v>6200</v>
      </c>
      <c r="P143" s="172"/>
      <c r="Q143" s="51" t="s">
        <v>29</v>
      </c>
      <c r="R143" s="71" t="s">
        <v>152</v>
      </c>
      <c r="S143" s="138" t="str">
        <f t="shared" si="135"/>
        <v>BPT2012</v>
      </c>
      <c r="T143" s="138" t="str">
        <f t="shared" si="136"/>
        <v>B1.2.4.3.72012</v>
      </c>
      <c r="U143" s="138" t="s">
        <v>214</v>
      </c>
      <c r="V143" s="138" t="str">
        <f t="shared" si="137"/>
        <v>Test Cooling Plant</v>
      </c>
      <c r="AB143" s="32">
        <v>2012</v>
      </c>
      <c r="AC143" s="132">
        <f t="shared" si="138"/>
        <v>0</v>
      </c>
      <c r="AD143" s="132">
        <f t="shared" si="138"/>
        <v>0</v>
      </c>
      <c r="AE143" s="132">
        <f t="shared" si="138"/>
        <v>0</v>
      </c>
      <c r="AF143" s="132">
        <f t="shared" si="138"/>
        <v>8</v>
      </c>
      <c r="AG143" s="132">
        <f t="shared" si="138"/>
        <v>0</v>
      </c>
      <c r="AH143" s="226">
        <f t="shared" si="139"/>
        <v>5000</v>
      </c>
      <c r="AI143" s="227"/>
      <c r="AJ143" s="132"/>
      <c r="AK143" s="132"/>
      <c r="AL143" s="168"/>
      <c r="AM143" s="131">
        <f t="shared" si="140"/>
        <v>0</v>
      </c>
      <c r="AN143" s="132">
        <f t="shared" si="140"/>
        <v>0</v>
      </c>
      <c r="AO143" s="132">
        <f t="shared" si="140"/>
        <v>0</v>
      </c>
      <c r="AP143" s="132">
        <f t="shared" si="140"/>
        <v>0</v>
      </c>
      <c r="AQ143" s="132">
        <f t="shared" si="140"/>
        <v>0</v>
      </c>
      <c r="AR143" s="132">
        <f t="shared" si="141"/>
        <v>0</v>
      </c>
      <c r="AS143" s="227"/>
    </row>
    <row r="144" spans="1:45" s="19" customFormat="1">
      <c r="A144" s="45" t="s">
        <v>275</v>
      </c>
      <c r="B144" s="94" t="s">
        <v>9</v>
      </c>
      <c r="C144" s="167">
        <v>1</v>
      </c>
      <c r="D144" s="94" t="s">
        <v>9</v>
      </c>
      <c r="E144" s="168">
        <v>4000</v>
      </c>
      <c r="F144" s="169">
        <f t="shared" si="132"/>
        <v>4000</v>
      </c>
      <c r="G144" s="170">
        <v>0</v>
      </c>
      <c r="H144" s="170">
        <v>120</v>
      </c>
      <c r="I144" s="170">
        <v>0</v>
      </c>
      <c r="J144" s="170">
        <v>80</v>
      </c>
      <c r="K144" s="171">
        <v>0</v>
      </c>
      <c r="L144" s="94" t="s">
        <v>8</v>
      </c>
      <c r="M144" s="168">
        <f t="shared" si="133"/>
        <v>26040</v>
      </c>
      <c r="N144" s="90">
        <v>1</v>
      </c>
      <c r="O144" s="172">
        <f t="shared" si="134"/>
        <v>30040</v>
      </c>
      <c r="P144" s="172"/>
      <c r="Q144" s="51" t="s">
        <v>29</v>
      </c>
      <c r="R144" s="71" t="s">
        <v>152</v>
      </c>
      <c r="S144" s="138" t="str">
        <f t="shared" si="135"/>
        <v>BPTSTAR</v>
      </c>
      <c r="T144" s="138" t="str">
        <f t="shared" si="136"/>
        <v>B1.2.4.3.7STAR</v>
      </c>
      <c r="U144" s="138" t="s">
        <v>214</v>
      </c>
      <c r="V144" s="138" t="str">
        <f t="shared" si="137"/>
        <v>Test Cooling Plant</v>
      </c>
      <c r="AB144" s="32" t="s">
        <v>132</v>
      </c>
      <c r="AC144" s="132">
        <f t="shared" si="138"/>
        <v>0</v>
      </c>
      <c r="AD144" s="132">
        <f t="shared" si="138"/>
        <v>120</v>
      </c>
      <c r="AE144" s="132">
        <f t="shared" si="138"/>
        <v>0</v>
      </c>
      <c r="AF144" s="132">
        <f t="shared" si="138"/>
        <v>80</v>
      </c>
      <c r="AG144" s="132">
        <f t="shared" si="138"/>
        <v>0</v>
      </c>
      <c r="AH144" s="226">
        <f t="shared" si="139"/>
        <v>4000</v>
      </c>
      <c r="AI144" s="227"/>
      <c r="AJ144" s="132"/>
      <c r="AK144" s="132"/>
      <c r="AL144" s="168"/>
      <c r="AM144" s="131">
        <f t="shared" si="140"/>
        <v>0</v>
      </c>
      <c r="AN144" s="132">
        <f t="shared" si="140"/>
        <v>0</v>
      </c>
      <c r="AO144" s="132">
        <f t="shared" si="140"/>
        <v>0</v>
      </c>
      <c r="AP144" s="132">
        <f t="shared" si="140"/>
        <v>0</v>
      </c>
      <c r="AQ144" s="132">
        <f t="shared" si="140"/>
        <v>0</v>
      </c>
      <c r="AR144" s="132">
        <f t="shared" si="141"/>
        <v>0</v>
      </c>
      <c r="AS144" s="227"/>
    </row>
    <row r="145" spans="1:46" s="19" customFormat="1">
      <c r="A145" s="45" t="s">
        <v>288</v>
      </c>
      <c r="B145" s="94" t="s">
        <v>9</v>
      </c>
      <c r="C145" s="167">
        <v>1</v>
      </c>
      <c r="D145" s="94" t="s">
        <v>9</v>
      </c>
      <c r="E145" s="168">
        <v>2000</v>
      </c>
      <c r="F145" s="169">
        <f t="shared" si="132"/>
        <v>2000</v>
      </c>
      <c r="G145" s="170">
        <v>0</v>
      </c>
      <c r="H145" s="170">
        <v>40</v>
      </c>
      <c r="I145" s="170">
        <v>16</v>
      </c>
      <c r="J145" s="170">
        <v>8</v>
      </c>
      <c r="K145" s="171">
        <v>8</v>
      </c>
      <c r="L145" s="94" t="s">
        <v>8</v>
      </c>
      <c r="M145" s="168">
        <f t="shared" si="133"/>
        <v>5880</v>
      </c>
      <c r="N145" s="90">
        <v>1</v>
      </c>
      <c r="O145" s="172">
        <f t="shared" si="134"/>
        <v>7880</v>
      </c>
      <c r="P145" s="172"/>
      <c r="Q145" s="51" t="s">
        <v>29</v>
      </c>
      <c r="R145" s="71" t="s">
        <v>152</v>
      </c>
      <c r="S145" s="138" t="str">
        <f t="shared" si="135"/>
        <v>BPT2012</v>
      </c>
      <c r="T145" s="138" t="str">
        <f t="shared" si="136"/>
        <v>B1.2.4.3.72012</v>
      </c>
      <c r="U145" s="138" t="s">
        <v>214</v>
      </c>
      <c r="V145" s="138" t="str">
        <f t="shared" si="137"/>
        <v>Test Cooling Plant</v>
      </c>
      <c r="AB145" s="32">
        <v>2012</v>
      </c>
      <c r="AC145" s="132">
        <f t="shared" si="138"/>
        <v>0</v>
      </c>
      <c r="AD145" s="132">
        <f t="shared" si="138"/>
        <v>40</v>
      </c>
      <c r="AE145" s="132">
        <f t="shared" si="138"/>
        <v>16</v>
      </c>
      <c r="AF145" s="132">
        <f t="shared" si="138"/>
        <v>8</v>
      </c>
      <c r="AG145" s="132">
        <f t="shared" si="138"/>
        <v>8</v>
      </c>
      <c r="AH145" s="226">
        <f t="shared" si="139"/>
        <v>2000</v>
      </c>
      <c r="AI145" s="227"/>
      <c r="AJ145" s="132"/>
      <c r="AK145" s="132"/>
      <c r="AL145" s="168"/>
      <c r="AM145" s="131">
        <f t="shared" si="140"/>
        <v>0</v>
      </c>
      <c r="AN145" s="132">
        <f t="shared" si="140"/>
        <v>0</v>
      </c>
      <c r="AO145" s="132">
        <f t="shared" si="140"/>
        <v>0</v>
      </c>
      <c r="AP145" s="132">
        <f t="shared" si="140"/>
        <v>0</v>
      </c>
      <c r="AQ145" s="132">
        <f t="shared" si="140"/>
        <v>0</v>
      </c>
      <c r="AR145" s="132">
        <f t="shared" si="141"/>
        <v>0</v>
      </c>
      <c r="AS145" s="227"/>
    </row>
    <row r="146" spans="1:46" s="19" customFormat="1">
      <c r="A146" s="45" t="s">
        <v>227</v>
      </c>
      <c r="B146" s="94" t="s">
        <v>9</v>
      </c>
      <c r="C146" s="167">
        <v>1</v>
      </c>
      <c r="D146" s="94" t="s">
        <v>9</v>
      </c>
      <c r="E146" s="168">
        <v>5000</v>
      </c>
      <c r="F146" s="169">
        <f t="shared" si="132"/>
        <v>5000</v>
      </c>
      <c r="G146" s="170">
        <v>9</v>
      </c>
      <c r="H146" s="170">
        <v>40</v>
      </c>
      <c r="I146" s="170">
        <v>40</v>
      </c>
      <c r="J146" s="170">
        <v>40</v>
      </c>
      <c r="K146" s="171">
        <v>40</v>
      </c>
      <c r="L146" s="94" t="s">
        <v>8</v>
      </c>
      <c r="M146" s="168">
        <f t="shared" si="133"/>
        <v>11814</v>
      </c>
      <c r="N146" s="90">
        <v>1</v>
      </c>
      <c r="O146" s="172">
        <f t="shared" si="134"/>
        <v>16814</v>
      </c>
      <c r="P146" s="172"/>
      <c r="Q146" s="51" t="s">
        <v>30</v>
      </c>
      <c r="R146" s="71" t="s">
        <v>152</v>
      </c>
      <c r="S146" s="138" t="str">
        <f t="shared" si="135"/>
        <v>CPT2012</v>
      </c>
      <c r="T146" s="138" t="str">
        <f t="shared" si="136"/>
        <v>C1.2.4.3.72012</v>
      </c>
      <c r="U146" s="138" t="s">
        <v>214</v>
      </c>
      <c r="V146" s="138" t="str">
        <f t="shared" si="137"/>
        <v>Test Cooling Plant</v>
      </c>
      <c r="AB146" s="32">
        <v>2012</v>
      </c>
      <c r="AC146" s="132">
        <f t="shared" si="138"/>
        <v>0</v>
      </c>
      <c r="AD146" s="132">
        <f t="shared" si="138"/>
        <v>0</v>
      </c>
      <c r="AE146" s="132">
        <f t="shared" si="138"/>
        <v>0</v>
      </c>
      <c r="AF146" s="132">
        <f t="shared" si="138"/>
        <v>0</v>
      </c>
      <c r="AG146" s="132">
        <f t="shared" si="138"/>
        <v>0</v>
      </c>
      <c r="AH146" s="226">
        <f t="shared" si="139"/>
        <v>0</v>
      </c>
      <c r="AI146" s="227"/>
      <c r="AJ146" s="132"/>
      <c r="AK146" s="132"/>
      <c r="AL146" s="168"/>
      <c r="AM146" s="131">
        <f t="shared" si="140"/>
        <v>9</v>
      </c>
      <c r="AN146" s="132">
        <f t="shared" si="140"/>
        <v>40</v>
      </c>
      <c r="AO146" s="132">
        <f t="shared" si="140"/>
        <v>40</v>
      </c>
      <c r="AP146" s="132">
        <f t="shared" si="140"/>
        <v>40</v>
      </c>
      <c r="AQ146" s="132">
        <f t="shared" si="140"/>
        <v>40</v>
      </c>
      <c r="AR146" s="132">
        <f t="shared" si="141"/>
        <v>5000</v>
      </c>
      <c r="AS146" s="227"/>
    </row>
    <row r="147" spans="1:46">
      <c r="A147" s="20" t="s">
        <v>156</v>
      </c>
      <c r="B147" s="3"/>
      <c r="C147" s="173"/>
      <c r="D147" s="14"/>
      <c r="E147" s="174"/>
      <c r="F147" s="175"/>
      <c r="G147" s="173"/>
      <c r="H147" s="173"/>
      <c r="I147" s="173"/>
      <c r="J147" s="173"/>
      <c r="K147" s="176"/>
      <c r="L147" s="14"/>
      <c r="M147" s="174">
        <f>SUMIF(Q106:Q146,"B",M106:M146)</f>
        <v>139579.68</v>
      </c>
      <c r="N147" s="280" t="s">
        <v>40</v>
      </c>
      <c r="O147" s="281"/>
      <c r="P147" s="282"/>
      <c r="Q147" s="52"/>
      <c r="R147" s="73"/>
      <c r="S147" s="139"/>
      <c r="T147" s="139"/>
      <c r="U147" s="139"/>
      <c r="V147" s="139"/>
      <c r="W147" s="3"/>
      <c r="X147" s="3"/>
      <c r="Y147" s="3"/>
      <c r="Z147" s="3"/>
      <c r="AA147" s="3"/>
      <c r="AB147" s="33"/>
      <c r="AC147" s="5">
        <f>SUM(AC106:AC146)</f>
        <v>200</v>
      </c>
      <c r="AD147" s="5">
        <f>SUM(AD106:AD146)</f>
        <v>492</v>
      </c>
      <c r="AE147" s="5">
        <f>SUM(AE106:AE146)</f>
        <v>376</v>
      </c>
      <c r="AF147" s="5">
        <f>SUM(AF106:AF146)</f>
        <v>452.4</v>
      </c>
      <c r="AG147" s="5">
        <f>SUM(AG106:AG146)</f>
        <v>320.8</v>
      </c>
      <c r="AH147" s="174"/>
      <c r="AI147" s="175">
        <f>SUM(AH106:AH146)</f>
        <v>125100</v>
      </c>
      <c r="AJ147" s="174">
        <f>(Shop*AC147)+M_Tech*AD147+CMM*AE147+ENG*AF147+DES*AG147+AI147</f>
        <v>247105.44</v>
      </c>
      <c r="AK147" s="174"/>
      <c r="AL147" s="175">
        <f>Shop*AM147+M_Tech*AN147+CMM*AO147+ENG*AP147+DES*AQ147+AS147</f>
        <v>60123.58</v>
      </c>
      <c r="AM147" s="5">
        <f>SUM(AM106:AM146)</f>
        <v>17</v>
      </c>
      <c r="AN147" s="5">
        <f>SUM(AN106:AN146)</f>
        <v>128</v>
      </c>
      <c r="AO147" s="5">
        <f>SUM(AO106:AO146)</f>
        <v>272</v>
      </c>
      <c r="AP147" s="5">
        <f>SUM(AP106:AP146)</f>
        <v>212</v>
      </c>
      <c r="AQ147" s="5">
        <f>SUM(AQ106:AQ146)</f>
        <v>184</v>
      </c>
      <c r="AR147" s="174"/>
      <c r="AS147" s="175">
        <f>SUM(AR106:AR146)</f>
        <v>20500</v>
      </c>
    </row>
    <row r="148" spans="1:46">
      <c r="F148" s="162"/>
      <c r="G148" s="160"/>
      <c r="H148" s="160"/>
      <c r="I148" s="160"/>
      <c r="J148" s="160"/>
      <c r="K148" s="177"/>
      <c r="L148" s="209" t="s">
        <v>41</v>
      </c>
      <c r="M148" s="180">
        <f>SUMIF(Q141:Q146,"B",M141:M146)</f>
        <v>36192</v>
      </c>
      <c r="N148" s="65" t="s">
        <v>41</v>
      </c>
      <c r="O148" s="65"/>
      <c r="P148" s="178"/>
      <c r="Q148" s="51"/>
      <c r="R148" s="71"/>
      <c r="S148" s="138"/>
      <c r="T148" s="138"/>
      <c r="U148" s="138"/>
      <c r="V148" s="138"/>
      <c r="W148"/>
      <c r="X148"/>
      <c r="Y148"/>
      <c r="Z148"/>
      <c r="AA148"/>
      <c r="AB148" s="32"/>
      <c r="AC148" s="4"/>
      <c r="AD148" s="4"/>
      <c r="AE148" s="4"/>
      <c r="AF148" s="4"/>
      <c r="AG148" s="4"/>
      <c r="AH148" s="161"/>
      <c r="AI148" s="231"/>
      <c r="AJ148" s="4"/>
      <c r="AK148" s="4"/>
      <c r="AM148" s="31"/>
      <c r="AN148" s="4"/>
      <c r="AO148" s="4"/>
      <c r="AP148" s="4"/>
      <c r="AQ148" s="4"/>
      <c r="AR148" s="4"/>
      <c r="AS148" s="231"/>
    </row>
    <row r="149" spans="1:46" ht="13.5" thickBot="1">
      <c r="F149" s="162"/>
      <c r="G149" s="160"/>
      <c r="H149" s="160"/>
      <c r="I149" s="160"/>
      <c r="J149" s="160"/>
      <c r="K149" s="177"/>
      <c r="M149" s="110"/>
      <c r="N149" s="7"/>
      <c r="O149" s="178"/>
      <c r="P149" s="178"/>
      <c r="Q149" s="34"/>
      <c r="R149" s="72"/>
      <c r="S149" s="140"/>
      <c r="T149" s="140"/>
      <c r="U149" s="140"/>
      <c r="V149" s="140"/>
      <c r="W149"/>
      <c r="X149"/>
      <c r="Y149"/>
      <c r="Z149"/>
      <c r="AA149"/>
      <c r="AB149" s="35"/>
      <c r="AC149" s="30"/>
      <c r="AD149" s="30"/>
      <c r="AE149" s="30"/>
      <c r="AF149" s="30"/>
      <c r="AG149" s="30"/>
      <c r="AH149" s="229"/>
      <c r="AI149" s="230"/>
      <c r="AJ149" s="6"/>
      <c r="AK149" s="6"/>
      <c r="AM149" s="31"/>
      <c r="AN149" s="4"/>
      <c r="AO149" s="4"/>
      <c r="AP149" s="4"/>
      <c r="AQ149" s="4"/>
      <c r="AR149" s="4"/>
      <c r="AS149" s="231"/>
    </row>
    <row r="150" spans="1:46" ht="13.5" thickBot="1">
      <c r="J150" s="153"/>
      <c r="K150" s="153"/>
      <c r="N150" s="7"/>
      <c r="O150" s="183"/>
      <c r="P150" s="55"/>
      <c r="Q150" s="37"/>
      <c r="R150" s="37"/>
      <c r="S150" s="141"/>
      <c r="T150" s="141"/>
      <c r="U150" s="141"/>
      <c r="V150" s="141"/>
      <c r="W150" s="38"/>
      <c r="X150" s="39"/>
      <c r="Y150" s="39"/>
      <c r="Z150" s="39"/>
      <c r="AA150" s="39">
        <f>SUM(AA6:AA149)</f>
        <v>0</v>
      </c>
      <c r="AB150" s="40"/>
      <c r="AC150" s="239">
        <f>SUMIF($Q6:$Q149,"B",AC6:AC149)</f>
        <v>281</v>
      </c>
      <c r="AD150" s="236">
        <f>SUMIF($Q6:$Q149,"B",AD6:AD149)</f>
        <v>2202.6000000000004</v>
      </c>
      <c r="AE150" s="236">
        <f>SUMIF($Q6:$Q149,"B",AE6:AE149)</f>
        <v>1179</v>
      </c>
      <c r="AF150" s="236">
        <f>SUMIF($Q6:$Q149,"B",AF6:AF149)</f>
        <v>887.9</v>
      </c>
      <c r="AG150" s="236">
        <f>SUMIF($Q6:$Q149,"B",AG6:AG149)</f>
        <v>822.89999999999986</v>
      </c>
      <c r="AH150" s="236"/>
      <c r="AI150" s="238">
        <f>SUM(AI5:AI149)</f>
        <v>267550</v>
      </c>
      <c r="AJ150" s="38"/>
      <c r="AK150" s="38"/>
      <c r="AM150" s="239">
        <f>SUMIF($Q6:$Q149,"C",AM6:AM149)</f>
        <v>61</v>
      </c>
      <c r="AN150" s="236">
        <f>SUMIF($Q6:$Q149,"C",AN6:AN149)</f>
        <v>336</v>
      </c>
      <c r="AO150" s="236">
        <f>SUMIF($Q6:$Q149,"C",AO6:AO149)</f>
        <v>436</v>
      </c>
      <c r="AP150" s="236">
        <f>SUMIF($Q6:$Q149,"C",AP6:AP149)</f>
        <v>328.6</v>
      </c>
      <c r="AQ150" s="236">
        <f>SUMIF($Q6:$Q149,"C",AQ6:AQ149)</f>
        <v>337.2</v>
      </c>
      <c r="AR150" s="260"/>
      <c r="AS150" s="238">
        <f>SUM(AS5:AS149)</f>
        <v>62400</v>
      </c>
    </row>
    <row r="151" spans="1:46" ht="13.5" thickBot="1">
      <c r="A151" s="16"/>
      <c r="B151" s="16"/>
      <c r="C151" s="184"/>
      <c r="D151" s="213"/>
      <c r="E151" s="185"/>
      <c r="F151" s="185"/>
      <c r="G151" s="184"/>
      <c r="H151" s="186"/>
      <c r="I151" s="186"/>
      <c r="J151" s="187"/>
      <c r="K151" s="187"/>
      <c r="L151" s="207"/>
      <c r="M151" s="6"/>
      <c r="N151" s="188"/>
      <c r="O151" s="6"/>
      <c r="P151" s="6"/>
      <c r="W151" s="6"/>
      <c r="X151" s="11"/>
      <c r="Y151" s="11"/>
      <c r="Z151" s="11"/>
      <c r="AA151" s="11"/>
      <c r="AB151" s="22"/>
      <c r="AC151" s="6" t="s">
        <v>11</v>
      </c>
      <c r="AD151" s="6" t="s">
        <v>10</v>
      </c>
      <c r="AE151" s="6" t="s">
        <v>258</v>
      </c>
      <c r="AF151" s="6" t="s">
        <v>17</v>
      </c>
      <c r="AG151" s="6" t="s">
        <v>257</v>
      </c>
      <c r="AH151" s="6"/>
      <c r="AI151" s="6" t="s">
        <v>15</v>
      </c>
      <c r="AJ151" s="6"/>
      <c r="AK151" s="6"/>
      <c r="AM151" s="6" t="s">
        <v>11</v>
      </c>
      <c r="AN151" s="6" t="s">
        <v>10</v>
      </c>
      <c r="AO151" s="6" t="s">
        <v>258</v>
      </c>
      <c r="AP151" s="6" t="s">
        <v>17</v>
      </c>
      <c r="AQ151" s="6" t="s">
        <v>257</v>
      </c>
      <c r="AR151" s="6"/>
      <c r="AS151" s="6" t="s">
        <v>15</v>
      </c>
    </row>
    <row r="152" spans="1:46" s="19" customFormat="1" ht="13.5" thickBot="1">
      <c r="A152" s="17"/>
      <c r="B152" s="17"/>
      <c r="C152" s="189"/>
      <c r="D152" s="214"/>
      <c r="E152" s="190"/>
      <c r="F152" s="190"/>
      <c r="G152" s="189"/>
      <c r="H152" s="191"/>
      <c r="I152" s="191"/>
      <c r="J152" s="192"/>
      <c r="K152" s="192"/>
      <c r="L152" s="210"/>
      <c r="M152" s="146"/>
      <c r="N152" s="193"/>
      <c r="O152" s="146"/>
      <c r="P152" s="146"/>
      <c r="Q152" s="74"/>
      <c r="R152" s="74"/>
      <c r="S152" s="94"/>
      <c r="T152" s="94"/>
      <c r="U152" s="94"/>
      <c r="V152" s="94"/>
      <c r="W152" s="146"/>
      <c r="X152" s="147"/>
      <c r="Y152" s="147"/>
      <c r="Z152" s="147"/>
      <c r="AA152" s="147"/>
      <c r="AB152" s="148" t="s">
        <v>157</v>
      </c>
      <c r="AC152" s="239" t="e">
        <f>AC74+AC102+AC147+#REF!+#REF!</f>
        <v>#REF!</v>
      </c>
      <c r="AD152" s="236" t="e">
        <f>AD74+AD102+AD147+#REF!+#REF!</f>
        <v>#REF!</v>
      </c>
      <c r="AE152" s="236" t="e">
        <f>AE74+AE102+AE147+#REF!+#REF!</f>
        <v>#REF!</v>
      </c>
      <c r="AF152" s="236" t="e">
        <f>AF74+AF102+AF147+#REF!+#REF!</f>
        <v>#REF!</v>
      </c>
      <c r="AG152" s="236" t="e">
        <f>AG74+AG102+AG147+#REF!+#REF!</f>
        <v>#REF!</v>
      </c>
      <c r="AH152" s="237"/>
      <c r="AI152" s="238">
        <f>SUM(AI5:AI149)</f>
        <v>267550</v>
      </c>
      <c r="AJ152" s="146"/>
      <c r="AK152" s="146"/>
      <c r="AL152" s="168"/>
      <c r="AM152" s="239" t="e">
        <f>AM74+AM102+AM147+#REF!+#REF!</f>
        <v>#REF!</v>
      </c>
      <c r="AN152" s="236" t="e">
        <f>AN74+AN102+AN147+#REF!+#REF!</f>
        <v>#REF!</v>
      </c>
      <c r="AO152" s="236" t="e">
        <f>AO74+AO102+AO147+#REF!+#REF!</f>
        <v>#REF!</v>
      </c>
      <c r="AP152" s="236" t="e">
        <f>AP74+AP102+AP147+#REF!+#REF!</f>
        <v>#REF!</v>
      </c>
      <c r="AQ152" s="236" t="e">
        <f>AQ74+AQ102+AQ147+#REF!+#REF!</f>
        <v>#REF!</v>
      </c>
      <c r="AR152" s="237"/>
      <c r="AS152" s="238">
        <f>SUM(AS5:AS149)</f>
        <v>62400</v>
      </c>
      <c r="AT152" s="149" t="s">
        <v>157</v>
      </c>
    </row>
    <row r="153" spans="1:46" ht="13.5" thickBot="1">
      <c r="A153" s="15"/>
      <c r="B153" s="16"/>
      <c r="C153" s="184"/>
      <c r="D153" s="213"/>
      <c r="E153" s="185"/>
      <c r="F153" s="185"/>
      <c r="G153" s="184"/>
      <c r="H153" s="186"/>
      <c r="I153" s="186"/>
      <c r="J153" s="187"/>
      <c r="K153" s="187"/>
      <c r="L153" s="207"/>
      <c r="M153" s="194"/>
      <c r="N153" s="188"/>
      <c r="O153" s="195"/>
      <c r="P153" s="195"/>
      <c r="W153" s="6"/>
      <c r="X153" s="11"/>
      <c r="Y153" s="11"/>
      <c r="Z153" s="11"/>
      <c r="AA153" s="11"/>
      <c r="AB153" s="22"/>
      <c r="AC153" s="6"/>
      <c r="AD153" s="6"/>
      <c r="AE153" s="6"/>
      <c r="AF153" s="6"/>
      <c r="AG153" s="6"/>
    </row>
    <row r="154" spans="1:46" ht="13.5" thickBot="1">
      <c r="A154" s="15"/>
      <c r="B154" s="9"/>
      <c r="C154" s="196"/>
      <c r="D154" s="215"/>
      <c r="E154" s="197"/>
      <c r="F154" s="197"/>
      <c r="G154" s="196"/>
      <c r="AH154" s="6" t="s">
        <v>43</v>
      </c>
      <c r="AI154" s="240" t="e">
        <f>(AC152*Shop)+(AD152*M_Tech)+(AE152*CMM)+(AF152*ENG)+(AG152*DES)+AI150+(Shop*AM152)+(M_Tech*AN152)+(CMM*AO152)+(ENG*AP152)+(DES*AQ152)+AS152</f>
        <v>#REF!</v>
      </c>
      <c r="AJ154" s="241">
        <f>AI174+AS174</f>
        <v>667383.79200000002</v>
      </c>
      <c r="AK154" s="241"/>
      <c r="AL154" s="152" t="s">
        <v>133</v>
      </c>
    </row>
    <row r="155" spans="1:46" ht="13.5" thickBot="1">
      <c r="A155" s="15" t="str">
        <f>'WBS in Estimate'!E7</f>
        <v>Description</v>
      </c>
      <c r="B155" s="9" t="str">
        <f>'WBS in Estimate'!D7</f>
        <v>WBS</v>
      </c>
      <c r="C155" s="196"/>
      <c r="D155" s="215"/>
      <c r="E155" s="197"/>
      <c r="F155" s="197"/>
      <c r="G155" s="196"/>
      <c r="O155" s="32">
        <v>2009</v>
      </c>
      <c r="Q155" s="51" t="s">
        <v>29</v>
      </c>
      <c r="U155" s="138" t="s">
        <v>139</v>
      </c>
      <c r="W155" s="110">
        <f>SUMIF($T$6:$T$149,CONCATENATE(Q155,#REF!,O155),$O$6:$O$149)</f>
        <v>0</v>
      </c>
      <c r="X155" s="110">
        <f>SUMIF($T$6:$T$149,CONCATENATE(Q155,#REF!,Y155),$O$6:$O$149)</f>
        <v>0</v>
      </c>
      <c r="Y155" s="32">
        <v>2009</v>
      </c>
    </row>
    <row r="156" spans="1:46" ht="15.75" thickTop="1">
      <c r="A156" s="19" t="s">
        <v>171</v>
      </c>
      <c r="B156" s="19" t="s">
        <v>169</v>
      </c>
      <c r="C156" s="277" t="s">
        <v>143</v>
      </c>
      <c r="D156" s="278"/>
      <c r="E156" s="278"/>
      <c r="F156" s="278"/>
      <c r="G156" s="278"/>
      <c r="H156" s="278"/>
      <c r="I156" s="278"/>
      <c r="J156" s="278"/>
      <c r="K156" s="278"/>
      <c r="L156" s="278"/>
      <c r="O156" s="32">
        <v>2009</v>
      </c>
      <c r="Q156" s="51" t="s">
        <v>29</v>
      </c>
      <c r="U156" s="138" t="s">
        <v>139</v>
      </c>
      <c r="W156" s="110">
        <f>SUMIF($T$6:$T$149,CONCATENATE(Q156,#REF!,O156),$O$6:$O$149)</f>
        <v>0</v>
      </c>
      <c r="X156" s="110">
        <f>SUMIF($T$6:$T$149,CONCATENATE(Q156,#REF!,Y156),$O$6:$O$149)</f>
        <v>0</v>
      </c>
      <c r="Y156" s="32">
        <v>2009</v>
      </c>
      <c r="AC156" s="294" t="s">
        <v>31</v>
      </c>
      <c r="AD156" s="295"/>
      <c r="AE156" s="295"/>
      <c r="AF156" s="295"/>
      <c r="AG156" s="295"/>
      <c r="AH156" s="295"/>
      <c r="AI156" s="296"/>
      <c r="AJ156" s="219"/>
      <c r="AK156" s="219"/>
      <c r="AM156" s="297" t="s">
        <v>32</v>
      </c>
      <c r="AN156" s="298"/>
      <c r="AO156" s="298"/>
      <c r="AP156" s="298"/>
      <c r="AQ156" s="298"/>
      <c r="AR156" s="298"/>
      <c r="AS156" s="299"/>
    </row>
    <row r="157" spans="1:46">
      <c r="A157" s="19" t="s">
        <v>172</v>
      </c>
      <c r="B157" s="126" t="s">
        <v>170</v>
      </c>
      <c r="C157" s="198"/>
      <c r="D157" s="215"/>
      <c r="E157" s="197"/>
      <c r="F157" s="197"/>
      <c r="G157" s="198"/>
      <c r="L157" s="211"/>
      <c r="O157" s="32">
        <v>2009</v>
      </c>
      <c r="Q157" s="51" t="s">
        <v>29</v>
      </c>
      <c r="U157" s="138" t="s">
        <v>139</v>
      </c>
      <c r="W157" s="110">
        <f>SUMIF($T$6:$T$149,CONCATENATE(Q157,#REF!,O157),$O$6:$O$149)</f>
        <v>0</v>
      </c>
      <c r="X157" s="110">
        <f>SUMIF($T$6:$T$149,CONCATENATE(Q157,#REF!,Y157),$O$6:$O$149)</f>
        <v>0</v>
      </c>
      <c r="Y157" s="32">
        <v>2009</v>
      </c>
      <c r="AB157" s="23"/>
      <c r="AC157" s="24" t="s">
        <v>13</v>
      </c>
      <c r="AD157" s="13" t="s">
        <v>14</v>
      </c>
      <c r="AE157" s="6" t="s">
        <v>256</v>
      </c>
      <c r="AF157" s="13" t="s">
        <v>17</v>
      </c>
      <c r="AG157" s="6" t="s">
        <v>257</v>
      </c>
      <c r="AH157" s="13" t="s">
        <v>15</v>
      </c>
      <c r="AI157" s="242"/>
      <c r="AL157" s="76"/>
      <c r="AM157" s="27" t="s">
        <v>11</v>
      </c>
      <c r="AN157" s="13" t="s">
        <v>10</v>
      </c>
      <c r="AO157" s="6" t="s">
        <v>258</v>
      </c>
      <c r="AP157" s="13" t="s">
        <v>17</v>
      </c>
      <c r="AQ157" s="6" t="s">
        <v>257</v>
      </c>
      <c r="AR157" s="13" t="s">
        <v>15</v>
      </c>
      <c r="AS157" s="243"/>
    </row>
    <row r="158" spans="1:46">
      <c r="A158" s="19" t="s">
        <v>174</v>
      </c>
      <c r="B158" s="45" t="s">
        <v>173</v>
      </c>
      <c r="C158" s="198"/>
      <c r="D158" s="215"/>
      <c r="E158" s="197"/>
      <c r="F158" s="197"/>
      <c r="G158" s="198"/>
      <c r="L158" s="211"/>
      <c r="O158" s="32">
        <v>2009</v>
      </c>
      <c r="Q158" s="51" t="s">
        <v>29</v>
      </c>
      <c r="U158" s="138" t="s">
        <v>139</v>
      </c>
      <c r="W158" s="110">
        <f>SUMIF($T$6:$T$149,CONCATENATE(Q158,#REF!,O158),$O$6:$O$149)</f>
        <v>0</v>
      </c>
      <c r="X158" s="110">
        <f>SUMIF($T$6:$T$149,CONCATENATE(Q158,#REF!,Y158),$O$6:$O$149)</f>
        <v>0</v>
      </c>
      <c r="Y158" s="32">
        <v>2009</v>
      </c>
      <c r="AB158" s="21">
        <v>2009</v>
      </c>
      <c r="AC158" s="244">
        <f>SUMIF($AB$6:$AB149,$AB158,AC$6:AC149)</f>
        <v>0</v>
      </c>
      <c r="AD158" s="245">
        <f>SUMIF($AB$6:$AB149,$AB158,AD$6:AD149)</f>
        <v>0</v>
      </c>
      <c r="AE158" s="245">
        <f>SUMIF($AB$6:$AB149,$AB158,AE$6:AE149)</f>
        <v>0</v>
      </c>
      <c r="AF158" s="245">
        <f>SUMIF($AB$6:$AB149,$AB158,AF$6:AF149)</f>
        <v>0</v>
      </c>
      <c r="AG158" s="245">
        <f>SUMIF($AB$6:$AB149,$AB158,AG$6:AG149)</f>
        <v>0</v>
      </c>
      <c r="AH158" s="246">
        <f>SUMIF($AB$6:$AB149,$AB158,AH$6:AH149)</f>
        <v>0</v>
      </c>
      <c r="AI158" s="242"/>
      <c r="AL158" s="76">
        <f>AB158</f>
        <v>2009</v>
      </c>
      <c r="AM158" s="247">
        <f>SUMIF($AB$6:$AB149,$AB158,AM$6:AM149)</f>
        <v>0</v>
      </c>
      <c r="AN158" s="245">
        <f>SUMIF($AB$6:$AB149,$AB158,AN$6:AN149)</f>
        <v>0</v>
      </c>
      <c r="AO158" s="245">
        <f>SUMIF($AB$6:$AB149,$AB158,AO$6:AO149)</f>
        <v>0</v>
      </c>
      <c r="AP158" s="245">
        <f>SUMIF($AB$6:$AB149,$AB158,AP$6:AP149)</f>
        <v>0</v>
      </c>
      <c r="AQ158" s="245">
        <f>SUMIF($AB$6:$AB149,$AB158,AQ$6:AQ149)</f>
        <v>0</v>
      </c>
      <c r="AR158" s="246">
        <f>SUMIF($AB$6:$AB149,$AB158,AR$6:AR149)</f>
        <v>0</v>
      </c>
      <c r="AS158" s="243"/>
    </row>
    <row r="159" spans="1:46">
      <c r="A159" s="19" t="s">
        <v>176</v>
      </c>
      <c r="B159" s="45" t="s">
        <v>175</v>
      </c>
      <c r="C159" s="199"/>
      <c r="D159" s="216"/>
      <c r="E159" s="200"/>
      <c r="F159" s="200"/>
      <c r="G159" s="199"/>
      <c r="L159" s="211"/>
      <c r="O159" s="32">
        <v>2009</v>
      </c>
      <c r="Q159" s="51" t="s">
        <v>29</v>
      </c>
      <c r="U159" s="138" t="s">
        <v>139</v>
      </c>
      <c r="W159" s="110">
        <f>SUMIF($T$6:$T$149,CONCATENATE(Q159,#REF!,O159),$O$6:$O$149)</f>
        <v>0</v>
      </c>
      <c r="X159" s="110">
        <f>SUMIF($T$6:$T$149,CONCATENATE(Q159,#REF!,Y159),$O$6:$O$149)</f>
        <v>0</v>
      </c>
      <c r="Y159" s="32">
        <v>2009</v>
      </c>
      <c r="AB159" s="21">
        <v>2010</v>
      </c>
      <c r="AC159" s="244">
        <f>SUMIF($AB$6:$AB150,$AB159,AC$6:AC152)</f>
        <v>5</v>
      </c>
      <c r="AD159" s="245">
        <f>SUMIF($AB$6:$AB150,$AB159,AD$6:AD152)</f>
        <v>73</v>
      </c>
      <c r="AE159" s="245">
        <f>SUMIF($AB$6:$AB150,$AB159,AE$6:AE152)</f>
        <v>80</v>
      </c>
      <c r="AF159" s="245">
        <f>SUMIF($AB$6:$AB149,$AB159,AF$6:AF149)</f>
        <v>106.5</v>
      </c>
      <c r="AG159" s="245">
        <f>SUMIF($AB$6:$AB150,$AB159,AG$6:AG152)</f>
        <v>157.5</v>
      </c>
      <c r="AH159" s="246">
        <f>SUMIF($AB$6:$AB150,$AB159,AH$6:AH152)</f>
        <v>43450</v>
      </c>
      <c r="AI159" s="242"/>
      <c r="AL159" s="76">
        <f t="shared" ref="AL159:AL165" si="142">AB159</f>
        <v>2010</v>
      </c>
      <c r="AM159" s="247">
        <f>SUMIF($AB$6:$AB150,$AB159,AM$6:AM152)</f>
        <v>0</v>
      </c>
      <c r="AN159" s="245">
        <f>SUMIF($AB$6:$AB150,$AB159,AN$6:AN152)</f>
        <v>0</v>
      </c>
      <c r="AO159" s="245">
        <f>SUMIF($AB$6:$AB150,$AB159,AO$6:AO152)</f>
        <v>0</v>
      </c>
      <c r="AP159" s="245">
        <f>SUMIF($AB$6:$AB150,$AB159,AP$6:AP152)</f>
        <v>0</v>
      </c>
      <c r="AQ159" s="245">
        <f>SUMIF($AB$6:$AB150,$AB159,AQ$6:AQ152)</f>
        <v>0</v>
      </c>
      <c r="AR159" s="246">
        <f>SUMIF($AB$6:$AB150,$AB159,AR$6:AR152)</f>
        <v>0</v>
      </c>
      <c r="AS159" s="243"/>
    </row>
    <row r="160" spans="1:46">
      <c r="A160" s="19" t="s">
        <v>177</v>
      </c>
      <c r="B160" s="45" t="s">
        <v>178</v>
      </c>
      <c r="C160" s="199"/>
      <c r="D160" s="216"/>
      <c r="E160" s="200"/>
      <c r="F160" s="200"/>
      <c r="G160" s="199"/>
      <c r="L160" s="211"/>
      <c r="O160" s="32">
        <v>2009</v>
      </c>
      <c r="Q160" s="51" t="s">
        <v>29</v>
      </c>
      <c r="U160" s="138" t="s">
        <v>139</v>
      </c>
      <c r="W160" s="110">
        <f>SUMIF($T$6:$T$149,CONCATENATE(Q160,#REF!,O160),$O$6:$O$149)</f>
        <v>0</v>
      </c>
      <c r="X160" s="110">
        <f>SUMIF($T$6:$T$149,CONCATENATE(Q160,#REF!,Y160),$O$6:$O$149)</f>
        <v>0</v>
      </c>
      <c r="Y160" s="32">
        <v>2009</v>
      </c>
      <c r="AB160" s="21">
        <v>2011</v>
      </c>
      <c r="AC160" s="244">
        <f>SUMIF($AB$6:$AB151,$AB160,AC$6:AC151)</f>
        <v>40</v>
      </c>
      <c r="AD160" s="245">
        <f>SUMIF($AB$6:$AB151,$AB160,AD$6:AD151)</f>
        <v>142</v>
      </c>
      <c r="AE160" s="245">
        <f>SUMIF($AB$6:$AB151,$AB160,AE$6:AE151)</f>
        <v>253</v>
      </c>
      <c r="AF160" s="245">
        <f>SUMIF($AB$6:$AB151,$AB160,AF$6:AF151)</f>
        <v>112</v>
      </c>
      <c r="AG160" s="245">
        <f>SUMIF($AB$6:$AB151,$AB160,AG$6:AG151)</f>
        <v>224</v>
      </c>
      <c r="AH160" s="246">
        <f>SUMIF($AB$6:$AB151,$AB160,AH$6:AH151)</f>
        <v>22000</v>
      </c>
      <c r="AI160" s="242"/>
      <c r="AL160" s="76">
        <f t="shared" si="142"/>
        <v>2011</v>
      </c>
      <c r="AM160" s="247">
        <f>SUMIF($AB$6:$AB151,$AB160,AM$6:AM151)</f>
        <v>8</v>
      </c>
      <c r="AN160" s="245">
        <f>SUMIF($AB$6:$AB151,$AB160,AN$6:AN151)</f>
        <v>56</v>
      </c>
      <c r="AO160" s="245">
        <f>SUMIF($AB$6:$AB151,$AB160,AO$6:AO151)</f>
        <v>184</v>
      </c>
      <c r="AP160" s="245">
        <f>SUMIF($AB$6:$AB151,$AB160,AP$6:AP151)</f>
        <v>92</v>
      </c>
      <c r="AQ160" s="245">
        <f>SUMIF($AB$6:$AB151,$AB160,AQ$6:AQ151)</f>
        <v>128</v>
      </c>
      <c r="AR160" s="246">
        <f>SUMIF($AB$6:$AB151,$AB160,AR$6:AR151)</f>
        <v>4000</v>
      </c>
      <c r="AS160" s="243"/>
    </row>
    <row r="161" spans="1:46">
      <c r="A161" s="19" t="s">
        <v>247</v>
      </c>
      <c r="B161" s="64" t="s">
        <v>179</v>
      </c>
      <c r="C161" s="199"/>
      <c r="D161" s="216"/>
      <c r="E161" s="200"/>
      <c r="F161" s="200"/>
      <c r="G161" s="199"/>
      <c r="L161" s="211"/>
      <c r="O161" s="32">
        <v>2009</v>
      </c>
      <c r="Q161" s="51" t="s">
        <v>29</v>
      </c>
      <c r="U161" s="138" t="s">
        <v>139</v>
      </c>
      <c r="W161" s="110">
        <f>SUM(W155:W160)</f>
        <v>0</v>
      </c>
      <c r="X161" s="110">
        <f>SUM(X155:X160)</f>
        <v>0</v>
      </c>
      <c r="Y161" s="32">
        <v>2009</v>
      </c>
      <c r="AB161" s="23">
        <v>2012</v>
      </c>
      <c r="AC161" s="244">
        <f>SUMIF($AB$6:$AB153,$AB161,AC$6:AC153)</f>
        <v>192</v>
      </c>
      <c r="AD161" s="245">
        <f>SUMIF($AB$6:$AB153,$AB161,AD$6:AD153)</f>
        <v>1053.2</v>
      </c>
      <c r="AE161" s="245">
        <f>SUMIF($AB$6:$AB153,$AB161,AE$6:AE153)</f>
        <v>434</v>
      </c>
      <c r="AF161" s="245">
        <f>SUMIF($AB$6:$AB153,$AB161,AF$6:AF153)</f>
        <v>335.59999999999997</v>
      </c>
      <c r="AG161" s="245">
        <f>SUMIF($AB$6:$AB153,$AB161,AG$6:AG153)</f>
        <v>298.40000000000003</v>
      </c>
      <c r="AH161" s="246">
        <f>SUMIF($AB$6:$AB153,$AB161,AH$6:AH153)</f>
        <v>111660</v>
      </c>
      <c r="AI161" s="242"/>
      <c r="AL161" s="76">
        <f t="shared" si="142"/>
        <v>2012</v>
      </c>
      <c r="AM161" s="247">
        <f>SUMIF($AB$6:$AB153,$AB161,AM$6:AM153)</f>
        <v>45</v>
      </c>
      <c r="AN161" s="245">
        <f>SUMIF($AB$6:$AB153,$AB161,AN$6:AN153)</f>
        <v>212</v>
      </c>
      <c r="AO161" s="245">
        <f>SUMIF($AB$6:$AB153,$AB161,AO$6:AO153)</f>
        <v>172</v>
      </c>
      <c r="AP161" s="245">
        <f>SUMIF($AB$6:$AB153,$AB161,AP$6:AP153)</f>
        <v>192</v>
      </c>
      <c r="AQ161" s="245">
        <f>SUMIF($AB$6:$AB153,$AB161,AQ$6:AQ153)</f>
        <v>136</v>
      </c>
      <c r="AR161" s="246">
        <f>SUMIF($AB$6:$AB153,$AB161,AR$6:AR153)</f>
        <v>42300</v>
      </c>
      <c r="AS161" s="243"/>
    </row>
    <row r="162" spans="1:46">
      <c r="A162" s="19" t="s">
        <v>248</v>
      </c>
      <c r="B162" s="64" t="s">
        <v>182</v>
      </c>
      <c r="C162" s="199"/>
      <c r="D162" s="216"/>
      <c r="E162" s="200"/>
      <c r="F162" s="200"/>
      <c r="G162" s="199"/>
      <c r="L162" s="211"/>
      <c r="O162" s="32">
        <v>2009</v>
      </c>
      <c r="Q162" s="51" t="s">
        <v>29</v>
      </c>
      <c r="U162" s="138" t="s">
        <v>139</v>
      </c>
      <c r="W162" s="110"/>
      <c r="X162" s="110"/>
      <c r="Y162" s="32">
        <v>2009</v>
      </c>
      <c r="AB162" s="23">
        <v>2013</v>
      </c>
      <c r="AC162" s="244">
        <f>SUMIF($AB$6:$AB154,$AB162,AC$6:AC154)</f>
        <v>4</v>
      </c>
      <c r="AD162" s="245">
        <f>SUMIF($AB$6:$AB154,$AB162,AD$6:AD154)</f>
        <v>710.40000000000009</v>
      </c>
      <c r="AE162" s="245">
        <f>SUMIF($AB$6:$AB154,$AB162,AE$6:AE154)</f>
        <v>372</v>
      </c>
      <c r="AF162" s="245">
        <f>SUMIF($AB$6:$AB154,$AB162,AF$6:AF154)</f>
        <v>53.800000000000004</v>
      </c>
      <c r="AG162" s="245">
        <f>SUMIF($AB$6:$AB154,$AB162,AG$6:AG154)</f>
        <v>111</v>
      </c>
      <c r="AH162" s="246">
        <f>SUMIF($AB$6:$AB154,$AB162,AH$6:AH154)</f>
        <v>35820</v>
      </c>
      <c r="AI162" s="242"/>
      <c r="AL162" s="76">
        <f t="shared" si="142"/>
        <v>2013</v>
      </c>
      <c r="AM162" s="247">
        <f>SUMIF($AB$6:$AB154,$AB162,AM$6:AM154)</f>
        <v>8</v>
      </c>
      <c r="AN162" s="245">
        <f>SUMIF($AB$6:$AB154,$AB162,AN$6:AN154)</f>
        <v>68</v>
      </c>
      <c r="AO162" s="245">
        <f>SUMIF($AB$6:$AB154,$AB162,AO$6:AO154)</f>
        <v>80</v>
      </c>
      <c r="AP162" s="245">
        <f>SUMIF($AB$6:$AB154,$AB162,AP$6:AP154)</f>
        <v>28.6</v>
      </c>
      <c r="AQ162" s="245">
        <f>SUMIF($AB$6:$AB154,$AB162,AQ$6:AQ154)</f>
        <v>65.2</v>
      </c>
      <c r="AR162" s="246">
        <f>SUMIF($AB$6:$AB154,$AB162,AR$6:AR154)</f>
        <v>9900</v>
      </c>
      <c r="AS162" s="243"/>
    </row>
    <row r="163" spans="1:46">
      <c r="A163" s="19"/>
      <c r="B163" s="64"/>
      <c r="C163" s="199"/>
      <c r="D163" s="216"/>
      <c r="E163" s="200"/>
      <c r="F163" s="200"/>
      <c r="G163" s="199"/>
      <c r="L163" s="211"/>
      <c r="O163" s="32"/>
      <c r="Q163" s="51"/>
      <c r="U163" s="138"/>
      <c r="W163" s="110"/>
      <c r="X163" s="110"/>
      <c r="Y163" s="32"/>
      <c r="AB163" s="23">
        <v>2014</v>
      </c>
      <c r="AC163" s="244">
        <f>SUMIF($AB$6:$AB155,$AB163,AC$6:AC155)</f>
        <v>0</v>
      </c>
      <c r="AD163" s="245">
        <f>SUMIF($AB$6:$AB155,$AB163,AD$6:AD155)</f>
        <v>0</v>
      </c>
      <c r="AE163" s="245">
        <f>SUMIF($AB$6:$AB155,$AB163,AE$6:AE155)</f>
        <v>0</v>
      </c>
      <c r="AF163" s="245">
        <f>SUMIF($AB$6:$AB155,$AB163,AF$6:AF155)</f>
        <v>0</v>
      </c>
      <c r="AG163" s="245">
        <f>SUMIF($AB$6:$AB155,$AB163,AG$6:AG155)</f>
        <v>0</v>
      </c>
      <c r="AH163" s="246">
        <f>SUMIF($AB$6:$AB155,$AB163,AH$6:AH155)</f>
        <v>0</v>
      </c>
      <c r="AI163" s="242"/>
      <c r="AL163" s="76">
        <f>AB163</f>
        <v>2014</v>
      </c>
      <c r="AM163" s="247">
        <f>SUMIF($AB$6:$AB155,$AB163,AM$6:AM155)</f>
        <v>0</v>
      </c>
      <c r="AN163" s="245">
        <f>SUMIF($AB$6:$AB155,$AB163,AN$6:AN155)</f>
        <v>0</v>
      </c>
      <c r="AO163" s="245">
        <f>SUMIF($AB$6:$AB155,$AB163,AO$6:AO155)</f>
        <v>0</v>
      </c>
      <c r="AP163" s="245">
        <f>SUMIF($AB$6:$AB155,$AB163,AP$6:AP155)</f>
        <v>0</v>
      </c>
      <c r="AQ163" s="245">
        <f>SUMIF($AB$6:$AB155,$AB163,AQ$6:AQ155)</f>
        <v>0</v>
      </c>
      <c r="AR163" s="246">
        <f>SUMIF($AB$6:$AB155,$AB163,AR$6:AR155)</f>
        <v>0</v>
      </c>
      <c r="AS163" s="243"/>
    </row>
    <row r="164" spans="1:46">
      <c r="A164" s="19" t="s">
        <v>184</v>
      </c>
      <c r="B164" s="64" t="s">
        <v>183</v>
      </c>
      <c r="C164" s="199"/>
      <c r="D164" s="216"/>
      <c r="E164" s="200"/>
      <c r="F164" s="200"/>
      <c r="G164" s="199"/>
      <c r="L164" s="211"/>
      <c r="O164" s="32">
        <v>2009</v>
      </c>
      <c r="Q164" s="51" t="s">
        <v>29</v>
      </c>
      <c r="U164" s="138" t="s">
        <v>139</v>
      </c>
      <c r="W164" s="110"/>
      <c r="X164" s="110"/>
      <c r="Y164" s="32">
        <v>2009</v>
      </c>
      <c r="AB164" s="23" t="s">
        <v>136</v>
      </c>
      <c r="AC164" s="244">
        <f>SUMIF($AB$6:$AB155,$AB164,AC$6:AC155)</f>
        <v>0</v>
      </c>
      <c r="AD164" s="245">
        <f>SUMIF($AB$6:$AB155,$AB164,AD$6:AD155)</f>
        <v>0</v>
      </c>
      <c r="AE164" s="245">
        <f>SUMIF($AB$6:$AB155,$AB164,AE$6:AE155)</f>
        <v>0</v>
      </c>
      <c r="AF164" s="245">
        <f>SUMIF($AB$6:$AB155,$AB164,AF$6:AF155)</f>
        <v>0</v>
      </c>
      <c r="AG164" s="245">
        <f>SUMIF($AB$6:$AB155,$AB164,AG$6:AG155)</f>
        <v>0</v>
      </c>
      <c r="AH164" s="246">
        <f>SUMIF($AB$6:$AB155,$AB164,AH$6:AH155)</f>
        <v>0</v>
      </c>
      <c r="AI164" s="242"/>
      <c r="AL164" s="76" t="str">
        <f t="shared" si="142"/>
        <v>CONT</v>
      </c>
      <c r="AM164" s="247">
        <f>SUMIF($AB$6:$AB155,$AB164,AM$6:AM155)</f>
        <v>0</v>
      </c>
      <c r="AN164" s="245">
        <f>SUMIF($AB$6:$AB155,$AB164,AN$6:AN155)</f>
        <v>0</v>
      </c>
      <c r="AO164" s="245">
        <f>SUMIF($AB$6:$AB155,$AB164,AO$6:AO155)</f>
        <v>0</v>
      </c>
      <c r="AP164" s="245">
        <f>SUMIF($AB$6:$AB155,$AB164,AP$6:AP155)</f>
        <v>0</v>
      </c>
      <c r="AQ164" s="245">
        <f>SUMIF($AB$6:$AB155,$AB164,AQ$6:AQ155)</f>
        <v>0</v>
      </c>
      <c r="AR164" s="246">
        <f>SUMIF($AB$6:$AB155,$AB164,AR$6:AR155)</f>
        <v>0</v>
      </c>
      <c r="AS164" s="243"/>
    </row>
    <row r="165" spans="1:46">
      <c r="A165" s="19" t="s">
        <v>186</v>
      </c>
      <c r="B165" s="64" t="s">
        <v>218</v>
      </c>
      <c r="C165" s="201"/>
      <c r="D165" s="214"/>
      <c r="E165" s="190"/>
      <c r="F165" s="197"/>
      <c r="G165" s="201"/>
      <c r="L165" s="211"/>
      <c r="O165" s="32">
        <v>2009</v>
      </c>
      <c r="Q165" s="51" t="s">
        <v>29</v>
      </c>
      <c r="U165" s="138" t="s">
        <v>139</v>
      </c>
      <c r="W165" s="110">
        <f>SUMIF($T$6:$T$149,CONCATENATE(Q165,#REF!,O165),$O$6:$O$149)</f>
        <v>0</v>
      </c>
      <c r="X165" s="110">
        <f>SUMIF($T$6:$T$149,CONCATENATE(Q165,#REF!,Y165),$O$6:$O$149)</f>
        <v>0</v>
      </c>
      <c r="Y165" s="32">
        <v>2009</v>
      </c>
      <c r="AB165" s="23" t="s">
        <v>132</v>
      </c>
      <c r="AC165" s="244">
        <f>SUMIF($AB$6:$AB151,$AB165,AC$6:AC151)</f>
        <v>40</v>
      </c>
      <c r="AD165" s="245">
        <f>SUMIF($AB$6:$AB151,$AB165,AD$6:AD151)</f>
        <v>224</v>
      </c>
      <c r="AE165" s="245">
        <f>SUMIF($AB$6:$AB151,$AB165,AE$6:AE151)</f>
        <v>40</v>
      </c>
      <c r="AF165" s="245">
        <f>SUMIF($AB$6:$AB151,$AB165,AF$6:AF151)</f>
        <v>280</v>
      </c>
      <c r="AG165" s="245">
        <f>SUMIF($AB$6:$AB151,$AB165,AG$6:AG151)</f>
        <v>32</v>
      </c>
      <c r="AH165" s="246">
        <f>SUMIF($AB$6:$AB151,$AB165,AH$6:AH151)</f>
        <v>12000</v>
      </c>
      <c r="AI165" s="242"/>
      <c r="AL165" s="76" t="str">
        <f t="shared" si="142"/>
        <v>STAR</v>
      </c>
      <c r="AM165" s="247">
        <f>SUMIF($AB$6:$AB151,$AB165,AM$6:AM151)</f>
        <v>0</v>
      </c>
      <c r="AN165" s="245">
        <f>SUMIF($AB$6:$AB151,$AB165,AN$6:AN151)</f>
        <v>0</v>
      </c>
      <c r="AO165" s="245">
        <f>SUMIF($AB$6:$AB151,$AB165,AO$6:AO151)</f>
        <v>0</v>
      </c>
      <c r="AP165" s="245">
        <f>SUMIF($AB$6:$AB151,$AB165,AP$6:AP151)</f>
        <v>16</v>
      </c>
      <c r="AQ165" s="245">
        <f>SUMIF($AB$6:$AB151,$AB165,AQ$6:AQ151)</f>
        <v>8</v>
      </c>
      <c r="AR165" s="246">
        <f>SUMIF($AB$6:$AB151,$AB165,AR$6:AR151)</f>
        <v>0</v>
      </c>
      <c r="AS165" s="243"/>
    </row>
    <row r="166" spans="1:46" ht="15.75">
      <c r="A166" s="19" t="s">
        <v>247</v>
      </c>
      <c r="B166" s="64" t="s">
        <v>219</v>
      </c>
      <c r="C166" s="198"/>
      <c r="D166" s="215"/>
      <c r="E166" s="197"/>
      <c r="F166" s="197"/>
      <c r="G166" s="202"/>
      <c r="L166" s="211"/>
      <c r="O166" s="32">
        <v>2009</v>
      </c>
      <c r="Q166" s="51" t="s">
        <v>29</v>
      </c>
      <c r="U166" s="138" t="s">
        <v>139</v>
      </c>
      <c r="W166" s="110">
        <f>SUMIF($T$6:$T$149,CONCATENATE(Q166,#REF!,O166),$O$6:$O$149)</f>
        <v>0</v>
      </c>
      <c r="X166" s="110">
        <f>SUMIF($T$6:$T$149,CONCATENATE(Q166,#REF!,Y166),$O$6:$O$149)</f>
        <v>0</v>
      </c>
      <c r="Y166" s="32">
        <v>2009</v>
      </c>
      <c r="AC166" s="283" t="s">
        <v>134</v>
      </c>
      <c r="AD166" s="284"/>
      <c r="AE166" s="284"/>
      <c r="AF166" s="284"/>
      <c r="AG166" s="284"/>
      <c r="AH166" s="284"/>
      <c r="AI166" s="285"/>
      <c r="AL166" s="76"/>
      <c r="AM166" s="286" t="s">
        <v>135</v>
      </c>
      <c r="AN166" s="284"/>
      <c r="AO166" s="284"/>
      <c r="AP166" s="284"/>
      <c r="AQ166" s="284"/>
      <c r="AR166" s="284"/>
      <c r="AS166" s="287"/>
    </row>
    <row r="167" spans="1:46">
      <c r="A167" s="19" t="s">
        <v>248</v>
      </c>
      <c r="B167" s="64" t="s">
        <v>220</v>
      </c>
      <c r="C167" s="198"/>
      <c r="D167" s="215"/>
      <c r="E167" s="197"/>
      <c r="F167" s="197"/>
      <c r="G167" s="202"/>
      <c r="L167" s="211"/>
      <c r="O167" s="32">
        <v>2009</v>
      </c>
      <c r="Q167" s="51" t="s">
        <v>29</v>
      </c>
      <c r="U167" s="138" t="s">
        <v>139</v>
      </c>
      <c r="W167" s="110">
        <f>SUMIF($T$6:$T$149,CONCATENATE(Q167,#REF!,O167),$O$6:$O$149)</f>
        <v>0</v>
      </c>
      <c r="X167" s="110">
        <f>SUMIF($T$6:$T$149,CONCATENATE(Q167,#REF!,Y167),$O$6:$O$149)</f>
        <v>0</v>
      </c>
      <c r="Y167" s="32">
        <v>2009</v>
      </c>
      <c r="AC167" s="24" t="s">
        <v>33</v>
      </c>
      <c r="AD167" s="13" t="s">
        <v>34</v>
      </c>
      <c r="AE167" s="6" t="s">
        <v>258</v>
      </c>
      <c r="AF167" s="13" t="s">
        <v>17</v>
      </c>
      <c r="AG167" s="6" t="s">
        <v>257</v>
      </c>
      <c r="AH167" s="13" t="s">
        <v>15</v>
      </c>
      <c r="AI167" s="26" t="s">
        <v>35</v>
      </c>
      <c r="AL167" s="76"/>
      <c r="AM167" s="27" t="s">
        <v>33</v>
      </c>
      <c r="AN167" s="13" t="s">
        <v>34</v>
      </c>
      <c r="AO167" s="6" t="s">
        <v>258</v>
      </c>
      <c r="AP167" s="13" t="s">
        <v>17</v>
      </c>
      <c r="AQ167" s="6" t="s">
        <v>257</v>
      </c>
      <c r="AR167" s="13" t="s">
        <v>15</v>
      </c>
      <c r="AS167" s="28" t="s">
        <v>35</v>
      </c>
    </row>
    <row r="168" spans="1:46">
      <c r="A168" s="19" t="s">
        <v>184</v>
      </c>
      <c r="B168" s="64" t="s">
        <v>221</v>
      </c>
      <c r="C168" s="198"/>
      <c r="D168" s="215"/>
      <c r="E168" s="197"/>
      <c r="F168" s="197"/>
      <c r="G168" s="198"/>
      <c r="L168" s="211"/>
      <c r="O168" s="32">
        <v>2009</v>
      </c>
      <c r="Q168" s="51" t="s">
        <v>29</v>
      </c>
      <c r="U168" s="138" t="s">
        <v>139</v>
      </c>
      <c r="W168" s="110">
        <f>SUMIF($T$6:$T$149,CONCATENATE(Q168,#REF!,O168),$O$6:$O$149)</f>
        <v>0</v>
      </c>
      <c r="X168" s="110">
        <f>SUMIF($T$6:$T$149,CONCATENATE(Q168,#REF!,Y168),$O$6:$O$149)</f>
        <v>0</v>
      </c>
      <c r="Y168" s="32">
        <v>2009</v>
      </c>
      <c r="AB168" s="21">
        <f>AB158</f>
        <v>2009</v>
      </c>
      <c r="AC168" s="248">
        <f>AC190+AC211</f>
        <v>0</v>
      </c>
      <c r="AD168" s="246">
        <f t="shared" ref="AD168:AI168" si="143">AD190+AD211</f>
        <v>0</v>
      </c>
      <c r="AE168" s="246">
        <f t="shared" si="143"/>
        <v>0</v>
      </c>
      <c r="AF168" s="246">
        <f t="shared" si="143"/>
        <v>0</v>
      </c>
      <c r="AG168" s="246">
        <f t="shared" si="143"/>
        <v>0</v>
      </c>
      <c r="AH168" s="246">
        <f t="shared" si="143"/>
        <v>0</v>
      </c>
      <c r="AI168" s="249">
        <f t="shared" si="143"/>
        <v>0</v>
      </c>
      <c r="AL168" s="76">
        <f>AL158</f>
        <v>2009</v>
      </c>
      <c r="AM168" s="250">
        <f t="shared" ref="AM168:AS168" si="144">AM190+AM211</f>
        <v>0</v>
      </c>
      <c r="AN168" s="246">
        <f t="shared" si="144"/>
        <v>0</v>
      </c>
      <c r="AO168" s="246">
        <f t="shared" si="144"/>
        <v>0</v>
      </c>
      <c r="AP168" s="246">
        <f t="shared" si="144"/>
        <v>0</v>
      </c>
      <c r="AQ168" s="246">
        <f t="shared" si="144"/>
        <v>0</v>
      </c>
      <c r="AR168" s="246">
        <f t="shared" si="144"/>
        <v>0</v>
      </c>
      <c r="AS168" s="251">
        <f t="shared" si="144"/>
        <v>0</v>
      </c>
    </row>
    <row r="169" spans="1:46">
      <c r="A169" s="19" t="s">
        <v>191</v>
      </c>
      <c r="B169" s="45" t="s">
        <v>192</v>
      </c>
      <c r="C169" s="198"/>
      <c r="D169" s="215"/>
      <c r="E169" s="197"/>
      <c r="F169" s="197"/>
      <c r="G169" s="198"/>
      <c r="L169" s="211"/>
      <c r="O169" s="32">
        <v>2009</v>
      </c>
      <c r="Q169" s="51" t="s">
        <v>29</v>
      </c>
      <c r="U169" s="138" t="s">
        <v>139</v>
      </c>
      <c r="W169" s="110"/>
      <c r="X169" s="110"/>
      <c r="Y169" s="32">
        <v>2009</v>
      </c>
      <c r="AB169" s="21">
        <v>2010</v>
      </c>
      <c r="AC169" s="248">
        <f t="shared" ref="AC169:AI169" si="145">AC191+AC212</f>
        <v>630</v>
      </c>
      <c r="AD169" s="246">
        <f t="shared" si="145"/>
        <v>8363.16</v>
      </c>
      <c r="AE169" s="246">
        <f t="shared" si="145"/>
        <v>0</v>
      </c>
      <c r="AF169" s="246">
        <f t="shared" si="145"/>
        <v>13809.000000000002</v>
      </c>
      <c r="AG169" s="246">
        <f t="shared" si="145"/>
        <v>0</v>
      </c>
      <c r="AH169" s="246">
        <f t="shared" si="145"/>
        <v>43450</v>
      </c>
      <c r="AI169" s="249">
        <f t="shared" si="145"/>
        <v>66252.160000000003</v>
      </c>
      <c r="AL169" s="76">
        <f>AL159</f>
        <v>2010</v>
      </c>
      <c r="AM169" s="250">
        <f t="shared" ref="AM169:AS169" si="146">AM191+AM212</f>
        <v>0</v>
      </c>
      <c r="AN169" s="246">
        <f t="shared" si="146"/>
        <v>0</v>
      </c>
      <c r="AO169" s="246">
        <f t="shared" si="146"/>
        <v>0</v>
      </c>
      <c r="AP169" s="246">
        <f t="shared" si="146"/>
        <v>0</v>
      </c>
      <c r="AQ169" s="246">
        <f t="shared" si="146"/>
        <v>0</v>
      </c>
      <c r="AR169" s="246">
        <f t="shared" si="146"/>
        <v>0</v>
      </c>
      <c r="AS169" s="251">
        <f t="shared" si="146"/>
        <v>0</v>
      </c>
    </row>
    <row r="170" spans="1:46">
      <c r="A170" s="19" t="s">
        <v>194</v>
      </c>
      <c r="B170" s="64" t="s">
        <v>193</v>
      </c>
      <c r="C170" s="198"/>
      <c r="D170" s="215"/>
      <c r="E170" s="197"/>
      <c r="F170" s="197"/>
      <c r="G170" s="198"/>
      <c r="L170" s="211"/>
      <c r="O170" s="32">
        <v>2009</v>
      </c>
      <c r="Q170" s="51" t="s">
        <v>29</v>
      </c>
      <c r="U170" s="138" t="s">
        <v>139</v>
      </c>
      <c r="W170" s="110"/>
      <c r="X170" s="110"/>
      <c r="Y170" s="32">
        <v>2009</v>
      </c>
      <c r="AB170" s="21">
        <v>2011</v>
      </c>
      <c r="AC170" s="248">
        <f t="shared" ref="AC170:AI170" si="147">AC192+AC213</f>
        <v>5040</v>
      </c>
      <c r="AD170" s="246">
        <f t="shared" si="147"/>
        <v>15546.960000000001</v>
      </c>
      <c r="AE170" s="246">
        <f t="shared" si="147"/>
        <v>0</v>
      </c>
      <c r="AF170" s="246">
        <f t="shared" si="147"/>
        <v>15432</v>
      </c>
      <c r="AG170" s="246">
        <f t="shared" si="147"/>
        <v>0</v>
      </c>
      <c r="AH170" s="246">
        <f t="shared" si="147"/>
        <v>22000</v>
      </c>
      <c r="AI170" s="249">
        <f t="shared" si="147"/>
        <v>58018.960000000006</v>
      </c>
      <c r="AL170" s="76">
        <f>AL160</f>
        <v>2011</v>
      </c>
      <c r="AM170" s="250">
        <f t="shared" ref="AM170:AS170" si="148">AM192+AM213</f>
        <v>1008</v>
      </c>
      <c r="AN170" s="246">
        <f t="shared" si="148"/>
        <v>5484.9600000000009</v>
      </c>
      <c r="AO170" s="246">
        <f t="shared" si="148"/>
        <v>0</v>
      </c>
      <c r="AP170" s="246">
        <f t="shared" si="148"/>
        <v>11862.000000000002</v>
      </c>
      <c r="AQ170" s="246">
        <f t="shared" si="148"/>
        <v>0</v>
      </c>
      <c r="AR170" s="246">
        <f t="shared" si="148"/>
        <v>4000</v>
      </c>
      <c r="AS170" s="251">
        <f t="shared" si="148"/>
        <v>22354.960000000003</v>
      </c>
    </row>
    <row r="171" spans="1:46">
      <c r="A171" s="19" t="s">
        <v>196</v>
      </c>
      <c r="B171" s="64" t="s">
        <v>195</v>
      </c>
      <c r="C171" s="198"/>
      <c r="D171" s="215"/>
      <c r="E171" s="197"/>
      <c r="F171" s="197"/>
      <c r="G171" s="198"/>
      <c r="L171" s="211"/>
      <c r="O171" s="32">
        <v>2009</v>
      </c>
      <c r="Q171" s="51" t="s">
        <v>29</v>
      </c>
      <c r="U171" s="138" t="s">
        <v>139</v>
      </c>
      <c r="W171" s="110">
        <f>SUMIF($T$6:$T$149,CONCATENATE(Q171,#REF!,O171),$O$6:$O$149)</f>
        <v>0</v>
      </c>
      <c r="X171" s="110">
        <f>SUMIF($T$6:$T$149,CONCATENATE(Q171,#REF!,Y171),$O$6:$O$149)</f>
        <v>0</v>
      </c>
      <c r="Y171" s="32">
        <v>2009</v>
      </c>
      <c r="AB171" s="21">
        <f>AB161</f>
        <v>2012</v>
      </c>
      <c r="AC171" s="248">
        <f t="shared" ref="AC171:AI173" si="149">AC193+AC214</f>
        <v>23425.919999999998</v>
      </c>
      <c r="AD171" s="246">
        <f t="shared" si="149"/>
        <v>107903.48400000001</v>
      </c>
      <c r="AE171" s="246">
        <f t="shared" si="149"/>
        <v>0</v>
      </c>
      <c r="AF171" s="246">
        <f t="shared" si="149"/>
        <v>46486.8</v>
      </c>
      <c r="AG171" s="246">
        <f t="shared" si="149"/>
        <v>0</v>
      </c>
      <c r="AH171" s="246">
        <f t="shared" si="149"/>
        <v>111660</v>
      </c>
      <c r="AI171" s="249">
        <f t="shared" si="149"/>
        <v>289476.20400000003</v>
      </c>
      <c r="AL171" s="76">
        <f>AL161</f>
        <v>2012</v>
      </c>
      <c r="AM171" s="250">
        <f t="shared" ref="AM171:AS173" si="150">AM193+AM214</f>
        <v>5191.2</v>
      </c>
      <c r="AN171" s="246">
        <f t="shared" si="150"/>
        <v>22669.920000000002</v>
      </c>
      <c r="AO171" s="246">
        <f t="shared" si="150"/>
        <v>0</v>
      </c>
      <c r="AP171" s="246">
        <f t="shared" si="150"/>
        <v>12000</v>
      </c>
      <c r="AQ171" s="246">
        <f t="shared" si="150"/>
        <v>0</v>
      </c>
      <c r="AR171" s="246">
        <f t="shared" si="150"/>
        <v>42300</v>
      </c>
      <c r="AS171" s="251">
        <f t="shared" si="150"/>
        <v>82161.119999999995</v>
      </c>
    </row>
    <row r="172" spans="1:46">
      <c r="A172" s="19"/>
      <c r="B172" s="64"/>
      <c r="C172" s="198"/>
      <c r="D172" s="215"/>
      <c r="E172" s="197"/>
      <c r="F172" s="197"/>
      <c r="G172" s="198"/>
      <c r="L172" s="211"/>
      <c r="O172" s="32"/>
      <c r="Q172" s="51"/>
      <c r="U172" s="138"/>
      <c r="W172" s="110"/>
      <c r="X172" s="110"/>
      <c r="Y172" s="32"/>
      <c r="AB172" s="21">
        <f>AB162</f>
        <v>2013</v>
      </c>
      <c r="AC172" s="248">
        <f t="shared" si="149"/>
        <v>408.24</v>
      </c>
      <c r="AD172" s="246">
        <f t="shared" si="149"/>
        <v>67324.608000000022</v>
      </c>
      <c r="AE172" s="246">
        <f t="shared" si="149"/>
        <v>0</v>
      </c>
      <c r="AF172" s="246">
        <f t="shared" si="149"/>
        <v>6536.7000000000016</v>
      </c>
      <c r="AG172" s="246">
        <f t="shared" si="149"/>
        <v>0</v>
      </c>
      <c r="AH172" s="246">
        <f t="shared" si="149"/>
        <v>35820</v>
      </c>
      <c r="AI172" s="249">
        <f t="shared" si="149"/>
        <v>110089.54800000002</v>
      </c>
      <c r="AL172" s="76">
        <f>AL162</f>
        <v>2013</v>
      </c>
      <c r="AM172" s="250">
        <f t="shared" si="150"/>
        <v>816.48</v>
      </c>
      <c r="AN172" s="246">
        <f t="shared" si="150"/>
        <v>6444.3600000000006</v>
      </c>
      <c r="AO172" s="246">
        <f t="shared" si="150"/>
        <v>0</v>
      </c>
      <c r="AP172" s="246">
        <f t="shared" si="150"/>
        <v>8262.0000000000018</v>
      </c>
      <c r="AQ172" s="246">
        <f t="shared" si="150"/>
        <v>0</v>
      </c>
      <c r="AR172" s="246">
        <f t="shared" si="150"/>
        <v>9900</v>
      </c>
      <c r="AS172" s="251">
        <f t="shared" si="150"/>
        <v>25422.840000000004</v>
      </c>
    </row>
    <row r="173" spans="1:46" ht="13.5" thickBot="1">
      <c r="A173" s="19" t="s">
        <v>198</v>
      </c>
      <c r="B173" s="64" t="s">
        <v>197</v>
      </c>
      <c r="C173" s="198"/>
      <c r="D173" s="215"/>
      <c r="E173" s="197"/>
      <c r="F173" s="197"/>
      <c r="G173" s="198"/>
      <c r="L173" s="211"/>
      <c r="O173" s="32">
        <v>2009</v>
      </c>
      <c r="Q173" s="51" t="s">
        <v>29</v>
      </c>
      <c r="U173" s="138" t="s">
        <v>139</v>
      </c>
      <c r="W173" s="110">
        <f>SUMIF($T$6:$T$149,CONCATENATE(Q173,#REF!,O173),$O$6:$O$149)</f>
        <v>0</v>
      </c>
      <c r="X173" s="110">
        <f>SUMIF($T$6:$T$149,CONCATENATE(Q173,#REF!,Y173),$O$6:$O$149)</f>
        <v>0</v>
      </c>
      <c r="Y173" s="32">
        <v>2009</v>
      </c>
      <c r="AB173" s="21">
        <v>2014</v>
      </c>
      <c r="AC173" s="252">
        <f>AC195+AC216</f>
        <v>0</v>
      </c>
      <c r="AD173" s="253">
        <f t="shared" si="149"/>
        <v>0</v>
      </c>
      <c r="AE173" s="253">
        <f t="shared" si="149"/>
        <v>0</v>
      </c>
      <c r="AF173" s="253">
        <f t="shared" si="149"/>
        <v>0</v>
      </c>
      <c r="AG173" s="253">
        <f t="shared" si="149"/>
        <v>0</v>
      </c>
      <c r="AH173" s="253">
        <f t="shared" si="149"/>
        <v>0</v>
      </c>
      <c r="AI173" s="254">
        <f t="shared" si="149"/>
        <v>0</v>
      </c>
      <c r="AL173" s="76">
        <v>2014</v>
      </c>
      <c r="AM173" s="255">
        <f>AM195+AM216</f>
        <v>0</v>
      </c>
      <c r="AN173" s="256">
        <f t="shared" si="150"/>
        <v>0</v>
      </c>
      <c r="AO173" s="256">
        <f t="shared" si="150"/>
        <v>0</v>
      </c>
      <c r="AP173" s="256">
        <f t="shared" si="150"/>
        <v>13608.000000000002</v>
      </c>
      <c r="AQ173" s="256">
        <f t="shared" si="150"/>
        <v>0</v>
      </c>
      <c r="AR173" s="256">
        <f t="shared" si="150"/>
        <v>0</v>
      </c>
      <c r="AS173" s="257">
        <f t="shared" si="150"/>
        <v>13608.000000000002</v>
      </c>
    </row>
    <row r="174" spans="1:46" ht="15.75" thickTop="1">
      <c r="A174" s="19" t="s">
        <v>200</v>
      </c>
      <c r="B174" s="64" t="s">
        <v>199</v>
      </c>
      <c r="C174" s="198"/>
      <c r="D174" s="215"/>
      <c r="E174" s="197"/>
      <c r="F174" s="197"/>
      <c r="G174" s="198"/>
      <c r="L174" s="211"/>
      <c r="O174" s="32">
        <v>2009</v>
      </c>
      <c r="Q174" s="51" t="s">
        <v>29</v>
      </c>
      <c r="U174" s="138" t="s">
        <v>139</v>
      </c>
      <c r="W174" s="110">
        <f>SUM(W165:W173)</f>
        <v>0</v>
      </c>
      <c r="X174" s="110">
        <f>SUM(X165:X173)</f>
        <v>0</v>
      </c>
      <c r="Y174" s="32">
        <v>2009</v>
      </c>
      <c r="AC174" s="110"/>
      <c r="AD174" s="110"/>
      <c r="AE174" s="110"/>
      <c r="AF174" s="110"/>
      <c r="AG174" s="110"/>
      <c r="AH174" s="67" t="s">
        <v>44</v>
      </c>
      <c r="AI174" s="67">
        <f>SUM(AI168:AI173)</f>
        <v>523836.87200000003</v>
      </c>
      <c r="AM174" s="110"/>
      <c r="AN174" s="110"/>
      <c r="AO174" s="110"/>
      <c r="AP174" s="110"/>
      <c r="AQ174" s="110"/>
      <c r="AR174" s="67" t="s">
        <v>42</v>
      </c>
      <c r="AS174" s="67">
        <f>SUM(AS168:AS173)</f>
        <v>143546.92000000001</v>
      </c>
    </row>
    <row r="175" spans="1:46" ht="15">
      <c r="A175" s="19" t="s">
        <v>201</v>
      </c>
      <c r="B175" s="45" t="s">
        <v>190</v>
      </c>
      <c r="C175" s="198"/>
      <c r="D175" s="215"/>
      <c r="E175" s="197"/>
      <c r="F175" s="197"/>
      <c r="G175" s="198"/>
      <c r="L175" s="211"/>
      <c r="O175" s="32">
        <v>2009</v>
      </c>
      <c r="Q175" s="51" t="s">
        <v>29</v>
      </c>
      <c r="U175" s="138" t="s">
        <v>139</v>
      </c>
      <c r="W175" s="110">
        <f>W161+W174</f>
        <v>0</v>
      </c>
      <c r="X175" s="110">
        <f>X161+X174</f>
        <v>0</v>
      </c>
      <c r="Y175" s="32">
        <v>2009</v>
      </c>
      <c r="AC175" s="110"/>
      <c r="AD175" s="110"/>
      <c r="AE175" s="110"/>
      <c r="AF175" s="110"/>
      <c r="AG175" s="110"/>
      <c r="AH175" s="67"/>
      <c r="AM175" s="110"/>
      <c r="AN175" s="110"/>
      <c r="AO175" s="110"/>
      <c r="AP175" s="110"/>
      <c r="AQ175" s="110"/>
      <c r="AR175" s="67" t="s">
        <v>58</v>
      </c>
      <c r="AS175" s="258">
        <f>AS174/AI174</f>
        <v>0.2740298128536473</v>
      </c>
    </row>
    <row r="176" spans="1:46" ht="15">
      <c r="A176" s="19" t="s">
        <v>244</v>
      </c>
      <c r="B176" s="64" t="s">
        <v>202</v>
      </c>
      <c r="C176" s="198"/>
      <c r="D176" s="215"/>
      <c r="E176" s="197"/>
      <c r="F176" s="197"/>
      <c r="G176" s="198"/>
      <c r="L176" s="211"/>
      <c r="O176" s="259"/>
      <c r="Q176" s="71"/>
      <c r="U176" s="138"/>
      <c r="W176" s="110"/>
      <c r="X176" s="110"/>
      <c r="Y176" s="259"/>
      <c r="AC176" s="110"/>
      <c r="AD176" s="110"/>
      <c r="AE176" s="110"/>
      <c r="AF176" s="110"/>
      <c r="AG176" s="110"/>
      <c r="AH176" s="67"/>
      <c r="AI176" s="110">
        <f>AI196+AI217</f>
        <v>523836.87200000003</v>
      </c>
      <c r="AJ176" s="90" t="s">
        <v>55</v>
      </c>
      <c r="AM176" s="110"/>
      <c r="AN176" s="110"/>
      <c r="AO176" s="110"/>
      <c r="AP176" s="110"/>
      <c r="AQ176" s="110"/>
      <c r="AR176" s="67"/>
      <c r="AS176" s="110">
        <f>AS196+AS217</f>
        <v>143546.92000000001</v>
      </c>
      <c r="AT176" s="19" t="s">
        <v>55</v>
      </c>
    </row>
    <row r="177" spans="1:47" ht="13.5" thickBot="1">
      <c r="A177" s="19" t="s">
        <v>245</v>
      </c>
      <c r="B177" s="64" t="s">
        <v>204</v>
      </c>
      <c r="C177" s="198"/>
      <c r="D177" s="215"/>
      <c r="E177" s="197"/>
      <c r="F177" s="197"/>
      <c r="G177" s="198"/>
      <c r="L177" s="211"/>
    </row>
    <row r="178" spans="1:47" ht="15.75" thickTop="1">
      <c r="A178" s="19" t="s">
        <v>207</v>
      </c>
      <c r="B178" s="64" t="s">
        <v>206</v>
      </c>
      <c r="C178" s="279" t="s">
        <v>144</v>
      </c>
      <c r="D178" s="279"/>
      <c r="E178" s="279"/>
      <c r="F178" s="279"/>
      <c r="G178" s="279"/>
      <c r="H178" s="279"/>
      <c r="I178" s="279"/>
      <c r="J178" s="279"/>
      <c r="K178" s="279"/>
      <c r="L178" s="279"/>
      <c r="AC178" s="294" t="s">
        <v>59</v>
      </c>
      <c r="AD178" s="295"/>
      <c r="AE178" s="295"/>
      <c r="AF178" s="295"/>
      <c r="AG178" s="295"/>
      <c r="AH178" s="295"/>
      <c r="AI178" s="296"/>
      <c r="AK178" s="90"/>
      <c r="AL178" s="78"/>
      <c r="AM178" s="294" t="s">
        <v>60</v>
      </c>
      <c r="AN178" s="295"/>
      <c r="AO178" s="295"/>
      <c r="AP178" s="295"/>
      <c r="AQ178" s="295"/>
      <c r="AR178" s="295"/>
      <c r="AS178" s="296"/>
    </row>
    <row r="179" spans="1:47">
      <c r="A179" s="19" t="s">
        <v>209</v>
      </c>
      <c r="B179" s="64" t="s">
        <v>208</v>
      </c>
      <c r="C179" s="279"/>
      <c r="D179" s="279"/>
      <c r="E179" s="279"/>
      <c r="F179" s="279"/>
      <c r="G179" s="279"/>
      <c r="H179" s="279"/>
      <c r="I179" s="279"/>
      <c r="J179" s="279"/>
      <c r="K179" s="279"/>
      <c r="L179" s="279"/>
      <c r="AC179" s="24" t="s">
        <v>11</v>
      </c>
      <c r="AD179" s="13" t="s">
        <v>10</v>
      </c>
      <c r="AE179" s="6" t="s">
        <v>258</v>
      </c>
      <c r="AF179" s="13" t="s">
        <v>17</v>
      </c>
      <c r="AG179" s="6" t="s">
        <v>257</v>
      </c>
      <c r="AH179" s="13" t="s">
        <v>15</v>
      </c>
      <c r="AI179" s="242"/>
      <c r="AK179" s="90"/>
      <c r="AL179" s="78"/>
      <c r="AM179" s="24" t="s">
        <v>11</v>
      </c>
      <c r="AN179" s="13" t="s">
        <v>10</v>
      </c>
      <c r="AO179" s="6" t="s">
        <v>258</v>
      </c>
      <c r="AP179" s="13" t="s">
        <v>17</v>
      </c>
      <c r="AQ179" s="6" t="s">
        <v>257</v>
      </c>
      <c r="AR179" s="13" t="s">
        <v>15</v>
      </c>
      <c r="AS179" s="242"/>
    </row>
    <row r="180" spans="1:47">
      <c r="A180" s="19" t="s">
        <v>246</v>
      </c>
      <c r="B180" s="64" t="s">
        <v>210</v>
      </c>
      <c r="C180" s="196"/>
      <c r="D180" s="215"/>
      <c r="E180" s="203"/>
      <c r="F180" s="197"/>
      <c r="G180" s="196"/>
      <c r="S180" s="94" t="s">
        <v>52</v>
      </c>
      <c r="AB180" s="21">
        <v>2009</v>
      </c>
      <c r="AC180" s="244">
        <f>SUMIF($S$6:$S149,CONCATENATE($S180,$AB180),AC$6:AC149)</f>
        <v>0</v>
      </c>
      <c r="AD180" s="245">
        <f>SUMIF($S$6:$S149,CONCATENATE($S180,$AB180),AD$6:AD149)</f>
        <v>0</v>
      </c>
      <c r="AE180" s="245">
        <f>SUMIF($S$6:$S149,CONCATENATE($S180,$AB180),AE$6:AE149)</f>
        <v>0</v>
      </c>
      <c r="AF180" s="245">
        <f>SUMIF($S$6:$S149,CONCATENATE($S180,$AB180),AF$6:AF149)</f>
        <v>0</v>
      </c>
      <c r="AG180" s="245">
        <f>SUMIF($S$6:$S149,CONCATENATE($S180,$AB180),AG$6:AG149)</f>
        <v>0</v>
      </c>
      <c r="AH180" s="245">
        <f>SUMIF($S$6:$S149,CONCATENATE($S180,$AB180),AH$6:AH149)</f>
        <v>0</v>
      </c>
      <c r="AI180" s="242"/>
      <c r="AK180" s="90" t="s">
        <v>53</v>
      </c>
      <c r="AL180" s="76">
        <f>AB180</f>
        <v>2009</v>
      </c>
      <c r="AM180" s="244">
        <f>SUMIF($S$6:$S149,CONCATENATE($AK180,$AL180),AM$6:AM149)</f>
        <v>0</v>
      </c>
      <c r="AN180" s="245">
        <f>SUMIF($S$6:$S149,CONCATENATE($AK180,$AL180),AN$6:AN149)</f>
        <v>0</v>
      </c>
      <c r="AO180" s="245">
        <f>SUMIF($S$6:$S149,CONCATENATE($AK180,$AL180),AO$6:AO149)</f>
        <v>0</v>
      </c>
      <c r="AP180" s="245">
        <f>SUMIF($S$6:$S149,CONCATENATE($AK180,$AL180),AP$6:AP149)</f>
        <v>0</v>
      </c>
      <c r="AQ180" s="245">
        <f>SUMIF($S$6:$S149,CONCATENATE($AK180,$AL180),AQ$6:AQ149)</f>
        <v>0</v>
      </c>
      <c r="AR180" s="245">
        <f>SUMIF($S$6:$S149,CONCATENATE($AK180,$AL180),AR$6:AR149)</f>
        <v>0</v>
      </c>
      <c r="AS180" s="242"/>
    </row>
    <row r="181" spans="1:47">
      <c r="A181" s="19" t="s">
        <v>213</v>
      </c>
      <c r="B181" s="64" t="s">
        <v>212</v>
      </c>
      <c r="C181" s="196"/>
      <c r="D181" s="215"/>
      <c r="E181" s="203"/>
      <c r="F181" s="197"/>
      <c r="G181" s="196"/>
      <c r="S181" s="94" t="s">
        <v>52</v>
      </c>
      <c r="AB181" s="21">
        <v>2010</v>
      </c>
      <c r="AC181" s="244">
        <f>SUMIF($S$6:$S149,CONCATENATE($S181,$AB181),AC$6:AC149)</f>
        <v>5</v>
      </c>
      <c r="AD181" s="245">
        <f>SUMIF($S$6:$S149,CONCATENATE($S181,$AB181),AD$6:AD149)</f>
        <v>65</v>
      </c>
      <c r="AE181" s="245">
        <f>SUMIF($S$6:$S149,CONCATENATE($S181,$AB181),AE$6:AE149)</f>
        <v>16</v>
      </c>
      <c r="AF181" s="245">
        <f>SUMIF($S$6:$S149,CONCATENATE($S181,$AB181),AF$6:AF149)</f>
        <v>30.5</v>
      </c>
      <c r="AG181" s="245">
        <f>SUMIF($S$6:$S149,CONCATENATE($S181,$AB181),AG$6:AG149)</f>
        <v>93.5</v>
      </c>
      <c r="AH181" s="245">
        <f>SUMIF($S$6:$S149,CONCATENATE($S181,$AB181),AH$6:AH149)</f>
        <v>2050</v>
      </c>
      <c r="AI181" s="242"/>
      <c r="AK181" s="90" t="s">
        <v>53</v>
      </c>
      <c r="AL181" s="76">
        <f t="shared" ref="AL181:AL187" si="151">AB181</f>
        <v>2010</v>
      </c>
      <c r="AM181" s="244">
        <f>SUMIF($S$6:$S149,CONCATENATE($AK181,$AL181),AM$6:AM149)</f>
        <v>0</v>
      </c>
      <c r="AN181" s="245">
        <f>SUMIF($S$6:$S149,CONCATENATE($AK181,$AL181),AN$6:AN149)</f>
        <v>0</v>
      </c>
      <c r="AO181" s="245">
        <f>SUMIF($S$6:$S149,CONCATENATE($AK181,$AL181),AO$6:AO149)</f>
        <v>0</v>
      </c>
      <c r="AP181" s="245">
        <f>SUMIF($S$6:$S149,CONCATENATE($AK181,$AL181),AP$6:AP149)</f>
        <v>0</v>
      </c>
      <c r="AQ181" s="245">
        <f>SUMIF($S$6:$S149,CONCATENATE($AK181,$AL181),AQ$6:AQ149)</f>
        <v>0</v>
      </c>
      <c r="AR181" s="245">
        <f>SUMIF($S$6:$S149,CONCATENATE($AK181,$AL181),AR$6:AR149)</f>
        <v>0</v>
      </c>
      <c r="AS181" s="242"/>
    </row>
    <row r="182" spans="1:47">
      <c r="A182" s="19" t="s">
        <v>215</v>
      </c>
      <c r="B182" s="64" t="s">
        <v>214</v>
      </c>
      <c r="C182" s="196"/>
      <c r="D182" s="215"/>
      <c r="E182" s="203"/>
      <c r="F182" s="197"/>
      <c r="G182" s="196"/>
      <c r="S182" s="94" t="s">
        <v>52</v>
      </c>
      <c r="AB182" s="21">
        <v>2011</v>
      </c>
      <c r="AC182" s="244">
        <f>SUMIF($S$6:$S150,CONCATENATE($S182,$AB182),AC$6:AC152)</f>
        <v>40</v>
      </c>
      <c r="AD182" s="245">
        <f>SUMIF($S$6:$S150,CONCATENATE($S182,$AB182),AD$6:AD152)</f>
        <v>94</v>
      </c>
      <c r="AE182" s="245">
        <f>SUMIF($S$6:$S150,CONCATENATE($S182,$AB182),AE$6:AE152)</f>
        <v>101</v>
      </c>
      <c r="AF182" s="245">
        <f>SUMIF($S$6:$S150,CONCATENATE($S182,$AB182),AF$6:AF152)</f>
        <v>64</v>
      </c>
      <c r="AG182" s="245">
        <f>SUMIF($S$6:$S150,CONCATENATE($S182,$AB182),AG$6:AG152)</f>
        <v>192</v>
      </c>
      <c r="AH182" s="245">
        <f>SUMIF($S$6:$S150,CONCATENATE($S182,$AB182),AH$6:AH152)</f>
        <v>15500</v>
      </c>
      <c r="AI182" s="242"/>
      <c r="AK182" s="90" t="s">
        <v>53</v>
      </c>
      <c r="AL182" s="76">
        <f t="shared" si="151"/>
        <v>2011</v>
      </c>
      <c r="AM182" s="244">
        <f>SUMIF($S$6:$S150,CONCATENATE($AK182,$AL182),AM$6:AM152)</f>
        <v>8</v>
      </c>
      <c r="AN182" s="245">
        <f>SUMIF($S$6:$S150,CONCATENATE($AK182,$AL182),AN$6:AN152)</f>
        <v>8</v>
      </c>
      <c r="AO182" s="245">
        <f>SUMIF($S$6:$S150,CONCATENATE($AK182,$AL182),AO$6:AO152)</f>
        <v>8</v>
      </c>
      <c r="AP182" s="245">
        <f>SUMIF($S$6:$S150,CONCATENATE($AK182,$AL182),AP$6:AP152)</f>
        <v>24</v>
      </c>
      <c r="AQ182" s="245">
        <f>SUMIF($S$6:$S150,CONCATENATE($AK182,$AL182),AQ$6:AQ152)</f>
        <v>48</v>
      </c>
      <c r="AR182" s="245">
        <f>SUMIF($S$6:$S150,CONCATENATE($AK182,$AL182),AR$6:AR152)</f>
        <v>500</v>
      </c>
      <c r="AS182" s="242"/>
    </row>
    <row r="183" spans="1:47">
      <c r="A183" s="9"/>
      <c r="B183" s="9"/>
      <c r="C183" s="196"/>
      <c r="D183" s="215"/>
      <c r="E183" s="197"/>
      <c r="F183" s="197"/>
      <c r="G183" s="196"/>
      <c r="S183" s="94" t="s">
        <v>52</v>
      </c>
      <c r="AB183" s="21">
        <v>2012</v>
      </c>
      <c r="AC183" s="244">
        <f>SUMIF($S$6:$S149,CONCATENATE($S183,$AB183),AC$6:AC149)</f>
        <v>160</v>
      </c>
      <c r="AD183" s="245">
        <f>SUMIF($S$6:$S149,CONCATENATE($S183,$AB183),AD$6:AD149)</f>
        <v>364</v>
      </c>
      <c r="AE183" s="245">
        <f>SUMIF($S$6:$S149,CONCATENATE($S183,$AB183),AE$6:AE149)</f>
        <v>92</v>
      </c>
      <c r="AF183" s="245">
        <f>SUMIF($S$6:$S149,CONCATENATE($S183,$AB183),AF$6:AF149)</f>
        <v>200.4</v>
      </c>
      <c r="AG183" s="245">
        <f>SUMIF($S$6:$S149,CONCATENATE($S183,$AB183),AG$6:AG149)</f>
        <v>112.8</v>
      </c>
      <c r="AH183" s="245">
        <f>SUMIF($S$6:$S149,CONCATENATE($S183,$AB183),AH$6:AH149)</f>
        <v>64720</v>
      </c>
      <c r="AI183" s="242"/>
      <c r="AK183" s="90" t="s">
        <v>53</v>
      </c>
      <c r="AL183" s="76">
        <f t="shared" si="151"/>
        <v>2012</v>
      </c>
      <c r="AM183" s="244">
        <f>SUMIF($S$6:$S149,CONCATENATE($AK183,$AL183),AM$6:AM149)</f>
        <v>25</v>
      </c>
      <c r="AN183" s="245">
        <f>SUMIF($S$6:$S149,CONCATENATE($AK183,$AL183),AN$6:AN149)</f>
        <v>116</v>
      </c>
      <c r="AO183" s="245">
        <f>SUMIF($S$6:$S149,CONCATENATE($AK183,$AL183),AO$6:AO149)</f>
        <v>84</v>
      </c>
      <c r="AP183" s="245">
        <f>SUMIF($S$6:$S149,CONCATENATE($AK183,$AL183),AP$6:AP149)</f>
        <v>80</v>
      </c>
      <c r="AQ183" s="245">
        <f>SUMIF($S$6:$S149,CONCATENATE($AK183,$AL183),AQ$6:AQ149)</f>
        <v>64</v>
      </c>
      <c r="AR183" s="245">
        <f>SUMIF($S$6:$S149,CONCATENATE($AK183,$AL183),AR$6:AR149)</f>
        <v>27600</v>
      </c>
      <c r="AS183" s="242"/>
    </row>
    <row r="184" spans="1:47">
      <c r="A184" s="9"/>
      <c r="B184" s="9"/>
      <c r="C184" s="196"/>
      <c r="D184" s="215"/>
      <c r="E184" s="203"/>
      <c r="F184" s="197"/>
      <c r="G184" s="196"/>
      <c r="S184" s="94" t="s">
        <v>52</v>
      </c>
      <c r="AB184" s="21">
        <v>2013</v>
      </c>
      <c r="AC184" s="244">
        <f>SUMIF($S$6:$S149,CONCATENATE($S184,$AB184),AC$6:AC149)</f>
        <v>0</v>
      </c>
      <c r="AD184" s="245">
        <f>SUMIF($S$6:$S149,CONCATENATE($S184,$AB184),AD$6:AD149)</f>
        <v>0</v>
      </c>
      <c r="AE184" s="245">
        <f>SUMIF($S$6:$S149,CONCATENATE($S184,$AB184),AE$6:AE149)</f>
        <v>0</v>
      </c>
      <c r="AF184" s="245">
        <f>SUMIF($S$6:$S149,CONCATENATE($S184,$AB184),AF$6:AF149)</f>
        <v>0</v>
      </c>
      <c r="AG184" s="245">
        <f>SUMIF($S$6:$S149,CONCATENATE($S184,$AB184),AG$6:AG149)</f>
        <v>0</v>
      </c>
      <c r="AH184" s="245">
        <f>SUMIF($S$6:$S149,CONCATENATE($S184,$AB184),AH$6:AH149)</f>
        <v>0</v>
      </c>
      <c r="AI184" s="242"/>
      <c r="AK184" s="90" t="s">
        <v>53</v>
      </c>
      <c r="AL184" s="76">
        <f t="shared" si="151"/>
        <v>2013</v>
      </c>
      <c r="AM184" s="244">
        <f>SUMIF($S$6:$S149,CONCATENATE($AK184,$AL184),AM$6:AM149)</f>
        <v>0</v>
      </c>
      <c r="AN184" s="245">
        <f>SUMIF($S$6:$S149,CONCATENATE($AK184,$AL184),AN$6:AN149)</f>
        <v>0</v>
      </c>
      <c r="AO184" s="245">
        <f>SUMIF($S$6:$S149,CONCATENATE($AK184,$AL184),AO$6:AO149)</f>
        <v>0</v>
      </c>
      <c r="AP184" s="245">
        <f>SUMIF($S$6:$S149,CONCATENATE($AK184,$AL184),AP$6:AP149)</f>
        <v>0</v>
      </c>
      <c r="AQ184" s="245">
        <f>SUMIF($S$6:$S149,CONCATENATE($AK184,$AL184),AQ$6:AQ149)</f>
        <v>0</v>
      </c>
      <c r="AR184" s="245">
        <f>SUMIF($S$6:$S149,CONCATENATE($AK184,$AL184),AR$6:AR149)</f>
        <v>0</v>
      </c>
      <c r="AS184" s="242"/>
    </row>
    <row r="185" spans="1:47">
      <c r="A185" s="9"/>
      <c r="B185" s="9"/>
      <c r="C185" s="196"/>
      <c r="D185" s="215"/>
      <c r="E185" s="203"/>
      <c r="F185" s="197"/>
      <c r="G185" s="196"/>
      <c r="S185" s="94" t="s">
        <v>52</v>
      </c>
      <c r="AB185" s="21">
        <v>2014</v>
      </c>
      <c r="AC185" s="244">
        <f>SUMIF($S$6:$S150,CONCATENATE($S185,$AB185),AC$6:AC150)</f>
        <v>0</v>
      </c>
      <c r="AD185" s="245">
        <f>SUMIF($S$6:$S150,CONCATENATE($S185,$AB185),AD$6:AD150)</f>
        <v>0</v>
      </c>
      <c r="AE185" s="245">
        <f>SUMIF($S$6:$S150,CONCATENATE($S185,$AB185),AE$6:AE150)</f>
        <v>0</v>
      </c>
      <c r="AF185" s="245">
        <f>SUMIF($S$6:$S150,CONCATENATE($S185,$AB185),AF$6:AF150)</f>
        <v>0</v>
      </c>
      <c r="AG185" s="245">
        <f>SUMIF($S$6:$S150,CONCATENATE($S185,$AB185),AG$6:AG150)</f>
        <v>0</v>
      </c>
      <c r="AH185" s="245">
        <f>SUMIF($S$6:$S150,CONCATENATE($S185,$AB185),AH$6:AH150)</f>
        <v>0</v>
      </c>
      <c r="AI185" s="242"/>
      <c r="AK185" s="90"/>
      <c r="AL185" s="76">
        <f>AB185</f>
        <v>2014</v>
      </c>
      <c r="AM185" s="244">
        <f>SUMIF($S$6:$S150,CONCATENATE($AK185,$AL185),AM$6:AM150)</f>
        <v>0</v>
      </c>
      <c r="AN185" s="245">
        <f>SUMIF($S$6:$S150,CONCATENATE($AK185,$AL185),AN$6:AN150)</f>
        <v>0</v>
      </c>
      <c r="AO185" s="245">
        <f>SUMIF($S$6:$S150,CONCATENATE($AK185,$AL185),AO$6:AO150)</f>
        <v>0</v>
      </c>
      <c r="AP185" s="245">
        <f>SUMIF($S$6:$S150,CONCATENATE($AK185,$AL185),AP$6:AP150)</f>
        <v>0</v>
      </c>
      <c r="AQ185" s="245">
        <f>SUMIF($S$6:$S150,CONCATENATE($AK185,$AL185),AQ$6:AQ150)</f>
        <v>0</v>
      </c>
      <c r="AR185" s="245">
        <f>SUMIF($S$6:$S150,CONCATENATE($AK185,$AL185),AR$6:AR150)</f>
        <v>0</v>
      </c>
      <c r="AS185" s="242"/>
    </row>
    <row r="186" spans="1:47">
      <c r="A186" s="9"/>
      <c r="B186" s="9"/>
      <c r="C186" s="196"/>
      <c r="D186" s="215"/>
      <c r="E186" s="197"/>
      <c r="F186" s="197"/>
      <c r="G186" s="196"/>
      <c r="S186" s="94" t="s">
        <v>52</v>
      </c>
      <c r="AB186" s="23" t="s">
        <v>136</v>
      </c>
      <c r="AC186" s="244">
        <f>SUMIF($S$6:$S149,CONCATENATE($S186,$AB186),AC$6:AC149)</f>
        <v>0</v>
      </c>
      <c r="AD186" s="245">
        <f>SUMIF($S$6:$S149,CONCATENATE($S186,$AB186),AD$6:AD149)</f>
        <v>0</v>
      </c>
      <c r="AE186" s="245">
        <f>SUMIF($S$6:$S149,CONCATENATE($S186,$AB186),AE$6:AE149)</f>
        <v>0</v>
      </c>
      <c r="AF186" s="245">
        <f>SUMIF($S$6:$S149,CONCATENATE($S186,$AB186),AF$6:AF149)</f>
        <v>0</v>
      </c>
      <c r="AG186" s="245">
        <f>SUMIF($S$6:$S149,CONCATENATE($S186,$AB186),AG$6:AG149)</f>
        <v>0</v>
      </c>
      <c r="AH186" s="245">
        <f>SUMIF($S$6:$S149,CONCATENATE($S186,$AB186),AH$6:AH149)</f>
        <v>0</v>
      </c>
      <c r="AI186" s="242"/>
      <c r="AK186" s="90" t="s">
        <v>53</v>
      </c>
      <c r="AL186" s="76" t="str">
        <f t="shared" si="151"/>
        <v>CONT</v>
      </c>
      <c r="AM186" s="244">
        <f>SUMIF($S$6:$S149,CONCATENATE($AK186,$AL186),AM$6:AM149)</f>
        <v>0</v>
      </c>
      <c r="AN186" s="245">
        <f>SUMIF($S$6:$S149,CONCATENATE($AK186,$AL186),AN$6:AN149)</f>
        <v>0</v>
      </c>
      <c r="AO186" s="245">
        <f>SUMIF($S$6:$S149,CONCATENATE($AK186,$AL186),AO$6:AO149)</f>
        <v>0</v>
      </c>
      <c r="AP186" s="245">
        <f>SUMIF($S$6:$S149,CONCATENATE($AK186,$AL186),AP$6:AP149)</f>
        <v>0</v>
      </c>
      <c r="AQ186" s="245">
        <f>SUMIF($S$6:$S149,CONCATENATE($AK186,$AL186),AQ$6:AQ149)</f>
        <v>0</v>
      </c>
      <c r="AR186" s="245">
        <f>SUMIF($S$6:$S149,CONCATENATE($AK186,$AL186),AR$6:AR149)</f>
        <v>0</v>
      </c>
      <c r="AS186" s="242"/>
    </row>
    <row r="187" spans="1:47">
      <c r="A187" s="9"/>
      <c r="B187" s="9"/>
      <c r="C187" s="196"/>
      <c r="D187" s="217"/>
      <c r="E187" s="203"/>
      <c r="F187" s="197"/>
      <c r="G187" s="204"/>
      <c r="S187" s="94" t="s">
        <v>52</v>
      </c>
      <c r="AB187" s="23" t="s">
        <v>132</v>
      </c>
      <c r="AC187" s="244">
        <f>SUMIF($S$6:$S149,CONCATENATE($S187,$AB187),AC$6:AC149)</f>
        <v>24</v>
      </c>
      <c r="AD187" s="245">
        <f>SUMIF($S$6:$S149,CONCATENATE($S187,$AB187),AD$6:AD149)</f>
        <v>144</v>
      </c>
      <c r="AE187" s="245">
        <f>SUMIF($S$6:$S149,CONCATENATE($S187,$AB187),AE$6:AE149)</f>
        <v>0</v>
      </c>
      <c r="AF187" s="245">
        <f>SUMIF($S$6:$S149,CONCATENATE($S187,$AB187),AF$6:AF149)</f>
        <v>160</v>
      </c>
      <c r="AG187" s="245">
        <f>SUMIF($S$6:$S149,CONCATENATE($S187,$AB187),AG$6:AG149)</f>
        <v>16</v>
      </c>
      <c r="AH187" s="245">
        <f>SUMIF($S$6:$S149,CONCATENATE($S187,$AB187),AH$6:AH149)</f>
        <v>4000</v>
      </c>
      <c r="AI187" s="242"/>
      <c r="AK187" s="90" t="s">
        <v>53</v>
      </c>
      <c r="AL187" s="76" t="str">
        <f t="shared" si="151"/>
        <v>STAR</v>
      </c>
      <c r="AM187" s="244">
        <f>SUMIF($S$6:$S149,CONCATENATE($AK187,$AL187),AM$6:AM149)</f>
        <v>0</v>
      </c>
      <c r="AN187" s="245">
        <f>SUMIF($S$6:$S149,CONCATENATE($AK187,$AL187),AN$6:AN149)</f>
        <v>0</v>
      </c>
      <c r="AO187" s="245">
        <f>SUMIF($S$6:$S149,CONCATENATE($AK187,$AL187),AO$6:AO149)</f>
        <v>0</v>
      </c>
      <c r="AP187" s="245">
        <f>SUMIF($S$6:$S149,CONCATENATE($AK187,$AL187),AP$6:AP149)</f>
        <v>16</v>
      </c>
      <c r="AQ187" s="245">
        <f>SUMIF($S$6:$S149,CONCATENATE($AK187,$AL187),AQ$6:AQ149)</f>
        <v>8</v>
      </c>
      <c r="AR187" s="245">
        <f>SUMIF($S$6:$S149,CONCATENATE($AK187,$AL187),AR$6:AR149)</f>
        <v>0</v>
      </c>
      <c r="AS187" s="242"/>
    </row>
    <row r="188" spans="1:47" ht="15.75">
      <c r="A188" s="9"/>
      <c r="B188" s="9"/>
      <c r="C188" s="196"/>
      <c r="D188" s="218"/>
      <c r="E188" s="197"/>
      <c r="F188" s="197"/>
      <c r="G188" s="196"/>
      <c r="AC188" s="283" t="s">
        <v>134</v>
      </c>
      <c r="AD188" s="284"/>
      <c r="AE188" s="284"/>
      <c r="AF188" s="284"/>
      <c r="AG188" s="284"/>
      <c r="AH188" s="284"/>
      <c r="AI188" s="285"/>
      <c r="AK188" s="90"/>
      <c r="AL188" s="78"/>
      <c r="AM188" s="283" t="s">
        <v>134</v>
      </c>
      <c r="AN188" s="284"/>
      <c r="AO188" s="284"/>
      <c r="AP188" s="284"/>
      <c r="AQ188" s="284"/>
      <c r="AR188" s="284"/>
      <c r="AS188" s="285"/>
      <c r="AU188" s="25"/>
    </row>
    <row r="189" spans="1:47">
      <c r="A189" s="9"/>
      <c r="B189" s="9"/>
      <c r="C189" s="196"/>
      <c r="D189" s="218"/>
      <c r="E189" s="205"/>
      <c r="F189" s="206"/>
      <c r="G189" s="196"/>
      <c r="AC189" s="24" t="s">
        <v>33</v>
      </c>
      <c r="AD189" s="13" t="s">
        <v>34</v>
      </c>
      <c r="AE189" s="6" t="s">
        <v>258</v>
      </c>
      <c r="AF189" s="13" t="s">
        <v>17</v>
      </c>
      <c r="AG189" s="6" t="s">
        <v>257</v>
      </c>
      <c r="AH189" s="13" t="s">
        <v>15</v>
      </c>
      <c r="AI189" s="26" t="s">
        <v>35</v>
      </c>
      <c r="AK189" s="90"/>
      <c r="AL189" s="78"/>
      <c r="AM189" s="24" t="s">
        <v>33</v>
      </c>
      <c r="AN189" s="13" t="s">
        <v>34</v>
      </c>
      <c r="AO189" s="6" t="s">
        <v>258</v>
      </c>
      <c r="AP189" s="13" t="s">
        <v>17</v>
      </c>
      <c r="AQ189" s="6" t="s">
        <v>257</v>
      </c>
      <c r="AR189" s="13" t="s">
        <v>15</v>
      </c>
      <c r="AS189" s="26" t="s">
        <v>35</v>
      </c>
    </row>
    <row r="190" spans="1:47">
      <c r="A190" s="9"/>
      <c r="B190" s="9"/>
      <c r="C190" s="196"/>
      <c r="D190" s="215"/>
      <c r="E190" s="205"/>
      <c r="F190" s="197"/>
      <c r="G190" s="196"/>
      <c r="S190" s="94" t="s">
        <v>52</v>
      </c>
      <c r="AB190" s="21">
        <f>AB180</f>
        <v>2009</v>
      </c>
      <c r="AC190" s="248">
        <f t="shared" ref="AC190:AC195" si="152">Shop_RD*AC180</f>
        <v>0</v>
      </c>
      <c r="AD190" s="246">
        <f t="shared" ref="AD190:AD195" si="153">MTECH_RD*AD180</f>
        <v>0</v>
      </c>
      <c r="AE190" s="246">
        <f t="shared" ref="AE190:AE195" si="154">CMM_RD*AE180</f>
        <v>0</v>
      </c>
      <c r="AF190" s="246">
        <f t="shared" ref="AF190:AF195" si="155">ENG_RD*AF180</f>
        <v>0</v>
      </c>
      <c r="AG190" s="246">
        <f t="shared" ref="AG190:AG195" si="156">DES_RD*AG180</f>
        <v>0</v>
      </c>
      <c r="AH190" s="246">
        <f t="shared" ref="AH190:AH195" si="157">AH180</f>
        <v>0</v>
      </c>
      <c r="AI190" s="249">
        <f t="shared" ref="AI190:AI195" si="158">SUM(AC190:AH190)</f>
        <v>0</v>
      </c>
      <c r="AK190" s="90" t="s">
        <v>53</v>
      </c>
      <c r="AL190" s="76">
        <f t="shared" ref="AL190:AL195" si="159">AB190</f>
        <v>2009</v>
      </c>
      <c r="AM190" s="248">
        <f t="shared" ref="AM190:AM195" si="160">Shop_RD*AM180</f>
        <v>0</v>
      </c>
      <c r="AN190" s="246">
        <f t="shared" ref="AN190:AN195" si="161">MTECH_RD*AN180</f>
        <v>0</v>
      </c>
      <c r="AO190" s="246">
        <f t="shared" ref="AO190:AO195" si="162">CMM_RD*AO180</f>
        <v>0</v>
      </c>
      <c r="AP190" s="246">
        <f t="shared" ref="AP190:AP195" si="163">ENG_RD*AP180</f>
        <v>0</v>
      </c>
      <c r="AQ190" s="246">
        <f t="shared" ref="AQ190:AQ195" si="164">DES_RD*AQ180</f>
        <v>0</v>
      </c>
      <c r="AR190" s="246">
        <f t="shared" ref="AR190:AR195" si="165">AR180</f>
        <v>0</v>
      </c>
      <c r="AS190" s="249">
        <f t="shared" ref="AS190:AS195" si="166">SUM(AM190:AR190)</f>
        <v>0</v>
      </c>
    </row>
    <row r="191" spans="1:47">
      <c r="A191" s="9"/>
      <c r="B191" s="9"/>
      <c r="C191" s="196"/>
      <c r="D191" s="215"/>
      <c r="E191" s="205"/>
      <c r="F191" s="197"/>
      <c r="G191" s="196"/>
      <c r="S191" s="94" t="s">
        <v>52</v>
      </c>
      <c r="AB191" s="21">
        <v>2010</v>
      </c>
      <c r="AC191" s="248">
        <f t="shared" si="152"/>
        <v>630</v>
      </c>
      <c r="AD191" s="246">
        <f t="shared" si="153"/>
        <v>7605</v>
      </c>
      <c r="AE191" s="246">
        <f t="shared" si="154"/>
        <v>0</v>
      </c>
      <c r="AF191" s="246">
        <f t="shared" si="155"/>
        <v>4575</v>
      </c>
      <c r="AG191" s="246">
        <f t="shared" si="156"/>
        <v>0</v>
      </c>
      <c r="AH191" s="246">
        <f t="shared" si="157"/>
        <v>2050</v>
      </c>
      <c r="AI191" s="249">
        <f t="shared" si="158"/>
        <v>14860</v>
      </c>
      <c r="AK191" s="90" t="s">
        <v>53</v>
      </c>
      <c r="AL191" s="76">
        <f t="shared" si="159"/>
        <v>2010</v>
      </c>
      <c r="AM191" s="248">
        <f t="shared" si="160"/>
        <v>0</v>
      </c>
      <c r="AN191" s="246">
        <f t="shared" si="161"/>
        <v>0</v>
      </c>
      <c r="AO191" s="246">
        <f t="shared" si="162"/>
        <v>0</v>
      </c>
      <c r="AP191" s="246">
        <f t="shared" si="163"/>
        <v>0</v>
      </c>
      <c r="AQ191" s="246">
        <f t="shared" si="164"/>
        <v>0</v>
      </c>
      <c r="AR191" s="246">
        <f t="shared" si="165"/>
        <v>0</v>
      </c>
      <c r="AS191" s="249">
        <f t="shared" si="166"/>
        <v>0</v>
      </c>
    </row>
    <row r="192" spans="1:47">
      <c r="A192" s="9"/>
      <c r="B192" s="9"/>
      <c r="C192" s="196"/>
      <c r="D192" s="215"/>
      <c r="E192" s="205"/>
      <c r="F192" s="197"/>
      <c r="G192" s="196"/>
      <c r="S192" s="94" t="s">
        <v>52</v>
      </c>
      <c r="AB192" s="21">
        <v>2011</v>
      </c>
      <c r="AC192" s="248">
        <f t="shared" si="152"/>
        <v>5040</v>
      </c>
      <c r="AD192" s="246">
        <f t="shared" si="153"/>
        <v>10998</v>
      </c>
      <c r="AE192" s="246">
        <f t="shared" si="154"/>
        <v>0</v>
      </c>
      <c r="AF192" s="246">
        <f t="shared" si="155"/>
        <v>9600</v>
      </c>
      <c r="AG192" s="246">
        <f t="shared" si="156"/>
        <v>0</v>
      </c>
      <c r="AH192" s="246">
        <f t="shared" si="157"/>
        <v>15500</v>
      </c>
      <c r="AI192" s="249">
        <f t="shared" si="158"/>
        <v>41138</v>
      </c>
      <c r="AK192" s="90" t="s">
        <v>53</v>
      </c>
      <c r="AL192" s="76">
        <f t="shared" si="159"/>
        <v>2011</v>
      </c>
      <c r="AM192" s="248">
        <f t="shared" si="160"/>
        <v>1008</v>
      </c>
      <c r="AN192" s="246">
        <f t="shared" si="161"/>
        <v>936</v>
      </c>
      <c r="AO192" s="246">
        <f t="shared" si="162"/>
        <v>0</v>
      </c>
      <c r="AP192" s="246">
        <f t="shared" si="163"/>
        <v>3600</v>
      </c>
      <c r="AQ192" s="246">
        <f t="shared" si="164"/>
        <v>0</v>
      </c>
      <c r="AR192" s="246">
        <f t="shared" si="165"/>
        <v>500</v>
      </c>
      <c r="AS192" s="249">
        <f t="shared" si="166"/>
        <v>6044</v>
      </c>
    </row>
    <row r="193" spans="19:50">
      <c r="S193" s="94" t="s">
        <v>52</v>
      </c>
      <c r="AB193" s="21">
        <f>AB183</f>
        <v>2012</v>
      </c>
      <c r="AC193" s="248">
        <f t="shared" si="152"/>
        <v>20160</v>
      </c>
      <c r="AD193" s="246">
        <f t="shared" si="153"/>
        <v>42588</v>
      </c>
      <c r="AE193" s="246">
        <f t="shared" si="154"/>
        <v>0</v>
      </c>
      <c r="AF193" s="246">
        <f t="shared" si="155"/>
        <v>30060</v>
      </c>
      <c r="AG193" s="246">
        <f t="shared" si="156"/>
        <v>0</v>
      </c>
      <c r="AH193" s="246">
        <f t="shared" si="157"/>
        <v>64720</v>
      </c>
      <c r="AI193" s="249">
        <f t="shared" si="158"/>
        <v>157528</v>
      </c>
      <c r="AK193" s="90" t="s">
        <v>53</v>
      </c>
      <c r="AL193" s="76">
        <f t="shared" si="159"/>
        <v>2012</v>
      </c>
      <c r="AM193" s="248">
        <f t="shared" si="160"/>
        <v>3150</v>
      </c>
      <c r="AN193" s="246">
        <f t="shared" si="161"/>
        <v>13572</v>
      </c>
      <c r="AO193" s="246">
        <f t="shared" si="162"/>
        <v>0</v>
      </c>
      <c r="AP193" s="246">
        <f t="shared" si="163"/>
        <v>12000</v>
      </c>
      <c r="AQ193" s="246">
        <f t="shared" si="164"/>
        <v>0</v>
      </c>
      <c r="AR193" s="246">
        <f t="shared" si="165"/>
        <v>27600</v>
      </c>
      <c r="AS193" s="249">
        <f t="shared" si="166"/>
        <v>56322</v>
      </c>
    </row>
    <row r="194" spans="19:50">
      <c r="S194" s="94" t="s">
        <v>52</v>
      </c>
      <c r="AB194" s="21">
        <f>AB184</f>
        <v>2013</v>
      </c>
      <c r="AC194" s="248">
        <f t="shared" si="152"/>
        <v>0</v>
      </c>
      <c r="AD194" s="246">
        <f t="shared" si="153"/>
        <v>0</v>
      </c>
      <c r="AE194" s="246">
        <f t="shared" si="154"/>
        <v>0</v>
      </c>
      <c r="AF194" s="246">
        <f t="shared" si="155"/>
        <v>0</v>
      </c>
      <c r="AG194" s="246">
        <f t="shared" si="156"/>
        <v>0</v>
      </c>
      <c r="AH194" s="246">
        <f t="shared" si="157"/>
        <v>0</v>
      </c>
      <c r="AI194" s="249">
        <f t="shared" si="158"/>
        <v>0</v>
      </c>
      <c r="AK194" s="90"/>
      <c r="AL194" s="76">
        <f t="shared" si="159"/>
        <v>2013</v>
      </c>
      <c r="AM194" s="248">
        <f t="shared" si="160"/>
        <v>0</v>
      </c>
      <c r="AN194" s="246">
        <f t="shared" si="161"/>
        <v>0</v>
      </c>
      <c r="AO194" s="246">
        <f t="shared" si="162"/>
        <v>0</v>
      </c>
      <c r="AP194" s="246">
        <f t="shared" si="163"/>
        <v>0</v>
      </c>
      <c r="AQ194" s="246">
        <f t="shared" si="164"/>
        <v>0</v>
      </c>
      <c r="AR194" s="246">
        <f t="shared" si="165"/>
        <v>0</v>
      </c>
      <c r="AS194" s="249">
        <f t="shared" si="166"/>
        <v>0</v>
      </c>
    </row>
    <row r="195" spans="19:50" ht="13.5" thickBot="1">
      <c r="S195" s="94" t="s">
        <v>52</v>
      </c>
      <c r="AB195" s="21">
        <f>AB185</f>
        <v>2014</v>
      </c>
      <c r="AC195" s="252">
        <f t="shared" si="152"/>
        <v>0</v>
      </c>
      <c r="AD195" s="253">
        <f t="shared" si="153"/>
        <v>0</v>
      </c>
      <c r="AE195" s="253">
        <f t="shared" si="154"/>
        <v>0</v>
      </c>
      <c r="AF195" s="253">
        <f t="shared" si="155"/>
        <v>0</v>
      </c>
      <c r="AG195" s="253">
        <f t="shared" si="156"/>
        <v>0</v>
      </c>
      <c r="AH195" s="253">
        <f t="shared" si="157"/>
        <v>0</v>
      </c>
      <c r="AI195" s="254">
        <f t="shared" si="158"/>
        <v>0</v>
      </c>
      <c r="AK195" s="90" t="s">
        <v>53</v>
      </c>
      <c r="AL195" s="76">
        <f t="shared" si="159"/>
        <v>2014</v>
      </c>
      <c r="AM195" s="252">
        <f t="shared" si="160"/>
        <v>0</v>
      </c>
      <c r="AN195" s="253">
        <f t="shared" si="161"/>
        <v>0</v>
      </c>
      <c r="AO195" s="253">
        <f t="shared" si="162"/>
        <v>0</v>
      </c>
      <c r="AP195" s="253">
        <f t="shared" si="163"/>
        <v>0</v>
      </c>
      <c r="AQ195" s="253">
        <f t="shared" si="164"/>
        <v>0</v>
      </c>
      <c r="AR195" s="253">
        <f t="shared" si="165"/>
        <v>0</v>
      </c>
      <c r="AS195" s="254">
        <f t="shared" si="166"/>
        <v>0</v>
      </c>
    </row>
    <row r="196" spans="19:50" ht="15.75" thickTop="1">
      <c r="AH196" s="67" t="s">
        <v>44</v>
      </c>
      <c r="AI196" s="67">
        <f>SUM(AI190:AI195)</f>
        <v>213526</v>
      </c>
      <c r="AK196" s="90"/>
      <c r="AL196" s="7"/>
      <c r="AM196" s="144"/>
      <c r="AN196" s="144"/>
      <c r="AO196" s="144"/>
      <c r="AP196" s="144"/>
      <c r="AQ196" s="78"/>
      <c r="AR196" s="67" t="s">
        <v>42</v>
      </c>
      <c r="AS196" s="67">
        <f>SUM(AS190:AS195)</f>
        <v>62366</v>
      </c>
      <c r="AW196" s="66"/>
      <c r="AX196" s="66"/>
    </row>
    <row r="197" spans="19:50">
      <c r="AR197" s="77" t="s">
        <v>58</v>
      </c>
      <c r="AS197" s="258">
        <f>AS196/AI196</f>
        <v>0.29207684310107435</v>
      </c>
    </row>
    <row r="198" spans="19:50" ht="13.5" thickBot="1"/>
    <row r="199" spans="19:50" ht="15.75" thickTop="1">
      <c r="AC199" s="294" t="s">
        <v>56</v>
      </c>
      <c r="AD199" s="295"/>
      <c r="AE199" s="295"/>
      <c r="AF199" s="295"/>
      <c r="AG199" s="295"/>
      <c r="AH199" s="295"/>
      <c r="AI199" s="296"/>
      <c r="AK199" s="90"/>
      <c r="AL199" s="78"/>
      <c r="AM199" s="294" t="s">
        <v>57</v>
      </c>
      <c r="AN199" s="295"/>
      <c r="AO199" s="295"/>
      <c r="AP199" s="295"/>
      <c r="AQ199" s="295"/>
      <c r="AR199" s="295"/>
      <c r="AS199" s="296"/>
    </row>
    <row r="200" spans="19:50">
      <c r="AC200" s="24" t="s">
        <v>11</v>
      </c>
      <c r="AD200" s="13" t="s">
        <v>10</v>
      </c>
      <c r="AE200" s="6" t="s">
        <v>258</v>
      </c>
      <c r="AF200" s="13" t="s">
        <v>17</v>
      </c>
      <c r="AG200" s="6" t="s">
        <v>257</v>
      </c>
      <c r="AH200" s="13" t="s">
        <v>15</v>
      </c>
      <c r="AI200" s="242"/>
      <c r="AK200" s="90"/>
      <c r="AL200" s="78"/>
      <c r="AM200" s="24" t="s">
        <v>11</v>
      </c>
      <c r="AN200" s="13" t="s">
        <v>10</v>
      </c>
      <c r="AO200" s="6" t="s">
        <v>258</v>
      </c>
      <c r="AP200" s="13" t="s">
        <v>17</v>
      </c>
      <c r="AQ200" s="6" t="s">
        <v>257</v>
      </c>
      <c r="AR200" s="13" t="s">
        <v>15</v>
      </c>
      <c r="AS200" s="242"/>
    </row>
    <row r="201" spans="19:50">
      <c r="S201" s="94" t="s">
        <v>51</v>
      </c>
      <c r="AB201" s="21">
        <v>2009</v>
      </c>
      <c r="AC201" s="244">
        <f>SUMIF($S$6:$S149,CONCATENATE($S201,$AB201),AC$6:AC149)</f>
        <v>0</v>
      </c>
      <c r="AD201" s="245">
        <f>SUMIF($S$6:$S149,CONCATENATE($S201,$AB201),AD$6:AD149)</f>
        <v>0</v>
      </c>
      <c r="AE201" s="245">
        <f>SUMIF($S$6:$S149,CONCATENATE($S201,$AB201),AE$6:AE149)</f>
        <v>0</v>
      </c>
      <c r="AF201" s="245">
        <f>SUMIF($S$6:$S149,CONCATENATE($S201,$AB201),AF$6:AF149)</f>
        <v>0</v>
      </c>
      <c r="AG201" s="245">
        <f>SUMIF($S$6:$S149,CONCATENATE($S201,$AB201),AG$6:AG149)</f>
        <v>0</v>
      </c>
      <c r="AH201" s="245">
        <f>SUMIF($S$6:$S149,CONCATENATE($S201,$AB201),AH$6:AH149)</f>
        <v>0</v>
      </c>
      <c r="AI201" s="242"/>
      <c r="AK201" s="90" t="s">
        <v>54</v>
      </c>
      <c r="AL201" s="76">
        <f>AB201</f>
        <v>2009</v>
      </c>
      <c r="AM201" s="244">
        <f>SUMIF($S$6:$S149,CONCATENATE($AK201,$AL201),AM$6:AM149)</f>
        <v>0</v>
      </c>
      <c r="AN201" s="245">
        <f>SUMIF($S$6:$S149,CONCATENATE($AK201,$AL201),AN$6:AN149)</f>
        <v>0</v>
      </c>
      <c r="AO201" s="245">
        <f>SUMIF($S$6:$S149,CONCATENATE($AK201,$AL201),AO$6:AO149)</f>
        <v>0</v>
      </c>
      <c r="AP201" s="245">
        <f>SUMIF($S$6:$S149,CONCATENATE($AK201,$AL201),AP$6:AP149)</f>
        <v>0</v>
      </c>
      <c r="AQ201" s="245">
        <f>SUMIF($S$6:$S149,CONCATENATE($AK201,$AL201),AQ$6:AQ149)</f>
        <v>0</v>
      </c>
      <c r="AR201" s="245">
        <f>SUMIF($S$6:$S149,CONCATENATE($AK201,$AL201),AR$6:AR149)</f>
        <v>0</v>
      </c>
      <c r="AS201" s="242"/>
    </row>
    <row r="202" spans="19:50">
      <c r="S202" s="94" t="s">
        <v>51</v>
      </c>
      <c r="AB202" s="21">
        <v>2010</v>
      </c>
      <c r="AC202" s="244">
        <f>SUMIF($S$5:$S149,CONCATENATE($S202,$AB202),AC$5:AC149)</f>
        <v>0</v>
      </c>
      <c r="AD202" s="245">
        <f>SUMIF($S$5:$S149,CONCATENATE($S202,$AB202),AD$5:AD149)</f>
        <v>8</v>
      </c>
      <c r="AE202" s="245">
        <f>SUMIF($S$5:$S149,CONCATENATE($S202,$AB202),AE$5:AE149)</f>
        <v>64</v>
      </c>
      <c r="AF202" s="245">
        <f>SUMIF($S$5:$S149,CONCATENATE($S202,$AB202),AF$5:AF149)</f>
        <v>76</v>
      </c>
      <c r="AG202" s="245">
        <f>SUMIF($S$5:$S149,CONCATENATE($S202,$AB202),AG$5:AG149)</f>
        <v>64</v>
      </c>
      <c r="AH202" s="245">
        <f>SUMIF($S$5:$S149,CONCATENATE($S202,$AB202),AH$5:AH149)</f>
        <v>41400</v>
      </c>
      <c r="AI202" s="242"/>
      <c r="AK202" s="90" t="s">
        <v>54</v>
      </c>
      <c r="AL202" s="76">
        <f t="shared" ref="AL202:AL208" si="167">AB202</f>
        <v>2010</v>
      </c>
      <c r="AM202" s="244">
        <f>SUMIF($S$6:$S149,CONCATENATE($AK202,$AL202),AM$6:AM149)</f>
        <v>0</v>
      </c>
      <c r="AN202" s="245">
        <f>SUMIF($S$6:$S149,CONCATENATE($AK202,$AL202),AN$6:AN149)</f>
        <v>0</v>
      </c>
      <c r="AO202" s="245">
        <f>SUMIF($S$6:$S149,CONCATENATE($AK202,$AL202),AO$6:AO149)</f>
        <v>0</v>
      </c>
      <c r="AP202" s="245">
        <f>SUMIF($S$6:$S149,CONCATENATE($AK202,$AL202),AP$6:AP149)</f>
        <v>0</v>
      </c>
      <c r="AQ202" s="245">
        <f>SUMIF($S$6:$S149,CONCATENATE($AK202,$AL202),AQ$6:AQ149)</f>
        <v>0</v>
      </c>
      <c r="AR202" s="245">
        <f>SUMIF($S$6:$S149,CONCATENATE($AK202,$AL202),AR$6:AR149)</f>
        <v>0</v>
      </c>
      <c r="AS202" s="242"/>
    </row>
    <row r="203" spans="19:50">
      <c r="S203" s="94" t="s">
        <v>51</v>
      </c>
      <c r="AB203" s="21">
        <v>2011</v>
      </c>
      <c r="AC203" s="244">
        <f>SUMIF($S$5:$S149,CONCATENATE($S203,$AB203),AC$5:AC149)</f>
        <v>0</v>
      </c>
      <c r="AD203" s="245">
        <f>SUMIF($S$5:$S149,CONCATENATE($S203,$AB203),AD$5:AD149)</f>
        <v>48</v>
      </c>
      <c r="AE203" s="245">
        <f>SUMIF($S$5:$S149,CONCATENATE($S203,$AB203),AE$5:AE149)</f>
        <v>152</v>
      </c>
      <c r="AF203" s="245">
        <f>SUMIF($S$5:$S149,CONCATENATE($S203,$AB203),AF$5:AF149)</f>
        <v>48</v>
      </c>
      <c r="AG203" s="245">
        <f>SUMIF($S$5:$S149,CONCATENATE($S203,$AB203),AG$5:AG149)</f>
        <v>32</v>
      </c>
      <c r="AH203" s="245">
        <f>SUMIF($S$5:$S149,CONCATENATE($S203,$AB203),AH$5:AH149)</f>
        <v>6500</v>
      </c>
      <c r="AI203" s="242"/>
      <c r="AK203" s="90" t="s">
        <v>54</v>
      </c>
      <c r="AL203" s="76">
        <f t="shared" si="167"/>
        <v>2011</v>
      </c>
      <c r="AM203" s="244">
        <f>SUMIF($S$5:$S149,CONCATENATE($AK203,$AL203),AM$5:AM149)</f>
        <v>0</v>
      </c>
      <c r="AN203" s="245">
        <f>SUMIF($S$5:$S149,CONCATENATE($AK203,$AL203),AN$5:AN149)</f>
        <v>48</v>
      </c>
      <c r="AO203" s="245">
        <f>SUMIF($S$5:$S149,CONCATENATE($AK203,$AL203),AO$5:AO149)</f>
        <v>176</v>
      </c>
      <c r="AP203" s="245">
        <f>SUMIF($S$5:$S149,CONCATENATE($AK203,$AL203),AP$5:AP149)</f>
        <v>68</v>
      </c>
      <c r="AQ203" s="245">
        <f>SUMIF($S$5:$S149,CONCATENATE($AK203,$AL203),AQ$5:AQ149)</f>
        <v>80</v>
      </c>
      <c r="AR203" s="245">
        <f>SUMIF($S$5:$S149,CONCATENATE($AK203,$AL203),AR$5:AR149)</f>
        <v>3500</v>
      </c>
      <c r="AS203" s="242"/>
    </row>
    <row r="204" spans="19:50">
      <c r="S204" s="94" t="s">
        <v>51</v>
      </c>
      <c r="AB204" s="21">
        <v>2012</v>
      </c>
      <c r="AC204" s="244">
        <f>SUMIF($S$5:$S150,CONCATENATE($S204,$AB204),AC$5:AC152)</f>
        <v>32</v>
      </c>
      <c r="AD204" s="245">
        <f>SUMIF($S$5:$S150,CONCATENATE($S204,$AB204),AD$5:AD152)</f>
        <v>689.2</v>
      </c>
      <c r="AE204" s="245">
        <f>SUMIF($S$5:$S150,CONCATENATE($S204,$AB204),AE$5:AE152)</f>
        <v>342</v>
      </c>
      <c r="AF204" s="245">
        <f>SUMIF($S$5:$S150,CONCATENATE($S204,$AB204),AF$5:AF152)</f>
        <v>135.19999999999999</v>
      </c>
      <c r="AG204" s="245">
        <f>SUMIF($S$5:$S150,CONCATENATE($S204,$AB204),AG$5:AG152)</f>
        <v>185.60000000000002</v>
      </c>
      <c r="AH204" s="245">
        <f>SUMIF($S$5:$S150,CONCATENATE($S204,$AB204),AH$5:AH152)</f>
        <v>46940</v>
      </c>
      <c r="AI204" s="242"/>
      <c r="AK204" s="90" t="s">
        <v>54</v>
      </c>
      <c r="AL204" s="76">
        <f t="shared" si="167"/>
        <v>2012</v>
      </c>
      <c r="AM204" s="244">
        <f>SUMIF($S$5:$S150,CONCATENATE($AK204,$AL204),AM$5:AM152)</f>
        <v>20</v>
      </c>
      <c r="AN204" s="245">
        <f>SUMIF($S$5:$S150,CONCATENATE($AK204,$AL204),AN$5:AN152)</f>
        <v>96</v>
      </c>
      <c r="AO204" s="245">
        <f>SUMIF($S$5:$S150,CONCATENATE($AK204,$AL204),AO$5:AO152)</f>
        <v>88</v>
      </c>
      <c r="AP204" s="245">
        <f>SUMIF($S$5:$S150,CONCATENATE($AK204,$AL204),AP$5:AP152)</f>
        <v>112</v>
      </c>
      <c r="AQ204" s="245">
        <f>SUMIF($S$5:$S150,CONCATENATE($AK204,$AL204),AQ$5:AQ152)</f>
        <v>72</v>
      </c>
      <c r="AR204" s="245">
        <f>SUMIF($S$5:$S150,CONCATENATE($AK204,$AL204),AR$5:AR152)</f>
        <v>14700</v>
      </c>
      <c r="AS204" s="242"/>
    </row>
    <row r="205" spans="19:50">
      <c r="S205" s="94" t="s">
        <v>51</v>
      </c>
      <c r="AB205" s="21">
        <v>2013</v>
      </c>
      <c r="AC205" s="244">
        <f>SUMIF($S$5:$S151,CONCATENATE($S205,$AB205),AC$5:AC151)</f>
        <v>4</v>
      </c>
      <c r="AD205" s="245">
        <f>SUMIF($S$5:$S151,CONCATENATE($S205,$AB205),AD$5:AD151)</f>
        <v>710.40000000000009</v>
      </c>
      <c r="AE205" s="245">
        <f>SUMIF($S$5:$S151,CONCATENATE($S205,$AB205),AE$5:AE151)</f>
        <v>372</v>
      </c>
      <c r="AF205" s="245">
        <f>SUMIF($S$5:$S151,CONCATENATE($S205,$AB205),AF$5:AF151)</f>
        <v>53.800000000000004</v>
      </c>
      <c r="AG205" s="245">
        <f>SUMIF($S$5:$S151,CONCATENATE($S205,$AB205),AG$5:AG151)</f>
        <v>111</v>
      </c>
      <c r="AH205" s="245">
        <f>SUMIF($S$5:$S151,CONCATENATE($S205,$AB205),AH$5:AH151)</f>
        <v>35820</v>
      </c>
      <c r="AI205" s="242"/>
      <c r="AK205" s="90" t="s">
        <v>54</v>
      </c>
      <c r="AL205" s="76">
        <f t="shared" si="167"/>
        <v>2013</v>
      </c>
      <c r="AM205" s="244">
        <f>SUMIF($S$5:$S151,CONCATENATE($AK205,$AL205),AM$5:AM151)</f>
        <v>8</v>
      </c>
      <c r="AN205" s="245">
        <f>SUMIF($S$5:$S151,CONCATENATE($AK205,$AL205),AN$5:AN151)</f>
        <v>68</v>
      </c>
      <c r="AO205" s="245">
        <f>SUMIF($S$5:$S151,CONCATENATE($AK205,$AL205),AO$5:AO151)</f>
        <v>80</v>
      </c>
      <c r="AP205" s="245">
        <f>SUMIF($S$5:$S151,CONCATENATE($AK205,$AL205),AP$5:AP151)</f>
        <v>28.6</v>
      </c>
      <c r="AQ205" s="245">
        <f>SUMIF($S$5:$S151,CONCATENATE($AK205,$AL205),AQ$5:AQ151)</f>
        <v>65.2</v>
      </c>
      <c r="AR205" s="245">
        <f>SUMIF($S$5:$S151,CONCATENATE($AK205,$AL205),AR$5:AR151)</f>
        <v>9900</v>
      </c>
      <c r="AS205" s="242"/>
    </row>
    <row r="206" spans="19:50">
      <c r="S206" s="94" t="s">
        <v>51</v>
      </c>
      <c r="AB206" s="21">
        <v>2014</v>
      </c>
      <c r="AC206" s="244">
        <f>SUMIF($S$5:$S152,CONCATENATE($S206,$AB206),AC$5:AC152)</f>
        <v>0</v>
      </c>
      <c r="AD206" s="245">
        <f>SUMIF($S$5:$S152,CONCATENATE($S206,$AB206),AD$5:AD152)</f>
        <v>0</v>
      </c>
      <c r="AE206" s="245">
        <f>SUMIF($S$5:$S152,CONCATENATE($S206,$AB206),AE$5:AE152)</f>
        <v>0</v>
      </c>
      <c r="AF206" s="245">
        <f>SUMIF($S$5:$S152,CONCATENATE($S206,$AB206),AF$5:AF152)</f>
        <v>0</v>
      </c>
      <c r="AG206" s="245">
        <f>SUMIF($S$5:$S152,CONCATENATE($S206,$AB206),AG$5:AG152)</f>
        <v>0</v>
      </c>
      <c r="AH206" s="245">
        <f>SUMIF($S$5:$S152,CONCATENATE($S206,$AB206),AH$5:AH152)</f>
        <v>0</v>
      </c>
      <c r="AI206" s="242"/>
      <c r="AK206" s="90"/>
      <c r="AL206" s="76">
        <f>AB206</f>
        <v>2014</v>
      </c>
      <c r="AM206" s="244">
        <f>SUMIF($S$5:$S152,CONCATENATE($AK206,$AL206),AM$5:AM152)</f>
        <v>0</v>
      </c>
      <c r="AN206" s="245">
        <f>SUMIF($S$5:$S152,CONCATENATE($AK206,$AL206),AN$5:AN152)</f>
        <v>0</v>
      </c>
      <c r="AO206" s="245">
        <f>SUMIF($S$5:$S152,CONCATENATE($AK206,$AL206),AO$5:AO152)</f>
        <v>0</v>
      </c>
      <c r="AP206" s="245">
        <f>SUMIF($S$5:$S152,CONCATENATE($AK206,$AL206),AP$5:AP152)</f>
        <v>0</v>
      </c>
      <c r="AQ206" s="245">
        <f>SUMIF($S$5:$S152,CONCATENATE($AK206,$AL206),AQ$5:AQ152)</f>
        <v>0</v>
      </c>
      <c r="AR206" s="245">
        <f>SUMIF($S$5:$S152,CONCATENATE($AK206,$AL206),AR$5:AR152)</f>
        <v>0</v>
      </c>
      <c r="AS206" s="242"/>
    </row>
    <row r="207" spans="19:50">
      <c r="S207" s="94" t="s">
        <v>51</v>
      </c>
      <c r="AB207" s="23" t="s">
        <v>136</v>
      </c>
      <c r="AC207" s="244">
        <f>SUMIF($S$5:$S149,CONCATENATE($S207,$AB207),AC$5:AC149)</f>
        <v>0</v>
      </c>
      <c r="AD207" s="245">
        <f>SUMIF($S$5:$S149,CONCATENATE($S207,$AB207),AD$5:AD149)</f>
        <v>0</v>
      </c>
      <c r="AE207" s="245">
        <f>SUMIF($S$5:$S149,CONCATENATE($S207,$AB207),AE$5:AE149)</f>
        <v>0</v>
      </c>
      <c r="AF207" s="245">
        <f>SUMIF($S$5:$S149,CONCATENATE($S207,$AB207),AF$5:AF149)</f>
        <v>0</v>
      </c>
      <c r="AG207" s="245">
        <f>SUMIF($S$5:$S149,CONCATENATE($S207,$AB207),AG$5:AG149)</f>
        <v>0</v>
      </c>
      <c r="AH207" s="245">
        <f>SUMIF($S$5:$S149,CONCATENATE($S207,$AB207),AH$5:AH149)</f>
        <v>0</v>
      </c>
      <c r="AI207" s="242"/>
      <c r="AK207" s="90" t="s">
        <v>54</v>
      </c>
      <c r="AL207" s="76" t="str">
        <f t="shared" si="167"/>
        <v>CONT</v>
      </c>
      <c r="AM207" s="244">
        <f>SUMIF($S$5:$S149,CONCATENATE($AK207,$AL207),AM$5:AM149)</f>
        <v>0</v>
      </c>
      <c r="AN207" s="245">
        <f>SUMIF($S$5:$S149,CONCATENATE($AK207,$AL207),AN$5:AN149)</f>
        <v>0</v>
      </c>
      <c r="AO207" s="245">
        <f>SUMIF($S$5:$S149,CONCATENATE($AK207,$AL207),AO$5:AO149)</f>
        <v>0</v>
      </c>
      <c r="AP207" s="245">
        <f>SUMIF($S$5:$S149,CONCATENATE($AK207,$AL207),AP$5:AP149)</f>
        <v>0</v>
      </c>
      <c r="AQ207" s="245">
        <f>SUMIF($S$5:$S149,CONCATENATE($AK207,$AL207),AQ$5:AQ149)</f>
        <v>0</v>
      </c>
      <c r="AR207" s="245">
        <f>SUMIF($S$5:$S149,CONCATENATE($AK207,$AL207),AR$5:AR149)</f>
        <v>0</v>
      </c>
      <c r="AS207" s="242"/>
    </row>
    <row r="208" spans="19:50">
      <c r="S208" s="94" t="s">
        <v>51</v>
      </c>
      <c r="AB208" s="23" t="s">
        <v>132</v>
      </c>
      <c r="AC208" s="244">
        <f>SUMIF($S$5:$S149,CONCATENATE($S208,$AB208),AC$5:AC149)</f>
        <v>16</v>
      </c>
      <c r="AD208" s="245">
        <f>SUMIF($S$5:$S149,CONCATENATE($S208,$AB208),AD$5:AD149)</f>
        <v>80</v>
      </c>
      <c r="AE208" s="245">
        <f>SUMIF($S$5:$S149,CONCATENATE($S208,$AB208),AE$5:AE149)</f>
        <v>40</v>
      </c>
      <c r="AF208" s="245">
        <f>SUMIF($S$5:$S149,CONCATENATE($S208,$AB208),AF$5:AF149)</f>
        <v>120</v>
      </c>
      <c r="AG208" s="245">
        <f>SUMIF($S$5:$S149,CONCATENATE($S208,$AB208),AG$5:AG149)</f>
        <v>16</v>
      </c>
      <c r="AH208" s="245">
        <f>SUMIF($S$5:$S149,CONCATENATE($S208,$AB208),AH$5:AH149)</f>
        <v>8000</v>
      </c>
      <c r="AI208" s="242"/>
      <c r="AK208" s="90" t="s">
        <v>54</v>
      </c>
      <c r="AL208" s="76" t="str">
        <f t="shared" si="167"/>
        <v>STAR</v>
      </c>
      <c r="AM208" s="244">
        <f>SUMIF($S$5:$S149,CONCATENATE($AK208,$AL208),AM$5:AM149)</f>
        <v>0</v>
      </c>
      <c r="AN208" s="245">
        <f>SUMIF($S$5:$S149,CONCATENATE($AK208,$AL208),AN$5:AN149)</f>
        <v>0</v>
      </c>
      <c r="AO208" s="245">
        <f>SUMIF($S$5:$S149,CONCATENATE($AK208,$AL208),AO$5:AO149)</f>
        <v>0</v>
      </c>
      <c r="AP208" s="245">
        <f>SUMIF($S$5:$S149,CONCATENATE($AK208,$AL208),AP$5:AP149)</f>
        <v>0</v>
      </c>
      <c r="AQ208" s="245">
        <f>SUMIF($S$5:$S149,CONCATENATE($AK208,$AL208),AQ$5:AQ149)</f>
        <v>0</v>
      </c>
      <c r="AR208" s="245">
        <f>SUMIF($S$5:$S149,CONCATENATE($AK208,$AL208),AR$5:AR149)</f>
        <v>0</v>
      </c>
      <c r="AS208" s="242"/>
    </row>
    <row r="209" spans="19:45" ht="15.75">
      <c r="AC209" s="283" t="s">
        <v>134</v>
      </c>
      <c r="AD209" s="284"/>
      <c r="AE209" s="284"/>
      <c r="AF209" s="284"/>
      <c r="AG209" s="284"/>
      <c r="AH209" s="284"/>
      <c r="AI209" s="285"/>
      <c r="AK209" s="90"/>
      <c r="AL209" s="78"/>
      <c r="AM209" s="283" t="s">
        <v>134</v>
      </c>
      <c r="AN209" s="284"/>
      <c r="AO209" s="284"/>
      <c r="AP209" s="284"/>
      <c r="AQ209" s="284"/>
      <c r="AR209" s="284"/>
      <c r="AS209" s="285"/>
    </row>
    <row r="210" spans="19:45">
      <c r="AC210" s="24" t="s">
        <v>33</v>
      </c>
      <c r="AD210" s="13" t="s">
        <v>34</v>
      </c>
      <c r="AE210" s="6" t="s">
        <v>258</v>
      </c>
      <c r="AF210" s="13" t="s">
        <v>17</v>
      </c>
      <c r="AG210" s="6" t="s">
        <v>257</v>
      </c>
      <c r="AH210" s="13" t="s">
        <v>15</v>
      </c>
      <c r="AI210" s="26" t="s">
        <v>35</v>
      </c>
      <c r="AK210" s="90"/>
      <c r="AL210" s="78"/>
      <c r="AM210" s="24" t="s">
        <v>33</v>
      </c>
      <c r="AN210" s="13" t="s">
        <v>34</v>
      </c>
      <c r="AO210" s="6" t="s">
        <v>258</v>
      </c>
      <c r="AP210" s="13" t="s">
        <v>17</v>
      </c>
      <c r="AQ210" s="6" t="s">
        <v>257</v>
      </c>
      <c r="AR210" s="13" t="s">
        <v>15</v>
      </c>
      <c r="AS210" s="26" t="s">
        <v>35</v>
      </c>
    </row>
    <row r="211" spans="19:45">
      <c r="S211" s="94" t="s">
        <v>51</v>
      </c>
      <c r="AB211" s="21">
        <f>AB201</f>
        <v>2009</v>
      </c>
      <c r="AC211" s="248">
        <f t="shared" ref="AC211:AC216" si="168">Shop*AC201</f>
        <v>0</v>
      </c>
      <c r="AD211" s="246">
        <f t="shared" ref="AD211:AD216" si="169">M_Tech*AD201</f>
        <v>0</v>
      </c>
      <c r="AE211" s="246">
        <f t="shared" ref="AE211:AE216" si="170">CMM*AE201</f>
        <v>0</v>
      </c>
      <c r="AF211" s="246">
        <f t="shared" ref="AF211:AF216" si="171">ENG*AF201</f>
        <v>0</v>
      </c>
      <c r="AG211" s="246">
        <f t="shared" ref="AG211:AG216" si="172">DES*AG201</f>
        <v>0</v>
      </c>
      <c r="AH211" s="246">
        <f t="shared" ref="AH211:AH216" si="173">AH201</f>
        <v>0</v>
      </c>
      <c r="AI211" s="249">
        <f t="shared" ref="AI211:AI216" si="174">SUM(AC211:AH211)</f>
        <v>0</v>
      </c>
      <c r="AK211" s="90" t="s">
        <v>54</v>
      </c>
      <c r="AL211" s="76">
        <f t="shared" ref="AL211:AL216" si="175">AB211</f>
        <v>2009</v>
      </c>
      <c r="AM211" s="248">
        <f t="shared" ref="AM211:AM216" si="176">Shop*AM201</f>
        <v>0</v>
      </c>
      <c r="AN211" s="246">
        <f t="shared" ref="AN211:AN216" si="177">M_Tech*AN201</f>
        <v>0</v>
      </c>
      <c r="AO211" s="246">
        <f t="shared" ref="AO211:AO216" si="178">CMM*AO201</f>
        <v>0</v>
      </c>
      <c r="AP211" s="246">
        <f>ENG*AP201</f>
        <v>0</v>
      </c>
      <c r="AQ211" s="246">
        <f t="shared" ref="AQ211:AQ216" si="179">DES*AQ201</f>
        <v>0</v>
      </c>
      <c r="AR211" s="246">
        <f t="shared" ref="AR211:AR216" si="180">AR201</f>
        <v>0</v>
      </c>
      <c r="AS211" s="249">
        <f t="shared" ref="AS211:AS216" si="181">SUM(AM211:AR211)</f>
        <v>0</v>
      </c>
    </row>
    <row r="212" spans="19:45">
      <c r="S212" s="94" t="s">
        <v>51</v>
      </c>
      <c r="AB212" s="21">
        <v>2010</v>
      </c>
      <c r="AC212" s="248">
        <f t="shared" si="168"/>
        <v>0</v>
      </c>
      <c r="AD212" s="246">
        <f t="shared" si="169"/>
        <v>758.16000000000008</v>
      </c>
      <c r="AE212" s="246">
        <f t="shared" si="170"/>
        <v>0</v>
      </c>
      <c r="AF212" s="246">
        <f t="shared" si="171"/>
        <v>9234.0000000000018</v>
      </c>
      <c r="AG212" s="246">
        <f t="shared" si="172"/>
        <v>0</v>
      </c>
      <c r="AH212" s="246">
        <f t="shared" si="173"/>
        <v>41400</v>
      </c>
      <c r="AI212" s="249">
        <f t="shared" si="174"/>
        <v>51392.160000000003</v>
      </c>
      <c r="AK212" s="90" t="s">
        <v>54</v>
      </c>
      <c r="AL212" s="76">
        <f t="shared" si="175"/>
        <v>2010</v>
      </c>
      <c r="AM212" s="248">
        <f t="shared" si="176"/>
        <v>0</v>
      </c>
      <c r="AN212" s="246">
        <f t="shared" si="177"/>
        <v>0</v>
      </c>
      <c r="AO212" s="246">
        <f t="shared" si="178"/>
        <v>0</v>
      </c>
      <c r="AP212" s="246">
        <f>ENG*AP202</f>
        <v>0</v>
      </c>
      <c r="AQ212" s="246">
        <f t="shared" si="179"/>
        <v>0</v>
      </c>
      <c r="AR212" s="246">
        <f t="shared" si="180"/>
        <v>0</v>
      </c>
      <c r="AS212" s="249">
        <f t="shared" si="181"/>
        <v>0</v>
      </c>
    </row>
    <row r="213" spans="19:45">
      <c r="S213" s="94" t="s">
        <v>51</v>
      </c>
      <c r="AB213" s="21">
        <v>2011</v>
      </c>
      <c r="AC213" s="248">
        <f t="shared" si="168"/>
        <v>0</v>
      </c>
      <c r="AD213" s="246">
        <f t="shared" si="169"/>
        <v>4548.9600000000009</v>
      </c>
      <c r="AE213" s="246">
        <f t="shared" si="170"/>
        <v>0</v>
      </c>
      <c r="AF213" s="246">
        <f t="shared" si="171"/>
        <v>5832.0000000000009</v>
      </c>
      <c r="AG213" s="246">
        <f t="shared" si="172"/>
        <v>0</v>
      </c>
      <c r="AH213" s="246">
        <f t="shared" si="173"/>
        <v>6500</v>
      </c>
      <c r="AI213" s="249">
        <f t="shared" si="174"/>
        <v>16880.960000000003</v>
      </c>
      <c r="AK213" s="90" t="s">
        <v>54</v>
      </c>
      <c r="AL213" s="76">
        <f t="shared" si="175"/>
        <v>2011</v>
      </c>
      <c r="AM213" s="248">
        <f t="shared" si="176"/>
        <v>0</v>
      </c>
      <c r="AN213" s="246">
        <f t="shared" si="177"/>
        <v>4548.9600000000009</v>
      </c>
      <c r="AO213" s="246">
        <f t="shared" si="178"/>
        <v>0</v>
      </c>
      <c r="AP213" s="246">
        <f>ENG*AP203</f>
        <v>8262.0000000000018</v>
      </c>
      <c r="AQ213" s="246">
        <f t="shared" si="179"/>
        <v>0</v>
      </c>
      <c r="AR213" s="246">
        <f t="shared" si="180"/>
        <v>3500</v>
      </c>
      <c r="AS213" s="249">
        <f t="shared" si="181"/>
        <v>16310.960000000003</v>
      </c>
    </row>
    <row r="214" spans="19:45">
      <c r="S214" s="94" t="s">
        <v>51</v>
      </c>
      <c r="AB214" s="21">
        <f>AB204</f>
        <v>2012</v>
      </c>
      <c r="AC214" s="248">
        <f t="shared" si="168"/>
        <v>3265.92</v>
      </c>
      <c r="AD214" s="246">
        <f t="shared" si="169"/>
        <v>65315.484000000011</v>
      </c>
      <c r="AE214" s="246">
        <f t="shared" si="170"/>
        <v>0</v>
      </c>
      <c r="AF214" s="246">
        <f t="shared" si="171"/>
        <v>16426.8</v>
      </c>
      <c r="AG214" s="246">
        <f t="shared" si="172"/>
        <v>0</v>
      </c>
      <c r="AH214" s="246">
        <f t="shared" si="173"/>
        <v>46940</v>
      </c>
      <c r="AI214" s="249">
        <f t="shared" si="174"/>
        <v>131948.20400000003</v>
      </c>
      <c r="AK214" s="90" t="s">
        <v>54</v>
      </c>
      <c r="AL214" s="76">
        <f t="shared" si="175"/>
        <v>2012</v>
      </c>
      <c r="AM214" s="248">
        <f t="shared" si="176"/>
        <v>2041.2</v>
      </c>
      <c r="AN214" s="246">
        <f t="shared" si="177"/>
        <v>9097.9200000000019</v>
      </c>
      <c r="AO214" s="246">
        <f t="shared" si="178"/>
        <v>0</v>
      </c>
      <c r="AP214" s="246">
        <f>ENG*AP202</f>
        <v>0</v>
      </c>
      <c r="AQ214" s="246">
        <f t="shared" si="179"/>
        <v>0</v>
      </c>
      <c r="AR214" s="246">
        <f t="shared" si="180"/>
        <v>14700</v>
      </c>
      <c r="AS214" s="249">
        <f t="shared" si="181"/>
        <v>25839.120000000003</v>
      </c>
    </row>
    <row r="215" spans="19:45">
      <c r="S215" s="94" t="s">
        <v>51</v>
      </c>
      <c r="AB215" s="21">
        <f>AB205</f>
        <v>2013</v>
      </c>
      <c r="AC215" s="248">
        <f t="shared" si="168"/>
        <v>408.24</v>
      </c>
      <c r="AD215" s="246">
        <f t="shared" si="169"/>
        <v>67324.608000000022</v>
      </c>
      <c r="AE215" s="246">
        <f t="shared" si="170"/>
        <v>0</v>
      </c>
      <c r="AF215" s="246">
        <f t="shared" si="171"/>
        <v>6536.7000000000016</v>
      </c>
      <c r="AG215" s="246">
        <f t="shared" si="172"/>
        <v>0</v>
      </c>
      <c r="AH215" s="246">
        <f t="shared" si="173"/>
        <v>35820</v>
      </c>
      <c r="AI215" s="249">
        <f t="shared" si="174"/>
        <v>110089.54800000002</v>
      </c>
      <c r="AK215" s="90"/>
      <c r="AL215" s="76">
        <f t="shared" si="175"/>
        <v>2013</v>
      </c>
      <c r="AM215" s="248">
        <f t="shared" si="176"/>
        <v>816.48</v>
      </c>
      <c r="AN215" s="246">
        <f t="shared" si="177"/>
        <v>6444.3600000000006</v>
      </c>
      <c r="AO215" s="246">
        <f t="shared" si="178"/>
        <v>0</v>
      </c>
      <c r="AP215" s="246">
        <f>ENG*AP203</f>
        <v>8262.0000000000018</v>
      </c>
      <c r="AQ215" s="246">
        <f t="shared" si="179"/>
        <v>0</v>
      </c>
      <c r="AR215" s="246">
        <f t="shared" si="180"/>
        <v>9900</v>
      </c>
      <c r="AS215" s="249">
        <f t="shared" si="181"/>
        <v>25422.840000000004</v>
      </c>
    </row>
    <row r="216" spans="19:45" ht="13.5" thickBot="1">
      <c r="S216" s="94" t="s">
        <v>51</v>
      </c>
      <c r="AB216" s="21">
        <f>AB206</f>
        <v>2014</v>
      </c>
      <c r="AC216" s="252">
        <f t="shared" si="168"/>
        <v>0</v>
      </c>
      <c r="AD216" s="253">
        <f t="shared" si="169"/>
        <v>0</v>
      </c>
      <c r="AE216" s="253">
        <f t="shared" si="170"/>
        <v>0</v>
      </c>
      <c r="AF216" s="253">
        <f t="shared" si="171"/>
        <v>0</v>
      </c>
      <c r="AG216" s="253">
        <f t="shared" si="172"/>
        <v>0</v>
      </c>
      <c r="AH216" s="253">
        <f t="shared" si="173"/>
        <v>0</v>
      </c>
      <c r="AI216" s="254">
        <f t="shared" si="174"/>
        <v>0</v>
      </c>
      <c r="AK216" s="90" t="s">
        <v>54</v>
      </c>
      <c r="AL216" s="76">
        <f t="shared" si="175"/>
        <v>2014</v>
      </c>
      <c r="AM216" s="252">
        <f t="shared" si="176"/>
        <v>0</v>
      </c>
      <c r="AN216" s="253">
        <f t="shared" si="177"/>
        <v>0</v>
      </c>
      <c r="AO216" s="253">
        <f t="shared" si="178"/>
        <v>0</v>
      </c>
      <c r="AP216" s="253">
        <f>ENG*AP204</f>
        <v>13608.000000000002</v>
      </c>
      <c r="AQ216" s="253">
        <f t="shared" si="179"/>
        <v>0</v>
      </c>
      <c r="AR216" s="253">
        <f t="shared" si="180"/>
        <v>0</v>
      </c>
      <c r="AS216" s="254">
        <f t="shared" si="181"/>
        <v>13608.000000000002</v>
      </c>
    </row>
    <row r="217" spans="19:45" ht="15.75" thickTop="1">
      <c r="AH217" s="67" t="s">
        <v>44</v>
      </c>
      <c r="AI217" s="67">
        <f>SUM(AI211:AI216)</f>
        <v>310310.87200000003</v>
      </c>
      <c r="AK217" s="90"/>
      <c r="AL217" s="7"/>
      <c r="AM217" s="144"/>
      <c r="AN217" s="144"/>
      <c r="AO217" s="144"/>
      <c r="AP217" s="144"/>
      <c r="AQ217" s="78"/>
      <c r="AR217" s="67" t="s">
        <v>42</v>
      </c>
      <c r="AS217" s="67">
        <f>SUM(AS211:AS216)</f>
        <v>81180.920000000013</v>
      </c>
    </row>
    <row r="218" spans="19:45">
      <c r="AR218" s="77" t="s">
        <v>58</v>
      </c>
      <c r="AS218" s="258">
        <f>AS217/AI217</f>
        <v>0.26161158800778339</v>
      </c>
    </row>
  </sheetData>
  <mergeCells count="22">
    <mergeCell ref="AC209:AI209"/>
    <mergeCell ref="AM199:AS199"/>
    <mergeCell ref="AM209:AS209"/>
    <mergeCell ref="AC178:AI178"/>
    <mergeCell ref="AC188:AI188"/>
    <mergeCell ref="AM178:AS178"/>
    <mergeCell ref="AM188:AS188"/>
    <mergeCell ref="AC199:AI199"/>
    <mergeCell ref="AC166:AI166"/>
    <mergeCell ref="AM166:AS166"/>
    <mergeCell ref="Q2:AB2"/>
    <mergeCell ref="AC2:AI2"/>
    <mergeCell ref="AM2:AS2"/>
    <mergeCell ref="AC156:AI156"/>
    <mergeCell ref="AM156:AS156"/>
    <mergeCell ref="S1:T1"/>
    <mergeCell ref="W1:AA1"/>
    <mergeCell ref="C156:L156"/>
    <mergeCell ref="C178:L179"/>
    <mergeCell ref="N147:P147"/>
    <mergeCell ref="N74:P74"/>
    <mergeCell ref="N102:P102"/>
  </mergeCells>
  <phoneticPr fontId="0" type="noConversion"/>
  <conditionalFormatting sqref="N103 N75 O105 L148:O148 A148:N150 A74:M75 B22:N23 A77 A107:A108 A122 A131 A136 A140 A81 B106:K109 G116:K121 A5:A8 B6:N8 B26:N33 A22:A33 B112:N112 A102:M103 A101:N101 B99:N99 D96:K100 L95:N100 B95:C100 A95:N95 A53:N53 L105:M111 N106:N111 B111:K111 B113:K114 B77:N94 A88 B45:N55 B58:N73 A45:A73 A62:N63 F122:K122 B127:N127 G123:K143 L113:N143 B116:F143 B144:N146 A34:N44 A9:N21 A32:N32">
    <cfRule type="expression" dxfId="10" priority="66" stopIfTrue="1">
      <formula>IF($N5=0,TRUE,FALSE)</formula>
    </cfRule>
  </conditionalFormatting>
  <conditionalFormatting sqref="A99:A100 A94 A92 A142:A143">
    <cfRule type="expression" dxfId="9" priority="68" stopIfTrue="1">
      <formula>IF($N88=0,TRUE,FALSE)</formula>
    </cfRule>
  </conditionalFormatting>
  <conditionalFormatting sqref="A116:A121 A109 A78:A80 A137:A139 A87 A82:A83 A96:A97 A114 A111 A91 A123 A126:A127 A129:A130 A132:A133 A135 A144:A146">
    <cfRule type="expression" dxfId="8" priority="76" stopIfTrue="1">
      <formula>IF($N77=0,TRUE,FALSE)</formula>
    </cfRule>
  </conditionalFormatting>
  <conditionalFormatting sqref="A110:K110">
    <cfRule type="expression" dxfId="7" priority="77" stopIfTrue="1">
      <formula>IF($N102=0,TRUE,FALSE)</formula>
    </cfRule>
  </conditionalFormatting>
  <conditionalFormatting sqref="A84:A86 A98:A99 A141:A142 A93:A94">
    <cfRule type="expression" dxfId="6" priority="80" stopIfTrue="1">
      <formula>IF($N81=0,TRUE,FALSE)</formula>
    </cfRule>
  </conditionalFormatting>
  <conditionalFormatting sqref="A112:A113 A89:A90 A124:A125 A128">
    <cfRule type="expression" dxfId="5" priority="81" stopIfTrue="1">
      <formula>IF($N87=0,TRUE,FALSE)</formula>
    </cfRule>
  </conditionalFormatting>
  <conditionalFormatting sqref="A136:K136 O136">
    <cfRule type="expression" dxfId="4" priority="73" stopIfTrue="1">
      <formula>IF(#REF!=0,TRUE,FALSE)</formula>
    </cfRule>
  </conditionalFormatting>
  <conditionalFormatting sqref="A106">
    <cfRule type="expression" dxfId="3" priority="79" stopIfTrue="1">
      <formula>IF(#REF!=0,TRUE,FALSE)</formula>
    </cfRule>
  </conditionalFormatting>
  <conditionalFormatting sqref="A115:K115">
    <cfRule type="expression" dxfId="2" priority="90" stopIfTrue="1">
      <formula>IF($N110=0,TRUE,FALSE)</formula>
    </cfRule>
  </conditionalFormatting>
  <conditionalFormatting sqref="A127">
    <cfRule type="expression" dxfId="1" priority="1" stopIfTrue="1">
      <formula>IF($N125=0,TRUE,FALSE)</formula>
    </cfRule>
  </conditionalFormatting>
  <conditionalFormatting sqref="A134">
    <cfRule type="expression" dxfId="0" priority="98" stopIfTrue="1">
      <formula>IF(#REF!=0,TRUE,FALSE)</formula>
    </cfRule>
  </conditionalFormatting>
  <dataValidations count="7">
    <dataValidation type="list" allowBlank="1" showInputMessage="1" showErrorMessage="1" sqref="Y155:Y176 O155:O176">
      <formula1>"2009, 2010, 2011, 2012, 2013, 2014, STAR, LBNL,"</formula1>
    </dataValidation>
    <dataValidation type="list" allowBlank="1" showInputMessage="1" showErrorMessage="1" sqref="Q155:Q176 Q106:Q146 Q77:Q101 R81:U81 R77:U77 R95:U95 R65:U65 R70:U70 R101:U101 R115:U115 Q105:U105 R110:U110 R122:U122 R88:U88 R39:U39 R140:U140 Q6:Q23 R13:U13 R23:U23 R49:U49 R55:U55 Q58:Q73 R131:U131 R136:U136 Q26:Q55">
      <formula1>"B,C"</formula1>
    </dataValidation>
    <dataValidation type="list" allowBlank="1" showInputMessage="1" showErrorMessage="1" sqref="U155:U176">
      <formula1>$B$156:$B$171</formula1>
    </dataValidation>
    <dataValidation type="list" allowBlank="1" showInputMessage="1" showErrorMessage="1" sqref="AB137:AB139 AB123:AB130 AB111:AB114 AB58:AB64 AB50:AB54 AB66:AB69 AB71:AB73 AB82:AB87 AB89:AB94 AB106:AB109 AB116:AB121 AB26:AB38 AB14:AB22 AB141:AB146 AB6:AB12 AB40:AB48 AB78:AB80 AB132:AB135 AB96:AB100">
      <formula1>"2009, 2010, 2011, 2012, 2013, 2014, STAR, CONT,"</formula1>
    </dataValidation>
    <dataValidation type="list" allowBlank="1" showInputMessage="1" showErrorMessage="1" sqref="R137:R139 R123:R130 R82:R87 R78:R80 R66:R69 R71:R73 R89:R94 R96:R100 R111:R114 R116:R121 R106:R109 R40:R48 R141:R146 R14:R22 R6:R12 R50:R54 R58:R64 R132:R135 R26:R38">
      <formula1>"PD, PT"</formula1>
    </dataValidation>
    <dataValidation type="list" allowBlank="1" showInputMessage="1" showErrorMessage="1" sqref="AB140 AB95 AB122 AB81 AB77 AB65 AB101 AB70 AB115 AB105 AB110 AB88 AB39 AB23 AB13 AB49 AB55 AB131 AB136">
      <formula1>"2007, 2008, 2009, 2010, Hytec, LANL"</formula1>
    </dataValidation>
    <dataValidation type="list" allowBlank="1" showInputMessage="1" showErrorMessage="1" sqref="U123:U130 U14:U22 U50:U54 U116:U121 U89:U94 U96:U100 U66:U69 U106:U109 U137:U139 U6:U12 U78:U80 U132:U135 U58:U64 U111:U114 U82:U87 U141:U146 U71:U73 U40:U48 U26:U38">
      <formula1>$B$156:$B$182</formula1>
    </dataValidation>
  </dataValidations>
  <pageMargins left="0.12" right="0.13" top="0.33" bottom="0.25" header="0.18" footer="0.12"/>
  <pageSetup paperSize="160" scale="31" orientation="portrait" r:id="rId1"/>
  <headerFooter alignWithMargins="0">
    <oddHeader xml:space="preserve">&amp;LPHENIX&amp;CFull Project Estimate&amp;R25-October 2007 </oddHeader>
    <oddFooter>&amp;RE Anderssen, LBNL</oddFooter>
  </headerFooter>
  <legacyDrawing r:id="rId2"/>
</worksheet>
</file>

<file path=xl/worksheets/sheet4.xml><?xml version="1.0" encoding="utf-8"?>
<worksheet xmlns="http://schemas.openxmlformats.org/spreadsheetml/2006/main" xmlns:r="http://schemas.openxmlformats.org/officeDocument/2006/relationships">
  <dimension ref="B2:M24"/>
  <sheetViews>
    <sheetView workbookViewId="0">
      <selection activeCell="B9" sqref="B9"/>
    </sheetView>
  </sheetViews>
  <sheetFormatPr defaultRowHeight="12.75"/>
  <cols>
    <col min="2" max="2" width="11.140625" customWidth="1"/>
    <col min="3" max="3" width="11.42578125" bestFit="1" customWidth="1"/>
    <col min="7" max="7" width="14.28515625" bestFit="1" customWidth="1"/>
    <col min="13" max="13" width="10.28515625" customWidth="1"/>
  </cols>
  <sheetData>
    <row r="2" spans="2:13">
      <c r="G2" s="300" t="s">
        <v>147</v>
      </c>
      <c r="H2" s="300"/>
      <c r="I2" s="300"/>
      <c r="J2" s="300"/>
      <c r="K2" s="300"/>
      <c r="L2" s="300"/>
      <c r="M2" s="300"/>
    </row>
    <row r="3" spans="2:13">
      <c r="C3" s="19" t="s">
        <v>148</v>
      </c>
      <c r="D3" s="74" t="s">
        <v>146</v>
      </c>
      <c r="H3" s="19" t="s">
        <v>103</v>
      </c>
      <c r="I3" s="19" t="s">
        <v>104</v>
      </c>
      <c r="J3" s="19" t="s">
        <v>105</v>
      </c>
      <c r="L3" s="106" t="s">
        <v>104</v>
      </c>
    </row>
    <row r="4" spans="2:13" ht="15">
      <c r="B4" s="19" t="s">
        <v>25</v>
      </c>
      <c r="C4" s="128">
        <f>D4*$C$14</f>
        <v>102.06</v>
      </c>
      <c r="D4" s="127">
        <v>126</v>
      </c>
      <c r="G4" s="19" t="s">
        <v>6</v>
      </c>
      <c r="H4" s="19" t="s">
        <v>106</v>
      </c>
      <c r="I4" s="19" t="s">
        <v>107</v>
      </c>
      <c r="J4" s="19" t="s">
        <v>108</v>
      </c>
      <c r="K4" s="19" t="s">
        <v>18</v>
      </c>
      <c r="L4" s="106" t="s">
        <v>108</v>
      </c>
      <c r="M4" s="19" t="s">
        <v>18</v>
      </c>
    </row>
    <row r="5" spans="2:13" ht="15">
      <c r="B5" s="19" t="s">
        <v>22</v>
      </c>
      <c r="C5" s="128">
        <f>D5*$C$14</f>
        <v>0</v>
      </c>
      <c r="D5" s="127">
        <v>0</v>
      </c>
      <c r="G5" s="19" t="s">
        <v>7</v>
      </c>
      <c r="H5" s="19">
        <v>9.8000000000000004E-2</v>
      </c>
      <c r="I5" s="107">
        <f t="shared" ref="I5:I22" si="0">H5*454/(2.54^3)</f>
        <v>2.7150684222628292</v>
      </c>
      <c r="J5">
        <v>8</v>
      </c>
      <c r="K5" s="19" t="s">
        <v>109</v>
      </c>
      <c r="L5" s="108">
        <f t="shared" ref="L5:L16" si="1">J5/484</f>
        <v>1.6528925619834711E-2</v>
      </c>
      <c r="M5" s="19" t="s">
        <v>110</v>
      </c>
    </row>
    <row r="6" spans="2:13" ht="15">
      <c r="B6" s="19" t="s">
        <v>26</v>
      </c>
      <c r="C6" s="128">
        <f>D6*$C$14</f>
        <v>94.77000000000001</v>
      </c>
      <c r="D6" s="127">
        <v>117</v>
      </c>
      <c r="G6" s="19" t="s">
        <v>111</v>
      </c>
      <c r="H6" s="19">
        <v>9.8000000000000004E-2</v>
      </c>
      <c r="I6" s="107">
        <f t="shared" si="0"/>
        <v>2.7150684222628292</v>
      </c>
      <c r="J6">
        <v>10</v>
      </c>
      <c r="K6" s="19" t="s">
        <v>109</v>
      </c>
      <c r="L6" s="108">
        <f t="shared" si="1"/>
        <v>2.0661157024793389E-2</v>
      </c>
      <c r="M6" s="19" t="s">
        <v>110</v>
      </c>
    </row>
    <row r="7" spans="2:13" ht="15">
      <c r="B7" s="19" t="s">
        <v>27</v>
      </c>
      <c r="C7" s="128">
        <f>D7*$C$14</f>
        <v>121.50000000000001</v>
      </c>
      <c r="D7" s="127">
        <v>150</v>
      </c>
      <c r="G7" s="19" t="s">
        <v>100</v>
      </c>
      <c r="H7" s="19">
        <v>9.8000000000000004E-2</v>
      </c>
      <c r="I7" s="107">
        <f t="shared" si="0"/>
        <v>2.7150684222628292</v>
      </c>
      <c r="J7">
        <v>8</v>
      </c>
      <c r="K7" s="19" t="s">
        <v>109</v>
      </c>
      <c r="L7" s="108">
        <f t="shared" si="1"/>
        <v>1.6528925619834711E-2</v>
      </c>
      <c r="M7" s="19" t="s">
        <v>110</v>
      </c>
    </row>
    <row r="8" spans="2:13" ht="15">
      <c r="B8" s="19" t="s">
        <v>264</v>
      </c>
      <c r="C8" s="128">
        <f>D8*$C$14</f>
        <v>0</v>
      </c>
      <c r="D8" s="127">
        <v>0</v>
      </c>
      <c r="G8" s="19" t="s">
        <v>112</v>
      </c>
      <c r="H8" s="19">
        <v>9.8000000000000004E-2</v>
      </c>
      <c r="I8" s="107">
        <f t="shared" si="0"/>
        <v>2.7150684222628292</v>
      </c>
      <c r="J8">
        <v>10</v>
      </c>
      <c r="K8" s="19" t="s">
        <v>109</v>
      </c>
      <c r="L8" s="108">
        <f t="shared" si="1"/>
        <v>2.0661157024793389E-2</v>
      </c>
      <c r="M8" s="19" t="s">
        <v>110</v>
      </c>
    </row>
    <row r="9" spans="2:13">
      <c r="G9" s="19" t="s">
        <v>113</v>
      </c>
      <c r="H9">
        <v>0.19800000000000001</v>
      </c>
      <c r="I9" s="107">
        <f t="shared" si="0"/>
        <v>5.4855464041636752</v>
      </c>
      <c r="J9">
        <v>15</v>
      </c>
      <c r="K9" s="19" t="s">
        <v>109</v>
      </c>
      <c r="L9" s="108">
        <f t="shared" si="1"/>
        <v>3.0991735537190084E-2</v>
      </c>
      <c r="M9" s="19" t="s">
        <v>110</v>
      </c>
    </row>
    <row r="10" spans="2:13">
      <c r="B10" s="268" t="s">
        <v>151</v>
      </c>
      <c r="C10" s="301"/>
      <c r="D10" s="301"/>
      <c r="G10" s="19" t="s">
        <v>114</v>
      </c>
      <c r="H10">
        <v>0.19800000000000001</v>
      </c>
      <c r="I10" s="107">
        <f t="shared" si="0"/>
        <v>5.4855464041636752</v>
      </c>
      <c r="J10">
        <v>20</v>
      </c>
      <c r="K10" s="19" t="s">
        <v>109</v>
      </c>
      <c r="L10" s="108">
        <f t="shared" si="1"/>
        <v>4.1322314049586778E-2</v>
      </c>
      <c r="M10" s="19" t="s">
        <v>110</v>
      </c>
    </row>
    <row r="11" spans="2:13">
      <c r="B11" s="301"/>
      <c r="C11" s="301"/>
      <c r="D11" s="301"/>
      <c r="G11" s="19" t="s">
        <v>63</v>
      </c>
      <c r="H11">
        <v>0.29799999999999999</v>
      </c>
      <c r="I11" s="107">
        <f t="shared" si="0"/>
        <v>8.2560243860645208</v>
      </c>
      <c r="J11">
        <v>3</v>
      </c>
      <c r="K11" s="19" t="s">
        <v>109</v>
      </c>
      <c r="L11" s="108">
        <f t="shared" si="1"/>
        <v>6.1983471074380167E-3</v>
      </c>
      <c r="M11" s="19" t="s">
        <v>110</v>
      </c>
    </row>
    <row r="12" spans="2:13">
      <c r="B12" s="301"/>
      <c r="C12" s="301"/>
      <c r="D12" s="301"/>
      <c r="G12" s="19" t="s">
        <v>115</v>
      </c>
      <c r="H12">
        <v>0.29799999999999999</v>
      </c>
      <c r="I12" s="107">
        <f t="shared" si="0"/>
        <v>8.2560243860645208</v>
      </c>
      <c r="J12">
        <v>15</v>
      </c>
      <c r="K12" s="19" t="s">
        <v>109</v>
      </c>
      <c r="L12" s="108">
        <f t="shared" si="1"/>
        <v>3.0991735537190084E-2</v>
      </c>
      <c r="M12" s="19" t="s">
        <v>110</v>
      </c>
    </row>
    <row r="13" spans="2:13">
      <c r="G13" s="19" t="s">
        <v>116</v>
      </c>
      <c r="H13">
        <v>6.5000000000000002E-2</v>
      </c>
      <c r="I13" s="107">
        <f t="shared" si="0"/>
        <v>1.8008106882355499</v>
      </c>
      <c r="J13">
        <v>100</v>
      </c>
      <c r="K13" s="19" t="s">
        <v>109</v>
      </c>
      <c r="L13" s="108">
        <f t="shared" si="1"/>
        <v>0.20661157024793389</v>
      </c>
      <c r="M13" s="19" t="s">
        <v>110</v>
      </c>
    </row>
    <row r="14" spans="2:13" ht="15">
      <c r="B14" s="19" t="s">
        <v>149</v>
      </c>
      <c r="C14" s="129">
        <v>0.81</v>
      </c>
      <c r="G14" s="19" t="s">
        <v>117</v>
      </c>
      <c r="H14">
        <v>6.5000000000000002E-2</v>
      </c>
      <c r="I14" s="107">
        <f t="shared" si="0"/>
        <v>1.8008106882355499</v>
      </c>
      <c r="J14">
        <v>800</v>
      </c>
      <c r="K14" s="19" t="s">
        <v>109</v>
      </c>
      <c r="L14" s="108">
        <f t="shared" si="1"/>
        <v>1.6528925619834711</v>
      </c>
      <c r="M14" s="19" t="s">
        <v>110</v>
      </c>
    </row>
    <row r="15" spans="2:13" ht="15">
      <c r="B15" s="302" t="s">
        <v>150</v>
      </c>
      <c r="C15" s="302"/>
      <c r="D15" s="302"/>
      <c r="G15" s="19" t="s">
        <v>118</v>
      </c>
      <c r="H15">
        <v>6.5000000000000002E-2</v>
      </c>
      <c r="I15" s="107">
        <f t="shared" si="0"/>
        <v>1.8008106882355499</v>
      </c>
      <c r="J15">
        <v>500</v>
      </c>
      <c r="K15" s="19" t="s">
        <v>109</v>
      </c>
      <c r="L15" s="108">
        <f t="shared" si="1"/>
        <v>1.0330578512396693</v>
      </c>
      <c r="M15" s="19" t="s">
        <v>110</v>
      </c>
    </row>
    <row r="16" spans="2:13">
      <c r="B16" s="19"/>
      <c r="G16" s="19" t="s">
        <v>119</v>
      </c>
      <c r="H16">
        <v>6.5000000000000002E-2</v>
      </c>
      <c r="I16" s="107">
        <f t="shared" si="0"/>
        <v>1.8008106882355499</v>
      </c>
      <c r="J16">
        <v>1200</v>
      </c>
      <c r="K16" s="19" t="s">
        <v>109</v>
      </c>
      <c r="L16" s="108">
        <f t="shared" si="1"/>
        <v>2.4793388429752068</v>
      </c>
      <c r="M16" s="19" t="s">
        <v>110</v>
      </c>
    </row>
    <row r="17" spans="7:13">
      <c r="G17" s="19" t="s">
        <v>97</v>
      </c>
      <c r="H17">
        <v>5.5E-2</v>
      </c>
      <c r="I17" s="107">
        <f>H17*454/(2.54^3)</f>
        <v>1.5237628900454652</v>
      </c>
      <c r="J17">
        <v>400</v>
      </c>
      <c r="K17" s="19" t="s">
        <v>120</v>
      </c>
      <c r="L17" s="108">
        <f>J17/946</f>
        <v>0.42283298097251587</v>
      </c>
      <c r="M17" s="19" t="s">
        <v>121</v>
      </c>
    </row>
    <row r="18" spans="7:13">
      <c r="G18" s="19" t="s">
        <v>96</v>
      </c>
      <c r="H18">
        <v>5.5E-2</v>
      </c>
      <c r="I18" s="107">
        <f t="shared" si="0"/>
        <v>1.5237628900454652</v>
      </c>
      <c r="J18">
        <v>350</v>
      </c>
      <c r="K18" s="19" t="s">
        <v>120</v>
      </c>
      <c r="L18" s="108">
        <f>J18/946</f>
        <v>0.3699788583509514</v>
      </c>
      <c r="M18" s="19" t="s">
        <v>121</v>
      </c>
    </row>
    <row r="19" spans="7:13">
      <c r="G19" s="19" t="s">
        <v>122</v>
      </c>
      <c r="H19">
        <v>7.4999999999999997E-2</v>
      </c>
      <c r="I19" s="107">
        <f t="shared" si="0"/>
        <v>2.0778584864256344</v>
      </c>
      <c r="J19">
        <v>450</v>
      </c>
      <c r="K19" s="19" t="s">
        <v>120</v>
      </c>
      <c r="L19" s="108">
        <f>J19/946</f>
        <v>0.47568710359408034</v>
      </c>
      <c r="M19" s="19" t="s">
        <v>121</v>
      </c>
    </row>
    <row r="20" spans="7:13">
      <c r="G20" s="19" t="s">
        <v>99</v>
      </c>
      <c r="H20">
        <f>3/12^3</f>
        <v>1.736111111111111E-3</v>
      </c>
      <c r="I20" s="107">
        <f t="shared" si="0"/>
        <v>4.8098576074667464E-2</v>
      </c>
      <c r="J20">
        <v>600</v>
      </c>
      <c r="K20" s="19" t="s">
        <v>123</v>
      </c>
      <c r="L20" s="108">
        <f>J20/2360</f>
        <v>0.25423728813559321</v>
      </c>
      <c r="M20" s="19" t="s">
        <v>121</v>
      </c>
    </row>
    <row r="21" spans="7:13">
      <c r="G21" s="19" t="s">
        <v>124</v>
      </c>
      <c r="H21">
        <f>3/12^3</f>
        <v>1.736111111111111E-3</v>
      </c>
      <c r="I21" s="107">
        <f t="shared" si="0"/>
        <v>4.8098576074667464E-2</v>
      </c>
      <c r="J21">
        <v>75</v>
      </c>
      <c r="K21" s="19" t="s">
        <v>123</v>
      </c>
      <c r="L21" s="108">
        <f>J21/2360</f>
        <v>3.1779661016949151E-2</v>
      </c>
      <c r="M21" s="19" t="s">
        <v>121</v>
      </c>
    </row>
    <row r="22" spans="7:13">
      <c r="G22" s="19" t="s">
        <v>125</v>
      </c>
      <c r="H22">
        <f>4/12^3</f>
        <v>2.3148148148148147E-3</v>
      </c>
      <c r="I22" s="107">
        <f t="shared" si="0"/>
        <v>6.413143476622328E-2</v>
      </c>
      <c r="J22">
        <v>100</v>
      </c>
      <c r="K22" s="19" t="s">
        <v>123</v>
      </c>
      <c r="L22" s="108">
        <f>J22/2360</f>
        <v>4.2372881355932202E-2</v>
      </c>
      <c r="M22" s="19" t="s">
        <v>121</v>
      </c>
    </row>
    <row r="23" spans="7:13">
      <c r="G23" s="19" t="s">
        <v>129</v>
      </c>
      <c r="H23">
        <v>5.5E-2</v>
      </c>
      <c r="I23" s="107">
        <f>H23*454/(2.54^3)</f>
        <v>1.5237628900454652</v>
      </c>
      <c r="J23">
        <v>400</v>
      </c>
      <c r="K23" s="19" t="s">
        <v>109</v>
      </c>
      <c r="L23" s="108">
        <f>J23/484</f>
        <v>0.82644628099173556</v>
      </c>
      <c r="M23" s="19" t="s">
        <v>110</v>
      </c>
    </row>
    <row r="24" spans="7:13">
      <c r="G24" s="19" t="s">
        <v>62</v>
      </c>
      <c r="H24">
        <v>5.5E-2</v>
      </c>
      <c r="I24" s="107">
        <f>H24*454/(2.54^3)</f>
        <v>1.5237628900454652</v>
      </c>
      <c r="J24">
        <v>600</v>
      </c>
      <c r="K24" s="19" t="s">
        <v>109</v>
      </c>
      <c r="L24" s="108">
        <f>J24/484</f>
        <v>1.2396694214876034</v>
      </c>
      <c r="M24" s="19" t="s">
        <v>110</v>
      </c>
    </row>
  </sheetData>
  <mergeCells count="3">
    <mergeCell ref="G2:M2"/>
    <mergeCell ref="B10:D12"/>
    <mergeCell ref="B15:D15"/>
  </mergeCells>
  <phoneticPr fontId="2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F32"/>
  <sheetViews>
    <sheetView workbookViewId="0">
      <selection activeCell="N35" sqref="N35"/>
    </sheetView>
  </sheetViews>
  <sheetFormatPr defaultRowHeight="12.75"/>
  <cols>
    <col min="1" max="1" width="30" bestFit="1" customWidth="1"/>
    <col min="2" max="2" width="14.28515625" bestFit="1" customWidth="1"/>
    <col min="3" max="3" width="11" bestFit="1" customWidth="1"/>
    <col min="4" max="4" width="9.85546875" style="97" bestFit="1" customWidth="1"/>
    <col min="5" max="5" width="11.140625" style="97" bestFit="1" customWidth="1"/>
    <col min="6" max="6" width="12" style="7" bestFit="1" customWidth="1"/>
    <col min="7" max="7" width="8" bestFit="1" customWidth="1"/>
    <col min="8" max="8" width="8.7109375" style="89" bestFit="1" customWidth="1"/>
    <col min="9" max="9" width="5.5703125" style="151" bestFit="1" customWidth="1"/>
    <col min="10" max="10" width="4.5703125" style="151" bestFit="1" customWidth="1"/>
    <col min="11" max="11" width="5.140625" style="151" bestFit="1" customWidth="1"/>
    <col min="12" max="12" width="11" style="100" bestFit="1" customWidth="1"/>
    <col min="13" max="13" width="9" style="100" bestFit="1" customWidth="1"/>
    <col min="14" max="14" width="10.42578125" style="101" bestFit="1" customWidth="1"/>
    <col min="15" max="15" width="8.28515625" style="102" bestFit="1" customWidth="1"/>
    <col min="16" max="16" width="7.28515625" style="89" bestFit="1" customWidth="1"/>
    <col min="17" max="17" width="11.140625" style="89" bestFit="1" customWidth="1"/>
    <col min="18" max="18" width="9" style="79" bestFit="1" customWidth="1"/>
    <col min="19" max="19" width="9" style="80" bestFit="1" customWidth="1"/>
    <col min="20" max="20" width="10.85546875" style="79" bestFit="1" customWidth="1"/>
    <col min="21" max="21" width="12.5703125" customWidth="1"/>
    <col min="22" max="22" width="4.85546875" style="81" bestFit="1" customWidth="1"/>
    <col min="23" max="23" width="6.28515625" style="81" bestFit="1" customWidth="1"/>
    <col min="24" max="24" width="2" style="81" bestFit="1" customWidth="1"/>
  </cols>
  <sheetData>
    <row r="1" spans="1:32" ht="18">
      <c r="A1" s="303" t="s">
        <v>64</v>
      </c>
      <c r="B1" s="269"/>
      <c r="C1" s="269"/>
      <c r="D1" s="304" t="s">
        <v>65</v>
      </c>
      <c r="E1" s="269"/>
      <c r="F1" s="269"/>
      <c r="G1" s="269"/>
      <c r="H1" s="269"/>
      <c r="I1" s="269"/>
      <c r="J1" s="269"/>
      <c r="K1" s="269"/>
      <c r="L1" s="269"/>
      <c r="M1" s="269"/>
      <c r="N1" s="269"/>
      <c r="O1" s="269"/>
      <c r="P1" s="269"/>
      <c r="Q1" s="269"/>
    </row>
    <row r="2" spans="1:32" ht="96.75">
      <c r="A2" s="19" t="s">
        <v>0</v>
      </c>
      <c r="B2" s="19" t="s">
        <v>6</v>
      </c>
      <c r="C2" s="19" t="s">
        <v>66</v>
      </c>
      <c r="D2" s="74" t="s">
        <v>67</v>
      </c>
      <c r="E2" s="82" t="s">
        <v>68</v>
      </c>
      <c r="F2" s="82" t="s">
        <v>69</v>
      </c>
      <c r="G2" s="82" t="s">
        <v>70</v>
      </c>
      <c r="H2" s="82" t="s">
        <v>71</v>
      </c>
      <c r="I2" s="150" t="s">
        <v>72</v>
      </c>
      <c r="J2" s="150" t="s">
        <v>73</v>
      </c>
      <c r="K2" s="150" t="s">
        <v>74</v>
      </c>
      <c r="L2" s="83" t="s">
        <v>75</v>
      </c>
      <c r="M2" s="83" t="s">
        <v>76</v>
      </c>
      <c r="N2" s="84" t="s">
        <v>77</v>
      </c>
      <c r="O2" s="85" t="s">
        <v>78</v>
      </c>
      <c r="P2" s="82" t="s">
        <v>79</v>
      </c>
      <c r="Q2" s="86" t="s">
        <v>80</v>
      </c>
      <c r="R2" s="87" t="s">
        <v>81</v>
      </c>
      <c r="S2" s="88" t="s">
        <v>82</v>
      </c>
      <c r="T2" s="87" t="s">
        <v>101</v>
      </c>
      <c r="U2" s="86"/>
      <c r="Y2" s="89"/>
      <c r="Z2" s="89"/>
      <c r="AA2" s="89"/>
      <c r="AB2" s="89"/>
      <c r="AC2" s="89"/>
      <c r="AD2" s="89"/>
      <c r="AE2" s="89"/>
      <c r="AF2" s="89"/>
    </row>
    <row r="3" spans="1:32" ht="15.75">
      <c r="A3" s="48" t="s">
        <v>153</v>
      </c>
      <c r="B3" s="19"/>
      <c r="C3" s="19"/>
      <c r="D3" s="74"/>
      <c r="E3" s="74"/>
      <c r="F3" s="90"/>
      <c r="G3" s="82"/>
      <c r="H3" s="86"/>
      <c r="I3" s="150"/>
      <c r="J3" s="150"/>
      <c r="K3" s="150"/>
      <c r="L3" s="91"/>
      <c r="M3" s="91"/>
      <c r="N3" s="92"/>
      <c r="O3" s="93"/>
      <c r="P3" s="86"/>
      <c r="Q3" s="86"/>
      <c r="U3" s="89"/>
      <c r="V3" s="94" t="s">
        <v>83</v>
      </c>
      <c r="W3" s="94" t="s">
        <v>84</v>
      </c>
      <c r="X3" s="81">
        <v>1</v>
      </c>
      <c r="Y3" s="89"/>
      <c r="Z3" s="89"/>
      <c r="AA3" s="89"/>
      <c r="AB3" s="89"/>
      <c r="AC3" s="89"/>
      <c r="AD3" s="89"/>
      <c r="AE3" s="89"/>
      <c r="AF3" s="89"/>
    </row>
    <row r="4" spans="1:32" ht="15">
      <c r="A4" s="95" t="s">
        <v>154</v>
      </c>
      <c r="B4" s="19"/>
      <c r="C4" s="19"/>
      <c r="D4" s="74"/>
      <c r="E4" s="74"/>
      <c r="F4" s="90"/>
      <c r="G4" s="82"/>
      <c r="H4" s="86"/>
      <c r="I4" s="150"/>
      <c r="J4" s="150"/>
      <c r="K4" s="150"/>
      <c r="L4" s="91"/>
      <c r="M4" s="91"/>
      <c r="N4" s="92"/>
      <c r="O4" s="93"/>
      <c r="P4" s="86"/>
      <c r="Q4" s="86"/>
      <c r="U4" s="89"/>
      <c r="V4" s="94" t="s">
        <v>85</v>
      </c>
      <c r="W4" s="94" t="s">
        <v>86</v>
      </c>
      <c r="X4" s="81">
        <v>2</v>
      </c>
      <c r="Y4" s="89"/>
      <c r="Z4" s="89"/>
      <c r="AA4" s="89"/>
      <c r="AB4" s="89"/>
      <c r="AC4" s="89"/>
      <c r="AD4" s="89"/>
      <c r="AE4" s="89"/>
      <c r="AF4" s="89"/>
    </row>
    <row r="5" spans="1:32">
      <c r="A5" s="46" t="s">
        <v>39</v>
      </c>
      <c r="B5" s="19"/>
      <c r="C5" s="19"/>
      <c r="D5" s="74"/>
      <c r="E5" s="74"/>
      <c r="F5" s="90"/>
      <c r="G5" s="82"/>
      <c r="H5" s="86"/>
      <c r="I5" s="150"/>
      <c r="J5" s="150"/>
      <c r="K5" s="150"/>
      <c r="L5" s="91"/>
      <c r="M5" s="91"/>
      <c r="N5" s="92"/>
      <c r="O5" s="93"/>
      <c r="P5" s="86"/>
      <c r="Q5" s="86"/>
      <c r="U5" s="89"/>
      <c r="V5" s="94" t="s">
        <v>87</v>
      </c>
      <c r="W5" s="94" t="s">
        <v>88</v>
      </c>
      <c r="X5" s="81">
        <v>3</v>
      </c>
      <c r="Y5" s="89"/>
      <c r="Z5" s="89"/>
      <c r="AA5" s="89"/>
      <c r="AB5" s="89"/>
      <c r="AC5" s="89"/>
      <c r="AD5" s="89"/>
      <c r="AE5" s="89"/>
      <c r="AF5" s="89"/>
    </row>
    <row r="6" spans="1:32" s="98" customFormat="1">
      <c r="A6" s="45" t="s">
        <v>89</v>
      </c>
      <c r="B6" s="96" t="s">
        <v>63</v>
      </c>
      <c r="C6" s="96" t="s">
        <v>90</v>
      </c>
      <c r="D6" s="97">
        <v>1</v>
      </c>
      <c r="E6" s="74" t="s">
        <v>91</v>
      </c>
      <c r="F6" s="7">
        <v>8.3000000000000007</v>
      </c>
      <c r="G6" s="98" t="s">
        <v>92</v>
      </c>
      <c r="H6" s="99">
        <v>0</v>
      </c>
      <c r="I6" s="151">
        <v>60</v>
      </c>
      <c r="J6" s="151">
        <v>20</v>
      </c>
      <c r="K6" s="151">
        <v>1.5</v>
      </c>
      <c r="L6" s="100">
        <f>CHOOSE(LOOKUP(G6,$W$3:$X$6), "Enter Value", I6*D6*J6*K6*(1+H6), (PI()/4)*D6*I6*(1+H6)*J6^2, PI()*(1+H6)*D6*I6*J6*K6)</f>
        <v>5654.8667764616275</v>
      </c>
      <c r="M6" s="100">
        <f>L6*F6</f>
        <v>46935.394244631512</v>
      </c>
      <c r="N6" s="101" t="e">
        <f>L6/E6</f>
        <v>#VALUE!</v>
      </c>
      <c r="O6" s="102">
        <v>6.0000000000000001E-3</v>
      </c>
      <c r="P6" s="89" t="s">
        <v>85</v>
      </c>
      <c r="Q6" s="103">
        <f>CHOOSE(LOOKUP(P6,$V$3:$V$5,$X$3:$X$5), O6*L6, O6*M6, O6*N6)</f>
        <v>281.61236546778906</v>
      </c>
      <c r="R6" s="104">
        <f>IF(C6="Test", M6, 0)</f>
        <v>0</v>
      </c>
      <c r="S6" s="104">
        <f>IF(C6="Test", N6, 0)</f>
        <v>0</v>
      </c>
      <c r="T6" s="79">
        <f t="shared" ref="T6:T20" si="0">IF(C6="Test", Q6, 0)</f>
        <v>0</v>
      </c>
      <c r="V6" s="81"/>
      <c r="W6" s="94" t="s">
        <v>92</v>
      </c>
      <c r="X6" s="81">
        <v>4</v>
      </c>
    </row>
    <row r="7" spans="1:32">
      <c r="A7" s="45" t="s">
        <v>93</v>
      </c>
      <c r="B7" s="96" t="s">
        <v>63</v>
      </c>
      <c r="C7" s="96" t="s">
        <v>86</v>
      </c>
      <c r="D7" s="97">
        <v>1</v>
      </c>
      <c r="E7" s="74" t="s">
        <v>91</v>
      </c>
      <c r="F7" s="7">
        <v>8.3000000000000007</v>
      </c>
      <c r="G7" s="98" t="s">
        <v>86</v>
      </c>
      <c r="H7" s="99">
        <v>0</v>
      </c>
      <c r="I7" s="151">
        <v>60</v>
      </c>
      <c r="J7" s="151">
        <v>25</v>
      </c>
      <c r="K7" s="151">
        <v>3</v>
      </c>
      <c r="L7" s="100">
        <f>CHOOSE(LOOKUP(G7,$W$3:$X$6), "Enter Value", I7*D7*J7*K7*(1+H7), (PI()/4)*D7*I7*(1+H7)*J7^2, PI()*(1+H7)*D7*I7*J7*K7)</f>
        <v>4500</v>
      </c>
      <c r="M7" s="100">
        <f>L7*F7</f>
        <v>37350</v>
      </c>
      <c r="N7" s="101" t="e">
        <f>L7/E7</f>
        <v>#VALUE!</v>
      </c>
      <c r="O7" s="102">
        <v>6.0000000000000001E-3</v>
      </c>
      <c r="P7" s="89" t="s">
        <v>85</v>
      </c>
      <c r="Q7" s="103">
        <f>CHOOSE(LOOKUP(P7,$V$3:$V$5,$X$3:$X$5), O7*L7, O7*M7, O7*N7)</f>
        <v>224.1</v>
      </c>
      <c r="R7" s="104">
        <f>IF(C7="Test", M7, 0)</f>
        <v>0</v>
      </c>
      <c r="S7" s="104">
        <f>IF(C7="Test", N7, 0)</f>
        <v>0</v>
      </c>
      <c r="T7" s="79">
        <f t="shared" si="0"/>
        <v>0</v>
      </c>
    </row>
    <row r="8" spans="1:32" ht="15">
      <c r="A8" s="95" t="s">
        <v>155</v>
      </c>
      <c r="B8" s="19"/>
      <c r="C8" s="19"/>
      <c r="D8" s="74"/>
      <c r="E8" s="74"/>
      <c r="F8" s="90"/>
      <c r="G8" s="82"/>
      <c r="H8" s="86"/>
      <c r="I8" s="150"/>
      <c r="J8" s="150"/>
      <c r="K8" s="150"/>
      <c r="L8" s="91"/>
      <c r="M8" s="91"/>
      <c r="N8" s="92"/>
      <c r="O8" s="93"/>
      <c r="P8" s="86"/>
      <c r="Q8" s="86"/>
      <c r="R8" s="104"/>
      <c r="S8" s="104"/>
    </row>
    <row r="9" spans="1:32">
      <c r="A9" s="46" t="s">
        <v>39</v>
      </c>
      <c r="B9" s="19"/>
      <c r="C9" s="19"/>
      <c r="D9" s="74"/>
      <c r="E9" s="74"/>
      <c r="F9" s="90"/>
      <c r="G9" s="82"/>
      <c r="H9" s="86"/>
      <c r="I9" s="150"/>
      <c r="J9" s="150"/>
      <c r="K9" s="150"/>
      <c r="L9" s="91"/>
      <c r="M9" s="91"/>
      <c r="N9" s="92"/>
      <c r="O9" s="93"/>
      <c r="P9" s="86"/>
      <c r="Q9" s="86"/>
      <c r="R9" s="104"/>
      <c r="S9" s="104"/>
    </row>
    <row r="10" spans="1:32">
      <c r="A10" s="45" t="s">
        <v>102</v>
      </c>
      <c r="B10" s="96" t="s">
        <v>7</v>
      </c>
      <c r="C10" s="96" t="s">
        <v>86</v>
      </c>
      <c r="D10" s="97">
        <v>1</v>
      </c>
      <c r="E10" s="74" t="s">
        <v>91</v>
      </c>
      <c r="F10" s="7">
        <v>2.7</v>
      </c>
      <c r="G10" s="98" t="s">
        <v>86</v>
      </c>
      <c r="H10" s="99">
        <v>0</v>
      </c>
      <c r="I10" s="151">
        <v>100</v>
      </c>
      <c r="J10" s="151">
        <v>30</v>
      </c>
      <c r="K10" s="151">
        <v>3</v>
      </c>
      <c r="L10" s="100">
        <f>CHOOSE(LOOKUP(G10,$W$3:$X$6), "Enter Value", I10*D10*J10*K10*(1+H10), (PI()/4)*D10*I10*(1+H10)*J10^2, PI()*(1+H10)*D10*I10*J10*K10)</f>
        <v>9000</v>
      </c>
      <c r="M10" s="100">
        <f>L10*F10</f>
        <v>24300</v>
      </c>
      <c r="N10" s="101" t="e">
        <f>L10/E10</f>
        <v>#VALUE!</v>
      </c>
      <c r="O10" s="102">
        <v>1.7000000000000001E-2</v>
      </c>
      <c r="P10" s="89" t="s">
        <v>85</v>
      </c>
      <c r="Q10" s="103">
        <f>CHOOSE(LOOKUP(P10,$V$3:$V$5,$X$3:$X$5), O10*L10, O10*M10, O10*N10)</f>
        <v>413.1</v>
      </c>
      <c r="R10" s="104">
        <f>IF(C10="Test", M10, 0)</f>
        <v>0</v>
      </c>
      <c r="S10" s="104">
        <f>IF(C10="Test", N10, 0)</f>
        <v>0</v>
      </c>
      <c r="T10" s="79">
        <f>IF(C10="Test", Q10, 0)</f>
        <v>0</v>
      </c>
    </row>
    <row r="11" spans="1:32">
      <c r="A11" s="45" t="s">
        <v>126</v>
      </c>
      <c r="B11" s="96" t="s">
        <v>7</v>
      </c>
      <c r="C11" s="96" t="s">
        <v>86</v>
      </c>
      <c r="D11" s="97">
        <v>2</v>
      </c>
      <c r="E11" s="74" t="s">
        <v>91</v>
      </c>
      <c r="F11" s="7">
        <v>2.7</v>
      </c>
      <c r="G11" s="98" t="s">
        <v>86</v>
      </c>
      <c r="H11" s="99">
        <v>0</v>
      </c>
      <c r="I11" s="151">
        <v>30</v>
      </c>
      <c r="J11" s="151">
        <v>15</v>
      </c>
      <c r="K11" s="151">
        <v>5</v>
      </c>
      <c r="L11" s="100">
        <f>CHOOSE(LOOKUP(G11,$W$3:$X$6), "Enter Value", I11*D11*J11*K11*(1+H11), (PI()/4)*D11*I11*(1+H11)*J11^2, PI()*(1+H11)*D11*I11*J11*K11)</f>
        <v>4500</v>
      </c>
      <c r="M11" s="100">
        <f>L11*F11</f>
        <v>12150</v>
      </c>
      <c r="N11" s="101" t="e">
        <f>L11/E11</f>
        <v>#VALUE!</v>
      </c>
      <c r="O11" s="102">
        <v>1.7000000000000001E-2</v>
      </c>
      <c r="P11" s="89" t="s">
        <v>85</v>
      </c>
      <c r="Q11" s="103">
        <f>CHOOSE(LOOKUP(P11,$V$3:$V$5,$X$3:$X$5), O11*L11, O11*M11, O11*N11)</f>
        <v>206.55</v>
      </c>
      <c r="R11" s="104">
        <f>IF(C11="Test", M11, 0)</f>
        <v>0</v>
      </c>
      <c r="S11" s="104">
        <f>IF(C11="Test", N11, 0)</f>
        <v>0</v>
      </c>
      <c r="T11" s="79">
        <f>IF(C11="Test", Q11, 0)</f>
        <v>0</v>
      </c>
    </row>
    <row r="12" spans="1:32" ht="15">
      <c r="A12" s="46" t="s">
        <v>98</v>
      </c>
      <c r="M12" s="145">
        <f>(M10+M11)/454</f>
        <v>80.286343612334804</v>
      </c>
      <c r="R12" s="104"/>
      <c r="S12" s="104"/>
    </row>
    <row r="13" spans="1:32">
      <c r="A13" s="45" t="s">
        <v>127</v>
      </c>
      <c r="B13" s="19" t="s">
        <v>94</v>
      </c>
      <c r="C13" s="96" t="s">
        <v>95</v>
      </c>
      <c r="D13" s="97">
        <v>5</v>
      </c>
      <c r="E13" s="97">
        <v>330</v>
      </c>
      <c r="F13" s="7">
        <v>1.8</v>
      </c>
      <c r="G13" s="98" t="s">
        <v>86</v>
      </c>
      <c r="H13" s="99">
        <v>0.3</v>
      </c>
      <c r="I13" s="151">
        <v>80</v>
      </c>
      <c r="J13" s="151">
        <v>2.5</v>
      </c>
      <c r="K13" s="151">
        <v>0.8</v>
      </c>
      <c r="L13" s="100">
        <f>CHOOSE(LOOKUP(G13,$W$3:$X$6), "Enter Value", I13*D13*J13*K13*(1+H13), (PI()/4)*D13*I13*(1+H13)*J13^2, PI()*(1+H13)*D13*I13*J13*K13)</f>
        <v>1040</v>
      </c>
      <c r="M13" s="100">
        <f>L13*F13</f>
        <v>1872</v>
      </c>
      <c r="N13" s="101">
        <f>L13/E13</f>
        <v>3.1515151515151514</v>
      </c>
      <c r="O13" s="102">
        <v>1.0329999999999999</v>
      </c>
      <c r="P13" s="89" t="s">
        <v>85</v>
      </c>
      <c r="Q13" s="103">
        <f>CHOOSE(LOOKUP(P13,$V$3:$V$5,$X$3:$X$5), O13*L13, O13*M13, O13*N13)</f>
        <v>1933.7759999999998</v>
      </c>
      <c r="R13" s="104">
        <f>IF(C13="Test", M13, 0)</f>
        <v>0</v>
      </c>
      <c r="S13" s="104">
        <f>IF(C13="Test", N13, 0)</f>
        <v>0</v>
      </c>
      <c r="T13" s="79">
        <f t="shared" si="0"/>
        <v>0</v>
      </c>
    </row>
    <row r="14" spans="1:32">
      <c r="A14" s="45" t="s">
        <v>128</v>
      </c>
      <c r="B14" s="19" t="s">
        <v>94</v>
      </c>
      <c r="C14" s="96" t="s">
        <v>36</v>
      </c>
      <c r="D14" s="97">
        <v>2</v>
      </c>
      <c r="E14" s="97">
        <v>330</v>
      </c>
      <c r="F14" s="7">
        <v>1.8</v>
      </c>
      <c r="G14" s="98" t="s">
        <v>86</v>
      </c>
      <c r="H14" s="99">
        <v>0.5</v>
      </c>
      <c r="I14" s="151">
        <v>20</v>
      </c>
      <c r="J14" s="151">
        <v>3</v>
      </c>
      <c r="K14" s="151">
        <v>0.8</v>
      </c>
      <c r="L14" s="100">
        <f>CHOOSE(LOOKUP(G14,$W$3:$X$6), "Enter Value", I14*D14*J14*K14*(1+H14), (PI()/4)*D14*I14*(1+H14)*J14^2, PI()*(1+H14)*D14*I14*J14*K14)</f>
        <v>144</v>
      </c>
      <c r="M14" s="100">
        <f>L14*F14</f>
        <v>259.2</v>
      </c>
      <c r="N14" s="101">
        <f>L14/E14</f>
        <v>0.43636363636363634</v>
      </c>
      <c r="O14" s="102">
        <v>1.0329999999999999</v>
      </c>
      <c r="P14" s="89" t="s">
        <v>85</v>
      </c>
      <c r="Q14" s="103">
        <f>CHOOSE(LOOKUP(P14,$V$3:$V$5,$X$3:$X$5), O14*L14, O14*M14, O14*N14)</f>
        <v>267.75359999999995</v>
      </c>
      <c r="R14" s="104">
        <f>IF(C14="Test", M14, 0)</f>
        <v>259.2</v>
      </c>
      <c r="S14" s="104">
        <f>IF(C14="Test", N14, 0)</f>
        <v>0.43636363636363634</v>
      </c>
      <c r="T14" s="79">
        <f t="shared" si="0"/>
        <v>267.75359999999995</v>
      </c>
    </row>
    <row r="15" spans="1:32" ht="15">
      <c r="A15" s="95" t="s">
        <v>140</v>
      </c>
      <c r="B15" s="19"/>
      <c r="C15" s="19"/>
      <c r="D15" s="74"/>
      <c r="E15" s="74"/>
      <c r="F15" s="90"/>
      <c r="G15" s="82"/>
      <c r="H15" s="86"/>
      <c r="I15" s="150"/>
      <c r="J15" s="150"/>
      <c r="K15" s="150"/>
      <c r="L15" s="91"/>
      <c r="M15" s="91"/>
      <c r="N15" s="92"/>
      <c r="O15" s="93"/>
      <c r="P15" s="86"/>
      <c r="Q15" s="86"/>
      <c r="R15" s="104"/>
      <c r="S15" s="104"/>
    </row>
    <row r="16" spans="1:32">
      <c r="A16" s="46" t="s">
        <v>163</v>
      </c>
      <c r="B16" s="19"/>
      <c r="C16" s="19"/>
      <c r="D16" s="74"/>
      <c r="E16" s="74"/>
      <c r="F16" s="90"/>
      <c r="G16" s="82"/>
      <c r="H16" s="86"/>
      <c r="I16" s="150"/>
      <c r="J16" s="150"/>
      <c r="K16" s="150"/>
      <c r="L16" s="91"/>
      <c r="M16" s="91"/>
      <c r="N16" s="92"/>
      <c r="O16" s="93"/>
      <c r="P16" s="86"/>
      <c r="Q16" s="86"/>
      <c r="R16" s="104"/>
      <c r="S16" s="104"/>
    </row>
    <row r="17" spans="1:20">
      <c r="A17" s="45" t="s">
        <v>158</v>
      </c>
      <c r="B17" s="96" t="s">
        <v>7</v>
      </c>
      <c r="C17" s="96" t="s">
        <v>86</v>
      </c>
      <c r="D17" s="97">
        <v>4</v>
      </c>
      <c r="E17" s="74" t="s">
        <v>91</v>
      </c>
      <c r="F17" s="7">
        <v>2.7</v>
      </c>
      <c r="G17" s="98" t="s">
        <v>86</v>
      </c>
      <c r="H17" s="99">
        <v>0.3</v>
      </c>
      <c r="I17" s="151">
        <v>250</v>
      </c>
      <c r="J17" s="151">
        <v>7.5</v>
      </c>
      <c r="K17" s="151">
        <v>7.5</v>
      </c>
      <c r="L17" s="100">
        <f>CHOOSE(LOOKUP(G17,$W$3:$X$6), "Enter Value", I17*D17*J17*K17*(1+H17), (PI()/4)*D17*I17*(1+H17)*J17^2, PI()*(1+H17)*D17*I17*J17*K17)</f>
        <v>73125</v>
      </c>
      <c r="M17" s="100">
        <f>L17*F17</f>
        <v>197437.5</v>
      </c>
      <c r="N17" s="101" t="e">
        <f>L17/E17</f>
        <v>#VALUE!</v>
      </c>
      <c r="O17" s="102">
        <v>1.7000000000000001E-2</v>
      </c>
      <c r="P17" s="89" t="s">
        <v>85</v>
      </c>
      <c r="Q17" s="103">
        <f>CHOOSE(LOOKUP(P17,$V$3:$V$5,$X$3:$X$5), O17*L17, O17*M17, O17*N17)</f>
        <v>3356.4375000000005</v>
      </c>
      <c r="R17" s="104">
        <f>IF(C17="Test", M17, 0)</f>
        <v>0</v>
      </c>
      <c r="S17" s="104">
        <f>IF(C17="Test", N17, 0)</f>
        <v>0</v>
      </c>
      <c r="T17" s="79">
        <f t="shared" si="0"/>
        <v>0</v>
      </c>
    </row>
    <row r="18" spans="1:20">
      <c r="A18" s="45" t="s">
        <v>159</v>
      </c>
      <c r="B18" s="96" t="s">
        <v>7</v>
      </c>
      <c r="C18" s="96" t="s">
        <v>86</v>
      </c>
      <c r="D18" s="97">
        <v>3</v>
      </c>
      <c r="E18" s="74" t="s">
        <v>91</v>
      </c>
      <c r="F18" s="7">
        <v>2.7</v>
      </c>
      <c r="G18" s="98" t="s">
        <v>86</v>
      </c>
      <c r="H18" s="99">
        <v>0.3</v>
      </c>
      <c r="I18" s="151">
        <v>50</v>
      </c>
      <c r="J18" s="151">
        <v>50</v>
      </c>
      <c r="K18" s="151">
        <v>5</v>
      </c>
      <c r="L18" s="100">
        <f>CHOOSE(LOOKUP(G18,$W$3:$X$6), "Enter Value", I18*D18*J18*K18*(1+H18), (PI()/4)*D18*I18*(1+H18)*J18^2, PI()*(1+H18)*D18*I18*J18*K18)</f>
        <v>48750</v>
      </c>
      <c r="M18" s="100">
        <f>L18*F18</f>
        <v>131625</v>
      </c>
      <c r="N18" s="101" t="e">
        <f>L18/E18</f>
        <v>#VALUE!</v>
      </c>
      <c r="O18" s="102">
        <v>1.7000000000000001E-2</v>
      </c>
      <c r="P18" s="89" t="s">
        <v>85</v>
      </c>
      <c r="Q18" s="103">
        <f>CHOOSE(LOOKUP(P18,$V$3:$V$5,$X$3:$X$5), O18*L18, O18*M18, O18*N18)</f>
        <v>2237.625</v>
      </c>
      <c r="R18" s="104">
        <f>IF(C18="Test", M18, 0)</f>
        <v>0</v>
      </c>
      <c r="S18" s="104">
        <f>IF(C18="Test", N18, 0)</f>
        <v>0</v>
      </c>
      <c r="T18" s="79">
        <f t="shared" si="0"/>
        <v>0</v>
      </c>
    </row>
    <row r="19" spans="1:20">
      <c r="A19" s="45" t="s">
        <v>160</v>
      </c>
      <c r="B19" s="96" t="s">
        <v>7</v>
      </c>
      <c r="C19" s="96" t="s">
        <v>86</v>
      </c>
      <c r="D19" s="97">
        <v>2</v>
      </c>
      <c r="E19" s="74" t="s">
        <v>91</v>
      </c>
      <c r="F19" s="7">
        <v>2.7</v>
      </c>
      <c r="G19" s="98" t="s">
        <v>86</v>
      </c>
      <c r="H19" s="99">
        <v>0.3</v>
      </c>
      <c r="I19" s="151">
        <v>50</v>
      </c>
      <c r="J19" s="151">
        <v>10</v>
      </c>
      <c r="K19" s="151">
        <v>5</v>
      </c>
      <c r="L19" s="100">
        <f>CHOOSE(LOOKUP(G19,$W$3:$X$6), "Enter Value", I19*D19*J19*K19*(1+H19), (PI()/4)*D19*I19*(1+H19)*J19^2, PI()*(1+H19)*D19*I19*J19*K19)</f>
        <v>6500</v>
      </c>
      <c r="M19" s="100">
        <f>L19*F19</f>
        <v>17550</v>
      </c>
      <c r="N19" s="101" t="e">
        <f>L19/E19</f>
        <v>#VALUE!</v>
      </c>
      <c r="O19" s="102">
        <v>1.7000000000000001E-2</v>
      </c>
      <c r="P19" s="89" t="s">
        <v>85</v>
      </c>
      <c r="Q19" s="103">
        <f>CHOOSE(LOOKUP(P19,$V$3:$V$5,$X$3:$X$5), O19*L19, O19*M19, O19*N19)</f>
        <v>298.35000000000002</v>
      </c>
      <c r="R19" s="104">
        <f>IF(C19="Test", M19, 0)</f>
        <v>0</v>
      </c>
      <c r="S19" s="104">
        <f>IF(C19="Test", N19, 0)</f>
        <v>0</v>
      </c>
      <c r="T19" s="79">
        <f>IF(C19="Test", Q19, 0)</f>
        <v>0</v>
      </c>
    </row>
    <row r="20" spans="1:20">
      <c r="A20" s="45" t="s">
        <v>161</v>
      </c>
      <c r="B20" s="96" t="s">
        <v>7</v>
      </c>
      <c r="C20" s="96" t="s">
        <v>86</v>
      </c>
      <c r="D20" s="97">
        <v>4</v>
      </c>
      <c r="E20" s="74" t="s">
        <v>91</v>
      </c>
      <c r="F20" s="7">
        <v>2.7</v>
      </c>
      <c r="G20" s="98" t="s">
        <v>86</v>
      </c>
      <c r="H20" s="99">
        <v>0.3</v>
      </c>
      <c r="I20" s="151">
        <v>50</v>
      </c>
      <c r="J20" s="151">
        <v>10</v>
      </c>
      <c r="K20" s="151">
        <v>5</v>
      </c>
      <c r="L20" s="100">
        <f>CHOOSE(LOOKUP(G20,$W$3:$X$6), "Enter Value", I20*D20*J20*K20*(1+H20), (PI()/4)*D20*I20*(1+H20)*J20^2, PI()*(1+H20)*D20*I20*J20*K20)</f>
        <v>13000</v>
      </c>
      <c r="M20" s="100">
        <f>L20*F20</f>
        <v>35100</v>
      </c>
      <c r="N20" s="101" t="e">
        <f>L20/E20</f>
        <v>#VALUE!</v>
      </c>
      <c r="O20" s="102">
        <v>1.7000000000000001E-2</v>
      </c>
      <c r="P20" s="89" t="s">
        <v>85</v>
      </c>
      <c r="Q20" s="103">
        <f>CHOOSE(LOOKUP(P20,$V$3:$V$5,$X$3:$X$5), O20*L20, O20*M20, O20*N20)</f>
        <v>596.70000000000005</v>
      </c>
      <c r="R20" s="104">
        <f>IF(C20="Test", M20, 0)</f>
        <v>0</v>
      </c>
      <c r="S20" s="104">
        <f>IF(C20="Test", N20, 0)</f>
        <v>0</v>
      </c>
      <c r="T20" s="79">
        <f t="shared" si="0"/>
        <v>0</v>
      </c>
    </row>
    <row r="21" spans="1:20" ht="15">
      <c r="A21" s="46" t="s">
        <v>162</v>
      </c>
      <c r="M21" s="145">
        <f>SUM(M17:M20)/454</f>
        <v>840.77643171806164</v>
      </c>
      <c r="Q21" s="145">
        <f>SUM(Q17:Q20)</f>
        <v>6489.1125000000002</v>
      </c>
      <c r="R21" s="104"/>
      <c r="S21" s="104"/>
    </row>
    <row r="22" spans="1:20">
      <c r="A22" s="45" t="s">
        <v>160</v>
      </c>
      <c r="B22" s="96" t="s">
        <v>7</v>
      </c>
      <c r="C22" s="96" t="s">
        <v>86</v>
      </c>
      <c r="D22" s="97">
        <v>2</v>
      </c>
      <c r="E22" s="74" t="s">
        <v>91</v>
      </c>
      <c r="F22" s="7">
        <v>2.7</v>
      </c>
      <c r="G22" s="98" t="s">
        <v>86</v>
      </c>
      <c r="H22" s="99">
        <v>0.3</v>
      </c>
      <c r="I22" s="151">
        <v>50</v>
      </c>
      <c r="J22" s="151">
        <v>10</v>
      </c>
      <c r="K22" s="151">
        <v>5</v>
      </c>
      <c r="L22" s="100">
        <f>CHOOSE(LOOKUP(G22,$W$3:$X$6), "Enter Value", I22*D22*J22*K22*(1+H22), (PI()/4)*D22*I22*(1+H22)*J22^2, PI()*(1+H22)*D22*I22*J22*K22)</f>
        <v>6500</v>
      </c>
      <c r="M22" s="100">
        <f>L22*F22</f>
        <v>17550</v>
      </c>
      <c r="N22" s="101" t="e">
        <f>L22/E22</f>
        <v>#VALUE!</v>
      </c>
      <c r="O22" s="102">
        <v>1.7000000000000001E-2</v>
      </c>
      <c r="P22" s="89" t="s">
        <v>85</v>
      </c>
      <c r="Q22" s="103">
        <f>CHOOSE(LOOKUP(P22,$V$3:$V$5,$X$3:$X$5), O22*L22, O22*M22, O22*N22)</f>
        <v>298.35000000000002</v>
      </c>
      <c r="R22" s="104">
        <f>IF(C22="Test", M22, 0)</f>
        <v>0</v>
      </c>
      <c r="S22" s="104">
        <f>IF(C22="Test", N22, 0)</f>
        <v>0</v>
      </c>
      <c r="T22" s="79">
        <f>IF(C22="Test", Q22, 0)</f>
        <v>0</v>
      </c>
    </row>
    <row r="23" spans="1:20">
      <c r="A23" s="45" t="s">
        <v>161</v>
      </c>
      <c r="B23" s="96" t="s">
        <v>7</v>
      </c>
      <c r="C23" s="96" t="s">
        <v>86</v>
      </c>
      <c r="D23" s="97">
        <v>4</v>
      </c>
      <c r="E23" s="74" t="s">
        <v>91</v>
      </c>
      <c r="F23" s="7">
        <v>2.7</v>
      </c>
      <c r="G23" s="98" t="s">
        <v>86</v>
      </c>
      <c r="H23" s="99">
        <v>0.3</v>
      </c>
      <c r="I23" s="151">
        <v>50</v>
      </c>
      <c r="J23" s="151">
        <v>10</v>
      </c>
      <c r="K23" s="151">
        <v>5</v>
      </c>
      <c r="L23" s="100">
        <f>CHOOSE(LOOKUP(G23,$W$3:$X$6), "Enter Value", I23*D23*J23*K23*(1+H23), (PI()/4)*D23*I23*(1+H23)*J23^2, PI()*(1+H23)*D23*I23*J23*K23)</f>
        <v>13000</v>
      </c>
      <c r="M23" s="100">
        <f>L23*F23</f>
        <v>35100</v>
      </c>
      <c r="N23" s="101" t="e">
        <f>L23/E23</f>
        <v>#VALUE!</v>
      </c>
      <c r="O23" s="102">
        <v>1.7000000000000001E-2</v>
      </c>
      <c r="P23" s="89" t="s">
        <v>85</v>
      </c>
      <c r="Q23" s="103">
        <f>CHOOSE(LOOKUP(P23,$V$3:$V$5,$X$3:$X$5), O23*L23, O23*M23, O23*N23)</f>
        <v>596.70000000000005</v>
      </c>
      <c r="R23" s="104">
        <f>IF(C23="Test", M23, 0)</f>
        <v>0</v>
      </c>
      <c r="S23" s="104">
        <f>IF(C23="Test", N23, 0)</f>
        <v>0</v>
      </c>
      <c r="T23" s="79">
        <f>IF(C23="Test", Q23, 0)</f>
        <v>0</v>
      </c>
    </row>
    <row r="24" spans="1:20" ht="15">
      <c r="A24" s="46" t="s">
        <v>164</v>
      </c>
      <c r="M24" s="145">
        <f>SUM(M22:M23)/454</f>
        <v>115.96916299559471</v>
      </c>
      <c r="Q24" s="145">
        <f>SUM(Q22:Q23)</f>
        <v>895.05000000000007</v>
      </c>
      <c r="R24" s="104"/>
      <c r="S24" s="104"/>
    </row>
    <row r="25" spans="1:20">
      <c r="A25" s="45" t="s">
        <v>165</v>
      </c>
      <c r="B25" s="19" t="s">
        <v>7</v>
      </c>
      <c r="C25" s="96" t="s">
        <v>86</v>
      </c>
      <c r="D25" s="97">
        <v>1</v>
      </c>
      <c r="E25" s="97">
        <v>330</v>
      </c>
      <c r="F25" s="7">
        <v>2.7</v>
      </c>
      <c r="G25" s="98" t="s">
        <v>86</v>
      </c>
      <c r="H25" s="99">
        <v>0.3</v>
      </c>
      <c r="I25" s="151">
        <v>50</v>
      </c>
      <c r="J25" s="151">
        <v>20</v>
      </c>
      <c r="K25" s="151">
        <v>10</v>
      </c>
      <c r="L25" s="100">
        <f>CHOOSE(LOOKUP(G25,$W$3:$X$6), "Enter Value", I25*D25*J25*K25*(1+H25), (PI()/4)*D25*I25*(1+H25)*J25^2, PI()*(1+H25)*D25*I25*J25*K25)</f>
        <v>13000</v>
      </c>
      <c r="M25" s="100">
        <f>L25*F25</f>
        <v>35100</v>
      </c>
      <c r="N25" s="101">
        <f>L25/E25</f>
        <v>39.393939393939391</v>
      </c>
      <c r="O25" s="102">
        <v>1.7000000000000001E-2</v>
      </c>
      <c r="P25" s="89" t="s">
        <v>85</v>
      </c>
      <c r="Q25" s="103">
        <f>CHOOSE(LOOKUP(P25,$V$3:$V$5,$X$3:$X$5), O25*L25, O25*M25, O25*N25)</f>
        <v>596.70000000000005</v>
      </c>
      <c r="R25" s="104">
        <f>IF(C25="Test", M25, 0)</f>
        <v>0</v>
      </c>
      <c r="S25" s="104">
        <f>IF(C25="Test", N25, 0)</f>
        <v>0</v>
      </c>
      <c r="T25" s="79">
        <f>IF(C25="Test", Q25, 0)</f>
        <v>0</v>
      </c>
    </row>
    <row r="26" spans="1:20">
      <c r="A26" s="45" t="s">
        <v>166</v>
      </c>
      <c r="B26" s="19" t="s">
        <v>7</v>
      </c>
      <c r="C26" s="96" t="s">
        <v>86</v>
      </c>
      <c r="D26" s="97">
        <v>1</v>
      </c>
      <c r="E26" s="97">
        <v>330</v>
      </c>
      <c r="F26" s="7">
        <v>2.7</v>
      </c>
      <c r="G26" s="98" t="s">
        <v>86</v>
      </c>
      <c r="H26" s="99">
        <v>0.3</v>
      </c>
      <c r="I26" s="151">
        <v>50</v>
      </c>
      <c r="J26" s="151">
        <v>20</v>
      </c>
      <c r="K26" s="151">
        <v>10</v>
      </c>
      <c r="L26" s="100">
        <f>CHOOSE(LOOKUP(G26,$W$3:$X$6), "Enter Value", I26*D26*J26*K26*(1+H26), (PI()/4)*D26*I26*(1+H26)*J26^2, PI()*(1+H26)*D26*I26*J26*K26)</f>
        <v>13000</v>
      </c>
      <c r="M26" s="100">
        <f>L26*F26</f>
        <v>35100</v>
      </c>
      <c r="N26" s="101">
        <f>L26/E26</f>
        <v>39.393939393939391</v>
      </c>
      <c r="O26" s="102">
        <v>1.7000000000000001E-2</v>
      </c>
      <c r="P26" s="89" t="s">
        <v>85</v>
      </c>
      <c r="Q26" s="103">
        <f>CHOOSE(LOOKUP(P26,$V$3:$V$5,$X$3:$X$5), O26*L26, O26*M26, O26*N26)</f>
        <v>596.70000000000005</v>
      </c>
      <c r="R26" s="104">
        <f>IF(C26="Test", M26, 0)</f>
        <v>0</v>
      </c>
      <c r="S26" s="104">
        <f>IF(C26="Test", N26, 0)</f>
        <v>0</v>
      </c>
      <c r="T26" s="79">
        <f>IF(C26="Test", Q26, 0)</f>
        <v>0</v>
      </c>
    </row>
    <row r="27" spans="1:20" ht="15">
      <c r="A27" s="46" t="s">
        <v>167</v>
      </c>
      <c r="M27" s="145">
        <f>SUM(M25:M26)/454</f>
        <v>154.62555066079295</v>
      </c>
      <c r="Q27" s="145">
        <f>SUM(Q25:Q26)</f>
        <v>1193.4000000000001</v>
      </c>
      <c r="R27" s="104"/>
      <c r="S27" s="104"/>
    </row>
    <row r="28" spans="1:20">
      <c r="A28" s="45" t="s">
        <v>168</v>
      </c>
      <c r="B28" s="19" t="s">
        <v>7</v>
      </c>
      <c r="C28" s="96" t="s">
        <v>86</v>
      </c>
      <c r="D28" s="97">
        <v>1</v>
      </c>
      <c r="E28" s="97">
        <v>330</v>
      </c>
      <c r="F28" s="7">
        <v>2.7</v>
      </c>
      <c r="G28" s="98" t="s">
        <v>86</v>
      </c>
      <c r="H28" s="99">
        <v>0.3</v>
      </c>
      <c r="I28" s="151">
        <v>10</v>
      </c>
      <c r="J28" s="151">
        <v>20</v>
      </c>
      <c r="K28" s="151">
        <v>10</v>
      </c>
      <c r="L28" s="100">
        <f>CHOOSE(LOOKUP(G28,$W$3:$X$6), "Enter Value", I28*D28*J28*K28*(1+H28), (PI()/4)*D28*I28*(1+H28)*J28^2, PI()*(1+H28)*D28*I28*J28*K28)</f>
        <v>2600</v>
      </c>
      <c r="M28" s="100">
        <f>L28*F28</f>
        <v>7020.0000000000009</v>
      </c>
      <c r="N28" s="101">
        <f>L28/E28</f>
        <v>7.8787878787878789</v>
      </c>
      <c r="O28" s="102">
        <v>1.7000000000000001E-2</v>
      </c>
      <c r="P28" s="89" t="s">
        <v>85</v>
      </c>
      <c r="Q28" s="103">
        <f>CHOOSE(LOOKUP(P28,$V$3:$V$5,$X$3:$X$5), O28*L28, O28*M28, O28*N28)</f>
        <v>119.34000000000002</v>
      </c>
      <c r="R28" s="104">
        <f>IF(C28="Test", M28, 0)</f>
        <v>0</v>
      </c>
      <c r="S28" s="104">
        <f>IF(C28="Test", N28, 0)</f>
        <v>0</v>
      </c>
      <c r="T28" s="79">
        <f>IF(C28="Test", Q28, 0)</f>
        <v>0</v>
      </c>
    </row>
    <row r="29" spans="1:20">
      <c r="A29" s="45" t="s">
        <v>166</v>
      </c>
      <c r="B29" s="19" t="s">
        <v>7</v>
      </c>
      <c r="C29" s="96" t="s">
        <v>86</v>
      </c>
      <c r="D29" s="97">
        <v>1</v>
      </c>
      <c r="E29" s="97">
        <v>330</v>
      </c>
      <c r="F29" s="7">
        <v>2.7</v>
      </c>
      <c r="G29" s="98" t="s">
        <v>86</v>
      </c>
      <c r="H29" s="99">
        <v>0.3</v>
      </c>
      <c r="I29" s="151">
        <v>10</v>
      </c>
      <c r="J29" s="151">
        <v>20</v>
      </c>
      <c r="K29" s="151">
        <v>10</v>
      </c>
      <c r="L29" s="100">
        <f>CHOOSE(LOOKUP(G29,$W$3:$X$6), "Enter Value", I29*D29*J29*K29*(1+H29), (PI()/4)*D29*I29*(1+H29)*J29^2, PI()*(1+H29)*D29*I29*J29*K29)</f>
        <v>2600</v>
      </c>
      <c r="M29" s="100">
        <f>L29*F29</f>
        <v>7020.0000000000009</v>
      </c>
      <c r="N29" s="101">
        <f>L29/E29</f>
        <v>7.8787878787878789</v>
      </c>
      <c r="O29" s="102">
        <v>1.7000000000000001E-2</v>
      </c>
      <c r="P29" s="89" t="s">
        <v>85</v>
      </c>
      <c r="Q29" s="103">
        <f>CHOOSE(LOOKUP(P29,$V$3:$V$5,$X$3:$X$5), O29*L29, O29*M29, O29*N29)</f>
        <v>119.34000000000002</v>
      </c>
      <c r="R29" s="104">
        <f>IF(C29="Test", M29, 0)</f>
        <v>0</v>
      </c>
      <c r="S29" s="104">
        <f>IF(C29="Test", N29, 0)</f>
        <v>0</v>
      </c>
      <c r="T29" s="79">
        <f>IF(C29="Test", Q29, 0)</f>
        <v>0</v>
      </c>
    </row>
    <row r="30" spans="1:20">
      <c r="A30" s="45" t="s">
        <v>39</v>
      </c>
      <c r="B30" s="19" t="s">
        <v>7</v>
      </c>
      <c r="C30" s="96" t="s">
        <v>86</v>
      </c>
      <c r="D30" s="97">
        <v>1</v>
      </c>
      <c r="E30" s="97">
        <v>330</v>
      </c>
      <c r="F30" s="7">
        <v>2.7</v>
      </c>
      <c r="G30" s="98" t="s">
        <v>86</v>
      </c>
      <c r="H30" s="99">
        <v>0.3</v>
      </c>
      <c r="I30" s="151">
        <v>60</v>
      </c>
      <c r="J30" s="151">
        <v>30</v>
      </c>
      <c r="K30" s="151">
        <v>5</v>
      </c>
      <c r="L30" s="100">
        <f>CHOOSE(LOOKUP(G30,$W$3:$X$6), "Enter Value", I30*D30*J30*K30*(1+H30), (PI()/4)*D30*I30*(1+H30)*J30^2, PI()*(1+H30)*D30*I30*J30*K30)</f>
        <v>11700</v>
      </c>
      <c r="M30" s="100">
        <f>L30*F30</f>
        <v>31590.000000000004</v>
      </c>
      <c r="N30" s="101">
        <f>L30/E30</f>
        <v>35.454545454545453</v>
      </c>
      <c r="O30" s="102">
        <v>1.7000000000000001E-2</v>
      </c>
      <c r="P30" s="89" t="s">
        <v>85</v>
      </c>
      <c r="Q30" s="103">
        <f>CHOOSE(LOOKUP(P30,$V$3:$V$5,$X$3:$X$5), O30*L30, O30*M30, O30*N30)</f>
        <v>537.03000000000009</v>
      </c>
      <c r="R30" s="104">
        <f>IF(C30="Test", M30, 0)</f>
        <v>0</v>
      </c>
      <c r="S30" s="104">
        <f>IF(C30="Test", N30, 0)</f>
        <v>0</v>
      </c>
      <c r="T30" s="79">
        <f>IF(C30="Test", Q30, 0)</f>
        <v>0</v>
      </c>
    </row>
    <row r="32" spans="1:20">
      <c r="P32" s="105"/>
      <c r="Q32" s="103"/>
    </row>
  </sheetData>
  <mergeCells count="2">
    <mergeCell ref="A1:C1"/>
    <mergeCell ref="D1:Q1"/>
  </mergeCells>
  <phoneticPr fontId="24" type="noConversion"/>
  <dataValidations count="2">
    <dataValidation type="list" allowBlank="1" showInputMessage="1" showErrorMessage="1" sqref="P22:P23 P10:P11 P13:P14 P17:P20 P6:P7 P25:P26 P28:P30">
      <formula1>$V$3:$V$5</formula1>
    </dataValidation>
    <dataValidation type="list" allowBlank="1" showInputMessage="1" showErrorMessage="1" sqref="G22:G23 G10:G11 G13:G14 G17:G20 G6:G7 G25:G26 G28:G30">
      <formula1>$W$3:$W$6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1</vt:i4>
      </vt:variant>
      <vt:variant>
        <vt:lpstr>Named Ranges</vt:lpstr>
      </vt:variant>
      <vt:variant>
        <vt:i4>12</vt:i4>
      </vt:variant>
    </vt:vector>
  </HeadingPairs>
  <TitlesOfParts>
    <vt:vector size="18" baseType="lpstr">
      <vt:lpstr>WBS in Estimate</vt:lpstr>
      <vt:lpstr>SUMMARY</vt:lpstr>
      <vt:lpstr>Pre- and Production</vt:lpstr>
      <vt:lpstr>Rates</vt:lpstr>
      <vt:lpstr>Material Estimates</vt:lpstr>
      <vt:lpstr>Cost Profile Chart</vt:lpstr>
      <vt:lpstr>CMM</vt:lpstr>
      <vt:lpstr>CMM_RD</vt:lpstr>
      <vt:lpstr>DES</vt:lpstr>
      <vt:lpstr>DES_RD</vt:lpstr>
      <vt:lpstr>ENG</vt:lpstr>
      <vt:lpstr>ENG_RD</vt:lpstr>
      <vt:lpstr>M_Tech</vt:lpstr>
      <vt:lpstr>MT</vt:lpstr>
      <vt:lpstr>MTECH_RD</vt:lpstr>
      <vt:lpstr>SUMMARY!Print_Area</vt:lpstr>
      <vt:lpstr>Shop</vt:lpstr>
      <vt:lpstr>Shop_RD</vt:lpstr>
    </vt:vector>
  </TitlesOfParts>
  <Company>LBNL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Anderssen</dc:creator>
  <cp:lastModifiedBy>ECAnderssen_local</cp:lastModifiedBy>
  <cp:lastPrinted>2009-08-13T02:34:43Z</cp:lastPrinted>
  <dcterms:created xsi:type="dcterms:W3CDTF">2000-10-18T16:25:26Z</dcterms:created>
  <dcterms:modified xsi:type="dcterms:W3CDTF">2009-10-22T15:46:04Z</dcterms:modified>
</cp:coreProperties>
</file>