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5" windowWidth="23130" windowHeight="14490" firstSheet="1" activeTab="5"/>
  </bookViews>
  <sheets>
    <sheet name="WBS in Estimate" sheetId="18" r:id="rId1"/>
    <sheet name="SUMMARY" sheetId="16" r:id="rId2"/>
    <sheet name="WBS Summary" sheetId="20" r:id="rId3"/>
    <sheet name="WBS Summary by Year" sheetId="21" r:id="rId4"/>
    <sheet name="Cost Profile Chart" sheetId="19" r:id="rId5"/>
    <sheet name="Pre- and Production" sheetId="13" r:id="rId6"/>
    <sheet name="Rates" sheetId="15" r:id="rId7"/>
    <sheet name="Material Estimates" sheetId="17" r:id="rId8"/>
  </sheets>
  <definedNames>
    <definedName name="CMM">Rates!$C$5</definedName>
    <definedName name="CMM_RD">Rates!$D$5</definedName>
    <definedName name="DES">Rates!$C$8</definedName>
    <definedName name="DES_RD">Rates!$D$8</definedName>
    <definedName name="ENG">Rates!$C$7</definedName>
    <definedName name="ENG_RD">Rates!$D$7</definedName>
    <definedName name="M_Tech">Rates!$C$6</definedName>
    <definedName name="MT">Rates!$C$6</definedName>
    <definedName name="MTECH_RD">Rates!$D$6</definedName>
    <definedName name="_xlnm.Print_Area" localSheetId="1">SUMMARY!$A$1:$R$61</definedName>
    <definedName name="Shop">Rates!$C$4</definedName>
    <definedName name="Shop_RD">Rates!$D$4</definedName>
  </definedNames>
  <calcPr calcId="125725"/>
</workbook>
</file>

<file path=xl/calcChain.xml><?xml version="1.0" encoding="utf-8"?>
<calcChain xmlns="http://schemas.openxmlformats.org/spreadsheetml/2006/main">
  <c r="F115" i="13"/>
  <c r="AR115"/>
  <c r="AQ115"/>
  <c r="AP115"/>
  <c r="AO115"/>
  <c r="AN115"/>
  <c r="AM115"/>
  <c r="AH115"/>
  <c r="AG115"/>
  <c r="AF115"/>
  <c r="AE115"/>
  <c r="AD115"/>
  <c r="AC115"/>
  <c r="V115"/>
  <c r="T115"/>
  <c r="S115"/>
  <c r="AR128"/>
  <c r="AQ128"/>
  <c r="AP128"/>
  <c r="AO128"/>
  <c r="AN128"/>
  <c r="AM128"/>
  <c r="F128"/>
  <c r="AH128" s="1"/>
  <c r="AG128"/>
  <c r="AF128"/>
  <c r="AE128"/>
  <c r="AD128"/>
  <c r="AC128"/>
  <c r="V128"/>
  <c r="T128"/>
  <c r="S128"/>
  <c r="F265"/>
  <c r="AR265" s="1"/>
  <c r="AQ265"/>
  <c r="AP265"/>
  <c r="AO265"/>
  <c r="AN265"/>
  <c r="AM265"/>
  <c r="AH265"/>
  <c r="AG265"/>
  <c r="AF265"/>
  <c r="AE265"/>
  <c r="AD265"/>
  <c r="AC265"/>
  <c r="V265"/>
  <c r="T265"/>
  <c r="S265"/>
  <c r="F334"/>
  <c r="AR334" s="1"/>
  <c r="AQ334"/>
  <c r="AP334"/>
  <c r="AO334"/>
  <c r="AN334"/>
  <c r="AM334"/>
  <c r="AH334"/>
  <c r="AG334"/>
  <c r="AF334"/>
  <c r="AE334"/>
  <c r="AD334"/>
  <c r="AC334"/>
  <c r="V334"/>
  <c r="T334"/>
  <c r="S334"/>
  <c r="AR83"/>
  <c r="AQ83"/>
  <c r="AP83"/>
  <c r="AO83"/>
  <c r="AN83"/>
  <c r="AM83"/>
  <c r="AG83"/>
  <c r="AF83"/>
  <c r="AE83"/>
  <c r="AD83"/>
  <c r="AC83"/>
  <c r="V83"/>
  <c r="T83"/>
  <c r="S83"/>
  <c r="M83"/>
  <c r="F83"/>
  <c r="AH83"/>
  <c r="AQ28"/>
  <c r="AP28"/>
  <c r="AO28"/>
  <c r="AN28"/>
  <c r="AM28"/>
  <c r="AH28"/>
  <c r="AG28"/>
  <c r="AF28"/>
  <c r="AE28"/>
  <c r="AD28"/>
  <c r="AC28"/>
  <c r="V28"/>
  <c r="T28"/>
  <c r="S28"/>
  <c r="M28"/>
  <c r="F28"/>
  <c r="AR28" s="1"/>
  <c r="AR138"/>
  <c r="AQ138"/>
  <c r="AP138"/>
  <c r="AO138"/>
  <c r="AN138"/>
  <c r="AM138"/>
  <c r="F138"/>
  <c r="AH138" s="1"/>
  <c r="AG138"/>
  <c r="AF138"/>
  <c r="AE138"/>
  <c r="AD138"/>
  <c r="AC138"/>
  <c r="V138"/>
  <c r="T138"/>
  <c r="S138"/>
  <c r="M138"/>
  <c r="O138" s="1"/>
  <c r="AR150"/>
  <c r="AQ150"/>
  <c r="AP150"/>
  <c r="AO150"/>
  <c r="AN150"/>
  <c r="AM150"/>
  <c r="F150"/>
  <c r="AH150" s="1"/>
  <c r="AG150"/>
  <c r="AF150"/>
  <c r="AE150"/>
  <c r="AD150"/>
  <c r="AC150"/>
  <c r="V150"/>
  <c r="T150"/>
  <c r="S150"/>
  <c r="M150"/>
  <c r="O150" s="1"/>
  <c r="F169"/>
  <c r="AR169" s="1"/>
  <c r="AQ169"/>
  <c r="AP169"/>
  <c r="AO169"/>
  <c r="AN169"/>
  <c r="AM169"/>
  <c r="AH169"/>
  <c r="AG169"/>
  <c r="AF169"/>
  <c r="AE169"/>
  <c r="AD169"/>
  <c r="AC169"/>
  <c r="V169"/>
  <c r="T169"/>
  <c r="S169"/>
  <c r="M169"/>
  <c r="O169" s="1"/>
  <c r="AR165"/>
  <c r="AQ165"/>
  <c r="AP165"/>
  <c r="AO165"/>
  <c r="AN165"/>
  <c r="AM165"/>
  <c r="F165"/>
  <c r="AH165" s="1"/>
  <c r="AG165"/>
  <c r="AF165"/>
  <c r="AE165"/>
  <c r="AD165"/>
  <c r="AC165"/>
  <c r="V165"/>
  <c r="T165"/>
  <c r="S165"/>
  <c r="M165"/>
  <c r="AR161"/>
  <c r="AQ161"/>
  <c r="AP161"/>
  <c r="AO161"/>
  <c r="AN161"/>
  <c r="AM161"/>
  <c r="F161"/>
  <c r="AH161"/>
  <c r="AG161"/>
  <c r="AF161"/>
  <c r="AE161"/>
  <c r="AD161"/>
  <c r="AC161"/>
  <c r="V161"/>
  <c r="T161"/>
  <c r="S161"/>
  <c r="M161"/>
  <c r="F116"/>
  <c r="AR116" s="1"/>
  <c r="AQ116"/>
  <c r="AP116"/>
  <c r="AO116"/>
  <c r="AN116"/>
  <c r="AM116"/>
  <c r="AH116"/>
  <c r="AG116"/>
  <c r="AF116"/>
  <c r="AE116"/>
  <c r="AD116"/>
  <c r="AC116"/>
  <c r="V116"/>
  <c r="T116"/>
  <c r="S116"/>
  <c r="AR113"/>
  <c r="AQ113"/>
  <c r="AP113"/>
  <c r="AO113"/>
  <c r="AN113"/>
  <c r="AM113"/>
  <c r="F113"/>
  <c r="AH113" s="1"/>
  <c r="AG113"/>
  <c r="AF113"/>
  <c r="AE113"/>
  <c r="AD113"/>
  <c r="AC113"/>
  <c r="V113"/>
  <c r="T113"/>
  <c r="S113"/>
  <c r="AR109"/>
  <c r="AQ109"/>
  <c r="AP109"/>
  <c r="AO109"/>
  <c r="AN109"/>
  <c r="AM109"/>
  <c r="F109"/>
  <c r="AH109" s="1"/>
  <c r="AG109"/>
  <c r="AF109"/>
  <c r="AE109"/>
  <c r="AD109"/>
  <c r="AC109"/>
  <c r="V109"/>
  <c r="T109"/>
  <c r="S109"/>
  <c r="F293"/>
  <c r="AR293" s="1"/>
  <c r="AQ293"/>
  <c r="AP293"/>
  <c r="AO293"/>
  <c r="AN293"/>
  <c r="AM293"/>
  <c r="AH293"/>
  <c r="AG293"/>
  <c r="AF293"/>
  <c r="AE293"/>
  <c r="AD293"/>
  <c r="AC293"/>
  <c r="V293"/>
  <c r="T293"/>
  <c r="S293"/>
  <c r="F335"/>
  <c r="AR335" s="1"/>
  <c r="AQ335"/>
  <c r="AP335"/>
  <c r="AO335"/>
  <c r="AN335"/>
  <c r="AM335"/>
  <c r="AH335"/>
  <c r="AG335"/>
  <c r="AF335"/>
  <c r="AE335"/>
  <c r="AD335"/>
  <c r="AC335"/>
  <c r="V335"/>
  <c r="T335"/>
  <c r="S335"/>
  <c r="AR322"/>
  <c r="AQ322"/>
  <c r="AP322"/>
  <c r="AO322"/>
  <c r="AN322"/>
  <c r="AM322"/>
  <c r="F322"/>
  <c r="AH322" s="1"/>
  <c r="AG322"/>
  <c r="AF322"/>
  <c r="AE322"/>
  <c r="AD322"/>
  <c r="AC322"/>
  <c r="V322"/>
  <c r="T322"/>
  <c r="S322"/>
  <c r="AR320"/>
  <c r="AQ320"/>
  <c r="AP320"/>
  <c r="AO320"/>
  <c r="AN320"/>
  <c r="AM320"/>
  <c r="F320"/>
  <c r="AH320" s="1"/>
  <c r="AG320"/>
  <c r="AF320"/>
  <c r="AE320"/>
  <c r="AD320"/>
  <c r="AC320"/>
  <c r="V320"/>
  <c r="T320"/>
  <c r="S320"/>
  <c r="AR318"/>
  <c r="AQ318"/>
  <c r="AP318"/>
  <c r="AO318"/>
  <c r="AN318"/>
  <c r="AM318"/>
  <c r="F318"/>
  <c r="AH318" s="1"/>
  <c r="AG318"/>
  <c r="AF318"/>
  <c r="AE318"/>
  <c r="AD318"/>
  <c r="AC318"/>
  <c r="V318"/>
  <c r="T318"/>
  <c r="S318"/>
  <c r="AR327"/>
  <c r="AQ327"/>
  <c r="AP327"/>
  <c r="AO327"/>
  <c r="AN327"/>
  <c r="AM327"/>
  <c r="F327"/>
  <c r="AH327" s="1"/>
  <c r="AG327"/>
  <c r="AF327"/>
  <c r="AE327"/>
  <c r="AD327"/>
  <c r="AC327"/>
  <c r="V327"/>
  <c r="T327"/>
  <c r="S327"/>
  <c r="AR324"/>
  <c r="AQ324"/>
  <c r="AP324"/>
  <c r="AO324"/>
  <c r="AN324"/>
  <c r="AM324"/>
  <c r="F324"/>
  <c r="AH324" s="1"/>
  <c r="AG324"/>
  <c r="AF324"/>
  <c r="AE324"/>
  <c r="AD324"/>
  <c r="AC324"/>
  <c r="V324"/>
  <c r="T324"/>
  <c r="S324"/>
  <c r="AR245"/>
  <c r="AQ245"/>
  <c r="AP245"/>
  <c r="AO245"/>
  <c r="AN245"/>
  <c r="AM245"/>
  <c r="F245"/>
  <c r="AH245" s="1"/>
  <c r="AG245"/>
  <c r="AF245"/>
  <c r="AE245"/>
  <c r="AD245"/>
  <c r="AC245"/>
  <c r="V245"/>
  <c r="T245"/>
  <c r="S245"/>
  <c r="AB404"/>
  <c r="A58" i="16"/>
  <c r="S52" i="13"/>
  <c r="S54"/>
  <c r="S53"/>
  <c r="S70"/>
  <c r="S71"/>
  <c r="S72"/>
  <c r="S73"/>
  <c r="S81"/>
  <c r="S84"/>
  <c r="S82"/>
  <c r="S88"/>
  <c r="S89"/>
  <c r="S246"/>
  <c r="S258"/>
  <c r="S296"/>
  <c r="S297"/>
  <c r="S298"/>
  <c r="S299"/>
  <c r="F325"/>
  <c r="AH325"/>
  <c r="S325"/>
  <c r="S326"/>
  <c r="S328"/>
  <c r="S321"/>
  <c r="S333"/>
  <c r="S332"/>
  <c r="S331"/>
  <c r="S330"/>
  <c r="S329"/>
  <c r="S323"/>
  <c r="S319"/>
  <c r="S317"/>
  <c r="S316"/>
  <c r="S314"/>
  <c r="S313"/>
  <c r="S311"/>
  <c r="S310"/>
  <c r="S309"/>
  <c r="S308"/>
  <c r="S307"/>
  <c r="S306"/>
  <c r="S305"/>
  <c r="S300"/>
  <c r="S294"/>
  <c r="S292"/>
  <c r="S291"/>
  <c r="S290"/>
  <c r="S289"/>
  <c r="S288"/>
  <c r="S287"/>
  <c r="S286"/>
  <c r="S285"/>
  <c r="S284"/>
  <c r="S282"/>
  <c r="S281"/>
  <c r="S280"/>
  <c r="S279"/>
  <c r="S278"/>
  <c r="S277"/>
  <c r="S276"/>
  <c r="S275"/>
  <c r="S274"/>
  <c r="S273"/>
  <c r="S272"/>
  <c r="S271"/>
  <c r="S270"/>
  <c r="S269"/>
  <c r="S268"/>
  <c r="S266"/>
  <c r="S264"/>
  <c r="S263"/>
  <c r="S262"/>
  <c r="S261"/>
  <c r="S260"/>
  <c r="S259"/>
  <c r="S257"/>
  <c r="S256"/>
  <c r="S255"/>
  <c r="S254"/>
  <c r="S253"/>
  <c r="S252"/>
  <c r="S251"/>
  <c r="S250"/>
  <c r="S249"/>
  <c r="S248"/>
  <c r="S247"/>
  <c r="S244"/>
  <c r="S243"/>
  <c r="S242"/>
  <c r="S241"/>
  <c r="S240"/>
  <c r="S239"/>
  <c r="S238"/>
  <c r="S237"/>
  <c r="S236"/>
  <c r="S235"/>
  <c r="S234"/>
  <c r="S233"/>
  <c r="S232"/>
  <c r="S231"/>
  <c r="S230"/>
  <c r="S225"/>
  <c r="S224"/>
  <c r="S223"/>
  <c r="S222"/>
  <c r="S221"/>
  <c r="S220"/>
  <c r="S219"/>
  <c r="S218"/>
  <c r="S217"/>
  <c r="S216"/>
  <c r="S215"/>
  <c r="S214"/>
  <c r="S213"/>
  <c r="S211"/>
  <c r="S210"/>
  <c r="S209"/>
  <c r="S208"/>
  <c r="S206"/>
  <c r="S205"/>
  <c r="S204"/>
  <c r="S203"/>
  <c r="S202"/>
  <c r="S201"/>
  <c r="S200"/>
  <c r="S194"/>
  <c r="S193"/>
  <c r="S192"/>
  <c r="S191"/>
  <c r="S190"/>
  <c r="S189"/>
  <c r="S188"/>
  <c r="S187"/>
  <c r="S186"/>
  <c r="S185"/>
  <c r="S184"/>
  <c r="S183"/>
  <c r="S182"/>
  <c r="S180"/>
  <c r="S179"/>
  <c r="S178"/>
  <c r="S177"/>
  <c r="S176"/>
  <c r="S175"/>
  <c r="S174"/>
  <c r="S173"/>
  <c r="S172"/>
  <c r="S170"/>
  <c r="S168"/>
  <c r="S167"/>
  <c r="S166"/>
  <c r="S164"/>
  <c r="S163"/>
  <c r="S162"/>
  <c r="S160"/>
  <c r="S159"/>
  <c r="S157"/>
  <c r="S156"/>
  <c r="S155"/>
  <c r="S154"/>
  <c r="S153"/>
  <c r="S152"/>
  <c r="S151"/>
  <c r="S149"/>
  <c r="S148"/>
  <c r="S146"/>
  <c r="S145"/>
  <c r="S144"/>
  <c r="S143"/>
  <c r="S142"/>
  <c r="S141"/>
  <c r="S140"/>
  <c r="S139"/>
  <c r="S137"/>
  <c r="S136"/>
  <c r="S130"/>
  <c r="S129"/>
  <c r="S127"/>
  <c r="S126"/>
  <c r="S125"/>
  <c r="S124"/>
  <c r="S123"/>
  <c r="S122"/>
  <c r="S121"/>
  <c r="S120"/>
  <c r="S119"/>
  <c r="S118"/>
  <c r="S114"/>
  <c r="S112"/>
  <c r="S111"/>
  <c r="S110"/>
  <c r="S108"/>
  <c r="S106"/>
  <c r="S105"/>
  <c r="S104"/>
  <c r="S103"/>
  <c r="S102"/>
  <c r="S101"/>
  <c r="S100"/>
  <c r="S99"/>
  <c r="S98"/>
  <c r="S97"/>
  <c r="S96"/>
  <c r="S95"/>
  <c r="S94"/>
  <c r="S93"/>
  <c r="S92"/>
  <c r="S90"/>
  <c r="S87"/>
  <c r="S86"/>
  <c r="S85"/>
  <c r="S79"/>
  <c r="S78"/>
  <c r="S77"/>
  <c r="S76"/>
  <c r="S75"/>
  <c r="S74"/>
  <c r="S64"/>
  <c r="S63"/>
  <c r="S62"/>
  <c r="S61"/>
  <c r="S60"/>
  <c r="S59"/>
  <c r="S58"/>
  <c r="S57"/>
  <c r="S56"/>
  <c r="S55"/>
  <c r="S51"/>
  <c r="S50"/>
  <c r="S49"/>
  <c r="S48"/>
  <c r="S47"/>
  <c r="S45"/>
  <c r="S44"/>
  <c r="S43"/>
  <c r="S42"/>
  <c r="S41"/>
  <c r="S40"/>
  <c r="S38"/>
  <c r="S37"/>
  <c r="S36"/>
  <c r="S35"/>
  <c r="S34"/>
  <c r="S33"/>
  <c r="S32"/>
  <c r="S31"/>
  <c r="S30"/>
  <c r="S29"/>
  <c r="S27"/>
  <c r="S26"/>
  <c r="S25"/>
  <c r="S24"/>
  <c r="S23"/>
  <c r="S21"/>
  <c r="S20"/>
  <c r="S19"/>
  <c r="S18"/>
  <c r="S17"/>
  <c r="S16"/>
  <c r="S15"/>
  <c r="S14"/>
  <c r="S13"/>
  <c r="S11"/>
  <c r="S10"/>
  <c r="S9"/>
  <c r="S8"/>
  <c r="S7"/>
  <c r="S6"/>
  <c r="F286"/>
  <c r="AH286" s="1"/>
  <c r="F288"/>
  <c r="AH288"/>
  <c r="F299"/>
  <c r="AH299" s="1"/>
  <c r="F329"/>
  <c r="AH329" s="1"/>
  <c r="F330"/>
  <c r="AH330" s="1"/>
  <c r="F331"/>
  <c r="AH331"/>
  <c r="F332"/>
  <c r="AH332" s="1"/>
  <c r="F333"/>
  <c r="AH333"/>
  <c r="F110"/>
  <c r="AH110" s="1"/>
  <c r="AL404"/>
  <c r="K58" i="16"/>
  <c r="AL394" i="13"/>
  <c r="F300"/>
  <c r="AR300"/>
  <c r="AB383"/>
  <c r="AL373"/>
  <c r="A49" i="16"/>
  <c r="AC321" i="13"/>
  <c r="AC325"/>
  <c r="AC328"/>
  <c r="AD321"/>
  <c r="AD325"/>
  <c r="AD328"/>
  <c r="AE321"/>
  <c r="AE325"/>
  <c r="AE328"/>
  <c r="AF321"/>
  <c r="AF325"/>
  <c r="AF328"/>
  <c r="AG321"/>
  <c r="AG325"/>
  <c r="AG328"/>
  <c r="F321"/>
  <c r="AH321"/>
  <c r="F328"/>
  <c r="AH328" s="1"/>
  <c r="AL395"/>
  <c r="K49" i="16"/>
  <c r="AM326" i="13"/>
  <c r="AN326"/>
  <c r="AO326"/>
  <c r="AP326"/>
  <c r="AQ326"/>
  <c r="F326"/>
  <c r="AR326" s="1"/>
  <c r="A29" i="16"/>
  <c r="AL374" i="13"/>
  <c r="K29" i="16" s="1"/>
  <c r="AB361" i="13"/>
  <c r="A18" i="16"/>
  <c r="AL351" i="13"/>
  <c r="AL361" s="1"/>
  <c r="K18" i="16" s="1"/>
  <c r="A9"/>
  <c r="AC326" i="13"/>
  <c r="AD326"/>
  <c r="AE326"/>
  <c r="AF326"/>
  <c r="AG326"/>
  <c r="AH326"/>
  <c r="AL352"/>
  <c r="K9" i="16"/>
  <c r="AM321" i="13"/>
  <c r="AM325"/>
  <c r="AM328"/>
  <c r="AN321"/>
  <c r="AN325"/>
  <c r="AN328"/>
  <c r="AO321"/>
  <c r="AO325"/>
  <c r="AO328"/>
  <c r="AP321"/>
  <c r="AP325"/>
  <c r="AP328"/>
  <c r="AQ321"/>
  <c r="AQ325"/>
  <c r="AQ328"/>
  <c r="AR321"/>
  <c r="AR325"/>
  <c r="AR328"/>
  <c r="AC286"/>
  <c r="AC288"/>
  <c r="AC299"/>
  <c r="AC329"/>
  <c r="AC330"/>
  <c r="AC331"/>
  <c r="AC332"/>
  <c r="AC333"/>
  <c r="AD286"/>
  <c r="AD288"/>
  <c r="AD299"/>
  <c r="AD329"/>
  <c r="AD330"/>
  <c r="AD331"/>
  <c r="AD332"/>
  <c r="AD333"/>
  <c r="AE286"/>
  <c r="AE288"/>
  <c r="AE299"/>
  <c r="AE329"/>
  <c r="AE330"/>
  <c r="AE331"/>
  <c r="AE332"/>
  <c r="AE333"/>
  <c r="AF286"/>
  <c r="AF288"/>
  <c r="AF299"/>
  <c r="AF329"/>
  <c r="AF330"/>
  <c r="AF331"/>
  <c r="AF332"/>
  <c r="AF333"/>
  <c r="AG286"/>
  <c r="AG288"/>
  <c r="AG299"/>
  <c r="AG329"/>
  <c r="AG330"/>
  <c r="AG331"/>
  <c r="AG332"/>
  <c r="AG333"/>
  <c r="AM300"/>
  <c r="AN300"/>
  <c r="AO300"/>
  <c r="AP300"/>
  <c r="AQ300"/>
  <c r="AR287"/>
  <c r="AQ287"/>
  <c r="AP287"/>
  <c r="AO287"/>
  <c r="AN287"/>
  <c r="AM287"/>
  <c r="F287"/>
  <c r="AH287" s="1"/>
  <c r="AG287"/>
  <c r="AF287"/>
  <c r="AE287"/>
  <c r="AD287"/>
  <c r="AC287"/>
  <c r="V287"/>
  <c r="T287"/>
  <c r="AR285"/>
  <c r="AQ285"/>
  <c r="AP285"/>
  <c r="AO285"/>
  <c r="AN285"/>
  <c r="AM285"/>
  <c r="F285"/>
  <c r="AH285" s="1"/>
  <c r="AG285"/>
  <c r="AF285"/>
  <c r="AE285"/>
  <c r="AD285"/>
  <c r="AC285"/>
  <c r="V285"/>
  <c r="T285"/>
  <c r="AR259"/>
  <c r="AQ259"/>
  <c r="AP259"/>
  <c r="AO259"/>
  <c r="AN259"/>
  <c r="AM259"/>
  <c r="F259"/>
  <c r="AH259"/>
  <c r="AG259"/>
  <c r="AF259"/>
  <c r="AE259"/>
  <c r="AD259"/>
  <c r="AC259"/>
  <c r="V259"/>
  <c r="T259"/>
  <c r="M259"/>
  <c r="O259" s="1"/>
  <c r="F264"/>
  <c r="AR264"/>
  <c r="AQ264"/>
  <c r="AP264"/>
  <c r="AO264"/>
  <c r="AN264"/>
  <c r="AM264"/>
  <c r="AH264"/>
  <c r="AG264"/>
  <c r="AF264"/>
  <c r="AE264"/>
  <c r="AD264"/>
  <c r="AC264"/>
  <c r="V264"/>
  <c r="T264"/>
  <c r="AR112"/>
  <c r="AQ112"/>
  <c r="AP112"/>
  <c r="AO112"/>
  <c r="AN112"/>
  <c r="AM112"/>
  <c r="AG112"/>
  <c r="AF112"/>
  <c r="AE112"/>
  <c r="AD112"/>
  <c r="AC112"/>
  <c r="V112"/>
  <c r="T112"/>
  <c r="F112"/>
  <c r="AH112"/>
  <c r="AR110"/>
  <c r="AQ110"/>
  <c r="AQ132" s="1"/>
  <c r="AP110"/>
  <c r="AO110"/>
  <c r="AN110"/>
  <c r="AM110"/>
  <c r="AM352" s="1"/>
  <c r="L9" i="16" s="1"/>
  <c r="AG110" i="13"/>
  <c r="AF110"/>
  <c r="AE110"/>
  <c r="AD110"/>
  <c r="AC110"/>
  <c r="V110"/>
  <c r="T110"/>
  <c r="V326"/>
  <c r="T326"/>
  <c r="V325"/>
  <c r="T325"/>
  <c r="E22" i="20"/>
  <c r="E14"/>
  <c r="E11"/>
  <c r="E8"/>
  <c r="E7"/>
  <c r="P22"/>
  <c r="P14"/>
  <c r="P11"/>
  <c r="P8"/>
  <c r="P7"/>
  <c r="O22"/>
  <c r="O14"/>
  <c r="O11"/>
  <c r="O8"/>
  <c r="O7"/>
  <c r="N22"/>
  <c r="N14"/>
  <c r="N11"/>
  <c r="N8"/>
  <c r="N7"/>
  <c r="M22"/>
  <c r="M14"/>
  <c r="M11"/>
  <c r="M8"/>
  <c r="M7"/>
  <c r="L22"/>
  <c r="L14"/>
  <c r="L11"/>
  <c r="L8"/>
  <c r="L7"/>
  <c r="K22"/>
  <c r="K14"/>
  <c r="K11"/>
  <c r="K8"/>
  <c r="K7"/>
  <c r="J22"/>
  <c r="J14"/>
  <c r="J11"/>
  <c r="J8"/>
  <c r="J7"/>
  <c r="I22"/>
  <c r="I14"/>
  <c r="I11"/>
  <c r="I8"/>
  <c r="I7"/>
  <c r="H22"/>
  <c r="H14"/>
  <c r="H11"/>
  <c r="H8"/>
  <c r="H7"/>
  <c r="G22"/>
  <c r="G14"/>
  <c r="G11"/>
  <c r="G8"/>
  <c r="G7"/>
  <c r="F22"/>
  <c r="F14"/>
  <c r="F11"/>
  <c r="F8"/>
  <c r="F7"/>
  <c r="AQ216" i="13"/>
  <c r="AP216"/>
  <c r="AO216"/>
  <c r="AN216"/>
  <c r="AM216"/>
  <c r="F216"/>
  <c r="AR216"/>
  <c r="AH216"/>
  <c r="AG216"/>
  <c r="AF216"/>
  <c r="AE216"/>
  <c r="AD216"/>
  <c r="AC216"/>
  <c r="V216"/>
  <c r="T216"/>
  <c r="AR332"/>
  <c r="AQ332"/>
  <c r="AP332"/>
  <c r="AO332"/>
  <c r="AN332"/>
  <c r="AM332"/>
  <c r="V332"/>
  <c r="T332"/>
  <c r="AR331"/>
  <c r="AQ331"/>
  <c r="AP331"/>
  <c r="AO331"/>
  <c r="AN331"/>
  <c r="AM331"/>
  <c r="V331"/>
  <c r="T331"/>
  <c r="AR330"/>
  <c r="AQ330"/>
  <c r="AP330"/>
  <c r="AO330"/>
  <c r="AN330"/>
  <c r="AM330"/>
  <c r="V330"/>
  <c r="T330"/>
  <c r="AR329"/>
  <c r="AQ329"/>
  <c r="AP329"/>
  <c r="AO329"/>
  <c r="AN329"/>
  <c r="AM329"/>
  <c r="AH300"/>
  <c r="V329"/>
  <c r="T329"/>
  <c r="M20"/>
  <c r="AR20"/>
  <c r="AQ20"/>
  <c r="AP20"/>
  <c r="AO20"/>
  <c r="AN20"/>
  <c r="AM20"/>
  <c r="F20"/>
  <c r="AH20" s="1"/>
  <c r="AG20"/>
  <c r="AF20"/>
  <c r="AE20"/>
  <c r="AD20"/>
  <c r="AC20"/>
  <c r="V20"/>
  <c r="T20"/>
  <c r="AR317"/>
  <c r="AQ317"/>
  <c r="AP317"/>
  <c r="AO317"/>
  <c r="AN317"/>
  <c r="AM317"/>
  <c r="F317"/>
  <c r="AH317"/>
  <c r="AG317"/>
  <c r="AF317"/>
  <c r="AE317"/>
  <c r="AD317"/>
  <c r="AC317"/>
  <c r="V317"/>
  <c r="T317"/>
  <c r="AR214"/>
  <c r="AQ214"/>
  <c r="AP214"/>
  <c r="AO214"/>
  <c r="AN214"/>
  <c r="AM214"/>
  <c r="F214"/>
  <c r="AH214"/>
  <c r="AG214"/>
  <c r="AF214"/>
  <c r="AE214"/>
  <c r="AD214"/>
  <c r="AC214"/>
  <c r="V214"/>
  <c r="T214"/>
  <c r="AR33"/>
  <c r="AQ33"/>
  <c r="AP33"/>
  <c r="AO33"/>
  <c r="AN33"/>
  <c r="AM33"/>
  <c r="F33"/>
  <c r="AH33"/>
  <c r="AG33"/>
  <c r="AF33"/>
  <c r="AE33"/>
  <c r="AD33"/>
  <c r="AC33"/>
  <c r="V33"/>
  <c r="T33"/>
  <c r="M33"/>
  <c r="O33" s="1"/>
  <c r="T333"/>
  <c r="AG319"/>
  <c r="AG323"/>
  <c r="AF319"/>
  <c r="AF323"/>
  <c r="AE319"/>
  <c r="AE323"/>
  <c r="AD319"/>
  <c r="AD323"/>
  <c r="AC319"/>
  <c r="AC323"/>
  <c r="F213"/>
  <c r="AH213"/>
  <c r="AG215"/>
  <c r="AF215"/>
  <c r="AE215"/>
  <c r="AD215"/>
  <c r="AC215"/>
  <c r="F108"/>
  <c r="AH108"/>
  <c r="F41"/>
  <c r="AR41" s="1"/>
  <c r="F40"/>
  <c r="AH40"/>
  <c r="AQ215"/>
  <c r="AO215"/>
  <c r="AP215"/>
  <c r="AN215"/>
  <c r="AM215"/>
  <c r="AH41"/>
  <c r="AR40"/>
  <c r="AR108"/>
  <c r="AR213"/>
  <c r="AR215"/>
  <c r="L6" i="17"/>
  <c r="M6" s="1"/>
  <c r="Q6" s="1"/>
  <c r="R6"/>
  <c r="S6"/>
  <c r="T6"/>
  <c r="L7"/>
  <c r="N7" s="1"/>
  <c r="R7"/>
  <c r="S7"/>
  <c r="T7"/>
  <c r="L10"/>
  <c r="M10"/>
  <c r="R10"/>
  <c r="S10"/>
  <c r="T10"/>
  <c r="L11"/>
  <c r="M11" s="1"/>
  <c r="Q11" s="1"/>
  <c r="R11"/>
  <c r="S11"/>
  <c r="T11"/>
  <c r="L13"/>
  <c r="M13" s="1"/>
  <c r="Q13" s="1"/>
  <c r="R13"/>
  <c r="S13"/>
  <c r="T13"/>
  <c r="L14"/>
  <c r="M14" s="1"/>
  <c r="Q14" s="1"/>
  <c r="T14" s="1"/>
  <c r="L17"/>
  <c r="M17"/>
  <c r="R17"/>
  <c r="S17"/>
  <c r="T17"/>
  <c r="L18"/>
  <c r="N18" s="1"/>
  <c r="R18"/>
  <c r="S18"/>
  <c r="T18"/>
  <c r="L19"/>
  <c r="M19"/>
  <c r="Q19" s="1"/>
  <c r="R19"/>
  <c r="S19"/>
  <c r="T19"/>
  <c r="L20"/>
  <c r="M20"/>
  <c r="Q20" s="1"/>
  <c r="R20"/>
  <c r="S20"/>
  <c r="T20"/>
  <c r="L22"/>
  <c r="N22"/>
  <c r="R22"/>
  <c r="S22"/>
  <c r="T22"/>
  <c r="L23"/>
  <c r="N23" s="1"/>
  <c r="R23"/>
  <c r="S23"/>
  <c r="T23"/>
  <c r="L25"/>
  <c r="M25"/>
  <c r="M27" s="1"/>
  <c r="R25"/>
  <c r="S25"/>
  <c r="T25"/>
  <c r="L26"/>
  <c r="M26"/>
  <c r="Q26" s="1"/>
  <c r="R26"/>
  <c r="S26"/>
  <c r="T26"/>
  <c r="L28"/>
  <c r="N28"/>
  <c r="R28"/>
  <c r="S28"/>
  <c r="T28"/>
  <c r="L29"/>
  <c r="M29" s="1"/>
  <c r="Q29" s="1"/>
  <c r="R29"/>
  <c r="S29"/>
  <c r="T29"/>
  <c r="L30"/>
  <c r="N30" s="1"/>
  <c r="R30"/>
  <c r="S30"/>
  <c r="T30"/>
  <c r="C4" i="15"/>
  <c r="M128" i="13" s="1"/>
  <c r="C5" i="15"/>
  <c r="I5"/>
  <c r="L5"/>
  <c r="C6"/>
  <c r="I6"/>
  <c r="L6"/>
  <c r="C7"/>
  <c r="I7"/>
  <c r="L7"/>
  <c r="C8"/>
  <c r="I8"/>
  <c r="L8"/>
  <c r="I9"/>
  <c r="L9"/>
  <c r="I10"/>
  <c r="L10"/>
  <c r="I11"/>
  <c r="L11"/>
  <c r="I12"/>
  <c r="L12"/>
  <c r="I13"/>
  <c r="L13"/>
  <c r="I14"/>
  <c r="L14"/>
  <c r="I15"/>
  <c r="L15"/>
  <c r="I16"/>
  <c r="L16"/>
  <c r="I17"/>
  <c r="L17"/>
  <c r="I18"/>
  <c r="L18"/>
  <c r="I19"/>
  <c r="L19"/>
  <c r="H20"/>
  <c r="I20" s="1"/>
  <c r="L20"/>
  <c r="H21"/>
  <c r="I21"/>
  <c r="L21"/>
  <c r="H22"/>
  <c r="I22" s="1"/>
  <c r="L22"/>
  <c r="I23"/>
  <c r="L23"/>
  <c r="I24"/>
  <c r="L24"/>
  <c r="F6" i="13"/>
  <c r="AH6" s="1"/>
  <c r="M6"/>
  <c r="O6" s="1"/>
  <c r="T6"/>
  <c r="V6"/>
  <c r="AC6"/>
  <c r="AD6"/>
  <c r="AE6"/>
  <c r="AF6"/>
  <c r="AG6"/>
  <c r="AM6"/>
  <c r="AM37"/>
  <c r="AM13"/>
  <c r="AM14"/>
  <c r="AM15"/>
  <c r="AM16"/>
  <c r="AM17"/>
  <c r="AM18"/>
  <c r="AM19"/>
  <c r="AM21"/>
  <c r="AM23"/>
  <c r="AM24"/>
  <c r="AM25"/>
  <c r="AM7"/>
  <c r="AM8"/>
  <c r="AM9"/>
  <c r="AM11"/>
  <c r="AM48"/>
  <c r="AM10"/>
  <c r="AM26"/>
  <c r="AM27"/>
  <c r="AM29"/>
  <c r="AM30"/>
  <c r="AM31"/>
  <c r="AM32"/>
  <c r="AM34"/>
  <c r="AM35"/>
  <c r="AM36"/>
  <c r="AM38"/>
  <c r="AN6"/>
  <c r="AN37"/>
  <c r="AN13"/>
  <c r="AN14"/>
  <c r="AN15"/>
  <c r="AN16"/>
  <c r="AN17"/>
  <c r="AN18"/>
  <c r="AN19"/>
  <c r="AN21"/>
  <c r="AN23"/>
  <c r="AN24"/>
  <c r="AN25"/>
  <c r="AN7"/>
  <c r="AN8"/>
  <c r="AN9"/>
  <c r="AN11"/>
  <c r="AN48"/>
  <c r="AN10"/>
  <c r="AN26"/>
  <c r="AN27"/>
  <c r="AN29"/>
  <c r="AN30"/>
  <c r="AN31"/>
  <c r="AN32"/>
  <c r="AN34"/>
  <c r="AN35"/>
  <c r="AN36"/>
  <c r="AN38"/>
  <c r="AO6"/>
  <c r="AO37"/>
  <c r="AO13"/>
  <c r="AO14"/>
  <c r="AO15"/>
  <c r="AO16"/>
  <c r="AO17"/>
  <c r="AO18"/>
  <c r="AO19"/>
  <c r="AO21"/>
  <c r="AO23"/>
  <c r="AO24"/>
  <c r="AO25"/>
  <c r="AO7"/>
  <c r="AO8"/>
  <c r="AO9"/>
  <c r="AO11"/>
  <c r="AO48"/>
  <c r="AO10"/>
  <c r="AO26"/>
  <c r="AO27"/>
  <c r="AO29"/>
  <c r="AO30"/>
  <c r="AO31"/>
  <c r="AO32"/>
  <c r="AO34"/>
  <c r="AO35"/>
  <c r="AO36"/>
  <c r="AO38"/>
  <c r="AP6"/>
  <c r="AP37"/>
  <c r="AP13"/>
  <c r="AP14"/>
  <c r="AP15"/>
  <c r="AP16"/>
  <c r="AP17"/>
  <c r="AP18"/>
  <c r="AP19"/>
  <c r="AP21"/>
  <c r="AP23"/>
  <c r="AP24"/>
  <c r="AP25"/>
  <c r="AP7"/>
  <c r="AP8"/>
  <c r="AP9"/>
  <c r="AP11"/>
  <c r="AP35"/>
  <c r="AP36"/>
  <c r="AP32"/>
  <c r="AP29"/>
  <c r="AP48"/>
  <c r="AP10"/>
  <c r="AP26"/>
  <c r="AP27"/>
  <c r="AP30"/>
  <c r="AP31"/>
  <c r="AP34"/>
  <c r="AP38"/>
  <c r="AQ6"/>
  <c r="AR6"/>
  <c r="F7"/>
  <c r="AH7" s="1"/>
  <c r="M7"/>
  <c r="O7" s="1"/>
  <c r="T7"/>
  <c r="V7"/>
  <c r="AC7"/>
  <c r="AC37"/>
  <c r="AC13"/>
  <c r="AC14"/>
  <c r="AC15"/>
  <c r="AC16"/>
  <c r="AC17"/>
  <c r="AC18"/>
  <c r="AC19"/>
  <c r="AC21"/>
  <c r="AC23"/>
  <c r="AC24"/>
  <c r="AC25"/>
  <c r="AC8"/>
  <c r="AC9"/>
  <c r="AC11"/>
  <c r="AC48"/>
  <c r="AC10"/>
  <c r="AC26"/>
  <c r="AC27"/>
  <c r="AC29"/>
  <c r="AC30"/>
  <c r="AC31"/>
  <c r="AC32"/>
  <c r="AC34"/>
  <c r="AC35"/>
  <c r="AC36"/>
  <c r="AC38"/>
  <c r="AD7"/>
  <c r="AD37"/>
  <c r="AD13"/>
  <c r="AD14"/>
  <c r="AD15"/>
  <c r="AD16"/>
  <c r="AD17"/>
  <c r="AD18"/>
  <c r="AD19"/>
  <c r="AD21"/>
  <c r="AD23"/>
  <c r="AD24"/>
  <c r="AD25"/>
  <c r="AD8"/>
  <c r="AD9"/>
  <c r="AD11"/>
  <c r="AD48"/>
  <c r="AD10"/>
  <c r="AD26"/>
  <c r="AD27"/>
  <c r="AD29"/>
  <c r="AD30"/>
  <c r="AD31"/>
  <c r="AD32"/>
  <c r="AD34"/>
  <c r="AD35"/>
  <c r="AD36"/>
  <c r="AD38"/>
  <c r="AE7"/>
  <c r="AE37"/>
  <c r="AE13"/>
  <c r="AE14"/>
  <c r="AE15"/>
  <c r="AE16"/>
  <c r="AE17"/>
  <c r="AE18"/>
  <c r="AE19"/>
  <c r="AE21"/>
  <c r="AE23"/>
  <c r="AE24"/>
  <c r="AE25"/>
  <c r="AE8"/>
  <c r="AE9"/>
  <c r="AE11"/>
  <c r="AE48"/>
  <c r="AE10"/>
  <c r="AE26"/>
  <c r="AE27"/>
  <c r="AE29"/>
  <c r="AE30"/>
  <c r="AE31"/>
  <c r="AE32"/>
  <c r="AE34"/>
  <c r="AE35"/>
  <c r="AE36"/>
  <c r="AE38"/>
  <c r="AF7"/>
  <c r="AF37"/>
  <c r="AF13"/>
  <c r="AF14"/>
  <c r="AF15"/>
  <c r="AF16"/>
  <c r="AF17"/>
  <c r="AF18"/>
  <c r="AF19"/>
  <c r="AF21"/>
  <c r="AF23"/>
  <c r="AF24"/>
  <c r="AF25"/>
  <c r="AF8"/>
  <c r="AF9"/>
  <c r="AF11"/>
  <c r="AF35"/>
  <c r="AF36"/>
  <c r="AF32"/>
  <c r="AF29"/>
  <c r="AF48"/>
  <c r="AF10"/>
  <c r="AF26"/>
  <c r="AF27"/>
  <c r="AF30"/>
  <c r="AF31"/>
  <c r="AF34"/>
  <c r="AF38"/>
  <c r="AG7"/>
  <c r="AQ7"/>
  <c r="AR7"/>
  <c r="F8"/>
  <c r="AR8"/>
  <c r="M8"/>
  <c r="T8"/>
  <c r="V8"/>
  <c r="AG8"/>
  <c r="AH8"/>
  <c r="AQ8"/>
  <c r="F9"/>
  <c r="AR9"/>
  <c r="M9"/>
  <c r="T9"/>
  <c r="V9"/>
  <c r="AG9"/>
  <c r="AH9"/>
  <c r="AQ9"/>
  <c r="F10"/>
  <c r="AH10"/>
  <c r="M10"/>
  <c r="T10"/>
  <c r="V10"/>
  <c r="AG10"/>
  <c r="AN49"/>
  <c r="AN50"/>
  <c r="AN40"/>
  <c r="AN41"/>
  <c r="AN42"/>
  <c r="AN43"/>
  <c r="AN44"/>
  <c r="AN45"/>
  <c r="AN47"/>
  <c r="AN51"/>
  <c r="AN52"/>
  <c r="AN53"/>
  <c r="AN54"/>
  <c r="AN55"/>
  <c r="AN56"/>
  <c r="AN57"/>
  <c r="AN58"/>
  <c r="AN59"/>
  <c r="AN60"/>
  <c r="AN61"/>
  <c r="AN62"/>
  <c r="AN63"/>
  <c r="AN64"/>
  <c r="AQ10"/>
  <c r="AR10"/>
  <c r="F11"/>
  <c r="AR11" s="1"/>
  <c r="M11"/>
  <c r="O11" s="1"/>
  <c r="T11"/>
  <c r="V11"/>
  <c r="AG11"/>
  <c r="AH11"/>
  <c r="AQ11"/>
  <c r="F13"/>
  <c r="AH13" s="1"/>
  <c r="M13"/>
  <c r="T13"/>
  <c r="V13"/>
  <c r="AG13"/>
  <c r="AQ13"/>
  <c r="AR13"/>
  <c r="F14"/>
  <c r="AH14" s="1"/>
  <c r="M14"/>
  <c r="O14" s="1"/>
  <c r="T14"/>
  <c r="V14"/>
  <c r="AG14"/>
  <c r="AQ14"/>
  <c r="AR14"/>
  <c r="F15"/>
  <c r="AH15" s="1"/>
  <c r="M15"/>
  <c r="T15"/>
  <c r="V15"/>
  <c r="AG15"/>
  <c r="AQ15"/>
  <c r="AR15"/>
  <c r="F16"/>
  <c r="AH16" s="1"/>
  <c r="M16"/>
  <c r="T16"/>
  <c r="V16"/>
  <c r="AG16"/>
  <c r="AQ16"/>
  <c r="AR16"/>
  <c r="F17"/>
  <c r="M17"/>
  <c r="T17"/>
  <c r="V17"/>
  <c r="AG17"/>
  <c r="AQ17"/>
  <c r="AR17"/>
  <c r="F18"/>
  <c r="AH18" s="1"/>
  <c r="M18"/>
  <c r="O18" s="1"/>
  <c r="T18"/>
  <c r="V18"/>
  <c r="AG18"/>
  <c r="AQ18"/>
  <c r="AR18"/>
  <c r="F19"/>
  <c r="M19"/>
  <c r="T19"/>
  <c r="V19"/>
  <c r="AG19"/>
  <c r="AQ19"/>
  <c r="AR19"/>
  <c r="F21"/>
  <c r="AH21" s="1"/>
  <c r="M21"/>
  <c r="T21"/>
  <c r="V21"/>
  <c r="AG21"/>
  <c r="AQ21"/>
  <c r="AR21"/>
  <c r="F23"/>
  <c r="AH23" s="1"/>
  <c r="M23"/>
  <c r="T23"/>
  <c r="V23"/>
  <c r="AG23"/>
  <c r="AQ23"/>
  <c r="AR23"/>
  <c r="F24"/>
  <c r="AH24"/>
  <c r="M24"/>
  <c r="T24"/>
  <c r="V24"/>
  <c r="AG24"/>
  <c r="AQ24"/>
  <c r="AR24"/>
  <c r="F25"/>
  <c r="AH25"/>
  <c r="M25"/>
  <c r="T25"/>
  <c r="V25"/>
  <c r="AG25"/>
  <c r="AQ25"/>
  <c r="AR25"/>
  <c r="F26"/>
  <c r="AR26"/>
  <c r="F27"/>
  <c r="AR27"/>
  <c r="F29"/>
  <c r="AR29"/>
  <c r="AR30"/>
  <c r="AR31"/>
  <c r="AR32"/>
  <c r="AR34"/>
  <c r="AR35"/>
  <c r="AR36"/>
  <c r="AR37"/>
  <c r="F38"/>
  <c r="AR38" s="1"/>
  <c r="T26"/>
  <c r="V26"/>
  <c r="AG26"/>
  <c r="AH26"/>
  <c r="AQ26"/>
  <c r="M27"/>
  <c r="O27" s="1"/>
  <c r="T27"/>
  <c r="V27"/>
  <c r="AG27"/>
  <c r="AH27"/>
  <c r="AQ27"/>
  <c r="M29"/>
  <c r="T29"/>
  <c r="V29"/>
  <c r="AG29"/>
  <c r="AH29"/>
  <c r="AQ29"/>
  <c r="F30"/>
  <c r="AH30"/>
  <c r="M30"/>
  <c r="T30"/>
  <c r="V30"/>
  <c r="AG30"/>
  <c r="AQ30"/>
  <c r="F31"/>
  <c r="AH31" s="1"/>
  <c r="M31"/>
  <c r="T31"/>
  <c r="V31"/>
  <c r="AG31"/>
  <c r="AQ31"/>
  <c r="F32"/>
  <c r="AH32"/>
  <c r="M32"/>
  <c r="T32"/>
  <c r="V32"/>
  <c r="AG32"/>
  <c r="AQ32"/>
  <c r="F34"/>
  <c r="AH34" s="1"/>
  <c r="M34"/>
  <c r="T34"/>
  <c r="V34"/>
  <c r="AG34"/>
  <c r="AP43"/>
  <c r="AP49"/>
  <c r="AP50"/>
  <c r="AP40"/>
  <c r="AP41"/>
  <c r="AP42"/>
  <c r="AP44"/>
  <c r="AP45"/>
  <c r="AP47"/>
  <c r="AP51"/>
  <c r="AP52"/>
  <c r="AP53"/>
  <c r="AP54"/>
  <c r="AP55"/>
  <c r="AP56"/>
  <c r="AP57"/>
  <c r="AP58"/>
  <c r="L10" i="20" s="1"/>
  <c r="AP59" i="13"/>
  <c r="AP60"/>
  <c r="AP61"/>
  <c r="AP62"/>
  <c r="AP63"/>
  <c r="AP64"/>
  <c r="AQ34"/>
  <c r="F35"/>
  <c r="AH35" s="1"/>
  <c r="M35"/>
  <c r="T35"/>
  <c r="V35"/>
  <c r="AG35"/>
  <c r="AQ35"/>
  <c r="F36"/>
  <c r="AH36"/>
  <c r="M36"/>
  <c r="T36"/>
  <c r="V36"/>
  <c r="AG36"/>
  <c r="AQ36"/>
  <c r="F37"/>
  <c r="M37"/>
  <c r="T37"/>
  <c r="V37"/>
  <c r="AG37"/>
  <c r="AQ37"/>
  <c r="M38"/>
  <c r="T38"/>
  <c r="V38"/>
  <c r="AG38"/>
  <c r="AH38"/>
  <c r="AQ38"/>
  <c r="T40"/>
  <c r="V40"/>
  <c r="AC40"/>
  <c r="AC49"/>
  <c r="AC50"/>
  <c r="AC41"/>
  <c r="AC42"/>
  <c r="AC43"/>
  <c r="AC44"/>
  <c r="AC45"/>
  <c r="AC47"/>
  <c r="AC51"/>
  <c r="AC52"/>
  <c r="AC53"/>
  <c r="AC54"/>
  <c r="AC55"/>
  <c r="AC56"/>
  <c r="AC57"/>
  <c r="AC58"/>
  <c r="AC59"/>
  <c r="AC66" s="1"/>
  <c r="AC60"/>
  <c r="AC61"/>
  <c r="AC62"/>
  <c r="AC63"/>
  <c r="AC64"/>
  <c r="AD40"/>
  <c r="AE40"/>
  <c r="AF40"/>
  <c r="AG40"/>
  <c r="AM40"/>
  <c r="AO40"/>
  <c r="AQ40"/>
  <c r="T41"/>
  <c r="V41"/>
  <c r="AD41"/>
  <c r="AD49"/>
  <c r="AD50"/>
  <c r="AD42"/>
  <c r="AD43"/>
  <c r="AD44"/>
  <c r="AD45"/>
  <c r="AD47"/>
  <c r="AD51"/>
  <c r="AD52"/>
  <c r="AD53"/>
  <c r="AD54"/>
  <c r="AD55"/>
  <c r="AD56"/>
  <c r="AD57"/>
  <c r="AD58"/>
  <c r="AD59"/>
  <c r="AD60"/>
  <c r="AD61"/>
  <c r="AD62"/>
  <c r="AD63"/>
  <c r="AD64"/>
  <c r="AE41"/>
  <c r="AF41"/>
  <c r="AF43"/>
  <c r="AF49"/>
  <c r="AF50"/>
  <c r="AF42"/>
  <c r="AF44"/>
  <c r="AF45"/>
  <c r="AF47"/>
  <c r="AF51"/>
  <c r="AF52"/>
  <c r="AF53"/>
  <c r="AF54"/>
  <c r="AF55"/>
  <c r="AF56"/>
  <c r="AF57"/>
  <c r="AF58"/>
  <c r="AF59"/>
  <c r="AF60"/>
  <c r="AF61"/>
  <c r="AF62"/>
  <c r="AF63"/>
  <c r="AF64"/>
  <c r="AG41"/>
  <c r="AM41"/>
  <c r="AM49"/>
  <c r="AM50"/>
  <c r="AM42"/>
  <c r="AM43"/>
  <c r="AM44"/>
  <c r="AM45"/>
  <c r="AM47"/>
  <c r="AM51"/>
  <c r="AM52"/>
  <c r="AM53"/>
  <c r="AM54"/>
  <c r="AM55"/>
  <c r="AM56"/>
  <c r="AM57"/>
  <c r="AM58"/>
  <c r="AM59"/>
  <c r="AM60"/>
  <c r="AM61"/>
  <c r="AM62"/>
  <c r="AM63"/>
  <c r="AM64"/>
  <c r="AO41"/>
  <c r="AO49"/>
  <c r="AO50"/>
  <c r="AO42"/>
  <c r="AO43"/>
  <c r="AO44"/>
  <c r="AO45"/>
  <c r="AO47"/>
  <c r="AO51"/>
  <c r="AO52"/>
  <c r="AO53"/>
  <c r="AO54"/>
  <c r="AO55"/>
  <c r="AO56"/>
  <c r="AO57"/>
  <c r="AO58"/>
  <c r="AO59"/>
  <c r="AO60"/>
  <c r="AO61"/>
  <c r="AO62"/>
  <c r="AO63"/>
  <c r="AO64"/>
  <c r="AQ41"/>
  <c r="F42"/>
  <c r="AH42" s="1"/>
  <c r="T42"/>
  <c r="V42"/>
  <c r="AE42"/>
  <c r="AE49"/>
  <c r="AE50"/>
  <c r="AE43"/>
  <c r="AE44"/>
  <c r="AE45"/>
  <c r="AE47"/>
  <c r="AE51"/>
  <c r="AE52"/>
  <c r="AE53"/>
  <c r="AE54"/>
  <c r="AE55"/>
  <c r="AE56"/>
  <c r="AE57"/>
  <c r="AE58"/>
  <c r="AE59"/>
  <c r="AE60"/>
  <c r="AE61"/>
  <c r="AE62"/>
  <c r="AE63"/>
  <c r="AE64"/>
  <c r="AG42"/>
  <c r="AG43"/>
  <c r="AG49"/>
  <c r="AG50"/>
  <c r="AG44"/>
  <c r="AG45"/>
  <c r="AG47"/>
  <c r="AG51"/>
  <c r="AG52"/>
  <c r="AG53"/>
  <c r="AG54"/>
  <c r="AG55"/>
  <c r="AG56"/>
  <c r="AG57"/>
  <c r="AG58"/>
  <c r="AG348" s="1"/>
  <c r="F5" i="16" s="1"/>
  <c r="AG59" i="13"/>
  <c r="AG60"/>
  <c r="AG61"/>
  <c r="AG62"/>
  <c r="AG63"/>
  <c r="AG64"/>
  <c r="AQ42"/>
  <c r="AQ201"/>
  <c r="AR42"/>
  <c r="F43"/>
  <c r="AH43" s="1"/>
  <c r="T43"/>
  <c r="V43"/>
  <c r="AQ43"/>
  <c r="AR43"/>
  <c r="F44"/>
  <c r="AR44" s="1"/>
  <c r="T44"/>
  <c r="V44"/>
  <c r="AH44"/>
  <c r="AQ44"/>
  <c r="F45"/>
  <c r="AR45" s="1"/>
  <c r="T45"/>
  <c r="V45"/>
  <c r="AH45"/>
  <c r="AQ45"/>
  <c r="F47"/>
  <c r="AH47" s="1"/>
  <c r="T47"/>
  <c r="V47"/>
  <c r="AQ47"/>
  <c r="AR47"/>
  <c r="F48"/>
  <c r="T48"/>
  <c r="V48"/>
  <c r="AG48"/>
  <c r="AH48"/>
  <c r="AQ48"/>
  <c r="AR48"/>
  <c r="F49"/>
  <c r="AH49" s="1"/>
  <c r="F50"/>
  <c r="AH50"/>
  <c r="T49"/>
  <c r="V49"/>
  <c r="AQ49"/>
  <c r="AR49"/>
  <c r="T50"/>
  <c r="V50"/>
  <c r="AQ50"/>
  <c r="AR50"/>
  <c r="F51"/>
  <c r="AH51" s="1"/>
  <c r="T51"/>
  <c r="V51"/>
  <c r="AQ51"/>
  <c r="AQ55"/>
  <c r="AQ56"/>
  <c r="AQ57"/>
  <c r="AQ58"/>
  <c r="AQ59"/>
  <c r="AQ60"/>
  <c r="AQ61"/>
  <c r="AQ62"/>
  <c r="AQ70"/>
  <c r="AQ71"/>
  <c r="AQ78"/>
  <c r="AQ81"/>
  <c r="AQ82"/>
  <c r="AQ84"/>
  <c r="AQ88"/>
  <c r="AQ89"/>
  <c r="AQ136"/>
  <c r="AQ137"/>
  <c r="AQ139"/>
  <c r="AQ140"/>
  <c r="AQ141"/>
  <c r="AQ142"/>
  <c r="AQ143"/>
  <c r="AQ144"/>
  <c r="AQ145"/>
  <c r="AQ146"/>
  <c r="AQ148"/>
  <c r="AQ149"/>
  <c r="AQ151"/>
  <c r="AQ152"/>
  <c r="AQ153"/>
  <c r="AQ154"/>
  <c r="AQ155"/>
  <c r="AQ156"/>
  <c r="AQ157"/>
  <c r="AQ159"/>
  <c r="AQ160"/>
  <c r="AQ162"/>
  <c r="AQ163"/>
  <c r="AQ164"/>
  <c r="AQ166"/>
  <c r="AQ167"/>
  <c r="AQ168"/>
  <c r="AQ170"/>
  <c r="AQ237"/>
  <c r="AR51"/>
  <c r="F52"/>
  <c r="AR52" s="1"/>
  <c r="T52"/>
  <c r="V52"/>
  <c r="AH52"/>
  <c r="AQ52"/>
  <c r="F53"/>
  <c r="AR53"/>
  <c r="T53"/>
  <c r="V53"/>
  <c r="AH53"/>
  <c r="AQ53"/>
  <c r="F54"/>
  <c r="AR54" s="1"/>
  <c r="T54"/>
  <c r="V54"/>
  <c r="AH54"/>
  <c r="AQ54"/>
  <c r="F55"/>
  <c r="AH55"/>
  <c r="T55"/>
  <c r="V55"/>
  <c r="AR55"/>
  <c r="F56"/>
  <c r="AH56"/>
  <c r="M56"/>
  <c r="O56" s="1"/>
  <c r="T56"/>
  <c r="V56"/>
  <c r="AR56"/>
  <c r="F57"/>
  <c r="AH57"/>
  <c r="M57"/>
  <c r="O57" s="1"/>
  <c r="T57"/>
  <c r="V57"/>
  <c r="AR57"/>
  <c r="F58"/>
  <c r="AR58" s="1"/>
  <c r="M58"/>
  <c r="O58" s="1"/>
  <c r="T58"/>
  <c r="V58"/>
  <c r="AH58"/>
  <c r="F59"/>
  <c r="AH59" s="1"/>
  <c r="T59"/>
  <c r="V59"/>
  <c r="AR59"/>
  <c r="F60"/>
  <c r="AH60" s="1"/>
  <c r="T60"/>
  <c r="V60"/>
  <c r="AR60"/>
  <c r="F61"/>
  <c r="AH61"/>
  <c r="T61"/>
  <c r="V61"/>
  <c r="AR61"/>
  <c r="F62"/>
  <c r="AH62"/>
  <c r="T62"/>
  <c r="V62"/>
  <c r="AR62"/>
  <c r="F63"/>
  <c r="AR63" s="1"/>
  <c r="T63"/>
  <c r="V63"/>
  <c r="AH63"/>
  <c r="AQ63"/>
  <c r="F64"/>
  <c r="AR64"/>
  <c r="T64"/>
  <c r="V64"/>
  <c r="AH64"/>
  <c r="AQ64"/>
  <c r="F70"/>
  <c r="M70"/>
  <c r="O70" s="1"/>
  <c r="T70"/>
  <c r="V70"/>
  <c r="AC70"/>
  <c r="AC104"/>
  <c r="AC105"/>
  <c r="AD70"/>
  <c r="AD104"/>
  <c r="AD105"/>
  <c r="AE70"/>
  <c r="AE104"/>
  <c r="AE105"/>
  <c r="AF70"/>
  <c r="AF104"/>
  <c r="AF105"/>
  <c r="AG70"/>
  <c r="AG104"/>
  <c r="AG105"/>
  <c r="AM70"/>
  <c r="AN70"/>
  <c r="AN71"/>
  <c r="AN72"/>
  <c r="AN73"/>
  <c r="AN74"/>
  <c r="AN75"/>
  <c r="AN76"/>
  <c r="AN77"/>
  <c r="AN78"/>
  <c r="AN79"/>
  <c r="AN81"/>
  <c r="AN82"/>
  <c r="AN84"/>
  <c r="AN85"/>
  <c r="AN86"/>
  <c r="AN87"/>
  <c r="AN88"/>
  <c r="AN89"/>
  <c r="AN90"/>
  <c r="AN92"/>
  <c r="AN93"/>
  <c r="AN94"/>
  <c r="AN95"/>
  <c r="AN96"/>
  <c r="AN97"/>
  <c r="AN98"/>
  <c r="AN99"/>
  <c r="AN100"/>
  <c r="AN101"/>
  <c r="AN102"/>
  <c r="AN103"/>
  <c r="AN104"/>
  <c r="AN105"/>
  <c r="AN106"/>
  <c r="AO70"/>
  <c r="AO71"/>
  <c r="AO72"/>
  <c r="AO73"/>
  <c r="AO74"/>
  <c r="AO75"/>
  <c r="AO76"/>
  <c r="AO77"/>
  <c r="AO78"/>
  <c r="AO348" s="1"/>
  <c r="N5" i="16" s="1"/>
  <c r="AO79" i="13"/>
  <c r="AO81"/>
  <c r="AO82"/>
  <c r="AO84"/>
  <c r="AO85"/>
  <c r="AO86"/>
  <c r="AO87"/>
  <c r="AO88"/>
  <c r="AO89"/>
  <c r="AO90"/>
  <c r="AO92"/>
  <c r="AO93"/>
  <c r="AO94"/>
  <c r="AO95"/>
  <c r="AO96"/>
  <c r="AO97"/>
  <c r="AO98"/>
  <c r="AO99"/>
  <c r="AO100"/>
  <c r="AO101"/>
  <c r="AO102"/>
  <c r="AO103"/>
  <c r="AO104"/>
  <c r="AO105"/>
  <c r="AO106"/>
  <c r="AP70"/>
  <c r="AP71"/>
  <c r="AP72"/>
  <c r="AP73"/>
  <c r="AP74"/>
  <c r="AP75"/>
  <c r="AP76"/>
  <c r="AP77"/>
  <c r="AP78"/>
  <c r="AP79"/>
  <c r="AP81"/>
  <c r="AP82"/>
  <c r="AP84"/>
  <c r="AP85"/>
  <c r="AP86"/>
  <c r="AP87"/>
  <c r="AP88"/>
  <c r="AP89"/>
  <c r="AP90"/>
  <c r="AP92"/>
  <c r="AP93"/>
  <c r="AP94"/>
  <c r="AP95"/>
  <c r="AP96"/>
  <c r="AP97"/>
  <c r="AP98"/>
  <c r="AP99"/>
  <c r="AP100"/>
  <c r="AP101"/>
  <c r="AP102"/>
  <c r="AP103"/>
  <c r="AP104"/>
  <c r="AP105"/>
  <c r="AP106"/>
  <c r="AQ72"/>
  <c r="AQ73"/>
  <c r="AQ74"/>
  <c r="AQ75"/>
  <c r="AQ76"/>
  <c r="AQ77"/>
  <c r="AQ79"/>
  <c r="AQ85"/>
  <c r="AQ86"/>
  <c r="AQ87"/>
  <c r="AQ90"/>
  <c r="AQ92"/>
  <c r="AQ93"/>
  <c r="AQ94"/>
  <c r="AQ95"/>
  <c r="AQ96"/>
  <c r="AQ97"/>
  <c r="AQ98"/>
  <c r="AQ99"/>
  <c r="AQ100"/>
  <c r="AQ101"/>
  <c r="AQ102"/>
  <c r="AQ103"/>
  <c r="AQ104"/>
  <c r="AQ105"/>
  <c r="AQ106"/>
  <c r="AR70"/>
  <c r="F71"/>
  <c r="AH71"/>
  <c r="M71"/>
  <c r="O71" s="1"/>
  <c r="T71"/>
  <c r="V71"/>
  <c r="AC71"/>
  <c r="AC72"/>
  <c r="AC73"/>
  <c r="AC74"/>
  <c r="AC75"/>
  <c r="AC76"/>
  <c r="AC77"/>
  <c r="AC78"/>
  <c r="AC79"/>
  <c r="AC81"/>
  <c r="AC82"/>
  <c r="AC84"/>
  <c r="AC85"/>
  <c r="AC86"/>
  <c r="AC87"/>
  <c r="AC88"/>
  <c r="AC89"/>
  <c r="AC90"/>
  <c r="AC92"/>
  <c r="AC93"/>
  <c r="AC94"/>
  <c r="AC95"/>
  <c r="AC96"/>
  <c r="AC97"/>
  <c r="AC98"/>
  <c r="AC99"/>
  <c r="AC100"/>
  <c r="AC101"/>
  <c r="AC102"/>
  <c r="AC103"/>
  <c r="AC106"/>
  <c r="AD71"/>
  <c r="AD72"/>
  <c r="AD73"/>
  <c r="AD74"/>
  <c r="AD75"/>
  <c r="AD76"/>
  <c r="AD77"/>
  <c r="AD78"/>
  <c r="AD79"/>
  <c r="AD81"/>
  <c r="AD82"/>
  <c r="AD84"/>
  <c r="AD85"/>
  <c r="AD86"/>
  <c r="AD87"/>
  <c r="AD88"/>
  <c r="AD89"/>
  <c r="AD90"/>
  <c r="AD92"/>
  <c r="AD93"/>
  <c r="AD94"/>
  <c r="AD95"/>
  <c r="AD96"/>
  <c r="AD97"/>
  <c r="AD98"/>
  <c r="AD99"/>
  <c r="AD100"/>
  <c r="AD101"/>
  <c r="AD102"/>
  <c r="AD103"/>
  <c r="AD106"/>
  <c r="AE71"/>
  <c r="AE72"/>
  <c r="AE73"/>
  <c r="AE74"/>
  <c r="AE75"/>
  <c r="AE76"/>
  <c r="AE77"/>
  <c r="AE78"/>
  <c r="I12" i="20" s="1"/>
  <c r="AE79" i="13"/>
  <c r="AE81"/>
  <c r="AE82"/>
  <c r="AE84"/>
  <c r="AE85"/>
  <c r="AE86"/>
  <c r="AE87"/>
  <c r="AE88"/>
  <c r="AE89"/>
  <c r="AE90"/>
  <c r="AE92"/>
  <c r="AE93"/>
  <c r="AE94"/>
  <c r="AE95"/>
  <c r="AE96"/>
  <c r="AE97"/>
  <c r="AE98"/>
  <c r="AE99"/>
  <c r="AE100"/>
  <c r="AE101"/>
  <c r="AE102"/>
  <c r="AE103"/>
  <c r="AE106"/>
  <c r="AF71"/>
  <c r="AF72"/>
  <c r="AF73"/>
  <c r="AF74"/>
  <c r="AF75"/>
  <c r="AF76"/>
  <c r="AF77"/>
  <c r="AF78"/>
  <c r="K12" i="20" s="1"/>
  <c r="AF79" i="13"/>
  <c r="AF81"/>
  <c r="AF82"/>
  <c r="AF84"/>
  <c r="AF85"/>
  <c r="AF86"/>
  <c r="AF87"/>
  <c r="AF88"/>
  <c r="AF89"/>
  <c r="AF90"/>
  <c r="AF92"/>
  <c r="AF93"/>
  <c r="AF94"/>
  <c r="AF95"/>
  <c r="AF96"/>
  <c r="AF97"/>
  <c r="AF98"/>
  <c r="AF99"/>
  <c r="AF100"/>
  <c r="AF101"/>
  <c r="AF102"/>
  <c r="AF103"/>
  <c r="AF106"/>
  <c r="AF108"/>
  <c r="AF111"/>
  <c r="AF114"/>
  <c r="AF118"/>
  <c r="AF119"/>
  <c r="AF120"/>
  <c r="AF121"/>
  <c r="AF122"/>
  <c r="AF123"/>
  <c r="AF124"/>
  <c r="AF125"/>
  <c r="AF126"/>
  <c r="AF127"/>
  <c r="AF129"/>
  <c r="AF130"/>
  <c r="AG71"/>
  <c r="AM71"/>
  <c r="AM72"/>
  <c r="AM73"/>
  <c r="AM74"/>
  <c r="AM75"/>
  <c r="AM76"/>
  <c r="AM77"/>
  <c r="AM78"/>
  <c r="AM79"/>
  <c r="AM81"/>
  <c r="AM82"/>
  <c r="AM84"/>
  <c r="AM85"/>
  <c r="AM86"/>
  <c r="AM87"/>
  <c r="AM88"/>
  <c r="AM89"/>
  <c r="AM90"/>
  <c r="AM92"/>
  <c r="AM93"/>
  <c r="AM94"/>
  <c r="AM95"/>
  <c r="AM96"/>
  <c r="AM97"/>
  <c r="AM98"/>
  <c r="AM99"/>
  <c r="AM100"/>
  <c r="AM101"/>
  <c r="AM102"/>
  <c r="AM103"/>
  <c r="AM104"/>
  <c r="AM105"/>
  <c r="AM106"/>
  <c r="AM108"/>
  <c r="AM111"/>
  <c r="AM114"/>
  <c r="AM118"/>
  <c r="AM119"/>
  <c r="AM120"/>
  <c r="AM121"/>
  <c r="AM122"/>
  <c r="AM123"/>
  <c r="AM124"/>
  <c r="AM125"/>
  <c r="AM126"/>
  <c r="AM127"/>
  <c r="AM129"/>
  <c r="AM130"/>
  <c r="AR71"/>
  <c r="F72"/>
  <c r="AH72" s="1"/>
  <c r="M72"/>
  <c r="O72" s="1"/>
  <c r="M73"/>
  <c r="O73" s="1"/>
  <c r="F73"/>
  <c r="M76"/>
  <c r="O76" s="1"/>
  <c r="M78"/>
  <c r="O78" s="1"/>
  <c r="F78"/>
  <c r="T72"/>
  <c r="V72"/>
  <c r="AC108"/>
  <c r="AC111"/>
  <c r="AC114"/>
  <c r="AC118"/>
  <c r="AC119"/>
  <c r="AC120"/>
  <c r="AC121"/>
  <c r="AC122"/>
  <c r="AC123"/>
  <c r="AC124"/>
  <c r="AC125"/>
  <c r="AC126"/>
  <c r="AC127"/>
  <c r="AC129"/>
  <c r="AC130"/>
  <c r="AG72"/>
  <c r="AG73"/>
  <c r="AG74"/>
  <c r="AG75"/>
  <c r="AG76"/>
  <c r="AG77"/>
  <c r="AG78"/>
  <c r="AG79"/>
  <c r="AG81"/>
  <c r="AG82"/>
  <c r="AG84"/>
  <c r="AG85"/>
  <c r="AG86"/>
  <c r="AG87"/>
  <c r="AG88"/>
  <c r="AG89"/>
  <c r="AG90"/>
  <c r="AG92"/>
  <c r="AG93"/>
  <c r="AG94"/>
  <c r="AG95"/>
  <c r="AG96"/>
  <c r="AG97"/>
  <c r="AG98"/>
  <c r="AG99"/>
  <c r="AG100"/>
  <c r="AG101"/>
  <c r="AG102"/>
  <c r="AG103"/>
  <c r="AG106"/>
  <c r="AR72"/>
  <c r="AH73"/>
  <c r="T73"/>
  <c r="V73"/>
  <c r="AD108"/>
  <c r="AD111"/>
  <c r="AD114"/>
  <c r="G13" i="20" s="1"/>
  <c r="AD118" i="13"/>
  <c r="AD119"/>
  <c r="AD120"/>
  <c r="AD121"/>
  <c r="AD122"/>
  <c r="AD123"/>
  <c r="AD124"/>
  <c r="AD125"/>
  <c r="AD126"/>
  <c r="AD127"/>
  <c r="AD129"/>
  <c r="AD130"/>
  <c r="AR73"/>
  <c r="F74"/>
  <c r="AR74"/>
  <c r="M74"/>
  <c r="T74"/>
  <c r="V74"/>
  <c r="AH74"/>
  <c r="F75"/>
  <c r="AR75" s="1"/>
  <c r="M75"/>
  <c r="T75"/>
  <c r="V75"/>
  <c r="AH75"/>
  <c r="F76"/>
  <c r="T76"/>
  <c r="V76"/>
  <c r="AR76"/>
  <c r="F77"/>
  <c r="AR77" s="1"/>
  <c r="M77"/>
  <c r="T77"/>
  <c r="V77"/>
  <c r="AH77"/>
  <c r="AH78"/>
  <c r="T78"/>
  <c r="V78"/>
  <c r="AR78"/>
  <c r="F79"/>
  <c r="AR79"/>
  <c r="M79"/>
  <c r="T79"/>
  <c r="V79"/>
  <c r="AH79"/>
  <c r="F81"/>
  <c r="AH81" s="1"/>
  <c r="M81"/>
  <c r="T81"/>
  <c r="V81"/>
  <c r="AR81"/>
  <c r="F82"/>
  <c r="AH82"/>
  <c r="M82"/>
  <c r="M84"/>
  <c r="M85"/>
  <c r="M86"/>
  <c r="O86" s="1"/>
  <c r="F86"/>
  <c r="M87"/>
  <c r="F87"/>
  <c r="AH87"/>
  <c r="M88"/>
  <c r="O88" s="1"/>
  <c r="M89"/>
  <c r="T82"/>
  <c r="V82"/>
  <c r="AR82"/>
  <c r="F84"/>
  <c r="AH84"/>
  <c r="T84"/>
  <c r="V84"/>
  <c r="AR84"/>
  <c r="F85"/>
  <c r="AH85"/>
  <c r="T85"/>
  <c r="V85"/>
  <c r="AR85"/>
  <c r="AH86"/>
  <c r="T86"/>
  <c r="V86"/>
  <c r="AR86"/>
  <c r="T87"/>
  <c r="V87"/>
  <c r="AR87"/>
  <c r="F88"/>
  <c r="AH88" s="1"/>
  <c r="T88"/>
  <c r="V88"/>
  <c r="AR88"/>
  <c r="F89"/>
  <c r="AH89" s="1"/>
  <c r="T89"/>
  <c r="V89"/>
  <c r="AR89"/>
  <c r="F90"/>
  <c r="AR90"/>
  <c r="M90"/>
  <c r="T90"/>
  <c r="V90"/>
  <c r="AH90"/>
  <c r="F92"/>
  <c r="AH92" s="1"/>
  <c r="M92"/>
  <c r="T92"/>
  <c r="V92"/>
  <c r="AR92"/>
  <c r="F93"/>
  <c r="AH93"/>
  <c r="M93"/>
  <c r="O93" s="1"/>
  <c r="T93"/>
  <c r="V93"/>
  <c r="AR93"/>
  <c r="F94"/>
  <c r="AH94" s="1"/>
  <c r="M94"/>
  <c r="T94"/>
  <c r="V94"/>
  <c r="AR94"/>
  <c r="F95"/>
  <c r="AH95"/>
  <c r="M95"/>
  <c r="O95" s="1"/>
  <c r="T95"/>
  <c r="V95"/>
  <c r="AR95"/>
  <c r="F96"/>
  <c r="AH96"/>
  <c r="M96"/>
  <c r="T96"/>
  <c r="V96"/>
  <c r="AR96"/>
  <c r="F97"/>
  <c r="AH97" s="1"/>
  <c r="M97"/>
  <c r="T97"/>
  <c r="V97"/>
  <c r="AP108"/>
  <c r="AP111"/>
  <c r="AP114"/>
  <c r="AP118"/>
  <c r="AP119"/>
  <c r="AP120"/>
  <c r="AP121"/>
  <c r="AP122"/>
  <c r="AP123"/>
  <c r="AP124"/>
  <c r="AP125"/>
  <c r="AP126"/>
  <c r="AP127"/>
  <c r="AP129"/>
  <c r="AP130"/>
  <c r="AR97"/>
  <c r="F98"/>
  <c r="AH98" s="1"/>
  <c r="M98"/>
  <c r="O98" s="1"/>
  <c r="T98"/>
  <c r="V98"/>
  <c r="AR98"/>
  <c r="F99"/>
  <c r="AH99" s="1"/>
  <c r="M99"/>
  <c r="T99"/>
  <c r="V99"/>
  <c r="AR99"/>
  <c r="F100"/>
  <c r="AH100"/>
  <c r="M100"/>
  <c r="O100" s="1"/>
  <c r="T100"/>
  <c r="V100"/>
  <c r="AR100"/>
  <c r="F101"/>
  <c r="AH101" s="1"/>
  <c r="M101"/>
  <c r="T101"/>
  <c r="V101"/>
  <c r="AR101"/>
  <c r="F102"/>
  <c r="AH102"/>
  <c r="M102"/>
  <c r="T102"/>
  <c r="V102"/>
  <c r="AR102"/>
  <c r="F103"/>
  <c r="AH103" s="1"/>
  <c r="M103"/>
  <c r="T103"/>
  <c r="V103"/>
  <c r="AR103"/>
  <c r="F104"/>
  <c r="AH104"/>
  <c r="AR104"/>
  <c r="M104"/>
  <c r="T104"/>
  <c r="V104"/>
  <c r="F105"/>
  <c r="AH105" s="1"/>
  <c r="AR105"/>
  <c r="M105"/>
  <c r="T105"/>
  <c r="V105"/>
  <c r="F106"/>
  <c r="AR106"/>
  <c r="M106"/>
  <c r="T106"/>
  <c r="V106"/>
  <c r="AE108"/>
  <c r="AE111"/>
  <c r="AE114"/>
  <c r="AE118"/>
  <c r="AE119"/>
  <c r="AE120"/>
  <c r="AE121"/>
  <c r="AE122"/>
  <c r="AE123"/>
  <c r="AE124"/>
  <c r="AE125"/>
  <c r="AE126"/>
  <c r="AE127"/>
  <c r="AE129"/>
  <c r="AE130"/>
  <c r="AH106"/>
  <c r="T108"/>
  <c r="V108"/>
  <c r="AG108"/>
  <c r="AN108"/>
  <c r="AO108"/>
  <c r="AQ108"/>
  <c r="F111"/>
  <c r="AH111"/>
  <c r="M111"/>
  <c r="O111" s="1"/>
  <c r="T111"/>
  <c r="V111"/>
  <c r="AG111"/>
  <c r="AN111"/>
  <c r="AO111"/>
  <c r="AO114"/>
  <c r="AO118"/>
  <c r="AO119"/>
  <c r="AO120"/>
  <c r="AO121"/>
  <c r="AO122"/>
  <c r="AO123"/>
  <c r="AO124"/>
  <c r="AO125"/>
  <c r="AO126"/>
  <c r="AO127"/>
  <c r="AO129"/>
  <c r="AO130"/>
  <c r="AQ111"/>
  <c r="AQ114"/>
  <c r="AQ118"/>
  <c r="AQ119"/>
  <c r="AQ120"/>
  <c r="AQ121"/>
  <c r="AQ122"/>
  <c r="AQ123"/>
  <c r="AQ124"/>
  <c r="AQ125"/>
  <c r="AQ126"/>
  <c r="AQ127"/>
  <c r="AQ129"/>
  <c r="AQ130"/>
  <c r="AR111"/>
  <c r="F114"/>
  <c r="AH114" s="1"/>
  <c r="O13" i="20" s="1"/>
  <c r="T114" i="13"/>
  <c r="T121"/>
  <c r="T122"/>
  <c r="T123"/>
  <c r="T130"/>
  <c r="T260"/>
  <c r="T261"/>
  <c r="T263"/>
  <c r="T206"/>
  <c r="T238"/>
  <c r="T239"/>
  <c r="T240"/>
  <c r="T241"/>
  <c r="T242"/>
  <c r="T243"/>
  <c r="T286"/>
  <c r="T288"/>
  <c r="T279"/>
  <c r="T280"/>
  <c r="T281"/>
  <c r="T201"/>
  <c r="T205"/>
  <c r="T210"/>
  <c r="T282"/>
  <c r="T266"/>
  <c r="V114"/>
  <c r="AG114"/>
  <c r="AN114"/>
  <c r="AR114"/>
  <c r="AE200"/>
  <c r="T246"/>
  <c r="T258"/>
  <c r="T296"/>
  <c r="T297"/>
  <c r="T298"/>
  <c r="T299"/>
  <c r="T328"/>
  <c r="T321"/>
  <c r="T323"/>
  <c r="T319"/>
  <c r="T316"/>
  <c r="T314"/>
  <c r="T313"/>
  <c r="T311"/>
  <c r="T310"/>
  <c r="T309"/>
  <c r="T308"/>
  <c r="T307"/>
  <c r="T306"/>
  <c r="T305"/>
  <c r="T300"/>
  <c r="T294"/>
  <c r="T292"/>
  <c r="T291"/>
  <c r="T290"/>
  <c r="T289"/>
  <c r="T284"/>
  <c r="T278"/>
  <c r="T277"/>
  <c r="T276"/>
  <c r="T275"/>
  <c r="T274"/>
  <c r="T273"/>
  <c r="T272"/>
  <c r="T271"/>
  <c r="T270"/>
  <c r="T269"/>
  <c r="T268"/>
  <c r="T262"/>
  <c r="T257"/>
  <c r="T256"/>
  <c r="T255"/>
  <c r="T254"/>
  <c r="T253"/>
  <c r="T252"/>
  <c r="T251"/>
  <c r="T250"/>
  <c r="T249"/>
  <c r="T248"/>
  <c r="T247"/>
  <c r="T244"/>
  <c r="T237"/>
  <c r="T236"/>
  <c r="T235"/>
  <c r="T234"/>
  <c r="T233"/>
  <c r="T232"/>
  <c r="T231"/>
  <c r="T230"/>
  <c r="T225"/>
  <c r="T224"/>
  <c r="T223"/>
  <c r="T222"/>
  <c r="T221"/>
  <c r="T220"/>
  <c r="T219"/>
  <c r="T218"/>
  <c r="T217"/>
  <c r="T215"/>
  <c r="T213"/>
  <c r="T211"/>
  <c r="T209"/>
  <c r="T208"/>
  <c r="T204"/>
  <c r="T203"/>
  <c r="T202"/>
  <c r="T200"/>
  <c r="T194"/>
  <c r="T193"/>
  <c r="T192"/>
  <c r="T191"/>
  <c r="T190"/>
  <c r="T189"/>
  <c r="T188"/>
  <c r="T187"/>
  <c r="T186"/>
  <c r="T185"/>
  <c r="T184"/>
  <c r="T183"/>
  <c r="T182"/>
  <c r="T180"/>
  <c r="T179"/>
  <c r="T178"/>
  <c r="T177"/>
  <c r="T176"/>
  <c r="T175"/>
  <c r="T174"/>
  <c r="T173"/>
  <c r="T172"/>
  <c r="T170"/>
  <c r="T168"/>
  <c r="T167"/>
  <c r="T166"/>
  <c r="T164"/>
  <c r="T163"/>
  <c r="T162"/>
  <c r="T160"/>
  <c r="T159"/>
  <c r="T157"/>
  <c r="T156"/>
  <c r="T155"/>
  <c r="T154"/>
  <c r="T153"/>
  <c r="T152"/>
  <c r="T151"/>
  <c r="T149"/>
  <c r="T148"/>
  <c r="T146"/>
  <c r="T145"/>
  <c r="T144"/>
  <c r="T143"/>
  <c r="T142"/>
  <c r="T141"/>
  <c r="T140"/>
  <c r="T139"/>
  <c r="T137"/>
  <c r="T136"/>
  <c r="T129"/>
  <c r="T127"/>
  <c r="T126"/>
  <c r="T125"/>
  <c r="T124"/>
  <c r="T120"/>
  <c r="T119"/>
  <c r="T118"/>
  <c r="AG118"/>
  <c r="AG119"/>
  <c r="AG120"/>
  <c r="AG121"/>
  <c r="AG122"/>
  <c r="AG123"/>
  <c r="AG124"/>
  <c r="AG125"/>
  <c r="AG126"/>
  <c r="AG127"/>
  <c r="AG129"/>
  <c r="AG130"/>
  <c r="AN118"/>
  <c r="AN119"/>
  <c r="AN120"/>
  <c r="AN121"/>
  <c r="AN122"/>
  <c r="AN123"/>
  <c r="AN124"/>
  <c r="AN125"/>
  <c r="AN126"/>
  <c r="AN127"/>
  <c r="AN129"/>
  <c r="AN130"/>
  <c r="F118"/>
  <c r="AH118" s="1"/>
  <c r="M118"/>
  <c r="AE202"/>
  <c r="AE203"/>
  <c r="AE208"/>
  <c r="AE209"/>
  <c r="AE230"/>
  <c r="AE231"/>
  <c r="AE232"/>
  <c r="I23" i="20" s="1"/>
  <c r="AE233" i="13"/>
  <c r="AE234"/>
  <c r="AE235"/>
  <c r="AE236"/>
  <c r="AE268"/>
  <c r="AE269"/>
  <c r="AE270"/>
  <c r="AE277"/>
  <c r="AE204"/>
  <c r="V118"/>
  <c r="AR118"/>
  <c r="F119"/>
  <c r="AH119" s="1"/>
  <c r="M119"/>
  <c r="V119"/>
  <c r="AR119"/>
  <c r="F120"/>
  <c r="AH120" s="1"/>
  <c r="M120"/>
  <c r="V120"/>
  <c r="AR120"/>
  <c r="F121"/>
  <c r="AH121"/>
  <c r="M121"/>
  <c r="V121"/>
  <c r="AR121"/>
  <c r="F122"/>
  <c r="AH122"/>
  <c r="M122"/>
  <c r="O122" s="1"/>
  <c r="V122"/>
  <c r="AR122"/>
  <c r="F123"/>
  <c r="AH123" s="1"/>
  <c r="M123"/>
  <c r="V123"/>
  <c r="AR123"/>
  <c r="F124"/>
  <c r="AH124"/>
  <c r="M124"/>
  <c r="O124" s="1"/>
  <c r="M125"/>
  <c r="F125"/>
  <c r="AH125"/>
  <c r="M126"/>
  <c r="O126" s="1"/>
  <c r="F126"/>
  <c r="M127"/>
  <c r="M129"/>
  <c r="F129"/>
  <c r="V124"/>
  <c r="AR124"/>
  <c r="V125"/>
  <c r="AR125"/>
  <c r="V126"/>
  <c r="AR126"/>
  <c r="F127"/>
  <c r="V127"/>
  <c r="AR127"/>
  <c r="V129"/>
  <c r="AH129"/>
  <c r="AR129"/>
  <c r="F130"/>
  <c r="AR130"/>
  <c r="M130"/>
  <c r="V130"/>
  <c r="AH130"/>
  <c r="F136"/>
  <c r="AH136" s="1"/>
  <c r="M136"/>
  <c r="V136"/>
  <c r="AC136"/>
  <c r="AC137"/>
  <c r="AC139"/>
  <c r="AC140"/>
  <c r="AC141"/>
  <c r="AC142"/>
  <c r="AC143"/>
  <c r="AC144"/>
  <c r="AC145"/>
  <c r="AC146"/>
  <c r="AD136"/>
  <c r="AD137"/>
  <c r="AD139"/>
  <c r="AD140"/>
  <c r="AD141"/>
  <c r="AD142"/>
  <c r="AD143"/>
  <c r="AD144"/>
  <c r="AD145"/>
  <c r="AD146"/>
  <c r="AE136"/>
  <c r="I15" i="20" s="1"/>
  <c r="AE137" i="13"/>
  <c r="AE139"/>
  <c r="AE140"/>
  <c r="AE141"/>
  <c r="AE142"/>
  <c r="AE143"/>
  <c r="AE144"/>
  <c r="AE145"/>
  <c r="AE146"/>
  <c r="AF136"/>
  <c r="AF137"/>
  <c r="AF139"/>
  <c r="AF140"/>
  <c r="AF141"/>
  <c r="AF142"/>
  <c r="AF143"/>
  <c r="AF144"/>
  <c r="AF145"/>
  <c r="AF146"/>
  <c r="AG136"/>
  <c r="AG137"/>
  <c r="AG139"/>
  <c r="AG140"/>
  <c r="AG141"/>
  <c r="AG142"/>
  <c r="AG143"/>
  <c r="AG144"/>
  <c r="AG145"/>
  <c r="AG148"/>
  <c r="AG149"/>
  <c r="AG151"/>
  <c r="AG155"/>
  <c r="AG156"/>
  <c r="AG159"/>
  <c r="AG160"/>
  <c r="AG162"/>
  <c r="AG163"/>
  <c r="AG164"/>
  <c r="AG166"/>
  <c r="AG167"/>
  <c r="AG168"/>
  <c r="AG237"/>
  <c r="AG146"/>
  <c r="AM136"/>
  <c r="AM137"/>
  <c r="AM139"/>
  <c r="AM140"/>
  <c r="AM141"/>
  <c r="AM142"/>
  <c r="AM143"/>
  <c r="AM144"/>
  <c r="AM145"/>
  <c r="AM146"/>
  <c r="AN136"/>
  <c r="AN137"/>
  <c r="AN139"/>
  <c r="AN140"/>
  <c r="AN141"/>
  <c r="AN142"/>
  <c r="AN143"/>
  <c r="AN144"/>
  <c r="AN145"/>
  <c r="AN146"/>
  <c r="AO136"/>
  <c r="AO137"/>
  <c r="AO139"/>
  <c r="AO140"/>
  <c r="AO141"/>
  <c r="AO142"/>
  <c r="AO143"/>
  <c r="AO144"/>
  <c r="AO145"/>
  <c r="AO146"/>
  <c r="AP136"/>
  <c r="AP137"/>
  <c r="AP139"/>
  <c r="AP140"/>
  <c r="AP141"/>
  <c r="AP142"/>
  <c r="AP143"/>
  <c r="AP144"/>
  <c r="AP145"/>
  <c r="AP146"/>
  <c r="AR136"/>
  <c r="F137"/>
  <c r="AH137"/>
  <c r="M137"/>
  <c r="O137" s="1"/>
  <c r="V137"/>
  <c r="AG172"/>
  <c r="AG173"/>
  <c r="AG174"/>
  <c r="AG175"/>
  <c r="AG176"/>
  <c r="AG177"/>
  <c r="AG178"/>
  <c r="AG179"/>
  <c r="AG180"/>
  <c r="AM172"/>
  <c r="AM173"/>
  <c r="AM174"/>
  <c r="AM349" s="1"/>
  <c r="L6" i="16" s="1"/>
  <c r="AM175" i="13"/>
  <c r="AM176"/>
  <c r="AM177"/>
  <c r="AM178"/>
  <c r="AM179"/>
  <c r="AM180"/>
  <c r="AR137"/>
  <c r="F139"/>
  <c r="AH139"/>
  <c r="M139"/>
  <c r="O139" s="1"/>
  <c r="V139"/>
  <c r="AE172"/>
  <c r="AE196" s="1"/>
  <c r="AE173"/>
  <c r="AE174"/>
  <c r="AE175"/>
  <c r="AE176"/>
  <c r="AE177"/>
  <c r="AE178"/>
  <c r="AE179"/>
  <c r="AE180"/>
  <c r="AG152"/>
  <c r="AG153"/>
  <c r="AG154"/>
  <c r="AG157"/>
  <c r="AG170"/>
  <c r="AG182"/>
  <c r="AG183"/>
  <c r="AG184"/>
  <c r="AG185"/>
  <c r="AG186"/>
  <c r="AG187"/>
  <c r="AG188"/>
  <c r="AG189"/>
  <c r="AG190"/>
  <c r="AG191"/>
  <c r="AG192"/>
  <c r="AG193"/>
  <c r="AG194"/>
  <c r="AM148"/>
  <c r="F16" i="20" s="1"/>
  <c r="AM149" i="13"/>
  <c r="AM151"/>
  <c r="AM152"/>
  <c r="AM153"/>
  <c r="AM154"/>
  <c r="AM155"/>
  <c r="AM156"/>
  <c r="AM157"/>
  <c r="AM159"/>
  <c r="AM160"/>
  <c r="AM162"/>
  <c r="AM163"/>
  <c r="AM164"/>
  <c r="AM166"/>
  <c r="AM167"/>
  <c r="AM168"/>
  <c r="AM170"/>
  <c r="AM182"/>
  <c r="AM183"/>
  <c r="AM184"/>
  <c r="AM185"/>
  <c r="AM186"/>
  <c r="AM187"/>
  <c r="AM188"/>
  <c r="AM189"/>
  <c r="AM190"/>
  <c r="AM191"/>
  <c r="AM192"/>
  <c r="AM193"/>
  <c r="AM194"/>
  <c r="AR139"/>
  <c r="F140"/>
  <c r="AH140"/>
  <c r="M140"/>
  <c r="V140"/>
  <c r="AE148"/>
  <c r="AE149"/>
  <c r="AE151"/>
  <c r="AE152"/>
  <c r="AE153"/>
  <c r="AE154"/>
  <c r="AE155"/>
  <c r="AE156"/>
  <c r="AE157"/>
  <c r="AE159"/>
  <c r="AE160"/>
  <c r="AE162"/>
  <c r="AE163"/>
  <c r="AE164"/>
  <c r="AE166"/>
  <c r="AE167"/>
  <c r="AE168"/>
  <c r="AE170"/>
  <c r="AE182"/>
  <c r="AE183"/>
  <c r="AE184"/>
  <c r="AE185"/>
  <c r="AE186"/>
  <c r="AE187"/>
  <c r="AE188"/>
  <c r="AE189"/>
  <c r="AE190"/>
  <c r="AE191"/>
  <c r="AE192"/>
  <c r="AE193"/>
  <c r="AE194"/>
  <c r="AR140"/>
  <c r="F141"/>
  <c r="AH141"/>
  <c r="M141"/>
  <c r="V141"/>
  <c r="AR141"/>
  <c r="F142"/>
  <c r="AH142" s="1"/>
  <c r="M142"/>
  <c r="V142"/>
  <c r="AR142"/>
  <c r="F143"/>
  <c r="AH143" s="1"/>
  <c r="M143"/>
  <c r="O143" s="1"/>
  <c r="V143"/>
  <c r="AR143"/>
  <c r="F144"/>
  <c r="AH144"/>
  <c r="M144"/>
  <c r="V144"/>
  <c r="AR144"/>
  <c r="F145"/>
  <c r="AH145"/>
  <c r="M145"/>
  <c r="V145"/>
  <c r="AR145"/>
  <c r="F146"/>
  <c r="AR146" s="1"/>
  <c r="M146"/>
  <c r="V146"/>
  <c r="AH146"/>
  <c r="F148"/>
  <c r="M148"/>
  <c r="V148"/>
  <c r="AC148"/>
  <c r="AC149"/>
  <c r="AC151"/>
  <c r="AC152"/>
  <c r="AC153"/>
  <c r="AC154"/>
  <c r="AC155"/>
  <c r="AC156"/>
  <c r="AC157"/>
  <c r="AD148"/>
  <c r="AF148"/>
  <c r="AN148"/>
  <c r="AO148"/>
  <c r="AP148"/>
  <c r="AR148"/>
  <c r="F149"/>
  <c r="AH149" s="1"/>
  <c r="M149"/>
  <c r="M151"/>
  <c r="M155"/>
  <c r="F155"/>
  <c r="M156"/>
  <c r="F156"/>
  <c r="AH156"/>
  <c r="V149"/>
  <c r="AD149"/>
  <c r="AD151"/>
  <c r="AD152"/>
  <c r="AD153"/>
  <c r="AD154"/>
  <c r="AD155"/>
  <c r="AD156"/>
  <c r="AD157"/>
  <c r="AF149"/>
  <c r="AF151"/>
  <c r="AF152"/>
  <c r="AF153"/>
  <c r="AF154"/>
  <c r="AF155"/>
  <c r="AF156"/>
  <c r="AF157"/>
  <c r="AN149"/>
  <c r="AO149"/>
  <c r="AO151"/>
  <c r="AO152"/>
  <c r="AO153"/>
  <c r="AO154"/>
  <c r="AO155"/>
  <c r="AO156"/>
  <c r="AO157"/>
  <c r="AP149"/>
  <c r="AR149"/>
  <c r="F151"/>
  <c r="V151"/>
  <c r="AN151"/>
  <c r="AN152"/>
  <c r="AN153"/>
  <c r="AN154"/>
  <c r="AN155"/>
  <c r="AN156"/>
  <c r="AN157"/>
  <c r="AP151"/>
  <c r="AP152"/>
  <c r="AP153"/>
  <c r="AP154"/>
  <c r="AP155"/>
  <c r="AP156"/>
  <c r="AP157"/>
  <c r="AR151"/>
  <c r="F152"/>
  <c r="AR152"/>
  <c r="F153"/>
  <c r="AR153" s="1"/>
  <c r="F154"/>
  <c r="AR154"/>
  <c r="AR155"/>
  <c r="AR156"/>
  <c r="F157"/>
  <c r="AR157"/>
  <c r="M152"/>
  <c r="V152"/>
  <c r="AH152"/>
  <c r="M153"/>
  <c r="O153" s="1"/>
  <c r="V153"/>
  <c r="AD172"/>
  <c r="AD173"/>
  <c r="G18" i="20" s="1"/>
  <c r="AD174" i="13"/>
  <c r="AD175"/>
  <c r="AD176"/>
  <c r="AD177"/>
  <c r="AD178"/>
  <c r="AD179"/>
  <c r="AD180"/>
  <c r="AH153"/>
  <c r="M154"/>
  <c r="V154"/>
  <c r="AD159"/>
  <c r="AD160"/>
  <c r="AD162"/>
  <c r="AD163"/>
  <c r="AD164"/>
  <c r="AD166"/>
  <c r="AD167"/>
  <c r="AD168"/>
  <c r="AD170"/>
  <c r="AD182"/>
  <c r="AD183"/>
  <c r="AD184"/>
  <c r="AD185"/>
  <c r="AD186"/>
  <c r="AD187"/>
  <c r="AD188"/>
  <c r="AD189"/>
  <c r="AD190"/>
  <c r="AD191"/>
  <c r="AD192"/>
  <c r="AD193"/>
  <c r="AD194"/>
  <c r="AH154"/>
  <c r="AN172"/>
  <c r="AN173"/>
  <c r="AN174"/>
  <c r="AN196" s="1"/>
  <c r="AN175"/>
  <c r="AN176"/>
  <c r="AN177"/>
  <c r="AN178"/>
  <c r="AN179"/>
  <c r="AN180"/>
  <c r="V155"/>
  <c r="AN159"/>
  <c r="AN160"/>
  <c r="AN162"/>
  <c r="AN163"/>
  <c r="AN164"/>
  <c r="AN166"/>
  <c r="AN167"/>
  <c r="AN168"/>
  <c r="AN170"/>
  <c r="AN182"/>
  <c r="AN183"/>
  <c r="AN184"/>
  <c r="AN185"/>
  <c r="AN186"/>
  <c r="AN187"/>
  <c r="AN188"/>
  <c r="AN189"/>
  <c r="AN190"/>
  <c r="AN191"/>
  <c r="AN192"/>
  <c r="AN193"/>
  <c r="AN194"/>
  <c r="V156"/>
  <c r="M157"/>
  <c r="V157"/>
  <c r="AH157"/>
  <c r="AP172"/>
  <c r="AP173"/>
  <c r="AP174"/>
  <c r="L18" i="20" s="1"/>
  <c r="AP175" i="13"/>
  <c r="AP176"/>
  <c r="AP177"/>
  <c r="AP178"/>
  <c r="AP179"/>
  <c r="AP180"/>
  <c r="F159"/>
  <c r="AH159" s="1"/>
  <c r="M159"/>
  <c r="V159"/>
  <c r="AC159"/>
  <c r="AC160"/>
  <c r="AC162"/>
  <c r="AC163"/>
  <c r="AC164"/>
  <c r="AC166"/>
  <c r="AC167"/>
  <c r="AC168"/>
  <c r="AC170"/>
  <c r="AF159"/>
  <c r="AF160"/>
  <c r="AF162"/>
  <c r="AF163"/>
  <c r="AF164"/>
  <c r="AF166"/>
  <c r="AF167"/>
  <c r="AF168"/>
  <c r="AF170"/>
  <c r="AO159"/>
  <c r="AO160"/>
  <c r="AO162"/>
  <c r="AO163"/>
  <c r="AO164"/>
  <c r="AO166"/>
  <c r="AO167"/>
  <c r="AO168"/>
  <c r="AO170"/>
  <c r="AP159"/>
  <c r="AR159"/>
  <c r="F160"/>
  <c r="AH160"/>
  <c r="M160"/>
  <c r="V160"/>
  <c r="AP160"/>
  <c r="AP162"/>
  <c r="AP163"/>
  <c r="AP164"/>
  <c r="AP166"/>
  <c r="AP167"/>
  <c r="AP168"/>
  <c r="AP170"/>
  <c r="AP182"/>
  <c r="AP183"/>
  <c r="AP184"/>
  <c r="AP185"/>
  <c r="AP186"/>
  <c r="AP187"/>
  <c r="AP188"/>
  <c r="AP189"/>
  <c r="AP190"/>
  <c r="AP191"/>
  <c r="AP192"/>
  <c r="AP193"/>
  <c r="AP194"/>
  <c r="AR160"/>
  <c r="AR162"/>
  <c r="AR163"/>
  <c r="AR164"/>
  <c r="AR166"/>
  <c r="AR167"/>
  <c r="AR168"/>
  <c r="F170"/>
  <c r="AR170" s="1"/>
  <c r="F162"/>
  <c r="AH162" s="1"/>
  <c r="M162"/>
  <c r="V162"/>
  <c r="F163"/>
  <c r="AH163" s="1"/>
  <c r="M163"/>
  <c r="V163"/>
  <c r="F164"/>
  <c r="AH164" s="1"/>
  <c r="M164"/>
  <c r="V164"/>
  <c r="F166"/>
  <c r="AH166" s="1"/>
  <c r="M166"/>
  <c r="V166"/>
  <c r="F167"/>
  <c r="M167"/>
  <c r="O167" s="1"/>
  <c r="V167"/>
  <c r="AH167"/>
  <c r="F168"/>
  <c r="AH168" s="1"/>
  <c r="M168"/>
  <c r="V168"/>
  <c r="M170"/>
  <c r="V170"/>
  <c r="AH170"/>
  <c r="F172"/>
  <c r="AH172" s="1"/>
  <c r="M172"/>
  <c r="V172"/>
  <c r="AC172"/>
  <c r="AC173"/>
  <c r="AC174"/>
  <c r="AC175"/>
  <c r="AC349" s="1"/>
  <c r="B6" i="16" s="1"/>
  <c r="AC176" i="13"/>
  <c r="AC177"/>
  <c r="AC178"/>
  <c r="AC179"/>
  <c r="AC180"/>
  <c r="AF172"/>
  <c r="AF173"/>
  <c r="AF174"/>
  <c r="AF349" s="1"/>
  <c r="E6" i="16" s="1"/>
  <c r="AF175" i="13"/>
  <c r="AF176"/>
  <c r="AF177"/>
  <c r="AF178"/>
  <c r="AF179"/>
  <c r="AF180"/>
  <c r="AO172"/>
  <c r="AO173"/>
  <c r="AO196" s="1"/>
  <c r="AO174"/>
  <c r="AO175"/>
  <c r="AO176"/>
  <c r="AO177"/>
  <c r="AO178"/>
  <c r="AO179"/>
  <c r="AO180"/>
  <c r="AQ172"/>
  <c r="AQ349" s="1"/>
  <c r="P6" i="16" s="1"/>
  <c r="AQ173" i="13"/>
  <c r="AQ174"/>
  <c r="AQ175"/>
  <c r="AQ176"/>
  <c r="AQ177"/>
  <c r="AQ178"/>
  <c r="AQ179"/>
  <c r="AQ180"/>
  <c r="AR172"/>
  <c r="AR173"/>
  <c r="AR174"/>
  <c r="AR175"/>
  <c r="AR176"/>
  <c r="AR177"/>
  <c r="AR178"/>
  <c r="AR179"/>
  <c r="F173"/>
  <c r="M173"/>
  <c r="V173"/>
  <c r="F174"/>
  <c r="AH174" s="1"/>
  <c r="AI196" s="1"/>
  <c r="M174"/>
  <c r="V174"/>
  <c r="F175"/>
  <c r="M175"/>
  <c r="O175" s="1"/>
  <c r="V175"/>
  <c r="F176"/>
  <c r="AH176" s="1"/>
  <c r="M176"/>
  <c r="V176"/>
  <c r="F177"/>
  <c r="AH177" s="1"/>
  <c r="M177"/>
  <c r="V177"/>
  <c r="F178"/>
  <c r="AH178" s="1"/>
  <c r="M178"/>
  <c r="V178"/>
  <c r="F179"/>
  <c r="AH179" s="1"/>
  <c r="M179"/>
  <c r="O179" s="1"/>
  <c r="V179"/>
  <c r="F180"/>
  <c r="AR180" s="1"/>
  <c r="M180"/>
  <c r="O180" s="1"/>
  <c r="V180"/>
  <c r="AH180"/>
  <c r="F182"/>
  <c r="AH182"/>
  <c r="M182"/>
  <c r="V182"/>
  <c r="AC182"/>
  <c r="AC183"/>
  <c r="AC184"/>
  <c r="AC185"/>
  <c r="AC186"/>
  <c r="AC187"/>
  <c r="AC188"/>
  <c r="AC189"/>
  <c r="AC190"/>
  <c r="AC191"/>
  <c r="AC192"/>
  <c r="AC193"/>
  <c r="AC194"/>
  <c r="AF182"/>
  <c r="AF183"/>
  <c r="AF184"/>
  <c r="AF185"/>
  <c r="AF186"/>
  <c r="AF187"/>
  <c r="AF188"/>
  <c r="AF189"/>
  <c r="AF190"/>
  <c r="AF191"/>
  <c r="AF192"/>
  <c r="AF193"/>
  <c r="AF194"/>
  <c r="AO182"/>
  <c r="AO183"/>
  <c r="AO184"/>
  <c r="AO185"/>
  <c r="AO186"/>
  <c r="AO187"/>
  <c r="AO188"/>
  <c r="AO189"/>
  <c r="AO190"/>
  <c r="AO191"/>
  <c r="AO192"/>
  <c r="AO193"/>
  <c r="AO194"/>
  <c r="AQ182"/>
  <c r="AQ183"/>
  <c r="AQ184"/>
  <c r="AQ185"/>
  <c r="AQ186"/>
  <c r="AQ187"/>
  <c r="AQ188"/>
  <c r="AQ189"/>
  <c r="AQ190"/>
  <c r="AQ191"/>
  <c r="AQ192"/>
  <c r="AQ193"/>
  <c r="AQ194"/>
  <c r="AR182"/>
  <c r="F183"/>
  <c r="AH183" s="1"/>
  <c r="M183"/>
  <c r="V183"/>
  <c r="AR183"/>
  <c r="F184"/>
  <c r="AH184" s="1"/>
  <c r="M184"/>
  <c r="V184"/>
  <c r="AR184"/>
  <c r="F185"/>
  <c r="AH185" s="1"/>
  <c r="M185"/>
  <c r="V185"/>
  <c r="AR185"/>
  <c r="F186"/>
  <c r="AH186"/>
  <c r="M186"/>
  <c r="O186" s="1"/>
  <c r="V186"/>
  <c r="AR186"/>
  <c r="F187"/>
  <c r="AH187" s="1"/>
  <c r="M187"/>
  <c r="V187"/>
  <c r="AR187"/>
  <c r="F188"/>
  <c r="AH188" s="1"/>
  <c r="M188"/>
  <c r="V188"/>
  <c r="AR188"/>
  <c r="F189"/>
  <c r="AH189"/>
  <c r="M189"/>
  <c r="V189"/>
  <c r="AR189"/>
  <c r="F190"/>
  <c r="AH190" s="1"/>
  <c r="M190"/>
  <c r="V190"/>
  <c r="AR190"/>
  <c r="F191"/>
  <c r="AH191" s="1"/>
  <c r="M191"/>
  <c r="V191"/>
  <c r="AR191"/>
  <c r="F192"/>
  <c r="AH192" s="1"/>
  <c r="M192"/>
  <c r="V192"/>
  <c r="AR192"/>
  <c r="F193"/>
  <c r="AH193"/>
  <c r="M193"/>
  <c r="V193"/>
  <c r="AR193"/>
  <c r="F194"/>
  <c r="M194"/>
  <c r="O194" s="1"/>
  <c r="V194"/>
  <c r="AH194"/>
  <c r="F200"/>
  <c r="AH200" s="1"/>
  <c r="M200"/>
  <c r="O200"/>
  <c r="V200"/>
  <c r="AC200"/>
  <c r="AC201"/>
  <c r="AC202"/>
  <c r="AC203"/>
  <c r="AC208"/>
  <c r="AC209"/>
  <c r="AC211"/>
  <c r="AC204"/>
  <c r="AC205"/>
  <c r="AC206"/>
  <c r="AC210"/>
  <c r="AD200"/>
  <c r="AD222"/>
  <c r="AD213"/>
  <c r="AD201"/>
  <c r="AE201"/>
  <c r="AE238"/>
  <c r="AE239"/>
  <c r="AE240"/>
  <c r="AE260"/>
  <c r="AE261"/>
  <c r="AE262"/>
  <c r="AE284"/>
  <c r="AF200"/>
  <c r="AF201"/>
  <c r="AF202"/>
  <c r="AF203"/>
  <c r="AF208"/>
  <c r="AF209"/>
  <c r="AF211"/>
  <c r="AF204"/>
  <c r="AF205"/>
  <c r="AF206"/>
  <c r="AF210"/>
  <c r="AG200"/>
  <c r="AG201"/>
  <c r="AM200"/>
  <c r="AM201"/>
  <c r="AN200"/>
  <c r="AN201"/>
  <c r="AN202"/>
  <c r="AN203"/>
  <c r="AN208"/>
  <c r="AN209"/>
  <c r="AN211"/>
  <c r="AN204"/>
  <c r="AN205"/>
  <c r="AN206"/>
  <c r="AN210"/>
  <c r="AO200"/>
  <c r="AO202"/>
  <c r="AO203"/>
  <c r="AO208"/>
  <c r="AO209"/>
  <c r="AO211"/>
  <c r="AO339" s="1"/>
  <c r="AO204"/>
  <c r="AO201"/>
  <c r="AO205"/>
  <c r="AO206"/>
  <c r="AO210"/>
  <c r="AO213"/>
  <c r="AO217"/>
  <c r="AO218"/>
  <c r="AO219"/>
  <c r="AO220"/>
  <c r="AO221"/>
  <c r="AO222"/>
  <c r="AO223"/>
  <c r="AO224"/>
  <c r="AO225"/>
  <c r="AP200"/>
  <c r="AP201"/>
  <c r="AP202"/>
  <c r="AP203"/>
  <c r="AP208"/>
  <c r="L21" i="20" s="1"/>
  <c r="AP209" i="13"/>
  <c r="AP211"/>
  <c r="AP204"/>
  <c r="AP205"/>
  <c r="AP206"/>
  <c r="AP210"/>
  <c r="AQ200"/>
  <c r="AQ202"/>
  <c r="AQ203"/>
  <c r="AQ208"/>
  <c r="AQ209"/>
  <c r="AQ211"/>
  <c r="AQ204"/>
  <c r="AQ205"/>
  <c r="AQ206"/>
  <c r="AQ210"/>
  <c r="AR200"/>
  <c r="F201"/>
  <c r="AR201" s="1"/>
  <c r="M201"/>
  <c r="V201"/>
  <c r="AF222"/>
  <c r="AF213"/>
  <c r="AH201"/>
  <c r="F202"/>
  <c r="AH202"/>
  <c r="M202"/>
  <c r="V202"/>
  <c r="AD202"/>
  <c r="AD203"/>
  <c r="AD208"/>
  <c r="AD209"/>
  <c r="AD211"/>
  <c r="AD204"/>
  <c r="AD205"/>
  <c r="AD206"/>
  <c r="AD210"/>
  <c r="AD217"/>
  <c r="AD218"/>
  <c r="AD219"/>
  <c r="AD220"/>
  <c r="AD221"/>
  <c r="AD223"/>
  <c r="AD224"/>
  <c r="AD225"/>
  <c r="G20" i="20"/>
  <c r="AE211" i="13"/>
  <c r="AE205"/>
  <c r="AE206"/>
  <c r="AE210"/>
  <c r="AF217"/>
  <c r="AF218"/>
  <c r="AF219"/>
  <c r="AF220"/>
  <c r="AF221"/>
  <c r="AF223"/>
  <c r="AF224"/>
  <c r="AF225"/>
  <c r="AG202"/>
  <c r="AM202"/>
  <c r="AM203"/>
  <c r="AM204"/>
  <c r="AM208"/>
  <c r="AM209"/>
  <c r="AM211"/>
  <c r="AM339" s="1"/>
  <c r="AM230"/>
  <c r="AM231"/>
  <c r="AM232"/>
  <c r="F23" i="20" s="1"/>
  <c r="AM233" i="13"/>
  <c r="AM234"/>
  <c r="AM235"/>
  <c r="AM236"/>
  <c r="AM268"/>
  <c r="F24" i="20" s="1"/>
  <c r="AM269" i="13"/>
  <c r="AM270"/>
  <c r="AM277"/>
  <c r="AM222"/>
  <c r="AM213"/>
  <c r="AP222"/>
  <c r="AP213"/>
  <c r="AR202"/>
  <c r="F203"/>
  <c r="AH203" s="1"/>
  <c r="M203"/>
  <c r="V203"/>
  <c r="AC213"/>
  <c r="AC217"/>
  <c r="AC218"/>
  <c r="AC219"/>
  <c r="AC220"/>
  <c r="AC221"/>
  <c r="AC222"/>
  <c r="AC223"/>
  <c r="AC224"/>
  <c r="AC225"/>
  <c r="AG203"/>
  <c r="AG208"/>
  <c r="M21" i="20" s="1"/>
  <c r="AG209" i="13"/>
  <c r="AG211"/>
  <c r="AG204"/>
  <c r="AG205"/>
  <c r="AG206"/>
  <c r="AG210"/>
  <c r="AN222"/>
  <c r="AN213"/>
  <c r="AR203"/>
  <c r="F204"/>
  <c r="AH204"/>
  <c r="F205"/>
  <c r="AH205" s="1"/>
  <c r="AH206"/>
  <c r="F208"/>
  <c r="AH208" s="1"/>
  <c r="F209"/>
  <c r="AH209"/>
  <c r="F210"/>
  <c r="AH210" s="1"/>
  <c r="AH211"/>
  <c r="M204"/>
  <c r="O204" s="1"/>
  <c r="V204"/>
  <c r="AM205"/>
  <c r="AM206"/>
  <c r="AM210"/>
  <c r="AR204"/>
  <c r="M205"/>
  <c r="V205"/>
  <c r="AR205"/>
  <c r="F206"/>
  <c r="AR206"/>
  <c r="M206"/>
  <c r="O206" s="1"/>
  <c r="V206"/>
  <c r="AP217"/>
  <c r="AP218"/>
  <c r="AP219"/>
  <c r="AP220"/>
  <c r="AP221"/>
  <c r="AP223"/>
  <c r="AP224"/>
  <c r="AP225"/>
  <c r="M208"/>
  <c r="V208"/>
  <c r="AR208"/>
  <c r="M209"/>
  <c r="V209"/>
  <c r="AR209"/>
  <c r="M210"/>
  <c r="O210" s="1"/>
  <c r="V210"/>
  <c r="AR210"/>
  <c r="F211"/>
  <c r="AR211" s="1"/>
  <c r="M211"/>
  <c r="V211"/>
  <c r="M213"/>
  <c r="O213" s="1"/>
  <c r="V213"/>
  <c r="AE213"/>
  <c r="AE222"/>
  <c r="AG213"/>
  <c r="AG222"/>
  <c r="AQ213"/>
  <c r="AQ222"/>
  <c r="F215"/>
  <c r="AH215"/>
  <c r="M215"/>
  <c r="V215"/>
  <c r="F217"/>
  <c r="M217"/>
  <c r="O217" s="1"/>
  <c r="V217"/>
  <c r="AE217"/>
  <c r="AE218"/>
  <c r="AE219"/>
  <c r="AE220"/>
  <c r="AE221"/>
  <c r="AE223"/>
  <c r="AE224"/>
  <c r="AE225"/>
  <c r="AG217"/>
  <c r="AG218"/>
  <c r="AG219"/>
  <c r="AG220"/>
  <c r="AG221"/>
  <c r="AG223"/>
  <c r="AG224"/>
  <c r="AG225"/>
  <c r="AM217"/>
  <c r="AM218"/>
  <c r="AM219"/>
  <c r="AM220"/>
  <c r="AM221"/>
  <c r="AM223"/>
  <c r="AM224"/>
  <c r="AM225"/>
  <c r="AN217"/>
  <c r="AN218"/>
  <c r="AN219"/>
  <c r="AN220"/>
  <c r="AN221"/>
  <c r="AN223"/>
  <c r="AN224"/>
  <c r="AN225"/>
  <c r="AQ217"/>
  <c r="AQ218"/>
  <c r="AQ219"/>
  <c r="AQ220"/>
  <c r="AQ221"/>
  <c r="AQ223"/>
  <c r="AQ224"/>
  <c r="AQ225"/>
  <c r="AR217"/>
  <c r="F218"/>
  <c r="AR218" s="1"/>
  <c r="M218"/>
  <c r="V218"/>
  <c r="AH218"/>
  <c r="AP241"/>
  <c r="AP242"/>
  <c r="AP243"/>
  <c r="AP266"/>
  <c r="AP282"/>
  <c r="AP294"/>
  <c r="AP307"/>
  <c r="AP311"/>
  <c r="AP314"/>
  <c r="F219"/>
  <c r="M219"/>
  <c r="O219" s="1"/>
  <c r="V219"/>
  <c r="AR219"/>
  <c r="F220"/>
  <c r="AR220"/>
  <c r="M220"/>
  <c r="V220"/>
  <c r="AH220"/>
  <c r="F221"/>
  <c r="AH221" s="1"/>
  <c r="M221"/>
  <c r="V221"/>
  <c r="AR221"/>
  <c r="F222"/>
  <c r="AH222" s="1"/>
  <c r="M222"/>
  <c r="V222"/>
  <c r="AR222"/>
  <c r="F223"/>
  <c r="AH223"/>
  <c r="M223"/>
  <c r="V223"/>
  <c r="AR223"/>
  <c r="F224"/>
  <c r="AH224"/>
  <c r="M224"/>
  <c r="V224"/>
  <c r="AR224"/>
  <c r="F225"/>
  <c r="M225"/>
  <c r="O225" s="1"/>
  <c r="V225"/>
  <c r="AH225"/>
  <c r="F230"/>
  <c r="AH230" s="1"/>
  <c r="M230"/>
  <c r="O230" s="1"/>
  <c r="V230"/>
  <c r="AC230"/>
  <c r="AD230"/>
  <c r="AD231"/>
  <c r="AD232"/>
  <c r="AD233"/>
  <c r="AD234"/>
  <c r="G23" i="20" s="1"/>
  <c r="AD235" i="13"/>
  <c r="AD236"/>
  <c r="AD246"/>
  <c r="AD237"/>
  <c r="AD238"/>
  <c r="AD239"/>
  <c r="AD240"/>
  <c r="AD241"/>
  <c r="AD242"/>
  <c r="AD243"/>
  <c r="AD244"/>
  <c r="AD247"/>
  <c r="AD248"/>
  <c r="AD249"/>
  <c r="AD250"/>
  <c r="AD251"/>
  <c r="AD252"/>
  <c r="AD253"/>
  <c r="AD254"/>
  <c r="AD255"/>
  <c r="AD256"/>
  <c r="AD257"/>
  <c r="AD258"/>
  <c r="AD260"/>
  <c r="AD261"/>
  <c r="AD262"/>
  <c r="AD263"/>
  <c r="AD266"/>
  <c r="AE266"/>
  <c r="AF230"/>
  <c r="AF266"/>
  <c r="AG230"/>
  <c r="AG266"/>
  <c r="AN230"/>
  <c r="AN266"/>
  <c r="AO230"/>
  <c r="AO266"/>
  <c r="AP230"/>
  <c r="AQ230"/>
  <c r="AQ266"/>
  <c r="AR230"/>
  <c r="F266"/>
  <c r="AR266" s="1"/>
  <c r="F241"/>
  <c r="AR241"/>
  <c r="F242"/>
  <c r="AR242" s="1"/>
  <c r="F243"/>
  <c r="AR243"/>
  <c r="F231"/>
  <c r="AH231" s="1"/>
  <c r="M231"/>
  <c r="O231" s="1"/>
  <c r="V231"/>
  <c r="AC231"/>
  <c r="AC232"/>
  <c r="E23" i="20" s="1"/>
  <c r="AC233" i="13"/>
  <c r="AC234"/>
  <c r="AC235"/>
  <c r="AC236"/>
  <c r="AC237"/>
  <c r="AC238"/>
  <c r="AC239"/>
  <c r="AC240"/>
  <c r="AC241"/>
  <c r="AC242"/>
  <c r="AC243"/>
  <c r="AC244"/>
  <c r="AC246"/>
  <c r="AC247"/>
  <c r="AC248"/>
  <c r="AC249"/>
  <c r="AC250"/>
  <c r="AC251"/>
  <c r="AC252"/>
  <c r="AC253"/>
  <c r="AC254"/>
  <c r="AC255"/>
  <c r="AC256"/>
  <c r="AC257"/>
  <c r="AC258"/>
  <c r="AC260"/>
  <c r="AC261"/>
  <c r="AC262"/>
  <c r="AC263"/>
  <c r="AC266"/>
  <c r="AE237"/>
  <c r="AE241"/>
  <c r="AE242"/>
  <c r="AE243"/>
  <c r="AE244"/>
  <c r="AE246"/>
  <c r="AE247"/>
  <c r="AE248"/>
  <c r="AE249"/>
  <c r="AE250"/>
  <c r="AE251"/>
  <c r="AE252"/>
  <c r="AE253"/>
  <c r="AE254"/>
  <c r="AE255"/>
  <c r="AE256"/>
  <c r="AE257"/>
  <c r="AE258"/>
  <c r="AE263"/>
  <c r="AF231"/>
  <c r="AF232"/>
  <c r="AF233"/>
  <c r="AF234"/>
  <c r="AF235"/>
  <c r="AF236"/>
  <c r="AF268"/>
  <c r="AF269"/>
  <c r="AF270"/>
  <c r="AF277"/>
  <c r="AF237"/>
  <c r="AF238"/>
  <c r="AF239"/>
  <c r="AF240"/>
  <c r="AF241"/>
  <c r="AF242"/>
  <c r="AF243"/>
  <c r="AF244"/>
  <c r="AF246"/>
  <c r="AF247"/>
  <c r="AF248"/>
  <c r="AF249"/>
  <c r="AF250"/>
  <c r="AF251"/>
  <c r="AF252"/>
  <c r="AF253"/>
  <c r="AF254"/>
  <c r="AF255"/>
  <c r="AF256"/>
  <c r="AF257"/>
  <c r="AF258"/>
  <c r="AF260"/>
  <c r="AF261"/>
  <c r="AF262"/>
  <c r="AF263"/>
  <c r="AF271"/>
  <c r="AF272"/>
  <c r="AF273"/>
  <c r="AF274"/>
  <c r="AF275"/>
  <c r="AF276"/>
  <c r="AF278"/>
  <c r="AF279"/>
  <c r="AF280"/>
  <c r="AF281"/>
  <c r="AF282"/>
  <c r="AF284"/>
  <c r="AF289"/>
  <c r="AF290"/>
  <c r="AF291"/>
  <c r="AF292"/>
  <c r="AF294"/>
  <c r="K25" i="20"/>
  <c r="AF297" i="13"/>
  <c r="AF298"/>
  <c r="AF300"/>
  <c r="AF351"/>
  <c r="E8" i="16" s="1"/>
  <c r="AF296" i="13"/>
  <c r="AG231"/>
  <c r="AG232"/>
  <c r="AG233"/>
  <c r="AG234"/>
  <c r="AG235"/>
  <c r="AG236"/>
  <c r="AG238"/>
  <c r="AG239"/>
  <c r="AG240"/>
  <c r="AG241"/>
  <c r="AG242"/>
  <c r="AG243"/>
  <c r="AG244"/>
  <c r="AG246"/>
  <c r="AG247"/>
  <c r="AG248"/>
  <c r="AG249"/>
  <c r="AG250"/>
  <c r="AG251"/>
  <c r="AG252"/>
  <c r="AG253"/>
  <c r="AG254"/>
  <c r="AG255"/>
  <c r="AG256"/>
  <c r="AG257"/>
  <c r="AG258"/>
  <c r="AG260"/>
  <c r="AG261"/>
  <c r="AG262"/>
  <c r="AG263"/>
  <c r="AM237"/>
  <c r="AM238"/>
  <c r="AM239"/>
  <c r="AM240"/>
  <c r="AM241"/>
  <c r="AM242"/>
  <c r="AM243"/>
  <c r="AM244"/>
  <c r="AM246"/>
  <c r="AM247"/>
  <c r="AM248"/>
  <c r="AM249"/>
  <c r="AM250"/>
  <c r="AM251"/>
  <c r="AM252"/>
  <c r="AM253"/>
  <c r="AM254"/>
  <c r="AM255"/>
  <c r="AM256"/>
  <c r="AM257"/>
  <c r="AM258"/>
  <c r="AM260"/>
  <c r="AM261"/>
  <c r="AM262"/>
  <c r="AM263"/>
  <c r="AM266"/>
  <c r="AN231"/>
  <c r="AO231"/>
  <c r="AO232"/>
  <c r="AO233"/>
  <c r="AO234"/>
  <c r="J23" i="20" s="1"/>
  <c r="AO235" i="13"/>
  <c r="AO236"/>
  <c r="AO237"/>
  <c r="AO238"/>
  <c r="AO239"/>
  <c r="AO240"/>
  <c r="AO241"/>
  <c r="AO242"/>
  <c r="AO243"/>
  <c r="AO244"/>
  <c r="AO246"/>
  <c r="AO247"/>
  <c r="AO248"/>
  <c r="AO249"/>
  <c r="AO250"/>
  <c r="AO251"/>
  <c r="AO252"/>
  <c r="AO253"/>
  <c r="AO254"/>
  <c r="AO255"/>
  <c r="AO256"/>
  <c r="AO257"/>
  <c r="AO258"/>
  <c r="AO260"/>
  <c r="AO261"/>
  <c r="AO262"/>
  <c r="AO263"/>
  <c r="AP231"/>
  <c r="L23" i="20" s="1"/>
  <c r="AP232" i="13"/>
  <c r="AP233"/>
  <c r="AP234"/>
  <c r="AP235"/>
  <c r="AP236"/>
  <c r="AP237"/>
  <c r="AP238"/>
  <c r="AP239"/>
  <c r="AP240"/>
  <c r="AP244"/>
  <c r="AP246"/>
  <c r="AP247"/>
  <c r="AP248"/>
  <c r="AP249"/>
  <c r="AP250"/>
  <c r="AP251"/>
  <c r="AP252"/>
  <c r="AP253"/>
  <c r="AP254"/>
  <c r="AP255"/>
  <c r="AP256"/>
  <c r="AP257"/>
  <c r="AP258"/>
  <c r="AP260"/>
  <c r="AP261"/>
  <c r="AP262"/>
  <c r="AP263"/>
  <c r="AQ231"/>
  <c r="N23" i="20" s="1"/>
  <c r="AQ232" i="13"/>
  <c r="AQ233"/>
  <c r="AQ234"/>
  <c r="AQ235"/>
  <c r="AQ236"/>
  <c r="AQ238"/>
  <c r="AQ239"/>
  <c r="AQ240"/>
  <c r="AQ241"/>
  <c r="AQ242"/>
  <c r="AQ243"/>
  <c r="AQ244"/>
  <c r="AQ246"/>
  <c r="AQ247"/>
  <c r="AQ248"/>
  <c r="AQ249"/>
  <c r="AQ250"/>
  <c r="AQ251"/>
  <c r="AQ252"/>
  <c r="AQ253"/>
  <c r="AQ254"/>
  <c r="AQ255"/>
  <c r="AQ256"/>
  <c r="AQ257"/>
  <c r="AQ258"/>
  <c r="AQ260"/>
  <c r="AQ261"/>
  <c r="AQ262"/>
  <c r="AQ263"/>
  <c r="AR231"/>
  <c r="F232"/>
  <c r="AH232"/>
  <c r="M232"/>
  <c r="O232" s="1"/>
  <c r="V232"/>
  <c r="AN232"/>
  <c r="AN233"/>
  <c r="AN234"/>
  <c r="AN235"/>
  <c r="AN236"/>
  <c r="AN246"/>
  <c r="AN237"/>
  <c r="AN238"/>
  <c r="AN239"/>
  <c r="AN240"/>
  <c r="AN241"/>
  <c r="AN242"/>
  <c r="AN243"/>
  <c r="AN244"/>
  <c r="AN247"/>
  <c r="AN248"/>
  <c r="AN249"/>
  <c r="AN250"/>
  <c r="AN251"/>
  <c r="AN252"/>
  <c r="AN253"/>
  <c r="AN254"/>
  <c r="AN255"/>
  <c r="AN256"/>
  <c r="AN257"/>
  <c r="AN258"/>
  <c r="AN260"/>
  <c r="AN261"/>
  <c r="AN262"/>
  <c r="AN263"/>
  <c r="AR232"/>
  <c r="F233"/>
  <c r="M233"/>
  <c r="V233"/>
  <c r="AR233"/>
  <c r="F234"/>
  <c r="AH234" s="1"/>
  <c r="M234"/>
  <c r="V234"/>
  <c r="AR234"/>
  <c r="F235"/>
  <c r="AH235" s="1"/>
  <c r="M235"/>
  <c r="O235" s="1"/>
  <c r="V235"/>
  <c r="AR235"/>
  <c r="F236"/>
  <c r="AH236" s="1"/>
  <c r="M236"/>
  <c r="O236" s="1"/>
  <c r="V236"/>
  <c r="AR236"/>
  <c r="F237"/>
  <c r="AH237" s="1"/>
  <c r="M237"/>
  <c r="V237"/>
  <c r="AC268"/>
  <c r="AC269"/>
  <c r="AC270"/>
  <c r="AC277"/>
  <c r="AC271"/>
  <c r="AC272"/>
  <c r="AC273"/>
  <c r="AC274"/>
  <c r="AC275"/>
  <c r="AC276"/>
  <c r="AC278"/>
  <c r="AC279"/>
  <c r="AC280"/>
  <c r="AC281"/>
  <c r="AC282"/>
  <c r="AC284"/>
  <c r="AC289"/>
  <c r="AC290"/>
  <c r="AC291"/>
  <c r="AC292"/>
  <c r="AC294"/>
  <c r="AC296"/>
  <c r="AC297"/>
  <c r="AC298"/>
  <c r="AC300"/>
  <c r="AR237"/>
  <c r="F238"/>
  <c r="M238"/>
  <c r="O238" s="1"/>
  <c r="V238"/>
  <c r="AR238"/>
  <c r="F239"/>
  <c r="AH239" s="1"/>
  <c r="M239"/>
  <c r="V239"/>
  <c r="AR239"/>
  <c r="F240"/>
  <c r="AH240"/>
  <c r="M240"/>
  <c r="V240"/>
  <c r="AR240"/>
  <c r="M241"/>
  <c r="V241"/>
  <c r="AH241"/>
  <c r="M242"/>
  <c r="V242"/>
  <c r="AH242"/>
  <c r="M243"/>
  <c r="V243"/>
  <c r="AH243"/>
  <c r="F244"/>
  <c r="AH244" s="1"/>
  <c r="M244"/>
  <c r="V244"/>
  <c r="AR244"/>
  <c r="F246"/>
  <c r="AH246" s="1"/>
  <c r="F251"/>
  <c r="AH251"/>
  <c r="F252"/>
  <c r="AH252" s="1"/>
  <c r="F253"/>
  <c r="AH253"/>
  <c r="F254"/>
  <c r="AH254" s="1"/>
  <c r="F255"/>
  <c r="AH255"/>
  <c r="F256"/>
  <c r="AH256" s="1"/>
  <c r="F257"/>
  <c r="AH257"/>
  <c r="F258"/>
  <c r="AH258" s="1"/>
  <c r="F263"/>
  <c r="AH263"/>
  <c r="M246"/>
  <c r="V246"/>
  <c r="AR246"/>
  <c r="F247"/>
  <c r="AH247" s="1"/>
  <c r="M247"/>
  <c r="V247"/>
  <c r="AR247"/>
  <c r="F248"/>
  <c r="AH248"/>
  <c r="M248"/>
  <c r="V248"/>
  <c r="AR248"/>
  <c r="F249"/>
  <c r="AH249"/>
  <c r="M249"/>
  <c r="V249"/>
  <c r="AR249"/>
  <c r="F250"/>
  <c r="AH250" s="1"/>
  <c r="M250"/>
  <c r="V250"/>
  <c r="AR250"/>
  <c r="M251"/>
  <c r="O251" s="1"/>
  <c r="V251"/>
  <c r="AR251"/>
  <c r="M252"/>
  <c r="O252" s="1"/>
  <c r="V252"/>
  <c r="AR252"/>
  <c r="M253"/>
  <c r="V253"/>
  <c r="AR253"/>
  <c r="M254"/>
  <c r="V254"/>
  <c r="AD268"/>
  <c r="AD269"/>
  <c r="AD270"/>
  <c r="AD277"/>
  <c r="AD271"/>
  <c r="AD272"/>
  <c r="AD273"/>
  <c r="AD274"/>
  <c r="AD275"/>
  <c r="AD276"/>
  <c r="AD278"/>
  <c r="AD279"/>
  <c r="AD280"/>
  <c r="AD281"/>
  <c r="AD284"/>
  <c r="AD289"/>
  <c r="AD290"/>
  <c r="AD291"/>
  <c r="AD292"/>
  <c r="AD296"/>
  <c r="AD297"/>
  <c r="AD298"/>
  <c r="AD305"/>
  <c r="AD306"/>
  <c r="AD308"/>
  <c r="AD309"/>
  <c r="AD310"/>
  <c r="AD313"/>
  <c r="AD316"/>
  <c r="AR254"/>
  <c r="M255"/>
  <c r="V255"/>
  <c r="AR255"/>
  <c r="M256"/>
  <c r="O256" s="1"/>
  <c r="V256"/>
  <c r="AR256"/>
  <c r="M257"/>
  <c r="O257" s="1"/>
  <c r="V257"/>
  <c r="AR257"/>
  <c r="M258"/>
  <c r="V258"/>
  <c r="AR258"/>
  <c r="F260"/>
  <c r="AH260" s="1"/>
  <c r="M260"/>
  <c r="V260"/>
  <c r="AG268"/>
  <c r="M24" i="20" s="1"/>
  <c r="AG269" i="13"/>
  <c r="AG270"/>
  <c r="AG277"/>
  <c r="AG271"/>
  <c r="AG272"/>
  <c r="AG273"/>
  <c r="AG274"/>
  <c r="AG275"/>
  <c r="AG276"/>
  <c r="AG278"/>
  <c r="AG279"/>
  <c r="AG280"/>
  <c r="AG281"/>
  <c r="AG282"/>
  <c r="AG284"/>
  <c r="AG289"/>
  <c r="AG290"/>
  <c r="AG291"/>
  <c r="AG292"/>
  <c r="AG294"/>
  <c r="AG296"/>
  <c r="AG297"/>
  <c r="AG298"/>
  <c r="AG300"/>
  <c r="AR260"/>
  <c r="F261"/>
  <c r="AH261"/>
  <c r="M261"/>
  <c r="V261"/>
  <c r="AR261"/>
  <c r="F262"/>
  <c r="AH262"/>
  <c r="M262"/>
  <c r="V262"/>
  <c r="AR262"/>
  <c r="M263"/>
  <c r="V263"/>
  <c r="AR263"/>
  <c r="M266"/>
  <c r="V266"/>
  <c r="AH266"/>
  <c r="F268"/>
  <c r="AH268"/>
  <c r="M268"/>
  <c r="V268"/>
  <c r="AN268"/>
  <c r="AO268"/>
  <c r="AO269"/>
  <c r="AO270"/>
  <c r="AO271"/>
  <c r="AO272"/>
  <c r="AO273"/>
  <c r="AO274"/>
  <c r="AO275"/>
  <c r="AO276"/>
  <c r="AO277"/>
  <c r="AO278"/>
  <c r="AO279"/>
  <c r="AO280"/>
  <c r="AO281"/>
  <c r="AO282"/>
  <c r="AP268"/>
  <c r="AQ268"/>
  <c r="N24" i="20" s="1"/>
  <c r="AR268" i="13"/>
  <c r="F269"/>
  <c r="AH269" s="1"/>
  <c r="F270"/>
  <c r="AH270" s="1"/>
  <c r="F277"/>
  <c r="AH277" s="1"/>
  <c r="M269"/>
  <c r="V269"/>
  <c r="AE271"/>
  <c r="AE272"/>
  <c r="AE273"/>
  <c r="AE274"/>
  <c r="AE275"/>
  <c r="AE276"/>
  <c r="AE278"/>
  <c r="AE279"/>
  <c r="AE280"/>
  <c r="AE281"/>
  <c r="AE289"/>
  <c r="AE290"/>
  <c r="AE291"/>
  <c r="AE292"/>
  <c r="AE296"/>
  <c r="AE297"/>
  <c r="AE298"/>
  <c r="AE305"/>
  <c r="AE306"/>
  <c r="AE308"/>
  <c r="AE309"/>
  <c r="AE310"/>
  <c r="AE313"/>
  <c r="AE316"/>
  <c r="AE282"/>
  <c r="AM271"/>
  <c r="AM272"/>
  <c r="AM273"/>
  <c r="AM274"/>
  <c r="AM275"/>
  <c r="AM276"/>
  <c r="AM278"/>
  <c r="AM279"/>
  <c r="AM280"/>
  <c r="AM281"/>
  <c r="AM282"/>
  <c r="AN269"/>
  <c r="AP269"/>
  <c r="AQ269"/>
  <c r="AQ270"/>
  <c r="AQ277"/>
  <c r="AQ271"/>
  <c r="AQ272"/>
  <c r="AQ273"/>
  <c r="AQ274"/>
  <c r="AQ275"/>
  <c r="AQ276"/>
  <c r="AQ278"/>
  <c r="AQ279"/>
  <c r="AQ280"/>
  <c r="AQ281"/>
  <c r="AQ282"/>
  <c r="AR269"/>
  <c r="M270"/>
  <c r="V270"/>
  <c r="AD282"/>
  <c r="AN270"/>
  <c r="AN277"/>
  <c r="AN271"/>
  <c r="AN272"/>
  <c r="AN273"/>
  <c r="AN274"/>
  <c r="AN275"/>
  <c r="AN276"/>
  <c r="AN278"/>
  <c r="AN279"/>
  <c r="AN280"/>
  <c r="AN281"/>
  <c r="AN282"/>
  <c r="AP270"/>
  <c r="AP277"/>
  <c r="AP271"/>
  <c r="AP272"/>
  <c r="AP273"/>
  <c r="AP274"/>
  <c r="AP275"/>
  <c r="AP276"/>
  <c r="AP278"/>
  <c r="AP279"/>
  <c r="AP280"/>
  <c r="AP281"/>
  <c r="AR270"/>
  <c r="AR277"/>
  <c r="P24" i="20" s="1"/>
  <c r="AR271" i="13"/>
  <c r="AR272"/>
  <c r="AR273"/>
  <c r="AR274"/>
  <c r="AR275"/>
  <c r="AR276"/>
  <c r="AR278"/>
  <c r="AR279"/>
  <c r="AR280"/>
  <c r="AR281"/>
  <c r="F282"/>
  <c r="AR282"/>
  <c r="F271"/>
  <c r="AH271" s="1"/>
  <c r="M271"/>
  <c r="V271"/>
  <c r="F272"/>
  <c r="AH272" s="1"/>
  <c r="M272"/>
  <c r="O272" s="1"/>
  <c r="V272"/>
  <c r="F273"/>
  <c r="AH273"/>
  <c r="M273"/>
  <c r="V273"/>
  <c r="F274"/>
  <c r="AH274"/>
  <c r="M274"/>
  <c r="V274"/>
  <c r="F275"/>
  <c r="AH275"/>
  <c r="M275"/>
  <c r="V275"/>
  <c r="F276"/>
  <c r="AH276"/>
  <c r="M276"/>
  <c r="V276"/>
  <c r="M277"/>
  <c r="V277"/>
  <c r="F278"/>
  <c r="AH278" s="1"/>
  <c r="M278"/>
  <c r="V278"/>
  <c r="F279"/>
  <c r="AH279" s="1"/>
  <c r="M279"/>
  <c r="V279"/>
  <c r="F280"/>
  <c r="AH280" s="1"/>
  <c r="M280"/>
  <c r="V280"/>
  <c r="F281"/>
  <c r="AH281" s="1"/>
  <c r="M281"/>
  <c r="V281"/>
  <c r="M282"/>
  <c r="O282" s="1"/>
  <c r="V282"/>
  <c r="AH282"/>
  <c r="AN294"/>
  <c r="AN307"/>
  <c r="AN311"/>
  <c r="AN314"/>
  <c r="AQ294"/>
  <c r="AQ307"/>
  <c r="AQ311"/>
  <c r="AQ314"/>
  <c r="F284"/>
  <c r="M284"/>
  <c r="O284" s="1"/>
  <c r="V284"/>
  <c r="AD294"/>
  <c r="AE294"/>
  <c r="AE300"/>
  <c r="AM284"/>
  <c r="AM286"/>
  <c r="AM288"/>
  <c r="AM289"/>
  <c r="AM290"/>
  <c r="AM291"/>
  <c r="AM292"/>
  <c r="AM294"/>
  <c r="AN284"/>
  <c r="AN286"/>
  <c r="AN288"/>
  <c r="AN289"/>
  <c r="AN290"/>
  <c r="AN291"/>
  <c r="AN292"/>
  <c r="AO284"/>
  <c r="AO286"/>
  <c r="AO288"/>
  <c r="AO289"/>
  <c r="AO290"/>
  <c r="AO291"/>
  <c r="AO292"/>
  <c r="AO294"/>
  <c r="AP284"/>
  <c r="AP286"/>
  <c r="AP288"/>
  <c r="AP289"/>
  <c r="AP290"/>
  <c r="AP291"/>
  <c r="AP292"/>
  <c r="AQ284"/>
  <c r="AR284"/>
  <c r="M286"/>
  <c r="O286" s="1"/>
  <c r="V286"/>
  <c r="AQ286"/>
  <c r="AQ288"/>
  <c r="AQ289"/>
  <c r="AQ290"/>
  <c r="AQ291"/>
  <c r="AQ292"/>
  <c r="AR286"/>
  <c r="M288"/>
  <c r="O288" s="1"/>
  <c r="V288"/>
  <c r="AR288"/>
  <c r="F289"/>
  <c r="AH289" s="1"/>
  <c r="M289"/>
  <c r="V289"/>
  <c r="AR289"/>
  <c r="F290"/>
  <c r="AH290"/>
  <c r="M290"/>
  <c r="V290"/>
  <c r="AR290"/>
  <c r="F291"/>
  <c r="AH291" s="1"/>
  <c r="M291"/>
  <c r="V291"/>
  <c r="AR291"/>
  <c r="F292"/>
  <c r="AH292" s="1"/>
  <c r="M292"/>
  <c r="O292" s="1"/>
  <c r="V292"/>
  <c r="AR292"/>
  <c r="F294"/>
  <c r="AR294"/>
  <c r="M294"/>
  <c r="V294"/>
  <c r="AH294"/>
  <c r="F296"/>
  <c r="AH296" s="1"/>
  <c r="M296"/>
  <c r="O296" s="1"/>
  <c r="V296"/>
  <c r="AM296"/>
  <c r="AN296"/>
  <c r="AO296"/>
  <c r="AP296"/>
  <c r="AQ296"/>
  <c r="AR296"/>
  <c r="F297"/>
  <c r="M297"/>
  <c r="V297"/>
  <c r="AM297"/>
  <c r="AN297"/>
  <c r="AN298"/>
  <c r="AN299"/>
  <c r="AO297"/>
  <c r="AO298"/>
  <c r="AO299"/>
  <c r="J26" i="20" s="1"/>
  <c r="AP297" i="13"/>
  <c r="AP298"/>
  <c r="AP299"/>
  <c r="AQ297"/>
  <c r="AR297"/>
  <c r="AR298"/>
  <c r="AR299"/>
  <c r="F298"/>
  <c r="AH298" s="1"/>
  <c r="M298"/>
  <c r="V298"/>
  <c r="AM298"/>
  <c r="AQ298"/>
  <c r="M299"/>
  <c r="O299" s="1"/>
  <c r="V299"/>
  <c r="AM299"/>
  <c r="AQ299"/>
  <c r="M300"/>
  <c r="O300" s="1"/>
  <c r="V300"/>
  <c r="AD300"/>
  <c r="F305"/>
  <c r="AH305" s="1"/>
  <c r="M305"/>
  <c r="O305" s="1"/>
  <c r="V305"/>
  <c r="AC305"/>
  <c r="AC306"/>
  <c r="AE307"/>
  <c r="AE311"/>
  <c r="AE314"/>
  <c r="AF305"/>
  <c r="AF306"/>
  <c r="AG305"/>
  <c r="AG306"/>
  <c r="M27" i="20" s="1"/>
  <c r="AG307" i="13"/>
  <c r="AG308"/>
  <c r="AG309"/>
  <c r="AG310"/>
  <c r="AG311"/>
  <c r="AG313"/>
  <c r="AG314"/>
  <c r="AG316"/>
  <c r="AM305"/>
  <c r="AM306"/>
  <c r="AM337" s="1"/>
  <c r="AN305"/>
  <c r="AN306"/>
  <c r="H27" i="20" s="1"/>
  <c r="AN319" i="13"/>
  <c r="AN308"/>
  <c r="AN309"/>
  <c r="AN310"/>
  <c r="AN313"/>
  <c r="AN316"/>
  <c r="AN323"/>
  <c r="AN333"/>
  <c r="AO305"/>
  <c r="AO306"/>
  <c r="AP305"/>
  <c r="AP306"/>
  <c r="L27" i="20" s="1"/>
  <c r="AP319" i="13"/>
  <c r="AP308"/>
  <c r="AP309"/>
  <c r="AP310"/>
  <c r="AP313"/>
  <c r="AP316"/>
  <c r="AP323"/>
  <c r="AP333"/>
  <c r="AQ305"/>
  <c r="AQ306"/>
  <c r="AQ337" s="1"/>
  <c r="AR305"/>
  <c r="AR306"/>
  <c r="P27" i="20" s="1"/>
  <c r="F306" i="13"/>
  <c r="AH306" s="1"/>
  <c r="M306"/>
  <c r="V306"/>
  <c r="F307"/>
  <c r="AR307" s="1"/>
  <c r="M307"/>
  <c r="V307"/>
  <c r="AC307"/>
  <c r="AC308"/>
  <c r="AC309"/>
  <c r="AC310"/>
  <c r="AC311"/>
  <c r="AC313"/>
  <c r="AC314"/>
  <c r="AC316"/>
  <c r="AD307"/>
  <c r="AD311"/>
  <c r="AD314"/>
  <c r="AF307"/>
  <c r="AH307"/>
  <c r="AM307"/>
  <c r="AM319"/>
  <c r="AM308"/>
  <c r="AM309"/>
  <c r="AM310"/>
  <c r="AM311"/>
  <c r="AM313"/>
  <c r="AM314"/>
  <c r="AM316"/>
  <c r="AM323"/>
  <c r="AM333"/>
  <c r="AO307"/>
  <c r="AO319"/>
  <c r="AO308"/>
  <c r="AO309"/>
  <c r="AO310"/>
  <c r="AO311"/>
  <c r="AO313"/>
  <c r="AO314"/>
  <c r="AO316"/>
  <c r="AO323"/>
  <c r="AO333"/>
  <c r="AQ319"/>
  <c r="AQ308"/>
  <c r="AQ309"/>
  <c r="AQ310"/>
  <c r="AQ313"/>
  <c r="AQ316"/>
  <c r="AQ323"/>
  <c r="AQ333"/>
  <c r="F308"/>
  <c r="AH308"/>
  <c r="M308"/>
  <c r="M312" s="1"/>
  <c r="V308"/>
  <c r="AF308"/>
  <c r="AR308"/>
  <c r="F309"/>
  <c r="AH309" s="1"/>
  <c r="M309"/>
  <c r="V309"/>
  <c r="AF309"/>
  <c r="AR309"/>
  <c r="F310"/>
  <c r="AH310"/>
  <c r="M310"/>
  <c r="V310"/>
  <c r="AF310"/>
  <c r="AR310"/>
  <c r="F311"/>
  <c r="AR311" s="1"/>
  <c r="M311"/>
  <c r="O311" s="1"/>
  <c r="V311"/>
  <c r="AF311"/>
  <c r="AH311"/>
  <c r="F313"/>
  <c r="AH313"/>
  <c r="M313"/>
  <c r="M315" s="1"/>
  <c r="V313"/>
  <c r="AF313"/>
  <c r="AF314"/>
  <c r="AF316"/>
  <c r="AR313"/>
  <c r="F314"/>
  <c r="AR314"/>
  <c r="M314"/>
  <c r="V314"/>
  <c r="AH314"/>
  <c r="F316"/>
  <c r="AH316" s="1"/>
  <c r="M316"/>
  <c r="V316"/>
  <c r="AR316"/>
  <c r="F319"/>
  <c r="AH319" s="1"/>
  <c r="M319"/>
  <c r="V319"/>
  <c r="AR319"/>
  <c r="M321"/>
  <c r="O321" s="1"/>
  <c r="V321"/>
  <c r="F323"/>
  <c r="AH323" s="1"/>
  <c r="M323"/>
  <c r="V323"/>
  <c r="AR323"/>
  <c r="M328"/>
  <c r="V328"/>
  <c r="M333"/>
  <c r="O333" s="1"/>
  <c r="V333"/>
  <c r="AR333"/>
  <c r="AA339"/>
  <c r="A344"/>
  <c r="B344"/>
  <c r="AL347"/>
  <c r="K4" i="16"/>
  <c r="AL348" i="13"/>
  <c r="AL358"/>
  <c r="K15" i="16" s="1"/>
  <c r="AL349" i="13"/>
  <c r="AL359" s="1"/>
  <c r="K16" i="16" s="1"/>
  <c r="AL350" i="13"/>
  <c r="AC353"/>
  <c r="B10" i="16" s="1"/>
  <c r="AD353" i="13"/>
  <c r="C10" i="16" s="1"/>
  <c r="AE353" i="13"/>
  <c r="D10" i="16" s="1"/>
  <c r="AF353" i="13"/>
  <c r="E10" i="16" s="1"/>
  <c r="AG353" i="13"/>
  <c r="F10" i="16" s="1"/>
  <c r="AH353" i="13"/>
  <c r="G10" i="16" s="1"/>
  <c r="AL353" i="13"/>
  <c r="K10" i="16" s="1"/>
  <c r="AM353" i="13"/>
  <c r="L10" i="16" s="1"/>
  <c r="AN353" i="13"/>
  <c r="M10" i="16" s="1"/>
  <c r="AO353" i="13"/>
  <c r="N10" i="16" s="1"/>
  <c r="AP353" i="13"/>
  <c r="O10" i="16" s="1"/>
  <c r="AQ353" i="13"/>
  <c r="P10" i="16" s="1"/>
  <c r="AR353" i="13"/>
  <c r="Q10" i="16" s="1"/>
  <c r="AC354" i="13"/>
  <c r="B11" i="16" s="1"/>
  <c r="AD354" i="13"/>
  <c r="C11" i="16" s="1"/>
  <c r="AE354" i="13"/>
  <c r="D11" i="16" s="1"/>
  <c r="AF354" i="13"/>
  <c r="E11" i="16" s="1"/>
  <c r="AG354" i="13"/>
  <c r="F11" i="16" s="1"/>
  <c r="AH354" i="13"/>
  <c r="G11" i="16" s="1"/>
  <c r="AL354" i="13"/>
  <c r="K11" i="16" s="1"/>
  <c r="AM354" i="13"/>
  <c r="L11" i="16" s="1"/>
  <c r="AN354" i="13"/>
  <c r="M11" i="16" s="1"/>
  <c r="AO354" i="13"/>
  <c r="N11" i="16" s="1"/>
  <c r="AP354" i="13"/>
  <c r="O11" i="16" s="1"/>
  <c r="AQ354" i="13"/>
  <c r="P11" i="16" s="1"/>
  <c r="AR354" i="13"/>
  <c r="Q11" i="16" s="1"/>
  <c r="AB357" i="13"/>
  <c r="A14" i="16" s="1"/>
  <c r="AB360" i="13"/>
  <c r="A17" i="16" s="1"/>
  <c r="AL360" i="13"/>
  <c r="K17" i="16"/>
  <c r="A19"/>
  <c r="K19"/>
  <c r="AL369" i="13"/>
  <c r="AL370"/>
  <c r="AL371"/>
  <c r="AL372"/>
  <c r="AL375"/>
  <c r="AL376"/>
  <c r="K31" i="16" s="1"/>
  <c r="AB379" i="13"/>
  <c r="A34" i="16" s="1"/>
  <c r="AL380" i="13"/>
  <c r="K35" i="16" s="1"/>
  <c r="AL381" i="13"/>
  <c r="K36" i="16" s="1"/>
  <c r="AB382" i="13"/>
  <c r="A37" i="16" s="1"/>
  <c r="AL390" i="13"/>
  <c r="AL391"/>
  <c r="K45" i="16" s="1"/>
  <c r="AL392" i="13"/>
  <c r="AL393"/>
  <c r="AL396"/>
  <c r="AL397"/>
  <c r="AB400"/>
  <c r="AL400"/>
  <c r="K54" i="16" s="1"/>
  <c r="AL401" i="13"/>
  <c r="K55" i="16" s="1"/>
  <c r="AL402" i="13"/>
  <c r="K56" i="16" s="1"/>
  <c r="AB403" i="13"/>
  <c r="AL403" s="1"/>
  <c r="K57" i="16" s="1"/>
  <c r="A59"/>
  <c r="B2"/>
  <c r="L2"/>
  <c r="B3"/>
  <c r="C3"/>
  <c r="D3"/>
  <c r="E3"/>
  <c r="F3"/>
  <c r="G3"/>
  <c r="L3"/>
  <c r="M3"/>
  <c r="N3"/>
  <c r="O3"/>
  <c r="P3"/>
  <c r="Q3"/>
  <c r="A4"/>
  <c r="A5"/>
  <c r="K5"/>
  <c r="A6"/>
  <c r="K6"/>
  <c r="A7"/>
  <c r="K7"/>
  <c r="A8"/>
  <c r="K8"/>
  <c r="A10"/>
  <c r="A11"/>
  <c r="B12"/>
  <c r="L12"/>
  <c r="B13"/>
  <c r="C13"/>
  <c r="D13"/>
  <c r="E13"/>
  <c r="F13"/>
  <c r="G13"/>
  <c r="H13"/>
  <c r="L13"/>
  <c r="M13"/>
  <c r="N13"/>
  <c r="O13"/>
  <c r="P13"/>
  <c r="Q13"/>
  <c r="R13"/>
  <c r="A15"/>
  <c r="A16"/>
  <c r="G20"/>
  <c r="Q20"/>
  <c r="Q21"/>
  <c r="B22"/>
  <c r="L22"/>
  <c r="B23"/>
  <c r="C23"/>
  <c r="D23"/>
  <c r="E23"/>
  <c r="F23"/>
  <c r="G23"/>
  <c r="L23"/>
  <c r="M23"/>
  <c r="N23"/>
  <c r="O23"/>
  <c r="P23"/>
  <c r="Q23"/>
  <c r="A24"/>
  <c r="K24"/>
  <c r="A25"/>
  <c r="A26"/>
  <c r="A27"/>
  <c r="K27"/>
  <c r="A28"/>
  <c r="K28"/>
  <c r="A30"/>
  <c r="A31"/>
  <c r="B32"/>
  <c r="L32"/>
  <c r="B33"/>
  <c r="C33"/>
  <c r="D33"/>
  <c r="E33"/>
  <c r="F33"/>
  <c r="G33"/>
  <c r="H33"/>
  <c r="L33"/>
  <c r="M33"/>
  <c r="N33"/>
  <c r="O33"/>
  <c r="P33"/>
  <c r="Q33"/>
  <c r="R33"/>
  <c r="A35"/>
  <c r="A36"/>
  <c r="G40"/>
  <c r="Q40"/>
  <c r="Q41"/>
  <c r="B42"/>
  <c r="L42"/>
  <c r="B43"/>
  <c r="C43"/>
  <c r="D43"/>
  <c r="E43"/>
  <c r="F43"/>
  <c r="G43"/>
  <c r="L43"/>
  <c r="M43"/>
  <c r="N43"/>
  <c r="O43"/>
  <c r="P43"/>
  <c r="Q43"/>
  <c r="A44"/>
  <c r="A45"/>
  <c r="A46"/>
  <c r="A47"/>
  <c r="A48"/>
  <c r="K48"/>
  <c r="A50"/>
  <c r="A51"/>
  <c r="K51"/>
  <c r="B52"/>
  <c r="L52"/>
  <c r="B53"/>
  <c r="C53"/>
  <c r="D53"/>
  <c r="E53"/>
  <c r="F53"/>
  <c r="G53"/>
  <c r="H53"/>
  <c r="L53"/>
  <c r="M53"/>
  <c r="N53"/>
  <c r="O53"/>
  <c r="P53"/>
  <c r="Q53"/>
  <c r="R53"/>
  <c r="A55"/>
  <c r="A56"/>
  <c r="G60"/>
  <c r="Q60"/>
  <c r="Q61"/>
  <c r="M80" i="13"/>
  <c r="K46" i="16"/>
  <c r="AL405" i="13"/>
  <c r="K59" i="16"/>
  <c r="AL384" i="13"/>
  <c r="K39" i="16" s="1"/>
  <c r="A39"/>
  <c r="M216" i="13"/>
  <c r="O216" s="1"/>
  <c r="M331"/>
  <c r="O331" s="1"/>
  <c r="M329"/>
  <c r="O329" s="1"/>
  <c r="M317"/>
  <c r="M332"/>
  <c r="O332" s="1"/>
  <c r="M330"/>
  <c r="O330" s="1"/>
  <c r="M214"/>
  <c r="O214" s="1"/>
  <c r="M43"/>
  <c r="O43" s="1"/>
  <c r="M45"/>
  <c r="O45" s="1"/>
  <c r="M48"/>
  <c r="O48" s="1"/>
  <c r="M50"/>
  <c r="O50" s="1"/>
  <c r="M52"/>
  <c r="O52" s="1"/>
  <c r="M54"/>
  <c r="O54" s="1"/>
  <c r="AH155"/>
  <c r="AH151"/>
  <c r="AH148"/>
  <c r="O84"/>
  <c r="N14" i="17"/>
  <c r="S14" s="1"/>
  <c r="N11"/>
  <c r="AR194" i="13"/>
  <c r="O82"/>
  <c r="N10" i="17"/>
  <c r="AH217" i="13"/>
  <c r="AH219"/>
  <c r="AR225"/>
  <c r="O32"/>
  <c r="M12"/>
  <c r="M30" i="17"/>
  <c r="Q30"/>
  <c r="N25"/>
  <c r="M22"/>
  <c r="Q22" s="1"/>
  <c r="N17"/>
  <c r="M226" i="13"/>
  <c r="O317"/>
  <c r="O127"/>
  <c r="N9" i="20"/>
  <c r="O9" i="13"/>
  <c r="O8"/>
  <c r="O35"/>
  <c r="O151"/>
  <c r="M158"/>
  <c r="O118"/>
  <c r="K50" i="16"/>
  <c r="P19" i="20"/>
  <c r="AP337" i="13"/>
  <c r="AF337"/>
  <c r="AQ196"/>
  <c r="AH127"/>
  <c r="M64"/>
  <c r="O64" s="1"/>
  <c r="M60"/>
  <c r="O60" s="1"/>
  <c r="M47"/>
  <c r="O47" s="1"/>
  <c r="M42"/>
  <c r="M40"/>
  <c r="O40" s="1"/>
  <c r="O38"/>
  <c r="O30"/>
  <c r="O16"/>
  <c r="I27" i="20"/>
  <c r="M326" i="13"/>
  <c r="O326" s="1"/>
  <c r="O242"/>
  <c r="O220"/>
  <c r="O209"/>
  <c r="O178"/>
  <c r="O176"/>
  <c r="O172"/>
  <c r="O123"/>
  <c r="O121"/>
  <c r="O119"/>
  <c r="O79"/>
  <c r="O77"/>
  <c r="O75"/>
  <c r="N29" i="17"/>
  <c r="N19"/>
  <c r="AC196" i="13"/>
  <c r="F12" i="20"/>
  <c r="M325" i="13"/>
  <c r="O325" s="1"/>
  <c r="M91"/>
  <c r="M62"/>
  <c r="O62" s="1"/>
  <c r="M59"/>
  <c r="O59" s="1"/>
  <c r="M55"/>
  <c r="O55" s="1"/>
  <c r="M181"/>
  <c r="M171"/>
  <c r="M117"/>
  <c r="O160"/>
  <c r="O97"/>
  <c r="M107"/>
  <c r="O89"/>
  <c r="O85"/>
  <c r="AL379"/>
  <c r="K34" i="16"/>
  <c r="L17" i="20"/>
  <c r="N13" i="17"/>
  <c r="N6"/>
  <c r="M110" i="13"/>
  <c r="O110" s="1"/>
  <c r="M112"/>
  <c r="O112" s="1"/>
  <c r="M264"/>
  <c r="O264" s="1"/>
  <c r="M285"/>
  <c r="M287"/>
  <c r="N26" i="17"/>
  <c r="M147" i="13"/>
  <c r="M207"/>
  <c r="H25" i="20"/>
  <c r="O274" i="13"/>
  <c r="O268"/>
  <c r="O262"/>
  <c r="I24" i="20"/>
  <c r="O105" i="13"/>
  <c r="O102"/>
  <c r="G12" i="20"/>
  <c r="O10" i="13"/>
  <c r="AL357"/>
  <c r="K14" i="16"/>
  <c r="O307" i="13"/>
  <c r="F25" i="20"/>
  <c r="O271" i="13"/>
  <c r="O269"/>
  <c r="M26" i="20"/>
  <c r="AM350" i="13"/>
  <c r="L7" i="16" s="1"/>
  <c r="O223" i="13"/>
  <c r="O222"/>
  <c r="E20" i="20"/>
  <c r="O166" i="13"/>
  <c r="O164"/>
  <c r="O162"/>
  <c r="O129"/>
  <c r="O120"/>
  <c r="O103"/>
  <c r="O13"/>
  <c r="AD351"/>
  <c r="C8" i="16" s="1"/>
  <c r="E12" i="20"/>
  <c r="M39" i="13"/>
  <c r="AP348"/>
  <c r="O5" i="16" s="1"/>
  <c r="O308" i="13"/>
  <c r="AC337"/>
  <c r="L26" i="20"/>
  <c r="O280" i="13"/>
  <c r="O275"/>
  <c r="O248"/>
  <c r="O247"/>
  <c r="O218"/>
  <c r="O215"/>
  <c r="O203"/>
  <c r="O170"/>
  <c r="O154"/>
  <c r="O141"/>
  <c r="O136"/>
  <c r="O99"/>
  <c r="O94"/>
  <c r="O90"/>
  <c r="O29"/>
  <c r="O24"/>
  <c r="H20" i="20"/>
  <c r="AO337" i="13"/>
  <c r="O31"/>
  <c r="AM132"/>
  <c r="K27" i="20"/>
  <c r="O188" i="13"/>
  <c r="M195"/>
  <c r="AF196"/>
  <c r="AE350"/>
  <c r="D7" i="16" s="1"/>
  <c r="O241" i="13"/>
  <c r="AH70"/>
  <c r="AH297"/>
  <c r="AF350"/>
  <c r="E7" i="16" s="1"/>
  <c r="O319" i="13"/>
  <c r="I26" i="20"/>
  <c r="L24"/>
  <c r="M23"/>
  <c r="F20"/>
  <c r="E19"/>
  <c r="N13"/>
  <c r="L13"/>
  <c r="L12"/>
  <c r="L15"/>
  <c r="L16"/>
  <c r="L19"/>
  <c r="L20"/>
  <c r="L25"/>
  <c r="K30" i="16"/>
  <c r="AP227" i="13"/>
  <c r="J13" i="20"/>
  <c r="AO351" i="13"/>
  <c r="N8" i="16" s="1"/>
  <c r="AM351" i="13"/>
  <c r="L8" i="16" s="1"/>
  <c r="AD337" i="13"/>
  <c r="AE337"/>
  <c r="AO350"/>
  <c r="N7" i="16" s="1"/>
  <c r="I25" i="20"/>
  <c r="G27"/>
  <c r="G24"/>
  <c r="E25"/>
  <c r="E17"/>
  <c r="H19"/>
  <c r="H17"/>
  <c r="I19"/>
  <c r="I17"/>
  <c r="I16"/>
  <c r="F19"/>
  <c r="M17"/>
  <c r="M12"/>
  <c r="M15"/>
  <c r="M16"/>
  <c r="M18"/>
  <c r="M19"/>
  <c r="M20"/>
  <c r="M25"/>
  <c r="I18"/>
  <c r="N16"/>
  <c r="N12"/>
  <c r="N15"/>
  <c r="N18"/>
  <c r="N19"/>
  <c r="N25"/>
  <c r="N26"/>
  <c r="N27"/>
  <c r="AC351" i="13"/>
  <c r="B8" i="16" s="1"/>
  <c r="AF227" i="13"/>
  <c r="K21" i="20"/>
  <c r="AH37" i="13"/>
  <c r="O37"/>
  <c r="AL383"/>
  <c r="K38" i="16" s="1"/>
  <c r="A38"/>
  <c r="O294" i="13"/>
  <c r="O291"/>
  <c r="O278"/>
  <c r="E24" i="20"/>
  <c r="K24"/>
  <c r="AF132" i="13"/>
  <c r="AO349"/>
  <c r="N6" i="16" s="1"/>
  <c r="O316" i="13"/>
  <c r="O314"/>
  <c r="O310"/>
  <c r="O306"/>
  <c r="O298"/>
  <c r="O290"/>
  <c r="O289"/>
  <c r="AQ351"/>
  <c r="P8" i="16" s="1"/>
  <c r="O276" i="13"/>
  <c r="AG351"/>
  <c r="F8" i="16" s="1"/>
  <c r="O255" i="13"/>
  <c r="G26" i="20"/>
  <c r="AD350" i="13"/>
  <c r="C7" i="16" s="1"/>
  <c r="O250" i="13"/>
  <c r="O249"/>
  <c r="O240"/>
  <c r="E26" i="20"/>
  <c r="K26"/>
  <c r="O202" i="13"/>
  <c r="J20" i="20"/>
  <c r="O190" i="13"/>
  <c r="O168"/>
  <c r="O163"/>
  <c r="G17" i="20"/>
  <c r="O152" i="13"/>
  <c r="O156"/>
  <c r="O149"/>
  <c r="G16" i="20"/>
  <c r="J15"/>
  <c r="K15"/>
  <c r="AH126" i="13"/>
  <c r="I13" i="20"/>
  <c r="O106" i="13"/>
  <c r="O101"/>
  <c r="O92"/>
  <c r="O81"/>
  <c r="F13" i="20"/>
  <c r="AO132" i="13"/>
  <c r="K10" i="20"/>
  <c r="O36" i="13"/>
  <c r="O34"/>
  <c r="AQ348"/>
  <c r="P5" i="16" s="1"/>
  <c r="O25" i="13"/>
  <c r="K13" i="20"/>
  <c r="K16"/>
  <c r="K18"/>
  <c r="K19"/>
  <c r="K20"/>
  <c r="H24"/>
  <c r="O266" i="13"/>
  <c r="O237"/>
  <c r="AD349"/>
  <c r="C6" i="16" s="1"/>
  <c r="H21" i="20"/>
  <c r="O192" i="13"/>
  <c r="O184"/>
  <c r="J19" i="20"/>
  <c r="J17"/>
  <c r="G19"/>
  <c r="E16"/>
  <c r="O145" i="13"/>
  <c r="AM196"/>
  <c r="E15" i="20"/>
  <c r="H13"/>
  <c r="O96" i="13"/>
  <c r="O74"/>
  <c r="I20" i="20"/>
  <c r="O161" i="13"/>
  <c r="O165"/>
  <c r="O28"/>
  <c r="O83"/>
  <c r="O328"/>
  <c r="O313"/>
  <c r="O309"/>
  <c r="F27" i="20"/>
  <c r="AC350" i="13"/>
  <c r="B7" i="16" s="1"/>
  <c r="H26" i="20"/>
  <c r="F26"/>
  <c r="AP351" i="13"/>
  <c r="O8" i="16" s="1"/>
  <c r="AN351" i="13"/>
  <c r="M8" i="16" s="1"/>
  <c r="O279" i="13"/>
  <c r="O273"/>
  <c r="O270"/>
  <c r="O254"/>
  <c r="O253"/>
  <c r="O246"/>
  <c r="O244"/>
  <c r="O243"/>
  <c r="H23" i="20"/>
  <c r="O224" i="13"/>
  <c r="O201"/>
  <c r="O159"/>
  <c r="J16" i="20"/>
  <c r="F17"/>
  <c r="O130" i="13"/>
  <c r="O104"/>
  <c r="E13" i="20"/>
  <c r="AE132" i="13"/>
  <c r="H15" i="20"/>
  <c r="H16"/>
  <c r="G10"/>
  <c r="J27"/>
  <c r="AR352" i="13"/>
  <c r="Q9" i="16" s="1"/>
  <c r="AO352" i="13"/>
  <c r="N9" i="16" s="1"/>
  <c r="AQ352" i="13"/>
  <c r="P9" i="16" s="1"/>
  <c r="AD132" i="13"/>
  <c r="G15" i="20"/>
  <c r="G25"/>
  <c r="O157" i="13"/>
  <c r="O125"/>
  <c r="O155"/>
  <c r="O285"/>
  <c r="K44" i="16"/>
  <c r="A57"/>
  <c r="A54"/>
  <c r="O323" i="13"/>
  <c r="O263"/>
  <c r="O261"/>
  <c r="O260"/>
  <c r="O205"/>
  <c r="O193"/>
  <c r="O191"/>
  <c r="O189"/>
  <c r="O187"/>
  <c r="O185"/>
  <c r="O183"/>
  <c r="O182"/>
  <c r="O177"/>
  <c r="AP196"/>
  <c r="O146"/>
  <c r="O144"/>
  <c r="O142"/>
  <c r="O140"/>
  <c r="AP132"/>
  <c r="M49"/>
  <c r="M23" i="17"/>
  <c r="M24"/>
  <c r="M18"/>
  <c r="M324" i="13"/>
  <c r="O324"/>
  <c r="M327"/>
  <c r="O327" s="1"/>
  <c r="M318"/>
  <c r="O318" s="1"/>
  <c r="M320"/>
  <c r="O320" s="1"/>
  <c r="M293"/>
  <c r="O293" s="1"/>
  <c r="M113"/>
  <c r="O113" s="1"/>
  <c r="E27" i="20"/>
  <c r="J25"/>
  <c r="AG352" i="13"/>
  <c r="F9" i="16" s="1"/>
  <c r="AF352" i="13"/>
  <c r="E9" i="16" s="1"/>
  <c r="AC352" i="13"/>
  <c r="B9" i="16" s="1"/>
  <c r="F15" i="20"/>
  <c r="O87" i="13"/>
  <c r="M41"/>
  <c r="O41" s="1"/>
  <c r="M245"/>
  <c r="O245" s="1"/>
  <c r="M322"/>
  <c r="O322" s="1"/>
  <c r="M335"/>
  <c r="O335" s="1"/>
  <c r="M109"/>
  <c r="O109" s="1"/>
  <c r="M116"/>
  <c r="O116" s="1"/>
  <c r="AG196"/>
  <c r="Q18" i="17"/>
  <c r="O258" i="13"/>
  <c r="O233"/>
  <c r="R14" i="17"/>
  <c r="Q23"/>
  <c r="Q24" s="1"/>
  <c r="P15" i="20"/>
  <c r="Q25" i="17"/>
  <c r="Q27"/>
  <c r="M12"/>
  <c r="Q10"/>
  <c r="P12" i="20"/>
  <c r="P20"/>
  <c r="P26"/>
  <c r="O287" i="13"/>
  <c r="K47" i="16"/>
  <c r="K26"/>
  <c r="AH238" i="13"/>
  <c r="AH233"/>
  <c r="AH173"/>
  <c r="M51"/>
  <c r="O51" s="1"/>
  <c r="M53"/>
  <c r="O53" s="1"/>
  <c r="M28" i="17"/>
  <c r="Q28"/>
  <c r="M114" i="13"/>
  <c r="O114" s="1"/>
  <c r="M63"/>
  <c r="O63" s="1"/>
  <c r="M26"/>
  <c r="O26" s="1"/>
  <c r="AL382"/>
  <c r="K37" i="16" s="1"/>
  <c r="M108" i="13"/>
  <c r="O108" s="1"/>
  <c r="M61"/>
  <c r="O61" s="1"/>
  <c r="M44"/>
  <c r="O297"/>
  <c r="O221"/>
  <c r="P25" i="20"/>
  <c r="O20"/>
  <c r="O15"/>
  <c r="AR351" i="13"/>
  <c r="Q8" i="16" s="1"/>
  <c r="M21" i="17"/>
  <c r="Q17"/>
  <c r="Q21"/>
  <c r="O16" i="20"/>
  <c r="AH284" i="13"/>
  <c r="AH175"/>
  <c r="AH76"/>
  <c r="O12" i="20"/>
  <c r="N20" i="17"/>
  <c r="O26" i="20"/>
  <c r="O25"/>
  <c r="O18"/>
  <c r="AH350" i="13"/>
  <c r="G7" i="16" s="1"/>
  <c r="M301" i="13" l="1"/>
  <c r="M283"/>
  <c r="M212"/>
  <c r="AH351"/>
  <c r="G8" i="16" s="1"/>
  <c r="O27" i="20"/>
  <c r="AI337" i="13"/>
  <c r="AR350"/>
  <c r="Q7" i="16" s="1"/>
  <c r="AN350" i="13"/>
  <c r="M7" i="16" s="1"/>
  <c r="AN337" i="13"/>
  <c r="AP350"/>
  <c r="O7" i="16" s="1"/>
  <c r="AS337" i="13"/>
  <c r="O277"/>
  <c r="AN302"/>
  <c r="AG302"/>
  <c r="AF302"/>
  <c r="AO302"/>
  <c r="AD302"/>
  <c r="AG347"/>
  <c r="F4" i="16" s="1"/>
  <c r="AM302" i="13"/>
  <c r="AQ302"/>
  <c r="O23" i="20"/>
  <c r="AC302" i="13"/>
  <c r="AP302"/>
  <c r="K23" i="20"/>
  <c r="AE302" i="13"/>
  <c r="AS302"/>
  <c r="AR347"/>
  <c r="Q4" i="16" s="1"/>
  <c r="O234" i="13"/>
  <c r="AO347"/>
  <c r="N4" i="16" s="1"/>
  <c r="O211" i="13"/>
  <c r="AS227"/>
  <c r="AM227"/>
  <c r="G21" i="20"/>
  <c r="AN227" i="13"/>
  <c r="O208"/>
  <c r="M227"/>
  <c r="F21" i="20"/>
  <c r="AD227" i="13"/>
  <c r="N21" i="20"/>
  <c r="J21"/>
  <c r="AC227" i="13"/>
  <c r="AE227"/>
  <c r="AI227"/>
  <c r="I21" i="20"/>
  <c r="AQ347" i="13"/>
  <c r="P4" i="16" s="1"/>
  <c r="AO227" i="13"/>
  <c r="P129" i="21"/>
  <c r="AP370" i="13"/>
  <c r="O25" i="16" s="1"/>
  <c r="P21" i="20"/>
  <c r="E21"/>
  <c r="H18"/>
  <c r="J18"/>
  <c r="M196" i="13"/>
  <c r="AG349"/>
  <c r="F6" i="16" s="1"/>
  <c r="F18" i="20"/>
  <c r="E18"/>
  <c r="O174" i="13"/>
  <c r="O173"/>
  <c r="G163" i="21"/>
  <c r="I102"/>
  <c r="AE352" i="13"/>
  <c r="D9" i="16" s="1"/>
  <c r="AN352" i="13"/>
  <c r="M9" i="16" s="1"/>
  <c r="AD352" i="13"/>
  <c r="C9" i="16" s="1"/>
  <c r="AC132" i="13"/>
  <c r="AP352"/>
  <c r="O9" i="16" s="1"/>
  <c r="AH352" i="13"/>
  <c r="G9" i="16" s="1"/>
  <c r="P37" i="21"/>
  <c r="L53"/>
  <c r="AP373" i="13"/>
  <c r="AP383" s="1"/>
  <c r="O38" i="16" s="1"/>
  <c r="O171" i="21"/>
  <c r="P164"/>
  <c r="L23"/>
  <c r="AN132" i="13"/>
  <c r="AP374"/>
  <c r="O29" i="16" s="1"/>
  <c r="AG132" i="13"/>
  <c r="AI132"/>
  <c r="N23" i="21"/>
  <c r="F165"/>
  <c r="F13"/>
  <c r="M70"/>
  <c r="F35"/>
  <c r="I127"/>
  <c r="L157"/>
  <c r="AE348" i="13"/>
  <c r="D5" i="16" s="1"/>
  <c r="O75" i="21"/>
  <c r="O20"/>
  <c r="J12" i="20"/>
  <c r="X355" i="13"/>
  <c r="M12" i="21"/>
  <c r="F66"/>
  <c r="J102"/>
  <c r="P80"/>
  <c r="O70"/>
  <c r="H12" i="20"/>
  <c r="AN348" i="13"/>
  <c r="M5" i="16" s="1"/>
  <c r="J140" i="21"/>
  <c r="J65"/>
  <c r="E41"/>
  <c r="H102"/>
  <c r="K101"/>
  <c r="M164"/>
  <c r="AC339" i="13"/>
  <c r="AC348"/>
  <c r="B5" i="16" s="1"/>
  <c r="E10" i="20"/>
  <c r="AP339" i="13"/>
  <c r="I10" i="20"/>
  <c r="AG339" i="13"/>
  <c r="F10" i="20"/>
  <c r="AD369" i="13"/>
  <c r="AD379" s="1"/>
  <c r="C34" i="16" s="1"/>
  <c r="P10" i="20"/>
  <c r="F128" i="21"/>
  <c r="AN339" i="13"/>
  <c r="N10" i="20"/>
  <c r="H10"/>
  <c r="AD66" i="13"/>
  <c r="O44"/>
  <c r="J10" i="20"/>
  <c r="O38" i="21"/>
  <c r="O10" i="20"/>
  <c r="O128" i="21"/>
  <c r="N139"/>
  <c r="M10" i="20"/>
  <c r="H84" i="21"/>
  <c r="K158"/>
  <c r="AN349" i="13"/>
  <c r="M6" i="16" s="1"/>
  <c r="AQ66" i="13"/>
  <c r="W362"/>
  <c r="N15" i="21"/>
  <c r="J26"/>
  <c r="N69"/>
  <c r="E18"/>
  <c r="P7"/>
  <c r="G55"/>
  <c r="I46"/>
  <c r="K10"/>
  <c r="J37"/>
  <c r="K66"/>
  <c r="M134"/>
  <c r="F71"/>
  <c r="H137"/>
  <c r="M171"/>
  <c r="G139"/>
  <c r="P169"/>
  <c r="I105"/>
  <c r="P44"/>
  <c r="AP349" i="13"/>
  <c r="O6" i="16" s="1"/>
  <c r="AM376" i="13"/>
  <c r="L31" i="16" s="1"/>
  <c r="AF393" i="13"/>
  <c r="AF403" s="1"/>
  <c r="E57" i="16" s="1"/>
  <c r="P161" i="21"/>
  <c r="J124"/>
  <c r="G152"/>
  <c r="AM348" i="13"/>
  <c r="L5" i="16" s="1"/>
  <c r="O42" i="13"/>
  <c r="J10" i="21"/>
  <c r="F21"/>
  <c r="O49"/>
  <c r="E10"/>
  <c r="L36"/>
  <c r="P17"/>
  <c r="K43"/>
  <c r="P65"/>
  <c r="O25"/>
  <c r="H46"/>
  <c r="P94"/>
  <c r="F131"/>
  <c r="N157"/>
  <c r="O94"/>
  <c r="M122"/>
  <c r="M157"/>
  <c r="M83"/>
  <c r="O136"/>
  <c r="F95"/>
  <c r="N140"/>
  <c r="AF348" i="13"/>
  <c r="E5" i="16" s="1"/>
  <c r="AN66" i="13"/>
  <c r="AM373"/>
  <c r="AM383" s="1"/>
  <c r="L38" i="16" s="1"/>
  <c r="H153" i="21"/>
  <c r="E98"/>
  <c r="K162"/>
  <c r="F8"/>
  <c r="J18"/>
  <c r="M35"/>
  <c r="M6"/>
  <c r="I23"/>
  <c r="L12"/>
  <c r="G35"/>
  <c r="M51"/>
  <c r="O17"/>
  <c r="N36"/>
  <c r="O78"/>
  <c r="H107"/>
  <c r="M141"/>
  <c r="J78"/>
  <c r="L158"/>
  <c r="M76"/>
  <c r="K129"/>
  <c r="H83"/>
  <c r="AH393" i="13"/>
  <c r="G47" i="16" s="1"/>
  <c r="AE395" i="13"/>
  <c r="AE405" s="1"/>
  <c r="D59" i="16" s="1"/>
  <c r="AR397" i="13"/>
  <c r="Q51" i="16" s="1"/>
  <c r="AN393" i="13"/>
  <c r="AN403" s="1"/>
  <c r="M57" i="16" s="1"/>
  <c r="AM372" i="13"/>
  <c r="AM382" s="1"/>
  <c r="L37" i="16" s="1"/>
  <c r="AM374" i="13"/>
  <c r="AM384" s="1"/>
  <c r="L39" i="16" s="1"/>
  <c r="AG395" i="13"/>
  <c r="F49" i="16" s="1"/>
  <c r="AM370" i="13"/>
  <c r="L25" i="16" s="1"/>
  <c r="AM392" i="13"/>
  <c r="L46" i="16" s="1"/>
  <c r="AN395" i="13"/>
  <c r="AN405" s="1"/>
  <c r="M59" i="16" s="1"/>
  <c r="AS66" i="13"/>
  <c r="AF347"/>
  <c r="E4" i="16" s="1"/>
  <c r="AE369" i="13"/>
  <c r="D24" i="16" s="1"/>
  <c r="G9" i="20"/>
  <c r="E9"/>
  <c r="AP66" i="13"/>
  <c r="AO66"/>
  <c r="H9" i="20"/>
  <c r="F9"/>
  <c r="AG372" i="13"/>
  <c r="AG382" s="1"/>
  <c r="F37" i="16" s="1"/>
  <c r="AG376" i="13"/>
  <c r="F31" i="16" s="1"/>
  <c r="AO373" i="13"/>
  <c r="N28" i="16" s="1"/>
  <c r="AP371" i="13"/>
  <c r="O26" i="16" s="1"/>
  <c r="M9" i="20"/>
  <c r="AP393" i="13"/>
  <c r="AP403" s="1"/>
  <c r="O57" i="16" s="1"/>
  <c r="AF373" i="13"/>
  <c r="AF383" s="1"/>
  <c r="E38" i="16" s="1"/>
  <c r="AF395" i="13"/>
  <c r="E49" i="16" s="1"/>
  <c r="O23" i="13"/>
  <c r="W356"/>
  <c r="X346"/>
  <c r="X347"/>
  <c r="O170" i="21"/>
  <c r="K168"/>
  <c r="O165"/>
  <c r="K163"/>
  <c r="K161"/>
  <c r="O158"/>
  <c r="G156"/>
  <c r="K153"/>
  <c r="F142"/>
  <c r="J139"/>
  <c r="F137"/>
  <c r="N134"/>
  <c r="F132"/>
  <c r="F130"/>
  <c r="N127"/>
  <c r="F125"/>
  <c r="I113"/>
  <c r="M110"/>
  <c r="I108"/>
  <c r="I106"/>
  <c r="M103"/>
  <c r="I101"/>
  <c r="E99"/>
  <c r="I93"/>
  <c r="I99"/>
  <c r="I107"/>
  <c r="M95"/>
  <c r="M98"/>
  <c r="M107"/>
  <c r="J93"/>
  <c r="F96"/>
  <c r="F100"/>
  <c r="F104"/>
  <c r="F108"/>
  <c r="F112"/>
  <c r="L83"/>
  <c r="H81"/>
  <c r="L78"/>
  <c r="H76"/>
  <c r="L73"/>
  <c r="H171"/>
  <c r="L168"/>
  <c r="L166"/>
  <c r="H164"/>
  <c r="L161"/>
  <c r="H159"/>
  <c r="H157"/>
  <c r="L154"/>
  <c r="H152"/>
  <c r="G142"/>
  <c r="O139"/>
  <c r="K137"/>
  <c r="K135"/>
  <c r="G134"/>
  <c r="O132"/>
  <c r="K131"/>
  <c r="G130"/>
  <c r="K128"/>
  <c r="G127"/>
  <c r="O125"/>
  <c r="K124"/>
  <c r="G123"/>
  <c r="O122"/>
  <c r="N111"/>
  <c r="N109"/>
  <c r="N107"/>
  <c r="N104"/>
  <c r="N102"/>
  <c r="N100"/>
  <c r="N98"/>
  <c r="N96"/>
  <c r="J95"/>
  <c r="I84"/>
  <c r="E83"/>
  <c r="M81"/>
  <c r="I80"/>
  <c r="E79"/>
  <c r="M77"/>
  <c r="I76"/>
  <c r="E75"/>
  <c r="M73"/>
  <c r="I72"/>
  <c r="E71"/>
  <c r="G69"/>
  <c r="M170"/>
  <c r="I169"/>
  <c r="E168"/>
  <c r="M166"/>
  <c r="I165"/>
  <c r="E164"/>
  <c r="M162"/>
  <c r="I161"/>
  <c r="E160"/>
  <c r="M158"/>
  <c r="I157"/>
  <c r="E156"/>
  <c r="I153"/>
  <c r="E154"/>
  <c r="E152"/>
  <c r="L156"/>
  <c r="L165"/>
  <c r="H151"/>
  <c r="L141"/>
  <c r="L139"/>
  <c r="P137"/>
  <c r="L136"/>
  <c r="P134"/>
  <c r="L133"/>
  <c r="H132"/>
  <c r="P130"/>
  <c r="L129"/>
  <c r="P127"/>
  <c r="L126"/>
  <c r="H124"/>
  <c r="P124"/>
  <c r="P122"/>
  <c r="K142"/>
  <c r="G113"/>
  <c r="G111"/>
  <c r="G109"/>
  <c r="K107"/>
  <c r="K106"/>
  <c r="O104"/>
  <c r="K103"/>
  <c r="G102"/>
  <c r="O100"/>
  <c r="G99"/>
  <c r="O97"/>
  <c r="G94"/>
  <c r="K96"/>
  <c r="K94"/>
  <c r="F84"/>
  <c r="N82"/>
  <c r="J81"/>
  <c r="F80"/>
  <c r="N78"/>
  <c r="H77"/>
  <c r="N75"/>
  <c r="J74"/>
  <c r="F73"/>
  <c r="N71"/>
  <c r="J171"/>
  <c r="F170"/>
  <c r="N168"/>
  <c r="J167"/>
  <c r="F166"/>
  <c r="N164"/>
  <c r="J163"/>
  <c r="F162"/>
  <c r="N160"/>
  <c r="J159"/>
  <c r="F158"/>
  <c r="N156"/>
  <c r="N152"/>
  <c r="F155"/>
  <c r="F154"/>
  <c r="I142"/>
  <c r="E141"/>
  <c r="M139"/>
  <c r="I138"/>
  <c r="E137"/>
  <c r="M135"/>
  <c r="I134"/>
  <c r="E133"/>
  <c r="M131"/>
  <c r="I130"/>
  <c r="E129"/>
  <c r="M127"/>
  <c r="M123"/>
  <c r="E126"/>
  <c r="E124"/>
  <c r="L122"/>
  <c r="F127"/>
  <c r="F136"/>
  <c r="H113"/>
  <c r="L111"/>
  <c r="H110"/>
  <c r="L108"/>
  <c r="L105"/>
  <c r="H104"/>
  <c r="P102"/>
  <c r="L101"/>
  <c r="H100"/>
  <c r="L98"/>
  <c r="H97"/>
  <c r="P95"/>
  <c r="L94"/>
  <c r="E93"/>
  <c r="O83"/>
  <c r="G82"/>
  <c r="K80"/>
  <c r="G79"/>
  <c r="N77"/>
  <c r="G73"/>
  <c r="I70"/>
  <c r="I68"/>
  <c r="G67"/>
  <c r="O65"/>
  <c r="K71"/>
  <c r="K76"/>
  <c r="P55"/>
  <c r="L54"/>
  <c r="H53"/>
  <c r="P51"/>
  <c r="L50"/>
  <c r="H49"/>
  <c r="P47"/>
  <c r="L46"/>
  <c r="L44"/>
  <c r="P42"/>
  <c r="L41"/>
  <c r="H40"/>
  <c r="N38"/>
  <c r="N39"/>
  <c r="N43"/>
  <c r="N47"/>
  <c r="N51"/>
  <c r="N55"/>
  <c r="J35"/>
  <c r="J41"/>
  <c r="J45"/>
  <c r="J49"/>
  <c r="J53"/>
  <c r="F36"/>
  <c r="F41"/>
  <c r="F45"/>
  <c r="F49"/>
  <c r="F53"/>
  <c r="K26"/>
  <c r="G25"/>
  <c r="K23"/>
  <c r="O21"/>
  <c r="G20"/>
  <c r="O18"/>
  <c r="K17"/>
  <c r="G16"/>
  <c r="O14"/>
  <c r="K13"/>
  <c r="G12"/>
  <c r="O10"/>
  <c r="G9"/>
  <c r="K8"/>
  <c r="G76"/>
  <c r="J70"/>
  <c r="F64"/>
  <c r="F68"/>
  <c r="L67"/>
  <c r="L70"/>
  <c r="L77"/>
  <c r="H67"/>
  <c r="X357" i="13"/>
  <c r="G170" i="21"/>
  <c r="G167"/>
  <c r="G164"/>
  <c r="K160"/>
  <c r="O156"/>
  <c r="G154"/>
  <c r="F141"/>
  <c r="J138"/>
  <c r="J135"/>
  <c r="N131"/>
  <c r="N128"/>
  <c r="F126"/>
  <c r="I112"/>
  <c r="M109"/>
  <c r="M106"/>
  <c r="E103"/>
  <c r="E100"/>
  <c r="I97"/>
  <c r="I100"/>
  <c r="I111"/>
  <c r="M96"/>
  <c r="M108"/>
  <c r="F94"/>
  <c r="F99"/>
  <c r="F105"/>
  <c r="F110"/>
  <c r="P83"/>
  <c r="L80"/>
  <c r="G77"/>
  <c r="L74"/>
  <c r="L170"/>
  <c r="P167"/>
  <c r="L164"/>
  <c r="H161"/>
  <c r="P157"/>
  <c r="H155"/>
  <c r="P151"/>
  <c r="G141"/>
  <c r="G138"/>
  <c r="G135"/>
  <c r="K133"/>
  <c r="O131"/>
  <c r="O129"/>
  <c r="O127"/>
  <c r="G126"/>
  <c r="G124"/>
  <c r="G137"/>
  <c r="J112"/>
  <c r="J109"/>
  <c r="N105"/>
  <c r="J103"/>
  <c r="J100"/>
  <c r="N97"/>
  <c r="J96"/>
  <c r="E84"/>
  <c r="I82"/>
  <c r="M80"/>
  <c r="M78"/>
  <c r="E77"/>
  <c r="I75"/>
  <c r="I73"/>
  <c r="M71"/>
  <c r="K69"/>
  <c r="I170"/>
  <c r="M168"/>
  <c r="E167"/>
  <c r="E165"/>
  <c r="I163"/>
  <c r="M161"/>
  <c r="M159"/>
  <c r="E158"/>
  <c r="I156"/>
  <c r="I154"/>
  <c r="E153"/>
  <c r="L155"/>
  <c r="L167"/>
  <c r="L142"/>
  <c r="H140"/>
  <c r="L137"/>
  <c r="L135"/>
  <c r="P133"/>
  <c r="P131"/>
  <c r="H130"/>
  <c r="H128"/>
  <c r="H126"/>
  <c r="P125"/>
  <c r="L123"/>
  <c r="I122"/>
  <c r="G112"/>
  <c r="K109"/>
  <c r="G107"/>
  <c r="K105"/>
  <c r="O103"/>
  <c r="O101"/>
  <c r="G100"/>
  <c r="G98"/>
  <c r="G95"/>
  <c r="K95"/>
  <c r="J84"/>
  <c r="J82"/>
  <c r="N80"/>
  <c r="F79"/>
  <c r="N76"/>
  <c r="F75"/>
  <c r="J73"/>
  <c r="J71"/>
  <c r="N170"/>
  <c r="F169"/>
  <c r="F167"/>
  <c r="J165"/>
  <c r="N163"/>
  <c r="N161"/>
  <c r="F160"/>
  <c r="J158"/>
  <c r="J156"/>
  <c r="N154"/>
  <c r="J153"/>
  <c r="E142"/>
  <c r="I140"/>
  <c r="M138"/>
  <c r="M136"/>
  <c r="E135"/>
  <c r="I133"/>
  <c r="I131"/>
  <c r="M129"/>
  <c r="E128"/>
  <c r="M124"/>
  <c r="E125"/>
  <c r="N122"/>
  <c r="F129"/>
  <c r="F139"/>
  <c r="H112"/>
  <c r="L109"/>
  <c r="L107"/>
  <c r="H106"/>
  <c r="L104"/>
  <c r="L102"/>
  <c r="P100"/>
  <c r="H99"/>
  <c r="P96"/>
  <c r="H95"/>
  <c r="K93"/>
  <c r="K83"/>
  <c r="K81"/>
  <c r="K79"/>
  <c r="I77"/>
  <c r="G71"/>
  <c r="M68"/>
  <c r="O66"/>
  <c r="K64"/>
  <c r="K75"/>
  <c r="L55"/>
  <c r="P53"/>
  <c r="H52"/>
  <c r="H50"/>
  <c r="L48"/>
  <c r="P46"/>
  <c r="H44"/>
  <c r="H42"/>
  <c r="L40"/>
  <c r="N35"/>
  <c r="N41"/>
  <c r="N46"/>
  <c r="N52"/>
  <c r="F38"/>
  <c r="J40"/>
  <c r="J46"/>
  <c r="J51"/>
  <c r="F37"/>
  <c r="F42"/>
  <c r="F47"/>
  <c r="F52"/>
  <c r="G26"/>
  <c r="K24"/>
  <c r="G22"/>
  <c r="O19"/>
  <c r="G18"/>
  <c r="K16"/>
  <c r="K14"/>
  <c r="O12"/>
  <c r="G11"/>
  <c r="G6"/>
  <c r="K7"/>
  <c r="H71"/>
  <c r="F65"/>
  <c r="N68"/>
  <c r="L68"/>
  <c r="L81"/>
  <c r="H66"/>
  <c r="I64"/>
  <c r="M54"/>
  <c r="I53"/>
  <c r="E52"/>
  <c r="M50"/>
  <c r="I49"/>
  <c r="E48"/>
  <c r="M46"/>
  <c r="I45"/>
  <c r="E44"/>
  <c r="M42"/>
  <c r="I41"/>
  <c r="E40"/>
  <c r="K38"/>
  <c r="K36"/>
  <c r="K42"/>
  <c r="K46"/>
  <c r="K50"/>
  <c r="K54"/>
  <c r="G36"/>
  <c r="G41"/>
  <c r="G46"/>
  <c r="G50"/>
  <c r="G54"/>
  <c r="E36"/>
  <c r="L26"/>
  <c r="H25"/>
  <c r="P23"/>
  <c r="L22"/>
  <c r="H21"/>
  <c r="L19"/>
  <c r="H18"/>
  <c r="P16"/>
  <c r="L15"/>
  <c r="H14"/>
  <c r="P12"/>
  <c r="L11"/>
  <c r="H10"/>
  <c r="P8"/>
  <c r="H7"/>
  <c r="N6"/>
  <c r="O73"/>
  <c r="G68"/>
  <c r="M66"/>
  <c r="I66"/>
  <c r="E65"/>
  <c r="L38"/>
  <c r="P36"/>
  <c r="P35"/>
  <c r="I26"/>
  <c r="E25"/>
  <c r="M23"/>
  <c r="I22"/>
  <c r="E21"/>
  <c r="M19"/>
  <c r="I18"/>
  <c r="E17"/>
  <c r="M15"/>
  <c r="I14"/>
  <c r="E13"/>
  <c r="M11"/>
  <c r="I10"/>
  <c r="E9"/>
  <c r="M7"/>
  <c r="I6"/>
  <c r="H70"/>
  <c r="N67"/>
  <c r="J66"/>
  <c r="O55"/>
  <c r="O50"/>
  <c r="O46"/>
  <c r="M38"/>
  <c r="I38"/>
  <c r="N26"/>
  <c r="J25"/>
  <c r="F24"/>
  <c r="N22"/>
  <c r="J21"/>
  <c r="F20"/>
  <c r="N18"/>
  <c r="J17"/>
  <c r="F16"/>
  <c r="N14"/>
  <c r="J13"/>
  <c r="F12"/>
  <c r="N10"/>
  <c r="J9"/>
  <c r="F7"/>
  <c r="O6"/>
  <c r="X349" i="13"/>
  <c r="W357"/>
  <c r="X345"/>
  <c r="H79" i="21"/>
  <c r="W344" i="13"/>
  <c r="X354"/>
  <c r="W347"/>
  <c r="K166" i="21"/>
  <c r="G157"/>
  <c r="G168"/>
  <c r="O151"/>
  <c r="O162"/>
  <c r="K151"/>
  <c r="K171"/>
  <c r="J136"/>
  <c r="J128"/>
  <c r="J127"/>
  <c r="E106"/>
  <c r="E95"/>
  <c r="E113"/>
  <c r="H80"/>
  <c r="P168"/>
  <c r="P160"/>
  <c r="P152"/>
  <c r="P170"/>
  <c r="O137"/>
  <c r="H169"/>
  <c r="N130"/>
  <c r="O43"/>
  <c r="O76"/>
  <c r="O99"/>
  <c r="O40"/>
  <c r="P77"/>
  <c r="P20"/>
  <c r="P69"/>
  <c r="P113"/>
  <c r="I160"/>
  <c r="F151"/>
  <c r="L140"/>
  <c r="H138"/>
  <c r="H136"/>
  <c r="H134"/>
  <c r="L132"/>
  <c r="L130"/>
  <c r="L128"/>
  <c r="P126"/>
  <c r="H125"/>
  <c r="P123"/>
  <c r="K112"/>
  <c r="G110"/>
  <c r="G108"/>
  <c r="G104"/>
  <c r="K100"/>
  <c r="G93"/>
  <c r="N84"/>
  <c r="F81"/>
  <c r="K77"/>
  <c r="N73"/>
  <c r="F171"/>
  <c r="N167"/>
  <c r="F164"/>
  <c r="J160"/>
  <c r="F157"/>
  <c r="N153"/>
  <c r="M142"/>
  <c r="E139"/>
  <c r="I135"/>
  <c r="E132"/>
  <c r="I128"/>
  <c r="M126"/>
  <c r="I123"/>
  <c r="F138"/>
  <c r="L110"/>
  <c r="L106"/>
  <c r="H103"/>
  <c r="L99"/>
  <c r="L95"/>
  <c r="G84"/>
  <c r="O81"/>
  <c r="G78"/>
  <c r="E69"/>
  <c r="K65"/>
  <c r="J64"/>
  <c r="L52"/>
  <c r="P48"/>
  <c r="H45"/>
  <c r="P40"/>
  <c r="N40"/>
  <c r="N50"/>
  <c r="J39"/>
  <c r="J50"/>
  <c r="F40"/>
  <c r="F51"/>
  <c r="O24"/>
  <c r="K22"/>
  <c r="K18"/>
  <c r="G15"/>
  <c r="K11"/>
  <c r="O7"/>
  <c r="F69"/>
  <c r="L66"/>
  <c r="P66"/>
  <c r="E55"/>
  <c r="I52"/>
  <c r="M49"/>
  <c r="E47"/>
  <c r="I44"/>
  <c r="M41"/>
  <c r="I40"/>
  <c r="K35"/>
  <c r="K49"/>
  <c r="O36"/>
  <c r="G45"/>
  <c r="G53"/>
  <c r="P26"/>
  <c r="H24"/>
  <c r="P22"/>
  <c r="P19"/>
  <c r="H17"/>
  <c r="L14"/>
  <c r="P11"/>
  <c r="H9"/>
  <c r="P6"/>
  <c r="O68"/>
  <c r="E67"/>
  <c r="H64"/>
  <c r="H36"/>
  <c r="I25"/>
  <c r="M22"/>
  <c r="E20"/>
  <c r="I17"/>
  <c r="E16"/>
  <c r="I13"/>
  <c r="M10"/>
  <c r="E8"/>
  <c r="P70"/>
  <c r="N65"/>
  <c r="O52"/>
  <c r="O39"/>
  <c r="I36"/>
  <c r="J24"/>
  <c r="N21"/>
  <c r="F19"/>
  <c r="J16"/>
  <c r="N13"/>
  <c r="F11"/>
  <c r="F9"/>
  <c r="X360" i="13"/>
  <c r="W348"/>
  <c r="H167" i="21"/>
  <c r="J142"/>
  <c r="N129"/>
  <c r="E94"/>
  <c r="P82"/>
  <c r="H162"/>
  <c r="P163"/>
  <c r="G171"/>
  <c r="K167"/>
  <c r="O164"/>
  <c r="O161"/>
  <c r="G158"/>
  <c r="O154"/>
  <c r="N142"/>
  <c r="N138"/>
  <c r="N135"/>
  <c r="F133"/>
  <c r="J129"/>
  <c r="J126"/>
  <c r="J123"/>
  <c r="I110"/>
  <c r="E107"/>
  <c r="I104"/>
  <c r="E101"/>
  <c r="M97"/>
  <c r="I96"/>
  <c r="I109"/>
  <c r="M93"/>
  <c r="M105"/>
  <c r="F93"/>
  <c r="F98"/>
  <c r="F103"/>
  <c r="F109"/>
  <c r="P84"/>
  <c r="P81"/>
  <c r="H78"/>
  <c r="P74"/>
  <c r="P71"/>
  <c r="H168"/>
  <c r="H165"/>
  <c r="L162"/>
  <c r="P158"/>
  <c r="P155"/>
  <c r="L152"/>
  <c r="K141"/>
  <c r="K138"/>
  <c r="G136"/>
  <c r="O133"/>
  <c r="G132"/>
  <c r="K130"/>
  <c r="G128"/>
  <c r="K126"/>
  <c r="O124"/>
  <c r="G122"/>
  <c r="N112"/>
  <c r="J110"/>
  <c r="J107"/>
  <c r="N103"/>
  <c r="J101"/>
  <c r="J98"/>
  <c r="N95"/>
  <c r="M84"/>
  <c r="M82"/>
  <c r="E81"/>
  <c r="I79"/>
  <c r="J77"/>
  <c r="M75"/>
  <c r="E74"/>
  <c r="E72"/>
  <c r="G70"/>
  <c r="E171"/>
  <c r="E169"/>
  <c r="I167"/>
  <c r="M165"/>
  <c r="M163"/>
  <c r="E162"/>
  <c r="I158"/>
  <c r="M156"/>
  <c r="I152"/>
  <c r="M153"/>
  <c r="L151"/>
  <c r="L163"/>
  <c r="K140"/>
  <c r="G106"/>
  <c r="K102"/>
  <c r="K98"/>
  <c r="O95"/>
  <c r="F83"/>
  <c r="J79"/>
  <c r="J75"/>
  <c r="F72"/>
  <c r="J169"/>
  <c r="N165"/>
  <c r="J162"/>
  <c r="N158"/>
  <c r="J152"/>
  <c r="M140"/>
  <c r="I137"/>
  <c r="M133"/>
  <c r="E130"/>
  <c r="I125"/>
  <c r="F123"/>
  <c r="L112"/>
  <c r="H108"/>
  <c r="P104"/>
  <c r="H101"/>
  <c r="L97"/>
  <c r="P93"/>
  <c r="O79"/>
  <c r="O71"/>
  <c r="K67"/>
  <c r="K73"/>
  <c r="H54"/>
  <c r="P50"/>
  <c r="H47"/>
  <c r="L42"/>
  <c r="H39"/>
  <c r="N45"/>
  <c r="J38"/>
  <c r="J44"/>
  <c r="J55"/>
  <c r="F46"/>
  <c r="O26"/>
  <c r="K20"/>
  <c r="O16"/>
  <c r="G13"/>
  <c r="K9"/>
  <c r="G72"/>
  <c r="F70"/>
  <c r="L76"/>
  <c r="P64"/>
  <c r="M53"/>
  <c r="E51"/>
  <c r="I48"/>
  <c r="M45"/>
  <c r="E43"/>
  <c r="E39"/>
  <c r="K41"/>
  <c r="K45"/>
  <c r="K53"/>
  <c r="G40"/>
  <c r="G49"/>
  <c r="E35"/>
  <c r="L25"/>
  <c r="L21"/>
  <c r="L18"/>
  <c r="P15"/>
  <c r="H13"/>
  <c r="L10"/>
  <c r="H6"/>
  <c r="G75"/>
  <c r="M65"/>
  <c r="E66"/>
  <c r="H37"/>
  <c r="M26"/>
  <c r="E24"/>
  <c r="I21"/>
  <c r="M18"/>
  <c r="M14"/>
  <c r="E12"/>
  <c r="I9"/>
  <c r="E7"/>
  <c r="H68"/>
  <c r="G64"/>
  <c r="O47"/>
  <c r="M37"/>
  <c r="N25"/>
  <c r="F23"/>
  <c r="J20"/>
  <c r="N17"/>
  <c r="F15"/>
  <c r="J12"/>
  <c r="J8"/>
  <c r="N7"/>
  <c r="W349" i="13"/>
  <c r="O167" i="21"/>
  <c r="G153"/>
  <c r="G166"/>
  <c r="O159"/>
  <c r="O160"/>
  <c r="K154"/>
  <c r="K164"/>
  <c r="N137"/>
  <c r="J125"/>
  <c r="E110"/>
  <c r="E111"/>
  <c r="H170"/>
  <c r="H154"/>
  <c r="H160"/>
  <c r="N123"/>
  <c r="W360" i="13"/>
  <c r="X362"/>
  <c r="X344"/>
  <c r="O168" i="21"/>
  <c r="K165"/>
  <c r="G162"/>
  <c r="K159"/>
  <c r="G155"/>
  <c r="K152"/>
  <c r="F140"/>
  <c r="N136"/>
  <c r="J133"/>
  <c r="J130"/>
  <c r="N126"/>
  <c r="F124"/>
  <c r="M111"/>
  <c r="E108"/>
  <c r="E105"/>
  <c r="M101"/>
  <c r="I98"/>
  <c r="I95"/>
  <c r="I103"/>
  <c r="M94"/>
  <c r="M104"/>
  <c r="N93"/>
  <c r="F97"/>
  <c r="F102"/>
  <c r="F107"/>
  <c r="F113"/>
  <c r="H82"/>
  <c r="L79"/>
  <c r="L75"/>
  <c r="P72"/>
  <c r="L169"/>
  <c r="P165"/>
  <c r="P162"/>
  <c r="P159"/>
  <c r="H156"/>
  <c r="L153"/>
  <c r="G151"/>
  <c r="K139"/>
  <c r="K136"/>
  <c r="K134"/>
  <c r="K132"/>
  <c r="O130"/>
  <c r="G129"/>
  <c r="O126"/>
  <c r="G125"/>
  <c r="K123"/>
  <c r="N113"/>
  <c r="N110"/>
  <c r="J108"/>
  <c r="J104"/>
  <c r="N101"/>
  <c r="J99"/>
  <c r="N94"/>
  <c r="J113"/>
  <c r="I83"/>
  <c r="I81"/>
  <c r="M79"/>
  <c r="E78"/>
  <c r="E76"/>
  <c r="I74"/>
  <c r="M72"/>
  <c r="K70"/>
  <c r="I171"/>
  <c r="M169"/>
  <c r="M167"/>
  <c r="E166"/>
  <c r="I164"/>
  <c r="I162"/>
  <c r="M160"/>
  <c r="E159"/>
  <c r="E157"/>
  <c r="I155"/>
  <c r="M154"/>
  <c r="N151"/>
  <c r="L159"/>
  <c r="J151"/>
  <c r="H141"/>
  <c r="L138"/>
  <c r="P136"/>
  <c r="L134"/>
  <c r="P132"/>
  <c r="H131"/>
  <c r="H129"/>
  <c r="H127"/>
  <c r="H123"/>
  <c r="L124"/>
  <c r="K122"/>
  <c r="K113"/>
  <c r="K110"/>
  <c r="K108"/>
  <c r="K104"/>
  <c r="O102"/>
  <c r="G101"/>
  <c r="O98"/>
  <c r="G97"/>
  <c r="O96"/>
  <c r="O93"/>
  <c r="J83"/>
  <c r="N81"/>
  <c r="N79"/>
  <c r="F78"/>
  <c r="F76"/>
  <c r="F74"/>
  <c r="J72"/>
  <c r="N171"/>
  <c r="N169"/>
  <c r="F168"/>
  <c r="J166"/>
  <c r="J164"/>
  <c r="N162"/>
  <c r="F161"/>
  <c r="F159"/>
  <c r="J157"/>
  <c r="N155"/>
  <c r="J154"/>
  <c r="F152"/>
  <c r="I141"/>
  <c r="I139"/>
  <c r="M137"/>
  <c r="E136"/>
  <c r="E134"/>
  <c r="I132"/>
  <c r="M130"/>
  <c r="M128"/>
  <c r="E127"/>
  <c r="I126"/>
  <c r="E123"/>
  <c r="F122"/>
  <c r="F135"/>
  <c r="P112"/>
  <c r="P110"/>
  <c r="P108"/>
  <c r="H105"/>
  <c r="L103"/>
  <c r="P101"/>
  <c r="P99"/>
  <c r="P97"/>
  <c r="H96"/>
  <c r="H94"/>
  <c r="K84"/>
  <c r="K82"/>
  <c r="G80"/>
  <c r="K78"/>
  <c r="K74"/>
  <c r="J69"/>
  <c r="O67"/>
  <c r="G66"/>
  <c r="K72"/>
  <c r="L64"/>
  <c r="P54"/>
  <c r="P52"/>
  <c r="H51"/>
  <c r="L49"/>
  <c r="L47"/>
  <c r="L45"/>
  <c r="H43"/>
  <c r="H41"/>
  <c r="L39"/>
  <c r="N37"/>
  <c r="N44"/>
  <c r="N49"/>
  <c r="N54"/>
  <c r="J36"/>
  <c r="J43"/>
  <c r="J48"/>
  <c r="J54"/>
  <c r="F39"/>
  <c r="F44"/>
  <c r="F50"/>
  <c r="F55"/>
  <c r="K25"/>
  <c r="G23"/>
  <c r="G21"/>
  <c r="G19"/>
  <c r="G17"/>
  <c r="K15"/>
  <c r="O13"/>
  <c r="O11"/>
  <c r="G10"/>
  <c r="G8"/>
  <c r="O74"/>
  <c r="L69"/>
  <c r="F67"/>
  <c r="L65"/>
  <c r="L72"/>
  <c r="L84"/>
  <c r="H65"/>
  <c r="I55"/>
  <c r="E54"/>
  <c r="M52"/>
  <c r="I51"/>
  <c r="E50"/>
  <c r="M48"/>
  <c r="I47"/>
  <c r="E46"/>
  <c r="M44"/>
  <c r="I43"/>
  <c r="E42"/>
  <c r="M40"/>
  <c r="I39"/>
  <c r="K37"/>
  <c r="K40"/>
  <c r="K44"/>
  <c r="K48"/>
  <c r="K52"/>
  <c r="G37"/>
  <c r="G39"/>
  <c r="G44"/>
  <c r="G48"/>
  <c r="G52"/>
  <c r="O35"/>
  <c r="E38"/>
  <c r="P25"/>
  <c r="L24"/>
  <c r="H23"/>
  <c r="P21"/>
  <c r="H20"/>
  <c r="P18"/>
  <c r="L17"/>
  <c r="H16"/>
  <c r="P14"/>
  <c r="L13"/>
  <c r="H12"/>
  <c r="P10"/>
  <c r="L9"/>
  <c r="H8"/>
  <c r="L7"/>
  <c r="F6"/>
  <c r="H69"/>
  <c r="M64"/>
  <c r="I67"/>
  <c r="I69"/>
  <c r="N64"/>
  <c r="L37"/>
  <c r="L35"/>
  <c r="E6"/>
  <c r="M25"/>
  <c r="I24"/>
  <c r="E23"/>
  <c r="M21"/>
  <c r="I20"/>
  <c r="E19"/>
  <c r="M17"/>
  <c r="I16"/>
  <c r="E15"/>
  <c r="M13"/>
  <c r="O142"/>
  <c r="AR394" i="13"/>
  <c r="AR404" s="1"/>
  <c r="Q58" i="16" s="1"/>
  <c r="AH372" i="13"/>
  <c r="G27" i="16" s="1"/>
  <c r="O77" i="21"/>
  <c r="P67"/>
  <c r="P139"/>
  <c r="O110"/>
  <c r="AN371" i="13"/>
  <c r="AN381" s="1"/>
  <c r="M36" i="16" s="1"/>
  <c r="AO393" i="13"/>
  <c r="AO403" s="1"/>
  <c r="N57" i="16" s="1"/>
  <c r="AP372" i="13"/>
  <c r="O27" i="16" s="1"/>
  <c r="AF374" i="13"/>
  <c r="AF384" s="1"/>
  <c r="E39" i="16" s="1"/>
  <c r="AG394" i="13"/>
  <c r="F48" i="16" s="1"/>
  <c r="AQ394" i="13"/>
  <c r="AQ404" s="1"/>
  <c r="AD394"/>
  <c r="C48" i="16" s="1"/>
  <c r="AR373" i="13"/>
  <c r="Q28" i="16" s="1"/>
  <c r="J9" i="20"/>
  <c r="AP394" i="13"/>
  <c r="AP404" s="1"/>
  <c r="AN397"/>
  <c r="M51" i="16" s="1"/>
  <c r="AP376" i="13"/>
  <c r="O31" i="16" s="1"/>
  <c r="H72" i="21"/>
  <c r="AF390" i="13"/>
  <c r="AF400" s="1"/>
  <c r="E54" i="16" s="1"/>
  <c r="AG369" i="13"/>
  <c r="F24" i="16" s="1"/>
  <c r="AE374" i="13"/>
  <c r="D29" i="16" s="1"/>
  <c r="AC396" i="13"/>
  <c r="B50" i="16" s="1"/>
  <c r="AM395" i="13"/>
  <c r="AM405" s="1"/>
  <c r="L59" i="16" s="1"/>
  <c r="AM369" i="13"/>
  <c r="L24" i="16" s="1"/>
  <c r="M151" i="21"/>
  <c r="H158"/>
  <c r="H75"/>
  <c r="E97"/>
  <c r="J134"/>
  <c r="N133"/>
  <c r="K155"/>
  <c r="O153"/>
  <c r="G159"/>
  <c r="K170"/>
  <c r="AN396" i="13"/>
  <c r="M50" i="16" s="1"/>
  <c r="AE370" i="13"/>
  <c r="D25" i="16" s="1"/>
  <c r="AE371" i="13"/>
  <c r="AE381" s="1"/>
  <c r="D36" i="16" s="1"/>
  <c r="AN347" i="13"/>
  <c r="M4" i="16" s="1"/>
  <c r="AF66" i="13"/>
  <c r="AF341" s="1"/>
  <c r="AN390"/>
  <c r="W355"/>
  <c r="N8" i="21"/>
  <c r="J7"/>
  <c r="N12"/>
  <c r="J15"/>
  <c r="F18"/>
  <c r="N20"/>
  <c r="J23"/>
  <c r="F26"/>
  <c r="M36"/>
  <c r="O48"/>
  <c r="O64"/>
  <c r="P68"/>
  <c r="I7"/>
  <c r="M9"/>
  <c r="I12"/>
  <c r="M16"/>
  <c r="E22"/>
  <c r="H35"/>
  <c r="I65"/>
  <c r="J6"/>
  <c r="H11"/>
  <c r="L16"/>
  <c r="H22"/>
  <c r="E37"/>
  <c r="G42"/>
  <c r="K47"/>
  <c r="M39"/>
  <c r="E45"/>
  <c r="I50"/>
  <c r="M55"/>
  <c r="J68"/>
  <c r="G7"/>
  <c r="O15"/>
  <c r="G24"/>
  <c r="F43"/>
  <c r="J42"/>
  <c r="N42"/>
  <c r="L43"/>
  <c r="L51"/>
  <c r="K68"/>
  <c r="F77"/>
  <c r="O84"/>
  <c r="L100"/>
  <c r="L113"/>
  <c r="M125"/>
  <c r="M132"/>
  <c r="E140"/>
  <c r="F156"/>
  <c r="F163"/>
  <c r="J170"/>
  <c r="J76"/>
  <c r="N83"/>
  <c r="K99"/>
  <c r="E122"/>
  <c r="L127"/>
  <c r="H135"/>
  <c r="L171"/>
  <c r="M155"/>
  <c r="E163"/>
  <c r="E170"/>
  <c r="M74"/>
  <c r="E82"/>
  <c r="N99"/>
  <c r="J111"/>
  <c r="K127"/>
  <c r="O134"/>
  <c r="P153"/>
  <c r="P166"/>
  <c r="P79"/>
  <c r="F101"/>
  <c r="E96"/>
  <c r="M102"/>
  <c r="N124"/>
  <c r="J137"/>
  <c r="G160"/>
  <c r="O15" i="13"/>
  <c r="O19"/>
  <c r="AH19"/>
  <c r="O8" i="21" s="1"/>
  <c r="AQ392" i="13"/>
  <c r="AQ402" s="1"/>
  <c r="P56" i="16" s="1"/>
  <c r="AO394" i="13"/>
  <c r="AO404" s="1"/>
  <c r="N58" i="16" s="1"/>
  <c r="AC373" i="13"/>
  <c r="AC383" s="1"/>
  <c r="B38" i="16" s="1"/>
  <c r="AQ374" i="13"/>
  <c r="P29" i="16" s="1"/>
  <c r="AN374" i="13"/>
  <c r="AN384" s="1"/>
  <c r="M39" i="16" s="1"/>
  <c r="AM393" i="13"/>
  <c r="AM403" s="1"/>
  <c r="AO397"/>
  <c r="N51" i="16" s="1"/>
  <c r="AR395" i="13"/>
  <c r="Q49" i="16" s="1"/>
  <c r="AH394" i="13"/>
  <c r="AH404" s="1"/>
  <c r="G58" i="16" s="1"/>
  <c r="AR369" i="13"/>
  <c r="AR379" s="1"/>
  <c r="Q34" i="16" s="1"/>
  <c r="AH392" i="13"/>
  <c r="G46" i="16" s="1"/>
  <c r="AH395" i="13"/>
  <c r="AH405" s="1"/>
  <c r="G59" i="16" s="1"/>
  <c r="AR391" i="13"/>
  <c r="AR401" s="1"/>
  <c r="Q55" i="16" s="1"/>
  <c r="AC372" i="13"/>
  <c r="B27" i="16" s="1"/>
  <c r="AQ370" i="13"/>
  <c r="AQ380" s="1"/>
  <c r="P35" i="16" s="1"/>
  <c r="AQ371" i="13"/>
  <c r="P26" i="16" s="1"/>
  <c r="AE394" i="13"/>
  <c r="D48" i="16" s="1"/>
  <c r="AH375" i="13"/>
  <c r="G30" i="16" s="1"/>
  <c r="AE397" i="13"/>
  <c r="D51" i="16" s="1"/>
  <c r="AN369" i="13"/>
  <c r="AN379" s="1"/>
  <c r="AQ396"/>
  <c r="P50" i="16" s="1"/>
  <c r="AM375" i="13"/>
  <c r="L30" i="16" s="1"/>
  <c r="AD390" i="13"/>
  <c r="AD400" s="1"/>
  <c r="C54" i="16" s="1"/>
  <c r="AG396" i="13"/>
  <c r="F50" i="16" s="1"/>
  <c r="AH373" i="13"/>
  <c r="G28" i="16" s="1"/>
  <c r="AO395" i="13"/>
  <c r="AO405" s="1"/>
  <c r="N59" i="16" s="1"/>
  <c r="AF370" i="13"/>
  <c r="AF380" s="1"/>
  <c r="E35" i="16" s="1"/>
  <c r="AD391" i="13"/>
  <c r="AD401" s="1"/>
  <c r="C55" i="16" s="1"/>
  <c r="AO372" i="13"/>
  <c r="AQ369"/>
  <c r="AQ379" s="1"/>
  <c r="P34" i="16" s="1"/>
  <c r="AQ391" i="13"/>
  <c r="P45" i="16" s="1"/>
  <c r="AN376" i="13"/>
  <c r="M31" i="16" s="1"/>
  <c r="O17" i="13"/>
  <c r="AH17"/>
  <c r="O69" i="21"/>
  <c r="O112"/>
  <c r="AR393" i="13"/>
  <c r="AR403" s="1"/>
  <c r="Q57" i="16" s="1"/>
  <c r="O45" i="21"/>
  <c r="AM390" i="13"/>
  <c r="L44" i="16" s="1"/>
  <c r="AM394" i="13"/>
  <c r="AM404" s="1"/>
  <c r="L58" i="16" s="1"/>
  <c r="AR374" i="13"/>
  <c r="Q29" i="16" s="1"/>
  <c r="AC374" i="13"/>
  <c r="B29" i="16" s="1"/>
  <c r="K9" i="20"/>
  <c r="W345" i="13"/>
  <c r="AD374"/>
  <c r="C29" i="16" s="1"/>
  <c r="AN391" i="13"/>
  <c r="M45" i="16" s="1"/>
  <c r="L93" i="21"/>
  <c r="AD393" i="13"/>
  <c r="C47" i="16" s="1"/>
  <c r="AD372" i="13"/>
  <c r="AD382" s="1"/>
  <c r="C37" i="16" s="1"/>
  <c r="AQ373" i="13"/>
  <c r="P28" i="16" s="1"/>
  <c r="AG397" i="13"/>
  <c r="F51" i="16" s="1"/>
  <c r="AF375" i="13"/>
  <c r="E30" i="16" s="1"/>
  <c r="AO369" i="13"/>
  <c r="AO379" s="1"/>
  <c r="N34" i="16" s="1"/>
  <c r="AE373" i="13"/>
  <c r="AE383" s="1"/>
  <c r="D38" i="16" s="1"/>
  <c r="L9" i="20"/>
  <c r="L29" s="1"/>
  <c r="E151" i="21"/>
  <c r="P156"/>
  <c r="P73"/>
  <c r="E104"/>
  <c r="J141"/>
  <c r="J132"/>
  <c r="K157"/>
  <c r="O155"/>
  <c r="G161"/>
  <c r="G169"/>
  <c r="H74"/>
  <c r="AQ397" i="13"/>
  <c r="P51" i="16" s="1"/>
  <c r="AQ390" i="13"/>
  <c r="P44" i="16" s="1"/>
  <c r="AP396" i="13"/>
  <c r="O50" i="16" s="1"/>
  <c r="AC371" i="13"/>
  <c r="AC381" s="1"/>
  <c r="B36" i="16" s="1"/>
  <c r="W346" i="13"/>
  <c r="L6" i="21"/>
  <c r="F10"/>
  <c r="N11"/>
  <c r="J14"/>
  <c r="F17"/>
  <c r="N19"/>
  <c r="J22"/>
  <c r="F25"/>
  <c r="I37"/>
  <c r="O42"/>
  <c r="O54"/>
  <c r="J67"/>
  <c r="G74"/>
  <c r="M8"/>
  <c r="I11"/>
  <c r="I15"/>
  <c r="M20"/>
  <c r="E26"/>
  <c r="E64"/>
  <c r="M69"/>
  <c r="P9"/>
  <c r="H15"/>
  <c r="L20"/>
  <c r="H26"/>
  <c r="G47"/>
  <c r="K51"/>
  <c r="G38"/>
  <c r="M43"/>
  <c r="E49"/>
  <c r="I54"/>
  <c r="L71"/>
  <c r="K6"/>
  <c r="G14"/>
  <c r="K21"/>
  <c r="F48"/>
  <c r="J47"/>
  <c r="N48"/>
  <c r="P41"/>
  <c r="P49"/>
  <c r="G65"/>
  <c r="N70"/>
  <c r="G83"/>
  <c r="H98"/>
  <c r="P105"/>
  <c r="H111"/>
  <c r="I124"/>
  <c r="E131"/>
  <c r="E138"/>
  <c r="J155"/>
  <c r="J161"/>
  <c r="J168"/>
  <c r="N74"/>
  <c r="F82"/>
  <c r="K97"/>
  <c r="G105"/>
  <c r="K111"/>
  <c r="H122"/>
  <c r="H133"/>
  <c r="H142"/>
  <c r="E155"/>
  <c r="E161"/>
  <c r="I168"/>
  <c r="E73"/>
  <c r="E80"/>
  <c r="J97"/>
  <c r="N108"/>
  <c r="K125"/>
  <c r="G133"/>
  <c r="I151"/>
  <c r="H163"/>
  <c r="P76"/>
  <c r="F106"/>
  <c r="M100"/>
  <c r="M99"/>
  <c r="E112"/>
  <c r="F134"/>
  <c r="K156"/>
  <c r="K169"/>
  <c r="X348" i="13"/>
  <c r="AC370"/>
  <c r="B25" i="16" s="1"/>
  <c r="AE347" i="13"/>
  <c r="D4" i="16" s="1"/>
  <c r="AE66" i="13"/>
  <c r="I9" i="20"/>
  <c r="AC347" i="13"/>
  <c r="B4" i="16" s="1"/>
  <c r="AC369" i="13"/>
  <c r="AC379" s="1"/>
  <c r="B34" i="16" s="1"/>
  <c r="AR371" i="13"/>
  <c r="AR381" s="1"/>
  <c r="Q36" i="16" s="1"/>
  <c r="O157" i="21"/>
  <c r="AR392" i="13"/>
  <c r="AR402" s="1"/>
  <c r="Q56" i="16" s="1"/>
  <c r="AH370" i="13"/>
  <c r="AH380" s="1"/>
  <c r="G35" i="16" s="1"/>
  <c r="AR372" i="13"/>
  <c r="Q27" i="16" s="1"/>
  <c r="P38" i="21"/>
  <c r="P141"/>
  <c r="P98"/>
  <c r="O9"/>
  <c r="O111"/>
  <c r="O20" i="13"/>
  <c r="AN370"/>
  <c r="M25" i="16" s="1"/>
  <c r="AF394" i="13"/>
  <c r="E48" i="16" s="1"/>
  <c r="AD395" i="13"/>
  <c r="C49" i="16" s="1"/>
  <c r="O82" i="21"/>
  <c r="AH391" i="13"/>
  <c r="AH401" s="1"/>
  <c r="G55" i="16" s="1"/>
  <c r="P140" i="21"/>
  <c r="O51"/>
  <c r="P78"/>
  <c r="O44"/>
  <c r="O37"/>
  <c r="AM66" i="13"/>
  <c r="AM341" s="1"/>
  <c r="AR390"/>
  <c r="AR400" s="1"/>
  <c r="Q54" i="16" s="1"/>
  <c r="AG374" i="13"/>
  <c r="AG384" s="1"/>
  <c r="F39" i="16" s="1"/>
  <c r="AC394" i="13"/>
  <c r="B48" i="16" s="1"/>
  <c r="AN373" i="13"/>
  <c r="AN383" s="1"/>
  <c r="M38" i="16" s="1"/>
  <c r="AC395" i="13"/>
  <c r="B49" i="16" s="1"/>
  <c r="AP390" i="13"/>
  <c r="AP400" s="1"/>
  <c r="O54" i="16" s="1"/>
  <c r="AO376" i="13"/>
  <c r="N31" i="16" s="1"/>
  <c r="AH396" i="13"/>
  <c r="G50" i="16" s="1"/>
  <c r="N132" i="21"/>
  <c r="AE396" i="13"/>
  <c r="D50" i="16" s="1"/>
  <c r="AD375" i="13"/>
  <c r="C30" i="16" s="1"/>
  <c r="AP395" i="13"/>
  <c r="AP405" s="1"/>
  <c r="O59" i="16" s="1"/>
  <c r="AP397" i="13"/>
  <c r="O51" i="16" s="1"/>
  <c r="AE376" i="13"/>
  <c r="D31" i="16" s="1"/>
  <c r="AO374" i="13"/>
  <c r="N29" i="16" s="1"/>
  <c r="AP347" i="13"/>
  <c r="O4" i="16" s="1"/>
  <c r="P154" i="21"/>
  <c r="H166"/>
  <c r="H93"/>
  <c r="E102"/>
  <c r="N125"/>
  <c r="N141"/>
  <c r="O169"/>
  <c r="O163"/>
  <c r="G165"/>
  <c r="X356" i="13"/>
  <c r="AM371"/>
  <c r="L26" i="16" s="1"/>
  <c r="AC375" i="13"/>
  <c r="B30" i="16" s="1"/>
  <c r="O135" i="21"/>
  <c r="AD370" i="13"/>
  <c r="W354"/>
  <c r="N9" i="21"/>
  <c r="J11"/>
  <c r="F14"/>
  <c r="N16"/>
  <c r="J19"/>
  <c r="F22"/>
  <c r="N24"/>
  <c r="I35"/>
  <c r="O41"/>
  <c r="O53"/>
  <c r="N66"/>
  <c r="O72"/>
  <c r="I8"/>
  <c r="E11"/>
  <c r="E14"/>
  <c r="I19"/>
  <c r="M24"/>
  <c r="H38"/>
  <c r="M67"/>
  <c r="L8"/>
  <c r="P13"/>
  <c r="H19"/>
  <c r="P24"/>
  <c r="G51"/>
  <c r="K55"/>
  <c r="K39"/>
  <c r="I42"/>
  <c r="M47"/>
  <c r="E53"/>
  <c r="L82"/>
  <c r="E70"/>
  <c r="K12"/>
  <c r="K19"/>
  <c r="F54"/>
  <c r="J52"/>
  <c r="N53"/>
  <c r="P39"/>
  <c r="H48"/>
  <c r="H55"/>
  <c r="E68"/>
  <c r="G81"/>
  <c r="L96"/>
  <c r="P103"/>
  <c r="H109"/>
  <c r="J122"/>
  <c r="I129"/>
  <c r="I136"/>
  <c r="F153"/>
  <c r="N159"/>
  <c r="N166"/>
  <c r="N72"/>
  <c r="J80"/>
  <c r="G96"/>
  <c r="G103"/>
  <c r="O108"/>
  <c r="L125"/>
  <c r="L131"/>
  <c r="H139"/>
  <c r="M152"/>
  <c r="I159"/>
  <c r="I166"/>
  <c r="I71"/>
  <c r="I78"/>
  <c r="J94"/>
  <c r="J105"/>
  <c r="O123"/>
  <c r="G131"/>
  <c r="G140"/>
  <c r="L160"/>
  <c r="H73"/>
  <c r="F111"/>
  <c r="M112"/>
  <c r="I94"/>
  <c r="E109"/>
  <c r="J131"/>
  <c r="O152"/>
  <c r="O166"/>
  <c r="M113"/>
  <c r="O141"/>
  <c r="O21" i="13"/>
  <c r="O80" i="21"/>
  <c r="AO392" i="13"/>
  <c r="N46" i="16" s="1"/>
  <c r="AN375" i="13"/>
  <c r="M30" i="16" s="1"/>
  <c r="AF397" i="13"/>
  <c r="E51" i="16" s="1"/>
  <c r="AN372" i="13"/>
  <c r="AN382" s="1"/>
  <c r="M37" i="16" s="1"/>
  <c r="AO391" i="13"/>
  <c r="N45" i="16" s="1"/>
  <c r="AF392" i="13"/>
  <c r="E46" i="16" s="1"/>
  <c r="AC376" i="13"/>
  <c r="B31" i="16" s="1"/>
  <c r="AD371" i="13"/>
  <c r="C26" i="16" s="1"/>
  <c r="AQ395" i="13"/>
  <c r="AQ405" s="1"/>
  <c r="P59" i="16" s="1"/>
  <c r="AG373" i="13"/>
  <c r="AG383" s="1"/>
  <c r="F38" i="16" s="1"/>
  <c r="AH374" i="13"/>
  <c r="G29" i="16" s="1"/>
  <c r="AC397" i="13"/>
  <c r="B51" i="16" s="1"/>
  <c r="AD392" i="13"/>
  <c r="AD402" s="1"/>
  <c r="C56" i="16" s="1"/>
  <c r="AF371" i="13"/>
  <c r="AF381" s="1"/>
  <c r="E36" i="16" s="1"/>
  <c r="AD373" i="13"/>
  <c r="C28" i="16" s="1"/>
  <c r="AG66" i="13"/>
  <c r="AF372"/>
  <c r="E27" i="16" s="1"/>
  <c r="AO371" i="13"/>
  <c r="AO381" s="1"/>
  <c r="N36" i="16" s="1"/>
  <c r="AO396" i="13"/>
  <c r="N50" i="16" s="1"/>
  <c r="AP375" i="13"/>
  <c r="O30" i="16" s="1"/>
  <c r="AO390" i="13"/>
  <c r="AO400" s="1"/>
  <c r="AR396"/>
  <c r="Q50" i="16" s="1"/>
  <c r="AG371" i="13"/>
  <c r="F26" i="16" s="1"/>
  <c r="M22" i="13"/>
  <c r="P135" i="21"/>
  <c r="P106"/>
  <c r="O9" i="20"/>
  <c r="AD347" i="13"/>
  <c r="C4" i="16" s="1"/>
  <c r="P43" i="21"/>
  <c r="N106"/>
  <c r="J106"/>
  <c r="AM347" i="13"/>
  <c r="L4" i="16" s="1"/>
  <c r="AQ372" i="13"/>
  <c r="P27" i="16" s="1"/>
  <c r="AG227" i="13"/>
  <c r="AE339"/>
  <c r="D26" i="16"/>
  <c r="AQ350" i="13"/>
  <c r="P7" i="16" s="1"/>
  <c r="AQ339" i="13"/>
  <c r="N20" i="20"/>
  <c r="AG350" i="13"/>
  <c r="F7" i="16" s="1"/>
  <c r="AQ227" i="13"/>
  <c r="M13" i="20"/>
  <c r="B26" i="16"/>
  <c r="AC391" i="13"/>
  <c r="AD376"/>
  <c r="C31" i="16" s="1"/>
  <c r="AQ376" i="13"/>
  <c r="P31" i="16" s="1"/>
  <c r="AM397" i="13"/>
  <c r="L51" i="16" s="1"/>
  <c r="AC392" i="13"/>
  <c r="AC390"/>
  <c r="AP369"/>
  <c r="AP379" s="1"/>
  <c r="O34" i="16" s="1"/>
  <c r="P107" i="21"/>
  <c r="AG375" i="13"/>
  <c r="F30" i="16" s="1"/>
  <c r="AH397" i="13"/>
  <c r="G51" i="16" s="1"/>
  <c r="AF396" i="13"/>
  <c r="E50" i="16" s="1"/>
  <c r="AN392" i="13"/>
  <c r="AN402" s="1"/>
  <c r="AQ375"/>
  <c r="P30" i="16" s="1"/>
  <c r="AF369" i="13"/>
  <c r="AN394"/>
  <c r="AR376"/>
  <c r="Q31" i="16" s="1"/>
  <c r="AM396" i="13"/>
  <c r="L50" i="16" s="1"/>
  <c r="AQ393" i="13"/>
  <c r="AE392"/>
  <c r="AE391"/>
  <c r="AE390"/>
  <c r="AF376"/>
  <c r="E31" i="16" s="1"/>
  <c r="AE375" i="13"/>
  <c r="D30" i="16" s="1"/>
  <c r="AO370" i="13"/>
  <c r="AE393"/>
  <c r="AE403" s="1"/>
  <c r="D57" i="16" s="1"/>
  <c r="AH390" i="13"/>
  <c r="AF391"/>
  <c r="AF401" s="1"/>
  <c r="E55" i="16" s="1"/>
  <c r="AD397" i="13"/>
  <c r="C51" i="16" s="1"/>
  <c r="AD396" i="13"/>
  <c r="C50" i="16" s="1"/>
  <c r="AG392" i="13"/>
  <c r="AG391"/>
  <c r="AG390"/>
  <c r="AH376"/>
  <c r="G31" i="16" s="1"/>
  <c r="AC393" i="13"/>
  <c r="AC403" s="1"/>
  <c r="AD339"/>
  <c r="AD196"/>
  <c r="G43" i="21"/>
  <c r="AD348" i="13"/>
  <c r="C5" i="16" s="1"/>
  <c r="M302" i="13"/>
  <c r="M267"/>
  <c r="O80"/>
  <c r="AF339"/>
  <c r="AP392"/>
  <c r="O46" i="16" s="1"/>
  <c r="AC341" i="13"/>
  <c r="AM402"/>
  <c r="L56" i="16" s="1"/>
  <c r="AP380" i="13"/>
  <c r="O35" i="16" s="1"/>
  <c r="P171" i="21"/>
  <c r="O140"/>
  <c r="P111"/>
  <c r="P142"/>
  <c r="AH403" i="13"/>
  <c r="G57" i="16" s="1"/>
  <c r="O107" i="21"/>
  <c r="AO341" i="13"/>
  <c r="J24" i="20"/>
  <c r="AE351" i="13"/>
  <c r="D8" i="16" s="1"/>
  <c r="AG337" i="13"/>
  <c r="AJ337" s="1"/>
  <c r="AG393"/>
  <c r="AG403" s="1"/>
  <c r="AR370"/>
  <c r="AR348"/>
  <c r="Q5" i="16" s="1"/>
  <c r="AS196" i="13"/>
  <c r="AL196" s="1"/>
  <c r="N17" i="20"/>
  <c r="K17"/>
  <c r="AG370" i="13"/>
  <c r="F25" i="16" s="1"/>
  <c r="AJ196" i="13"/>
  <c r="AE349"/>
  <c r="D6" i="16" s="1"/>
  <c r="D49"/>
  <c r="O91" i="13"/>
  <c r="O65"/>
  <c r="AQ341"/>
  <c r="AP384"/>
  <c r="O39" i="16" s="1"/>
  <c r="AE379" i="13"/>
  <c r="M46"/>
  <c r="M295"/>
  <c r="O148"/>
  <c r="M132"/>
  <c r="P18" i="20"/>
  <c r="P75" i="21"/>
  <c r="O138"/>
  <c r="O21" i="20"/>
  <c r="O23" i="21"/>
  <c r="O24" i="20"/>
  <c r="O105" i="21"/>
  <c r="O19" i="20"/>
  <c r="O128" i="13"/>
  <c r="M131"/>
  <c r="O22" i="21"/>
  <c r="P16" i="20"/>
  <c r="AH348" i="13"/>
  <c r="G5" i="16" s="1"/>
  <c r="O49" i="13"/>
  <c r="M66"/>
  <c r="P109" i="21"/>
  <c r="P23" i="20"/>
  <c r="P17"/>
  <c r="P45" i="21"/>
  <c r="AI302" i="13"/>
  <c r="AH371"/>
  <c r="M336"/>
  <c r="M65"/>
  <c r="O113" i="21"/>
  <c r="O109"/>
  <c r="O17" i="20"/>
  <c r="AS132" i="13"/>
  <c r="P9" i="20"/>
  <c r="P13"/>
  <c r="P128" i="21"/>
  <c r="AH349" i="13"/>
  <c r="G6" i="16" s="1"/>
  <c r="M337" i="13"/>
  <c r="O106" i="21"/>
  <c r="AR349" i="13"/>
  <c r="Q6" i="16" s="1"/>
  <c r="P138" i="21"/>
  <c r="AM391" i="13"/>
  <c r="AO375"/>
  <c r="N30" i="16" s="1"/>
  <c r="AE372" i="13"/>
  <c r="M7" i="17"/>
  <c r="Q7" s="1"/>
  <c r="M265" i="13"/>
  <c r="O265" s="1"/>
  <c r="M115"/>
  <c r="O115" s="1"/>
  <c r="AR375"/>
  <c r="Q30" i="16" s="1"/>
  <c r="AP391" i="13"/>
  <c r="K25" i="16"/>
  <c r="O281" i="13"/>
  <c r="O239"/>
  <c r="M334"/>
  <c r="O334" s="1"/>
  <c r="P48" i="16" l="1"/>
  <c r="AL337" i="13"/>
  <c r="AL302"/>
  <c r="AE341"/>
  <c r="H29" i="20"/>
  <c r="H30" s="1"/>
  <c r="G29"/>
  <c r="G31" s="1"/>
  <c r="O47" i="16"/>
  <c r="L27"/>
  <c r="I29" i="20"/>
  <c r="I30" s="1"/>
  <c r="I31" s="1"/>
  <c r="AM360" i="13"/>
  <c r="L17" i="16" s="1"/>
  <c r="E29" i="20"/>
  <c r="E30" s="1"/>
  <c r="F29"/>
  <c r="F31" s="1"/>
  <c r="AL227" i="13"/>
  <c r="AJ227"/>
  <c r="AH358"/>
  <c r="G15" i="16" s="1"/>
  <c r="O49"/>
  <c r="O44"/>
  <c r="AG405" i="13"/>
  <c r="AG362" s="1"/>
  <c r="F19" i="16" s="1"/>
  <c r="AD341" i="13"/>
  <c r="AN380"/>
  <c r="M35" i="16" s="1"/>
  <c r="E25"/>
  <c r="C24"/>
  <c r="M29" i="20"/>
  <c r="M31" s="1"/>
  <c r="AN341" i="13"/>
  <c r="AJ132"/>
  <c r="M24" i="16"/>
  <c r="J29" i="20"/>
  <c r="J30" s="1"/>
  <c r="O28" i="16"/>
  <c r="Q26"/>
  <c r="AP361" i="13"/>
  <c r="O18" i="16" s="1"/>
  <c r="D47"/>
  <c r="N24"/>
  <c r="AO384" i="13"/>
  <c r="N39" i="16" s="1"/>
  <c r="Q45"/>
  <c r="M49"/>
  <c r="Q48"/>
  <c r="AC404" i="13"/>
  <c r="B58" i="16" s="1"/>
  <c r="W350" i="13"/>
  <c r="AD404"/>
  <c r="C58" i="16" s="1"/>
  <c r="AM381" i="13"/>
  <c r="L36" i="16" s="1"/>
  <c r="E47"/>
  <c r="AC382" i="13"/>
  <c r="B37" i="16" s="1"/>
  <c r="L28"/>
  <c r="AF405" i="13"/>
  <c r="E59" i="16" s="1"/>
  <c r="AE384" i="13"/>
  <c r="D39" i="16" s="1"/>
  <c r="O173" i="21"/>
  <c r="AM361" i="13"/>
  <c r="L18" i="16" s="1"/>
  <c r="AP381" i="13"/>
  <c r="O36" i="16" s="1"/>
  <c r="Q24"/>
  <c r="L47"/>
  <c r="L57"/>
  <c r="AN401" i="13"/>
  <c r="M55" i="16" s="1"/>
  <c r="E29"/>
  <c r="D28"/>
  <c r="AD381" i="13"/>
  <c r="C36" i="16" s="1"/>
  <c r="M27"/>
  <c r="N28" i="21"/>
  <c r="N29" s="1"/>
  <c r="AD405" i="13"/>
  <c r="C59" i="16" s="1"/>
  <c r="N48"/>
  <c r="AN360" i="13"/>
  <c r="M17" i="16" s="1"/>
  <c r="AQ383" i="13"/>
  <c r="P38" i="16" s="1"/>
  <c r="P24"/>
  <c r="M28"/>
  <c r="N49"/>
  <c r="AH382" i="13"/>
  <c r="G37" i="16" s="1"/>
  <c r="AM400" i="13"/>
  <c r="L54" i="16" s="1"/>
  <c r="AC384" i="13"/>
  <c r="B39" i="16" s="1"/>
  <c r="AR383" i="13"/>
  <c r="Q38" i="16" s="1"/>
  <c r="F29"/>
  <c r="AF402" i="13"/>
  <c r="AF359" s="1"/>
  <c r="E16" i="16" s="1"/>
  <c r="N26"/>
  <c r="G45"/>
  <c r="E26"/>
  <c r="G25"/>
  <c r="X350" i="13"/>
  <c r="L115" i="21"/>
  <c r="L116" s="1"/>
  <c r="AH383" i="13"/>
  <c r="AH361" s="1"/>
  <c r="G18" i="16" s="1"/>
  <c r="AM379" i="13"/>
  <c r="AR382"/>
  <c r="AR360" s="1"/>
  <c r="Q17" i="16" s="1"/>
  <c r="L29"/>
  <c r="AO383" i="13"/>
  <c r="AO361" s="1"/>
  <c r="N18" i="16" s="1"/>
  <c r="P46"/>
  <c r="AN362" i="13"/>
  <c r="M19" i="16" s="1"/>
  <c r="M46"/>
  <c r="AP357" i="13"/>
  <c r="O14" i="16" s="1"/>
  <c r="E28"/>
  <c r="E45"/>
  <c r="AE404" i="13"/>
  <c r="D58" i="16" s="1"/>
  <c r="AD384" i="13"/>
  <c r="C39" i="16" s="1"/>
  <c r="AD383" i="13"/>
  <c r="C38" i="16" s="1"/>
  <c r="AG379" i="13"/>
  <c r="F34" i="16" s="1"/>
  <c r="Q47"/>
  <c r="AH384" i="13"/>
  <c r="G39" i="16" s="1"/>
  <c r="G48"/>
  <c r="AP382" i="13"/>
  <c r="O37" i="16" s="1"/>
  <c r="AF404" i="13"/>
  <c r="E58" i="16" s="1"/>
  <c r="AG381" i="13"/>
  <c r="F36" i="16" s="1"/>
  <c r="M29"/>
  <c r="C27"/>
  <c r="AR384" i="13"/>
  <c r="Q39" i="16" s="1"/>
  <c r="AE380" i="13"/>
  <c r="D35" i="16" s="1"/>
  <c r="O24"/>
  <c r="AO357" i="13"/>
  <c r="N14" i="16" s="1"/>
  <c r="E28" i="21"/>
  <c r="E29" s="1"/>
  <c r="N144"/>
  <c r="N145" s="1"/>
  <c r="L57"/>
  <c r="L58" s="1"/>
  <c r="E86"/>
  <c r="E87" s="1"/>
  <c r="K144"/>
  <c r="K145" s="1"/>
  <c r="K173"/>
  <c r="K174" s="1"/>
  <c r="P28"/>
  <c r="E57"/>
  <c r="E58" s="1"/>
  <c r="X363" i="13"/>
  <c r="L28" i="21"/>
  <c r="L29" s="1"/>
  <c r="K86"/>
  <c r="K87" s="1"/>
  <c r="M173"/>
  <c r="M174" s="1"/>
  <c r="M144"/>
  <c r="M145" s="1"/>
  <c r="G115"/>
  <c r="G116" s="1"/>
  <c r="H173"/>
  <c r="H174" s="1"/>
  <c r="AL66" i="13"/>
  <c r="F27" i="16"/>
  <c r="I173" i="21"/>
  <c r="I174" s="1"/>
  <c r="H144"/>
  <c r="H145" s="1"/>
  <c r="I57"/>
  <c r="I58" s="1"/>
  <c r="E144"/>
  <c r="E145" s="1"/>
  <c r="H57"/>
  <c r="H58" s="1"/>
  <c r="M28"/>
  <c r="M29" s="1"/>
  <c r="J28"/>
  <c r="J29" s="1"/>
  <c r="I86"/>
  <c r="I87" s="1"/>
  <c r="O57"/>
  <c r="M57"/>
  <c r="M58" s="1"/>
  <c r="H86"/>
  <c r="H87" s="1"/>
  <c r="F86"/>
  <c r="F87" s="1"/>
  <c r="G28"/>
  <c r="G29" s="1"/>
  <c r="F57"/>
  <c r="F58" s="1"/>
  <c r="N57"/>
  <c r="N58" s="1"/>
  <c r="H115"/>
  <c r="H116" s="1"/>
  <c r="G86"/>
  <c r="G87" s="1"/>
  <c r="M86"/>
  <c r="M87" s="1"/>
  <c r="L173"/>
  <c r="L174" s="1"/>
  <c r="M115"/>
  <c r="M116" s="1"/>
  <c r="J144"/>
  <c r="J145" s="1"/>
  <c r="E115"/>
  <c r="E116" s="1"/>
  <c r="N86"/>
  <c r="N87" s="1"/>
  <c r="L86"/>
  <c r="L87" s="1"/>
  <c r="G173"/>
  <c r="G174" s="1"/>
  <c r="F28"/>
  <c r="F29" s="1"/>
  <c r="I28"/>
  <c r="I29" s="1"/>
  <c r="H28"/>
  <c r="H29" s="1"/>
  <c r="K57"/>
  <c r="K58" s="1"/>
  <c r="K28"/>
  <c r="K29" s="1"/>
  <c r="L144"/>
  <c r="L145" s="1"/>
  <c r="O86"/>
  <c r="N173"/>
  <c r="N174" s="1"/>
  <c r="J86"/>
  <c r="J87" s="1"/>
  <c r="K115"/>
  <c r="K116" s="1"/>
  <c r="N115"/>
  <c r="N116" s="1"/>
  <c r="G144"/>
  <c r="G145" s="1"/>
  <c r="J115"/>
  <c r="J116" s="1"/>
  <c r="W363" i="13"/>
  <c r="AG404"/>
  <c r="F58" i="16" s="1"/>
  <c r="AH402" i="13"/>
  <c r="G56" i="16" s="1"/>
  <c r="AQ401" i="13"/>
  <c r="P55" i="16" s="1"/>
  <c r="N54"/>
  <c r="AF358" i="13"/>
  <c r="E15" i="16" s="1"/>
  <c r="P25"/>
  <c r="M47"/>
  <c r="AP341" i="13"/>
  <c r="C44" i="16"/>
  <c r="B28"/>
  <c r="P173" i="21"/>
  <c r="AC380" i="13"/>
  <c r="B35" i="16" s="1"/>
  <c r="AD357" i="13"/>
  <c r="C14" i="16" s="1"/>
  <c r="M26"/>
  <c r="N44"/>
  <c r="K29" i="20"/>
  <c r="K31" s="1"/>
  <c r="AM380" i="13"/>
  <c r="L35" i="16" s="1"/>
  <c r="AC361" i="13"/>
  <c r="B18" i="16" s="1"/>
  <c r="G57" i="21"/>
  <c r="G58" s="1"/>
  <c r="C25" i="16"/>
  <c r="AD380" i="13"/>
  <c r="AO382"/>
  <c r="N27" i="16"/>
  <c r="AN400" i="13"/>
  <c r="M54" i="16" s="1"/>
  <c r="M44"/>
  <c r="F144" i="21"/>
  <c r="F145" s="1"/>
  <c r="J173"/>
  <c r="J174" s="1"/>
  <c r="F173"/>
  <c r="F174" s="1"/>
  <c r="I144"/>
  <c r="I145" s="1"/>
  <c r="J57"/>
  <c r="J58" s="1"/>
  <c r="E173"/>
  <c r="E174" s="1"/>
  <c r="AO402" i="13"/>
  <c r="AO359" s="1"/>
  <c r="N16" i="16" s="1"/>
  <c r="P57" i="21"/>
  <c r="M34" i="16"/>
  <c r="E44"/>
  <c r="AM362" i="13"/>
  <c r="L19" i="16" s="1"/>
  <c r="C45"/>
  <c r="AF382" i="13"/>
  <c r="AF360" s="1"/>
  <c r="E17" i="16" s="1"/>
  <c r="Q46"/>
  <c r="AI66" i="13"/>
  <c r="AJ66" s="1"/>
  <c r="F115" i="21"/>
  <c r="F116" s="1"/>
  <c r="I115"/>
  <c r="I116" s="1"/>
  <c r="P86"/>
  <c r="AR357" i="13"/>
  <c r="Q14" i="16" s="1"/>
  <c r="O58"/>
  <c r="AQ400" i="13"/>
  <c r="P54" i="16" s="1"/>
  <c r="O48"/>
  <c r="AD403" i="13"/>
  <c r="C57" i="16" s="1"/>
  <c r="AR405" i="13"/>
  <c r="Q59" i="16" s="1"/>
  <c r="G49"/>
  <c r="AC405" i="13"/>
  <c r="B59" i="16" s="1"/>
  <c r="L49"/>
  <c r="L48"/>
  <c r="Q44"/>
  <c r="AH347" i="13"/>
  <c r="G4" i="16" s="1"/>
  <c r="N47"/>
  <c r="P49"/>
  <c r="N29" i="20"/>
  <c r="N30" s="1"/>
  <c r="AR359" i="13"/>
  <c r="Q16" i="16" s="1"/>
  <c r="AH369" i="13"/>
  <c r="G24" i="16" s="1"/>
  <c r="AQ384" i="13"/>
  <c r="F28" i="16"/>
  <c r="AO401" i="13"/>
  <c r="N55" i="16" s="1"/>
  <c r="B24"/>
  <c r="AQ381" i="13"/>
  <c r="P36" i="16" s="1"/>
  <c r="C46"/>
  <c r="AQ382" i="13"/>
  <c r="P37" i="16" s="1"/>
  <c r="AC400" i="13"/>
  <c r="B44" i="16"/>
  <c r="B46"/>
  <c r="AC402" i="13"/>
  <c r="B45" i="16"/>
  <c r="AC401" i="13"/>
  <c r="B55" i="16" s="1"/>
  <c r="B47"/>
  <c r="AG400" i="13"/>
  <c r="F54" i="16" s="1"/>
  <c r="F44"/>
  <c r="N25"/>
  <c r="AO380" i="13"/>
  <c r="N35" i="16" s="1"/>
  <c r="AE401" i="13"/>
  <c r="D45" i="16"/>
  <c r="D44"/>
  <c r="AE400" i="13"/>
  <c r="AE357" s="1"/>
  <c r="D14" i="16" s="1"/>
  <c r="E24"/>
  <c r="AF379" i="13"/>
  <c r="AG402"/>
  <c r="F56" i="16" s="1"/>
  <c r="F46"/>
  <c r="AH400" i="13"/>
  <c r="G54" i="16" s="1"/>
  <c r="G44"/>
  <c r="AQ403" i="13"/>
  <c r="P47" i="16"/>
  <c r="AN404" i="13"/>
  <c r="AS404" s="1"/>
  <c r="R58" i="16" s="1"/>
  <c r="M48"/>
  <c r="AG401" i="13"/>
  <c r="F55" i="16" s="1"/>
  <c r="F45"/>
  <c r="AE402" i="13"/>
  <c r="D46" i="16"/>
  <c r="O144" i="21"/>
  <c r="AP402" i="13"/>
  <c r="O56" i="16" s="1"/>
  <c r="P115" i="21"/>
  <c r="E31" i="20"/>
  <c r="O28" i="21"/>
  <c r="AH360" i="13"/>
  <c r="G17" i="16" s="1"/>
  <c r="AG341" i="13"/>
  <c r="F47" i="16"/>
  <c r="Q25"/>
  <c r="AR380" i="13"/>
  <c r="AS339"/>
  <c r="O29" i="20"/>
  <c r="AG380" i="13"/>
  <c r="K30" i="20"/>
  <c r="AF361" i="13"/>
  <c r="E18" i="16" s="1"/>
  <c r="AP362" i="13"/>
  <c r="O19" i="16" s="1"/>
  <c r="M30" i="20"/>
  <c r="D34" i="16"/>
  <c r="O115" i="21"/>
  <c r="B57" i="16"/>
  <c r="O45"/>
  <c r="AP401" i="13"/>
  <c r="AM401"/>
  <c r="L45" i="16"/>
  <c r="AH381" i="13"/>
  <c r="G26" i="16"/>
  <c r="M56"/>
  <c r="AN359" i="13"/>
  <c r="M16" i="16" s="1"/>
  <c r="AL132" i="13"/>
  <c r="P144" i="21"/>
  <c r="AS341" i="13"/>
  <c r="D27" i="16"/>
  <c r="AE382" i="13"/>
  <c r="L30" i="20"/>
  <c r="L31"/>
  <c r="P29"/>
  <c r="AG360" i="13"/>
  <c r="F17" i="16" s="1"/>
  <c r="F57"/>
  <c r="AJ302" i="13"/>
  <c r="P58" i="16"/>
  <c r="G30" i="20" l="1"/>
  <c r="H31"/>
  <c r="E56" i="16"/>
  <c r="AE362" i="13"/>
  <c r="D19" i="16" s="1"/>
  <c r="F59"/>
  <c r="AH362" i="13"/>
  <c r="G19" i="16" s="1"/>
  <c r="AC360" i="13"/>
  <c r="B17" i="16" s="1"/>
  <c r="W364" i="13"/>
  <c r="F30" i="20"/>
  <c r="AE361" i="13"/>
  <c r="D18" i="16" s="1"/>
  <c r="AS384" i="13"/>
  <c r="R39" i="16" s="1"/>
  <c r="AI404" i="13"/>
  <c r="H58" i="16" s="1"/>
  <c r="J31" i="20"/>
  <c r="AF362" i="13"/>
  <c r="E19" i="16" s="1"/>
  <c r="AR361" i="13"/>
  <c r="Q18" i="16" s="1"/>
  <c r="AQ361" i="13"/>
  <c r="P18" i="16" s="1"/>
  <c r="AS383" i="13"/>
  <c r="R38" i="16" s="1"/>
  <c r="AO362" i="13"/>
  <c r="N19" i="16" s="1"/>
  <c r="AP360" i="13"/>
  <c r="O17" i="16" s="1"/>
  <c r="AD359" i="13"/>
  <c r="C16" i="16" s="1"/>
  <c r="AN358" i="13"/>
  <c r="M15" i="16" s="1"/>
  <c r="AM359" i="13"/>
  <c r="L16" i="16" s="1"/>
  <c r="AM357" i="13"/>
  <c r="L14" i="16" s="1"/>
  <c r="AI383" i="13"/>
  <c r="H38" i="16" s="1"/>
  <c r="AR362" i="13"/>
  <c r="Q19" i="16" s="1"/>
  <c r="AC362" i="13"/>
  <c r="B19" i="16" s="1"/>
  <c r="X364" i="13"/>
  <c r="Q37" i="16"/>
  <c r="P39"/>
  <c r="E37"/>
  <c r="AQ358" i="13"/>
  <c r="P15" i="16" s="1"/>
  <c r="AS405" i="13"/>
  <c r="R59" i="16" s="1"/>
  <c r="N31" i="20"/>
  <c r="AQ357" i="13"/>
  <c r="P14" i="16" s="1"/>
  <c r="AI339" i="13"/>
  <c r="AD362"/>
  <c r="C19" i="16" s="1"/>
  <c r="L34"/>
  <c r="N38"/>
  <c r="AS379" i="13"/>
  <c r="R34" i="16" s="1"/>
  <c r="AI341" i="13"/>
  <c r="AI405"/>
  <c r="H59" i="16" s="1"/>
  <c r="N56"/>
  <c r="AS400" i="13"/>
  <c r="R54" i="16" s="1"/>
  <c r="AD361" i="13"/>
  <c r="C18" i="16" s="1"/>
  <c r="AI384" i="13"/>
  <c r="H39" i="16" s="1"/>
  <c r="G38"/>
  <c r="AS381" i="13"/>
  <c r="R36" i="16" s="1"/>
  <c r="AQ359" i="13"/>
  <c r="P16" i="16" s="1"/>
  <c r="AE358" i="13"/>
  <c r="D15" i="16" s="1"/>
  <c r="AN357" i="13"/>
  <c r="M14" i="16" s="1"/>
  <c r="AG361" i="13"/>
  <c r="F18" i="16" s="1"/>
  <c r="AP359" i="13"/>
  <c r="O16" i="16" s="1"/>
  <c r="AC358" i="13"/>
  <c r="B15" i="16" s="1"/>
  <c r="C35"/>
  <c r="AD358" i="13"/>
  <c r="C15" i="16" s="1"/>
  <c r="N37"/>
  <c r="AO360" i="13"/>
  <c r="N17" i="16" s="1"/>
  <c r="AH379" i="13"/>
  <c r="AH357" s="1"/>
  <c r="G14" i="16" s="1"/>
  <c r="AI403" i="13"/>
  <c r="H57" i="16" s="1"/>
  <c r="AD360" i="13"/>
  <c r="C17" i="16" s="1"/>
  <c r="AQ362" i="13"/>
  <c r="P19" i="16" s="1"/>
  <c r="AS380" i="13"/>
  <c r="R35" i="16" s="1"/>
  <c r="AS382" i="13"/>
  <c r="R37" i="16" s="1"/>
  <c r="AI402" i="13"/>
  <c r="H56" i="16" s="1"/>
  <c r="AO358" i="13"/>
  <c r="N15" i="16" s="1"/>
  <c r="B54"/>
  <c r="AC357" i="13"/>
  <c r="B14" i="16" s="1"/>
  <c r="B56"/>
  <c r="AC359" i="13"/>
  <c r="B16" i="16" s="1"/>
  <c r="AG357" i="13"/>
  <c r="F14" i="16" s="1"/>
  <c r="AG358" i="13"/>
  <c r="F15" i="16" s="1"/>
  <c r="P57"/>
  <c r="AS403" i="13"/>
  <c r="R57" i="16" s="1"/>
  <c r="AQ360" i="13"/>
  <c r="P17" i="16" s="1"/>
  <c r="D54"/>
  <c r="AI400" i="13"/>
  <c r="H54" i="16" s="1"/>
  <c r="D55"/>
  <c r="AI401" i="13"/>
  <c r="H55" i="16" s="1"/>
  <c r="D56"/>
  <c r="AE359" i="13"/>
  <c r="D16" i="16" s="1"/>
  <c r="M58"/>
  <c r="AN361" i="13"/>
  <c r="M18" i="16" s="1"/>
  <c r="E34"/>
  <c r="AF357" i="13"/>
  <c r="E14" i="16" s="1"/>
  <c r="AG359" i="13"/>
  <c r="F16" i="16" s="1"/>
  <c r="AS402" i="13"/>
  <c r="AI343"/>
  <c r="AR358"/>
  <c r="Q15" i="16" s="1"/>
  <c r="Q35"/>
  <c r="F35"/>
  <c r="AI380" i="13"/>
  <c r="H35" i="16" s="1"/>
  <c r="AI382" i="13"/>
  <c r="AE360"/>
  <c r="D17" i="16" s="1"/>
  <c r="D37"/>
  <c r="O55"/>
  <c r="AP358" i="13"/>
  <c r="O15" i="16" s="1"/>
  <c r="G36"/>
  <c r="AH359" i="13"/>
  <c r="G16" i="16" s="1"/>
  <c r="AI381" i="13"/>
  <c r="L55" i="16"/>
  <c r="AM358" i="13"/>
  <c r="L15" i="16" s="1"/>
  <c r="AS401" i="13"/>
  <c r="AS362" l="1"/>
  <c r="R19" i="16" s="1"/>
  <c r="AS361" i="13"/>
  <c r="R18" i="16" s="1"/>
  <c r="AI362" i="13"/>
  <c r="H19" i="16" s="1"/>
  <c r="AI361" i="13"/>
  <c r="H18" i="16" s="1"/>
  <c r="AS359" i="13"/>
  <c r="R16" i="16" s="1"/>
  <c r="AI379" i="13"/>
  <c r="AI385" s="1"/>
  <c r="AS357"/>
  <c r="R14" i="16" s="1"/>
  <c r="AS385" i="13"/>
  <c r="R40" i="16" s="1"/>
  <c r="G34"/>
  <c r="AS360" i="13"/>
  <c r="R17" i="16" s="1"/>
  <c r="AI406" i="13"/>
  <c r="H60" i="16" s="1"/>
  <c r="R56"/>
  <c r="AI358" i="13"/>
  <c r="H15" i="16" s="1"/>
  <c r="AI360" i="13"/>
  <c r="H17" i="16" s="1"/>
  <c r="H37"/>
  <c r="R55"/>
  <c r="AS406" i="13"/>
  <c r="AI359"/>
  <c r="H16" i="16" s="1"/>
  <c r="H36"/>
  <c r="AS358" i="13"/>
  <c r="AS365" l="1"/>
  <c r="AS386"/>
  <c r="R41" i="16" s="1"/>
  <c r="AI357" i="13"/>
  <c r="H14" i="16" s="1"/>
  <c r="H34"/>
  <c r="R15"/>
  <c r="AS363" i="13"/>
  <c r="AS407"/>
  <c r="R61" i="16" s="1"/>
  <c r="R60"/>
  <c r="AI365" i="13"/>
  <c r="H40" i="16"/>
  <c r="AI363" i="13" l="1"/>
  <c r="H20" i="16" s="1"/>
  <c r="R20"/>
  <c r="AS364" i="13" l="1"/>
  <c r="R21" i="16" s="1"/>
  <c r="AJ343" i="13"/>
</calcChain>
</file>

<file path=xl/comments1.xml><?xml version="1.0" encoding="utf-8"?>
<comments xmlns="http://schemas.openxmlformats.org/spreadsheetml/2006/main">
  <authors>
    <author>leo</author>
  </authors>
  <commentList>
    <comment ref="C40" authorId="0">
      <text>
        <r>
          <rPr>
            <b/>
            <sz val="9"/>
            <color indexed="81"/>
            <rFont val="Tahoma"/>
            <family val="2"/>
          </rPr>
          <t>leo:</t>
        </r>
        <r>
          <rPr>
            <sz val="9"/>
            <color indexed="81"/>
            <rFont val="Tahoma"/>
            <family val="2"/>
          </rPr>
          <t xml:space="preserve">
10 wafers / detector at 75% yield
16 wafers / detector at 50% yield
This is full yield to sector level</t>
        </r>
      </text>
    </comment>
  </commentList>
</comments>
</file>

<file path=xl/sharedStrings.xml><?xml version="1.0" encoding="utf-8"?>
<sst xmlns="http://schemas.openxmlformats.org/spreadsheetml/2006/main" count="2991" uniqueCount="448">
  <si>
    <t>Item</t>
  </si>
  <si>
    <t>Material Amt</t>
  </si>
  <si>
    <t>Units</t>
  </si>
  <si>
    <t>Material Cost</t>
  </si>
  <si>
    <t>Material Cost/Unit</t>
  </si>
  <si>
    <t>Material</t>
  </si>
  <si>
    <t>Aluminum</t>
  </si>
  <si>
    <t>hours</t>
  </si>
  <si>
    <t>N/A</t>
  </si>
  <si>
    <t>MT Time</t>
  </si>
  <si>
    <t>Shop Time</t>
  </si>
  <si>
    <t>Materials Totals</t>
  </si>
  <si>
    <t>Shop Labor</t>
  </si>
  <si>
    <t>Tech Labor</t>
  </si>
  <si>
    <t>M&amp;S Cost</t>
  </si>
  <si>
    <t>Eng Time</t>
  </si>
  <si>
    <t>Engineering</t>
  </si>
  <si>
    <t>Design</t>
  </si>
  <si>
    <t>Unit</t>
  </si>
  <si>
    <t>Labor</t>
  </si>
  <si>
    <t>Estimate</t>
  </si>
  <si>
    <t>Est Remaining</t>
  </si>
  <si>
    <t>Overage</t>
  </si>
  <si>
    <t>CMM</t>
  </si>
  <si>
    <t>lb</t>
  </si>
  <si>
    <t># (line-item-zeroing)</t>
  </si>
  <si>
    <t>Base or Contingency</t>
  </si>
  <si>
    <t>Shop</t>
  </si>
  <si>
    <t>M_Tech</t>
  </si>
  <si>
    <t>Engineer</t>
  </si>
  <si>
    <t>YEAR</t>
  </si>
  <si>
    <t>B</t>
  </si>
  <si>
    <t>C</t>
  </si>
  <si>
    <t>BASE</t>
  </si>
  <si>
    <t>CONTINGENCY</t>
  </si>
  <si>
    <t>Shop Cost</t>
  </si>
  <si>
    <t>MT Cost</t>
  </si>
  <si>
    <t>Totals</t>
  </si>
  <si>
    <t>Test</t>
  </si>
  <si>
    <t>Labor Cost Total (includes contingency)</t>
  </si>
  <si>
    <t>Materials Sub Totals</t>
  </si>
  <si>
    <t>Tooling</t>
  </si>
  <si>
    <t>Base Labor</t>
  </si>
  <si>
    <t>Sum</t>
  </si>
  <si>
    <t>Contingency</t>
  </si>
  <si>
    <t>Cost With Contingency</t>
  </si>
  <si>
    <t>Base Cost</t>
  </si>
  <si>
    <t>Spent To Date</t>
  </si>
  <si>
    <t>Protot or Production</t>
  </si>
  <si>
    <t>PD</t>
  </si>
  <si>
    <t>Sum Logic Code</t>
  </si>
  <si>
    <t>TRACKING</t>
  </si>
  <si>
    <t>BPD</t>
  </si>
  <si>
    <t>BPT</t>
  </si>
  <si>
    <t>CPT</t>
  </si>
  <si>
    <t>CPD</t>
  </si>
  <si>
    <t>checksum</t>
  </si>
  <si>
    <t>Production Base Cost</t>
  </si>
  <si>
    <t>Production Contingency Cost</t>
  </si>
  <si>
    <t>Percent</t>
  </si>
  <si>
    <t>Pre-Production Base Cost</t>
  </si>
  <si>
    <t>Pre-Production Contingency Cost</t>
  </si>
  <si>
    <t>Materials and Labor</t>
  </si>
  <si>
    <t>CF PEEK</t>
  </si>
  <si>
    <t>Steel</t>
  </si>
  <si>
    <t>Contract</t>
  </si>
  <si>
    <t>Material Estimates per component</t>
  </si>
  <si>
    <t>Values used to estimate Size/Cost of Batch Orders--Does not report to Cost Summary</t>
  </si>
  <si>
    <t>Descriptor</t>
  </si>
  <si>
    <t>Quantity</t>
  </si>
  <si>
    <t>CPT (microns)</t>
  </si>
  <si>
    <t>Density (g/cc)</t>
  </si>
  <si>
    <t>Finished Form</t>
  </si>
  <si>
    <t>% Waste</t>
  </si>
  <si>
    <t>Length (cm)</t>
  </si>
  <si>
    <t>Diameter/Width (cm)</t>
  </si>
  <si>
    <t>Thickness (cm)</t>
  </si>
  <si>
    <t>Volume (cc)</t>
  </si>
  <si>
    <t>Mass (g)</t>
  </si>
  <si>
    <t>Pre-Preg Area  (m^2)</t>
  </si>
  <si>
    <t>Cost Per Unit</t>
  </si>
  <si>
    <t>Choose Unit</t>
  </si>
  <si>
    <t>Cost</t>
  </si>
  <si>
    <t>Prototype Mass</t>
  </si>
  <si>
    <t>Prototype Area</t>
  </si>
  <si>
    <t>/cc</t>
  </si>
  <si>
    <t>Bulk</t>
  </si>
  <si>
    <t>/g</t>
  </si>
  <si>
    <t>Plate</t>
  </si>
  <si>
    <t>/m^2</t>
  </si>
  <si>
    <t>Round</t>
  </si>
  <si>
    <t>Mandrel</t>
  </si>
  <si>
    <t>Pipe</t>
  </si>
  <si>
    <t>n/a</t>
  </si>
  <si>
    <t>Shell</t>
  </si>
  <si>
    <t>Mandrel End Plates</t>
  </si>
  <si>
    <t>CN60 Cloth</t>
  </si>
  <si>
    <t>Laminate</t>
  </si>
  <si>
    <t>EA9396</t>
  </si>
  <si>
    <t>Adhesive</t>
  </si>
  <si>
    <t>Components</t>
  </si>
  <si>
    <t>CF HoneyComb</t>
  </si>
  <si>
    <t>6061-T6</t>
  </si>
  <si>
    <t>Prototype Composites</t>
  </si>
  <si>
    <t>Support Beam Tool</t>
  </si>
  <si>
    <t>English</t>
  </si>
  <si>
    <t>Metric</t>
  </si>
  <si>
    <t>Quoted</t>
  </si>
  <si>
    <t>lb/in^3</t>
  </si>
  <si>
    <t>g/cc</t>
  </si>
  <si>
    <t>Cost/Unit</t>
  </si>
  <si>
    <t>$/lb</t>
  </si>
  <si>
    <t>$/g</t>
  </si>
  <si>
    <t>MIC-6</t>
  </si>
  <si>
    <t>7075-T6</t>
  </si>
  <si>
    <t>Titanium</t>
  </si>
  <si>
    <t>6Al4V</t>
  </si>
  <si>
    <t>304SS</t>
  </si>
  <si>
    <t>Carbon Fiber</t>
  </si>
  <si>
    <t>M55J-UDT</t>
  </si>
  <si>
    <t>CN60-PW</t>
  </si>
  <si>
    <t>YSH80A-UDT</t>
  </si>
  <si>
    <t>$/qt</t>
  </si>
  <si>
    <t>$/cc</t>
  </si>
  <si>
    <t>EA9394</t>
  </si>
  <si>
    <t>$/bdft</t>
  </si>
  <si>
    <t>Al HoneyComb</t>
  </si>
  <si>
    <t>Nomex HC</t>
  </si>
  <si>
    <t>Support Beam Machining Tool</t>
  </si>
  <si>
    <t>Thick Laminate</t>
  </si>
  <si>
    <t>Thick Laminate Test</t>
  </si>
  <si>
    <t>PEEK</t>
  </si>
  <si>
    <t>WBS</t>
  </si>
  <si>
    <t>PO/UC Number</t>
  </si>
  <si>
    <t>STAR</t>
  </si>
  <si>
    <t>Contributed Labor Excluded…</t>
  </si>
  <si>
    <t>Project Estimated Cost</t>
  </si>
  <si>
    <t>Project Estimated Contingency</t>
  </si>
  <si>
    <t>CONT</t>
  </si>
  <si>
    <t>(HIDE)</t>
  </si>
  <si>
    <t>(HIDE AS REQUIRED)</t>
  </si>
  <si>
    <t>1.2.1</t>
  </si>
  <si>
    <t>Insertion Test Bed</t>
  </si>
  <si>
    <t>Description</t>
  </si>
  <si>
    <t>WBS Descriptor</t>
  </si>
  <si>
    <t>&lt;--  Copy Down from this Cell both columns A and B to update WBS list</t>
  </si>
  <si>
    <t>IF need to copy below this line to contain WBS, need to update Data Validation for cells in column "U" (WBS) AND 'Look Up' vectors  for Column "V" (Descriptor)</t>
  </si>
  <si>
    <t>This table drives values in a lookup table in the Pre- and Production Sheet, columns U and V.  It is 'copied' into that sheet at the bottom, see notes there to understand how to modify this.  'Inserting' rows does not work, only adding, so must modify whole table--5 rows are available for additions...</t>
  </si>
  <si>
    <t>R&amp;D</t>
  </si>
  <si>
    <t>Values below used only for reference--not linked to data in sheet estimate…</t>
  </si>
  <si>
    <t>Construction</t>
  </si>
  <si>
    <t>Differential</t>
  </si>
  <si>
    <t>Change This to change burden rate…</t>
  </si>
  <si>
    <t>Construction Rate does not have full Burden--currently ~81% (below) of Full Burden at LBNL (R&amp;D Rate)</t>
  </si>
  <si>
    <t>PT</t>
  </si>
  <si>
    <t>Material Volumes</t>
  </si>
  <si>
    <t>D-Tube</t>
  </si>
  <si>
    <t>D-Tube Bond Tool</t>
  </si>
  <si>
    <t>Level Subtotal</t>
  </si>
  <si>
    <t>Checksum</t>
  </si>
  <si>
    <t>Item Bars</t>
  </si>
  <si>
    <t>Station Plates</t>
  </si>
  <si>
    <t>Kinematic Support Bars</t>
  </si>
  <si>
    <t>Rail Insert Supports</t>
  </si>
  <si>
    <t>Iteration</t>
  </si>
  <si>
    <t>Support Components</t>
  </si>
  <si>
    <t>Cart Prototype</t>
  </si>
  <si>
    <t>Cart Rail Rider prototype</t>
  </si>
  <si>
    <t>Cart Rail Rider iteration</t>
  </si>
  <si>
    <t>Low Mass Cart</t>
  </si>
  <si>
    <t>Cart Rail Rider</t>
  </si>
  <si>
    <t>PXL Electronics</t>
  </si>
  <si>
    <t>1.2.2</t>
  </si>
  <si>
    <t>1.2.2.1</t>
  </si>
  <si>
    <t>Phase-1 Sensor</t>
  </si>
  <si>
    <t>1.2.2.1.1</t>
  </si>
  <si>
    <t>Phase-1 Prototype</t>
  </si>
  <si>
    <t>1.2.2.1.2</t>
  </si>
  <si>
    <t>Phase-1 Production</t>
  </si>
  <si>
    <t>1.2.2.2</t>
  </si>
  <si>
    <t>PXL Sensor</t>
  </si>
  <si>
    <t>1.2.2.2.1</t>
  </si>
  <si>
    <t>PXL Sensor Prototype</t>
  </si>
  <si>
    <t>1.2.2.2.2</t>
  </si>
  <si>
    <t>PXL Sensor Production</t>
  </si>
  <si>
    <t>1.2.2.3</t>
  </si>
  <si>
    <t>Ladder Cable</t>
  </si>
  <si>
    <t>1.2.2.3.1</t>
  </si>
  <si>
    <t>Infrastructure Test Cable</t>
  </si>
  <si>
    <t>1.2.2.3.2</t>
  </si>
  <si>
    <t>Prototype Ladder Cable (FR-4)</t>
  </si>
  <si>
    <t>1.2.2.3.3</t>
  </si>
  <si>
    <t>Ladder Cable (Kapton + Cu conductor)</t>
  </si>
  <si>
    <t>1.2.3.3.4</t>
  </si>
  <si>
    <t>Ladder Cable (Kapton + Al conductor)</t>
  </si>
  <si>
    <t>1.2.2.3.5</t>
  </si>
  <si>
    <t>Ladder Cable PXL Sensor</t>
  </si>
  <si>
    <t>1.2.2.4</t>
  </si>
  <si>
    <t>Phase-1 Ladder Assembly</t>
  </si>
  <si>
    <t>1.2.2.4.1</t>
  </si>
  <si>
    <t>Pixel Electronics Estimate (1.2.2)</t>
  </si>
  <si>
    <t>Ladder Mechanical / Electrical Prototypes</t>
  </si>
  <si>
    <t>1.2.2.5</t>
  </si>
  <si>
    <t>Read-out Electronics</t>
  </si>
  <si>
    <t>1.2.2.5.1</t>
  </si>
  <si>
    <t>RDO Board</t>
  </si>
  <si>
    <t>1.2.2.5.2</t>
  </si>
  <si>
    <t>Mass Termination Board</t>
  </si>
  <si>
    <t>1.2.2.5.3</t>
  </si>
  <si>
    <t>RDO PCs</t>
  </si>
  <si>
    <t>1.2.2.5.4</t>
  </si>
  <si>
    <t>Control PC System</t>
  </si>
  <si>
    <t>1.2.2.6</t>
  </si>
  <si>
    <t>PXL Sensor Ladder Production</t>
  </si>
  <si>
    <t>Phase-1</t>
  </si>
  <si>
    <t>Si</t>
  </si>
  <si>
    <t>wafer</t>
  </si>
  <si>
    <t>Initial  Phase-1 foundry run (wafers)</t>
  </si>
  <si>
    <t>Initial  Phase-1 foundry run (masks and processing)</t>
  </si>
  <si>
    <t>Second  Phase-1 foundry run (masks and processing)</t>
  </si>
  <si>
    <t>Second  Phase-1 foundry run (wafers)</t>
  </si>
  <si>
    <t>PCB design and Layout</t>
  </si>
  <si>
    <t>PCB fabrication</t>
  </si>
  <si>
    <t>PCB</t>
  </si>
  <si>
    <t>PCB parts and loading</t>
  </si>
  <si>
    <t>Phase-1 bench testing (includes firmware/software)</t>
  </si>
  <si>
    <t>Individual PH-1 testing + interface PCBs</t>
  </si>
  <si>
    <t xml:space="preserve">Interface PCB </t>
  </si>
  <si>
    <t>Telescope mechanical (allignment, box etc)</t>
  </si>
  <si>
    <t>Telescope firmware/software</t>
  </si>
  <si>
    <t>PH-1 Telescope Test</t>
  </si>
  <si>
    <t>Interface PCB</t>
  </si>
  <si>
    <t>Connectors/cabling</t>
  </si>
  <si>
    <t>PCB board telescope test design and layout</t>
  </si>
  <si>
    <t>PCB board telescope test fabrication</t>
  </si>
  <si>
    <t>PCB board telescope parts and loading</t>
  </si>
  <si>
    <t>(iteration) PCB board telescope test design and layout</t>
  </si>
  <si>
    <t>(iteration) PCB board telescope test fabrication</t>
  </si>
  <si>
    <t>(iteration) PCB board telescope parts and loading</t>
  </si>
  <si>
    <t>Telescope test Beam Run</t>
  </si>
  <si>
    <t>Phase-1 Production foundry run (wafers)</t>
  </si>
  <si>
    <t>Phase-1 production foundry run (masks and processing)</t>
  </si>
  <si>
    <t>Phase-1 Probe Testing</t>
  </si>
  <si>
    <t>Refurbish ATLAS Probe station</t>
  </si>
  <si>
    <t>New control PC</t>
  </si>
  <si>
    <t>Probe card design and layout</t>
  </si>
  <si>
    <t>Probe card fabrication</t>
  </si>
  <si>
    <t>Probe card parts and loading</t>
  </si>
  <si>
    <t>(iteration) Probe card design and layout</t>
  </si>
  <si>
    <t>(iteration) Probe card fabrication</t>
  </si>
  <si>
    <t>(iteration) Probe card parts and loading</t>
  </si>
  <si>
    <t>Probe test software and firmware</t>
  </si>
  <si>
    <t>Interface PCBs , parts and loading</t>
  </si>
  <si>
    <t>Sensor dicing and back-thinning</t>
  </si>
  <si>
    <t>PH-1 dicing and back-thinning</t>
  </si>
  <si>
    <t>Database design and implementation</t>
  </si>
  <si>
    <t>Chip carriers and tracking hardware</t>
  </si>
  <si>
    <t>Initial  PXL Sensor foundry run (wafers)</t>
  </si>
  <si>
    <t>Initial  PXL Sensor foundry run (masks and processing)</t>
  </si>
  <si>
    <t>Second  PXL Sensor foundry run (masks and processing)</t>
  </si>
  <si>
    <t>Second  PXL Sensor foundry run (wafers)</t>
  </si>
  <si>
    <t>PXL Sensor bench testing (includes firmware/software)</t>
  </si>
  <si>
    <t>Individual PXL Sensor testing + interface PCBs</t>
  </si>
  <si>
    <t>PXL Sensor Telescope Test</t>
  </si>
  <si>
    <t>Data Analysis and feedback</t>
  </si>
  <si>
    <t>PXL Sensor Probe Testing</t>
  </si>
  <si>
    <t>Probe test software and firmware modification</t>
  </si>
  <si>
    <t xml:space="preserve">Mechanical adaptation of vacuum chuck </t>
  </si>
  <si>
    <t>Infrastructure Test Cable (PH-1)</t>
  </si>
  <si>
    <t>PCB design and layout</t>
  </si>
  <si>
    <t>(iteration) PCB design and layout</t>
  </si>
  <si>
    <t>(iteration) PCB fabrication</t>
  </si>
  <si>
    <t>(iteration) PCB parts and loading</t>
  </si>
  <si>
    <t>10 sensor test software and firmware</t>
  </si>
  <si>
    <t>testing and analysis</t>
  </si>
  <si>
    <t>Ladder Cable (Kapton with Cu conductor)</t>
  </si>
  <si>
    <t>Ladder Cable (Kapton with Al conductor)</t>
  </si>
  <si>
    <t>Ladder Mechanical Prototypes</t>
  </si>
  <si>
    <t>Ladder Electrical Prototypes</t>
  </si>
  <si>
    <t>Ladder Assembly Production</t>
  </si>
  <si>
    <t>RDO Electronics</t>
  </si>
  <si>
    <t>PXL Ladder Assembly (production)</t>
  </si>
  <si>
    <t>RDO Motherboard</t>
  </si>
  <si>
    <t>Control PC system</t>
  </si>
  <si>
    <t>(iteration) firmware and software (PH-1 readout)</t>
  </si>
  <si>
    <t>firmware and software (PXL Sensor readout)</t>
  </si>
  <si>
    <t>(iteration) firmware and software (PXL Sensor readout)</t>
  </si>
  <si>
    <t>PCB parts and loading (production)</t>
  </si>
  <si>
    <t>PCB Production</t>
  </si>
  <si>
    <t>LU Power daughtercard (prototype)</t>
  </si>
  <si>
    <t>LU Power daughtercard production</t>
  </si>
  <si>
    <t>Setup and initial configuration</t>
  </si>
  <si>
    <t>software tools / licenses</t>
  </si>
  <si>
    <t>System Architecture design and protptype</t>
  </si>
  <si>
    <t>Control PCs + communication hardware</t>
  </si>
  <si>
    <t>software and firmware</t>
  </si>
  <si>
    <t>(iteration) software and firmware</t>
  </si>
  <si>
    <t xml:space="preserve">Ladder Mechanical </t>
  </si>
  <si>
    <t>Positioning and assembly prototypes</t>
  </si>
  <si>
    <t>(iteration) Positioning and assembly prototypes</t>
  </si>
  <si>
    <t>Thermal testing cable</t>
  </si>
  <si>
    <t>Thermal testing assembly</t>
  </si>
  <si>
    <t>adhesives and infrastructure</t>
  </si>
  <si>
    <t>wire bonding and encapsulation prototype</t>
  </si>
  <si>
    <t>storage, tracking and handling hardware prototype</t>
  </si>
  <si>
    <t>connector savers, prototype RDO testing interface</t>
  </si>
  <si>
    <t>ladder asembly production</t>
  </si>
  <si>
    <t>ladder testing</t>
  </si>
  <si>
    <t>connector savers, rdo interface testing (production)</t>
  </si>
  <si>
    <t>wire bonding and encapsulation</t>
  </si>
  <si>
    <t>cable components and loading</t>
  </si>
  <si>
    <t>Eng (cont)</t>
  </si>
  <si>
    <t>Postdoc (cont)</t>
  </si>
  <si>
    <t>Engineer (cont)</t>
  </si>
  <si>
    <t>Engineering (cont)</t>
  </si>
  <si>
    <t>travel</t>
  </si>
  <si>
    <t>Ladder Cable PXL Sensor (Al conductor)</t>
  </si>
  <si>
    <t xml:space="preserve"> Phase-1 Sub Total</t>
  </si>
  <si>
    <t>1.2.2.7</t>
  </si>
  <si>
    <t>RDO PCs (prototype)</t>
  </si>
  <si>
    <t>PCB fabrication (production)</t>
  </si>
  <si>
    <t>vacuum chuck and positioning (production)</t>
  </si>
  <si>
    <t>Probe testing (production)</t>
  </si>
  <si>
    <t>(iteration) PCB design and Layout</t>
  </si>
  <si>
    <t>(contingency)  PXL Sensor foundry run (masks and processing)</t>
  </si>
  <si>
    <t>(contingency)  PXL Sensor foundry run (wafers)</t>
  </si>
  <si>
    <t>cable production cables</t>
  </si>
  <si>
    <t>Thermal testing RDO board + cables</t>
  </si>
  <si>
    <t>fine wire rdo cable assembly</t>
  </si>
  <si>
    <t>Design and PCB Layout prototype</t>
  </si>
  <si>
    <t>PCB fabrication prototype</t>
  </si>
  <si>
    <t>PCB parts and loading prototype</t>
  </si>
  <si>
    <t>Xilinx V-5 develpoment boards</t>
  </si>
  <si>
    <t>Source Interface Units (fiber optic modules)</t>
  </si>
  <si>
    <t>Source Interface Units (fiber optic modules) prototype</t>
  </si>
  <si>
    <t>Xilinx V-5 develpoment boards prototype</t>
  </si>
  <si>
    <t>Xilinx Virtex-5 FPGAs</t>
  </si>
  <si>
    <t>Xilinx Virtex-5 FPGAs prototype</t>
  </si>
  <si>
    <t>(contingency) PCB design and layout</t>
  </si>
  <si>
    <t>(contingency) PCB fabrication</t>
  </si>
  <si>
    <t>(contingency) PCB parts and loading</t>
  </si>
  <si>
    <t>RDO motherboard test</t>
  </si>
  <si>
    <t>RDO motherboard prototype test</t>
  </si>
  <si>
    <t>MTB test</t>
  </si>
  <si>
    <t>storage, tracking and handling hardware update</t>
  </si>
  <si>
    <t>Positioning and assembly prototypes update</t>
  </si>
  <si>
    <t>(iteration) Positioning and assembly prototypes update</t>
  </si>
  <si>
    <t>connector savers, prototype RDO testing interface update</t>
  </si>
  <si>
    <t xml:space="preserve">Ladder Electrical </t>
  </si>
  <si>
    <t>contingency</t>
  </si>
  <si>
    <t>PCB fabrication prototype (Cu)</t>
  </si>
  <si>
    <t>testing and analysis prototype</t>
  </si>
  <si>
    <t>PCB fabrication prototype (Al)</t>
  </si>
  <si>
    <t>PCB design and layout (Al)</t>
  </si>
  <si>
    <t>PCB parts and loading (Al)</t>
  </si>
  <si>
    <t>Phase-1 Production foundry run (wafers) contingency</t>
  </si>
  <si>
    <t>PXL production foundry run (masks and processing)</t>
  </si>
  <si>
    <t>Sensor dicing and back-thinning contingency</t>
  </si>
  <si>
    <t>Probe testing (production) contingency</t>
  </si>
  <si>
    <t>cable production cables contingency</t>
  </si>
  <si>
    <t>wire bonding and encapsulation contingency</t>
  </si>
  <si>
    <t>Test PCB Production</t>
  </si>
  <si>
    <t>Test PCB loading</t>
  </si>
  <si>
    <t>Test RDO motherboard test</t>
  </si>
  <si>
    <t>Test Xilinx V-5 develpoment boards</t>
  </si>
  <si>
    <t>Test Xilinx Virtex-5 FPGAs</t>
  </si>
  <si>
    <t>Test Source Interface Units (fiber optic modules)</t>
  </si>
  <si>
    <t>Test Scintillator based cosmic ray trigger system (from beam tests)</t>
  </si>
  <si>
    <t>Test firmware and software for cosmic ray readout</t>
  </si>
  <si>
    <t>Test PCB fabrication (production)</t>
  </si>
  <si>
    <t>Test PCB parts and loading (production)</t>
  </si>
  <si>
    <t>Test LU Power daughtercard production</t>
  </si>
  <si>
    <t>Test RDO PCs (production)</t>
  </si>
  <si>
    <t>Test RORC Cards</t>
  </si>
  <si>
    <t>Test Setup and initial configuration</t>
  </si>
  <si>
    <t>Telescope trigger detector and logic system</t>
  </si>
  <si>
    <t xml:space="preserve">Engineering </t>
  </si>
  <si>
    <t>M &amp; S</t>
  </si>
  <si>
    <t>Base</t>
  </si>
  <si>
    <t>Cont</t>
  </si>
  <si>
    <t>Tech</t>
  </si>
  <si>
    <t>Post Doc</t>
  </si>
  <si>
    <t>Eng Contr</t>
  </si>
  <si>
    <t>Hours</t>
  </si>
  <si>
    <t>FTE</t>
  </si>
  <si>
    <t>Cost Approx</t>
  </si>
  <si>
    <t>TTech</t>
  </si>
  <si>
    <t>ENG Contributed</t>
  </si>
  <si>
    <t>positioning and assy fixturing</t>
  </si>
  <si>
    <t>CF stiffener plate fabricate</t>
  </si>
  <si>
    <t>CF stiffener plate</t>
  </si>
  <si>
    <t>Radiation Dose Testing</t>
  </si>
  <si>
    <t>2nd ladder asembly production</t>
  </si>
  <si>
    <t>2nd ladder testing</t>
  </si>
  <si>
    <t>2nd wire bonding and encapsulation</t>
  </si>
  <si>
    <t>2nd cable components and loading</t>
  </si>
  <si>
    <t>ladder asembly production contingency</t>
  </si>
  <si>
    <t>contingency fy12</t>
  </si>
  <si>
    <t>firmware and software (PH-1 readout) fy10</t>
  </si>
  <si>
    <t>RDO PCs (production) fy12</t>
  </si>
  <si>
    <t>RDO PCs (production) fy13</t>
  </si>
  <si>
    <t>RORC Cards fy12</t>
  </si>
  <si>
    <t>RORC Cards fy13</t>
  </si>
  <si>
    <t>cable production cables fy13</t>
  </si>
  <si>
    <t>PCB loading FY11</t>
  </si>
  <si>
    <t>PCB loading FY12</t>
  </si>
  <si>
    <t>cable production cables fy14</t>
  </si>
  <si>
    <t>cable components and loading FY13</t>
  </si>
  <si>
    <t>cable components and loading FY14</t>
  </si>
  <si>
    <t>ladder asembly production FY13</t>
  </si>
  <si>
    <t>ladder asembly production FY14</t>
  </si>
  <si>
    <t>ladder testing FY13</t>
  </si>
  <si>
    <t>ladder testing FY14</t>
  </si>
  <si>
    <t>wire bonding and encapsulation FY13</t>
  </si>
  <si>
    <t>wire bonding and encapsulation FY14</t>
  </si>
  <si>
    <t>contingency FY13</t>
  </si>
  <si>
    <t>contingency FY12</t>
  </si>
  <si>
    <t>PXL Sensor dicing and back-thinning FY12</t>
  </si>
  <si>
    <t>PXL Sensor dicing and back-thinning FY11</t>
  </si>
  <si>
    <t>PXL Production foundry run (wafers) FY12</t>
  </si>
  <si>
    <t>PXL Production foundry run (wafers) FY13</t>
  </si>
  <si>
    <t>PXL Production foundry run (wafers) FY14</t>
  </si>
  <si>
    <t>Sensor dicing and back-thinning FY12</t>
  </si>
  <si>
    <t>Sensor dicing and back-thinning FY13</t>
  </si>
  <si>
    <t>Sensor dicing and back-thinning FY14</t>
  </si>
  <si>
    <t>PCB parts and loading prototype (Cu)</t>
  </si>
  <si>
    <t>PCB parts and loading material</t>
  </si>
  <si>
    <t>(iteration) PCB parts and loading material</t>
  </si>
  <si>
    <t>(iteration) PCB board telescope parts</t>
  </si>
  <si>
    <t>PCB parts</t>
  </si>
  <si>
    <t xml:space="preserve">(iteration) PCB board telescope loading labor </t>
  </si>
  <si>
    <t>Telescope mechanical (alignment, box etc)</t>
  </si>
  <si>
    <t>Telescope trigger system (scint, electronics, APDs, etc)</t>
  </si>
  <si>
    <t xml:space="preserve">Mechanical design of vacuum chuck for thinned sensors </t>
  </si>
  <si>
    <t xml:space="preserve">PCB parts and loading labor </t>
  </si>
  <si>
    <t xml:space="preserve">contingency labor </t>
  </si>
  <si>
    <t xml:space="preserve">(iteration) PCB parts and loading labor </t>
  </si>
  <si>
    <t xml:space="preserve">(iteration) Mechanical design of vacuum chuck for thinned sensors </t>
  </si>
  <si>
    <t xml:space="preserve">Probe card parts and loading </t>
  </si>
  <si>
    <t>PXL Prototype Ladder Assembly</t>
  </si>
  <si>
    <t>contingency FY14</t>
  </si>
  <si>
    <t>contingency fy13</t>
  </si>
  <si>
    <t>contingency fy14</t>
  </si>
  <si>
    <t>Probe testing (1st batch)</t>
  </si>
  <si>
    <t>Probe testing (2nd batch)</t>
  </si>
  <si>
    <t xml:space="preserve">Chip carriers and tracking hardware </t>
  </si>
  <si>
    <t>PCB  loading</t>
  </si>
  <si>
    <t xml:space="preserve">(iteration) PCB parts and loading </t>
  </si>
</sst>
</file>

<file path=xl/styles.xml><?xml version="1.0" encoding="utf-8"?>
<styleSheet xmlns="http://schemas.openxmlformats.org/spreadsheetml/2006/main">
  <numFmts count="8">
    <numFmt numFmtId="5" formatCode="&quot;$&quot;#,##0_);\(&quot;$&quot;#,##0\)"/>
    <numFmt numFmtId="6" formatCode="&quot;$&quot;#,##0_);[Red]\(&quot;$&quot;#,##0\)"/>
    <numFmt numFmtId="42" formatCode="_(&quot;$&quot;* #,##0_);_(&quot;$&quot;* \(#,##0\);_(&quot;$&quot;* &quot;-&quot;_);_(@_)"/>
    <numFmt numFmtId="164" formatCode="&quot;$&quot;#,##0"/>
    <numFmt numFmtId="165" formatCode="0.0"/>
    <numFmt numFmtId="166" formatCode="&quot;$&quot;#,##0.00"/>
    <numFmt numFmtId="167" formatCode="0.0%"/>
    <numFmt numFmtId="168" formatCode="0.000"/>
  </numFmts>
  <fonts count="33">
    <font>
      <sz val="10"/>
      <name val="Arial"/>
    </font>
    <font>
      <b/>
      <sz val="10"/>
      <name val="Arial"/>
      <family val="2"/>
    </font>
    <font>
      <b/>
      <i/>
      <sz val="10"/>
      <color indexed="10"/>
      <name val="Arial"/>
      <family val="2"/>
    </font>
    <font>
      <sz val="10"/>
      <name val="Arial"/>
      <family val="2"/>
    </font>
    <font>
      <b/>
      <sz val="14"/>
      <name val="Arial"/>
      <family val="2"/>
    </font>
    <font>
      <sz val="10"/>
      <color indexed="10"/>
      <name val="Arial"/>
      <family val="2"/>
    </font>
    <font>
      <b/>
      <sz val="10"/>
      <color indexed="10"/>
      <name val="Arial"/>
      <family val="2"/>
    </font>
    <font>
      <i/>
      <sz val="10"/>
      <name val="Arial"/>
      <family val="2"/>
    </font>
    <font>
      <strike/>
      <sz val="10"/>
      <name val="Arial"/>
      <family val="2"/>
    </font>
    <font>
      <strike/>
      <sz val="10"/>
      <name val="Arial"/>
      <family val="2"/>
    </font>
    <font>
      <i/>
      <sz val="10"/>
      <color indexed="10"/>
      <name val="Arial"/>
      <family val="2"/>
    </font>
    <font>
      <b/>
      <sz val="12"/>
      <name val="Arial"/>
      <family val="2"/>
    </font>
    <font>
      <b/>
      <sz val="10"/>
      <color indexed="53"/>
      <name val="Arial"/>
      <family val="2"/>
    </font>
    <font>
      <i/>
      <sz val="9"/>
      <name val="Arial"/>
      <family val="2"/>
    </font>
    <font>
      <sz val="10"/>
      <color indexed="53"/>
      <name val="Arial"/>
      <family val="2"/>
    </font>
    <font>
      <sz val="14"/>
      <name val="Arial"/>
      <family val="2"/>
    </font>
    <font>
      <sz val="12"/>
      <name val="Arial"/>
      <family val="2"/>
    </font>
    <font>
      <sz val="10"/>
      <name val="Arial"/>
      <family val="2"/>
    </font>
    <font>
      <sz val="9"/>
      <name val="Arial"/>
      <family val="2"/>
    </font>
    <font>
      <sz val="10"/>
      <name val="Arial"/>
      <family val="2"/>
    </font>
    <font>
      <sz val="12"/>
      <color indexed="10"/>
      <name val="Arial"/>
      <family val="2"/>
    </font>
    <font>
      <sz val="10"/>
      <color indexed="10"/>
      <name val="Arial"/>
      <family val="2"/>
    </font>
    <font>
      <b/>
      <sz val="10"/>
      <color indexed="10"/>
      <name val="Arial"/>
      <family val="2"/>
    </font>
    <font>
      <sz val="10"/>
      <name val="Arial"/>
      <family val="2"/>
    </font>
    <font>
      <b/>
      <sz val="11"/>
      <color indexed="10"/>
      <name val="Arial"/>
      <family val="2"/>
    </font>
    <font>
      <b/>
      <sz val="12"/>
      <color indexed="10"/>
      <name val="Arial"/>
      <family val="2"/>
    </font>
    <font>
      <sz val="8"/>
      <name val="Arial"/>
      <family val="2"/>
    </font>
    <font>
      <sz val="8"/>
      <name val="Arial"/>
      <family val="2"/>
    </font>
    <font>
      <sz val="9"/>
      <color indexed="81"/>
      <name val="Tahoma"/>
      <family val="2"/>
    </font>
    <font>
      <b/>
      <sz val="9"/>
      <color indexed="81"/>
      <name val="Tahoma"/>
      <family val="2"/>
    </font>
    <font>
      <sz val="11"/>
      <color rgb="FF9C0006"/>
      <name val="Calibri"/>
      <family val="2"/>
      <scheme val="minor"/>
    </font>
    <font>
      <b/>
      <sz val="11"/>
      <color rgb="FFFA7D00"/>
      <name val="Calibri"/>
      <family val="2"/>
      <scheme val="minor"/>
    </font>
    <font>
      <sz val="11"/>
      <color rgb="FF3F3F76"/>
      <name val="Calibri"/>
      <family val="2"/>
      <scheme val="minor"/>
    </font>
  </fonts>
  <fills count="6">
    <fill>
      <patternFill patternType="none"/>
    </fill>
    <fill>
      <patternFill patternType="gray125"/>
    </fill>
    <fill>
      <patternFill patternType="solid">
        <fgColor rgb="FFFFC7CE"/>
      </patternFill>
    </fill>
    <fill>
      <patternFill patternType="solid">
        <fgColor rgb="FFF2F2F2"/>
      </patternFill>
    </fill>
    <fill>
      <patternFill patternType="solid">
        <fgColor rgb="FFFFCC99"/>
      </patternFill>
    </fill>
    <fill>
      <patternFill patternType="solid">
        <fgColor rgb="FFFFFFCC"/>
      </patternFill>
    </fill>
  </fills>
  <borders count="4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6">
    <xf numFmtId="0" fontId="0" fillId="0" borderId="0"/>
    <xf numFmtId="0" fontId="30" fillId="2" borderId="0" applyNumberFormat="0" applyBorder="0" applyAlignment="0" applyProtection="0"/>
    <xf numFmtId="0" fontId="31" fillId="3" borderId="42" applyNumberFormat="0" applyAlignment="0" applyProtection="0"/>
    <xf numFmtId="42" fontId="19" fillId="0" borderId="0" applyFont="0" applyFill="0" applyBorder="0" applyAlignment="0" applyProtection="0"/>
    <xf numFmtId="0" fontId="32" fillId="4" borderId="42" applyNumberFormat="0" applyAlignment="0" applyProtection="0"/>
    <xf numFmtId="0" fontId="17" fillId="5" borderId="43" applyNumberFormat="0" applyFont="0" applyAlignment="0" applyProtection="0"/>
  </cellStyleXfs>
  <cellXfs count="407">
    <xf numFmtId="0" fontId="0" fillId="0" borderId="0" xfId="0"/>
    <xf numFmtId="0" fontId="2" fillId="0" borderId="0" xfId="0" applyFont="1"/>
    <xf numFmtId="0" fontId="0" fillId="0" borderId="1" xfId="0" applyBorder="1"/>
    <xf numFmtId="0" fontId="0" fillId="0" borderId="0" xfId="0" applyBorder="1" applyAlignment="1">
      <alignment horizontal="right"/>
    </xf>
    <xf numFmtId="0" fontId="0" fillId="0" borderId="1" xfId="0" applyBorder="1" applyAlignment="1">
      <alignment horizontal="right"/>
    </xf>
    <xf numFmtId="0" fontId="2" fillId="0" borderId="0" xfId="0" applyFont="1" applyAlignment="1">
      <alignment horizontal="right"/>
    </xf>
    <xf numFmtId="0" fontId="0" fillId="0" borderId="0" xfId="0" applyAlignment="1">
      <alignment horizontal="right"/>
    </xf>
    <xf numFmtId="0" fontId="4" fillId="0" borderId="0" xfId="0" applyFont="1"/>
    <xf numFmtId="0" fontId="0" fillId="0" borderId="0" xfId="0" applyFill="1" applyBorder="1"/>
    <xf numFmtId="166" fontId="0" fillId="0" borderId="0" xfId="0" applyNumberFormat="1" applyAlignment="1">
      <alignment horizontal="center"/>
    </xf>
    <xf numFmtId="166" fontId="2" fillId="0" borderId="0" xfId="0" applyNumberFormat="1" applyFont="1" applyAlignment="1">
      <alignment horizontal="center"/>
    </xf>
    <xf numFmtId="0" fontId="2" fillId="0" borderId="0" xfId="0" applyFont="1" applyAlignment="1">
      <alignment horizontal="right" textRotation="90"/>
    </xf>
    <xf numFmtId="0" fontId="2" fillId="0" borderId="2" xfId="0" applyFont="1" applyBorder="1" applyAlignment="1">
      <alignment horizontal="right"/>
    </xf>
    <xf numFmtId="0" fontId="0" fillId="0" borderId="1" xfId="0" applyBorder="1" applyAlignment="1">
      <alignment horizontal="left"/>
    </xf>
    <xf numFmtId="0" fontId="1" fillId="0" borderId="0" xfId="0" applyFont="1" applyFill="1" applyBorder="1" applyAlignment="1">
      <alignment horizontal="right"/>
    </xf>
    <xf numFmtId="0" fontId="2" fillId="0" borderId="0" xfId="0" applyFont="1" applyFill="1" applyBorder="1"/>
    <xf numFmtId="0" fontId="7" fillId="0" borderId="0" xfId="0" applyFont="1" applyFill="1" applyBorder="1"/>
    <xf numFmtId="0" fontId="9" fillId="0" borderId="0" xfId="0" applyFont="1"/>
    <xf numFmtId="0" fontId="3" fillId="0" borderId="0" xfId="0" applyFont="1"/>
    <xf numFmtId="0" fontId="3" fillId="0" borderId="1" xfId="0" applyFont="1" applyBorder="1"/>
    <xf numFmtId="1" fontId="0" fillId="0" borderId="0" xfId="0" applyNumberFormat="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0" fontId="2" fillId="0" borderId="3" xfId="0" applyFont="1" applyBorder="1" applyAlignment="1">
      <alignment horizontal="right"/>
    </xf>
    <xf numFmtId="0" fontId="0" fillId="0" borderId="3" xfId="0" applyBorder="1"/>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2" fillId="0" borderId="0" xfId="0" applyFont="1" applyBorder="1" applyAlignment="1">
      <alignment horizontal="right"/>
    </xf>
    <xf numFmtId="0" fontId="0" fillId="0" borderId="7" xfId="0" applyBorder="1" applyAlignment="1">
      <alignment horizontal="right"/>
    </xf>
    <xf numFmtId="1" fontId="3" fillId="0" borderId="8" xfId="0" applyNumberFormat="1" applyFont="1" applyBorder="1" applyAlignment="1">
      <alignment horizontal="right"/>
    </xf>
    <xf numFmtId="1" fontId="3" fillId="0" borderId="9" xfId="0" applyNumberFormat="1" applyFont="1" applyBorder="1" applyAlignment="1">
      <alignment horizontal="right"/>
    </xf>
    <xf numFmtId="0" fontId="2" fillId="0" borderId="7" xfId="0" applyFont="1" applyBorder="1" applyAlignment="1">
      <alignment horizontal="center"/>
    </xf>
    <xf numFmtId="1" fontId="10" fillId="0" borderId="8" xfId="0" applyNumberFormat="1" applyFont="1" applyBorder="1" applyAlignment="1">
      <alignment horizontal="right"/>
    </xf>
    <xf numFmtId="164" fontId="1" fillId="0" borderId="0" xfId="0" applyNumberFormat="1" applyFont="1" applyBorder="1" applyAlignment="1">
      <alignment horizontal="center"/>
    </xf>
    <xf numFmtId="164" fontId="1" fillId="0" borderId="0" xfId="0" applyNumberFormat="1" applyFont="1" applyBorder="1" applyAlignment="1">
      <alignment horizontal="right"/>
    </xf>
    <xf numFmtId="166" fontId="1" fillId="0" borderId="0" xfId="0" applyNumberFormat="1" applyFont="1" applyBorder="1" applyAlignment="1">
      <alignment horizontal="center"/>
    </xf>
    <xf numFmtId="1" fontId="1" fillId="0" borderId="10" xfId="0" applyNumberFormat="1" applyFont="1" applyBorder="1" applyAlignment="1">
      <alignment horizontal="center"/>
    </xf>
    <xf numFmtId="0" fontId="2" fillId="0" borderId="11" xfId="0" applyFont="1" applyBorder="1" applyAlignment="1">
      <alignment horizontal="center" textRotation="90"/>
    </xf>
    <xf numFmtId="0" fontId="2" fillId="0" borderId="12" xfId="0" applyFont="1" applyBorder="1" applyAlignment="1">
      <alignment horizontal="right"/>
    </xf>
    <xf numFmtId="166" fontId="2" fillId="0" borderId="12" xfId="0" applyNumberFormat="1" applyFont="1" applyBorder="1" applyAlignment="1">
      <alignment horizontal="center"/>
    </xf>
    <xf numFmtId="1" fontId="2" fillId="0" borderId="13" xfId="0" applyNumberFormat="1" applyFont="1" applyBorder="1" applyAlignment="1">
      <alignment horizontal="center"/>
    </xf>
    <xf numFmtId="0" fontId="3" fillId="0" borderId="0" xfId="0" applyFont="1" applyAlignment="1">
      <alignment horizontal="left" indent="2"/>
    </xf>
    <xf numFmtId="0" fontId="1" fillId="0" borderId="0" xfId="0" applyFont="1" applyAlignment="1">
      <alignment horizontal="left" indent="1"/>
    </xf>
    <xf numFmtId="0" fontId="11" fillId="0" borderId="0" xfId="0" applyFont="1"/>
    <xf numFmtId="0" fontId="1" fillId="0" borderId="0" xfId="0" applyFont="1"/>
    <xf numFmtId="0" fontId="1" fillId="0" borderId="7" xfId="0" applyFont="1" applyBorder="1" applyAlignment="1">
      <alignment horizontal="center"/>
    </xf>
    <xf numFmtId="6" fontId="12" fillId="0" borderId="14" xfId="0" applyNumberFormat="1" applyFont="1" applyBorder="1" applyAlignment="1">
      <alignment horizontal="center"/>
    </xf>
    <xf numFmtId="0" fontId="1" fillId="0" borderId="0" xfId="0" applyFont="1" applyAlignment="1">
      <alignment horizontal="center"/>
    </xf>
    <xf numFmtId="1" fontId="1" fillId="0" borderId="8" xfId="0" applyNumberFormat="1" applyFont="1" applyBorder="1" applyAlignment="1">
      <alignment horizontal="right"/>
    </xf>
    <xf numFmtId="0" fontId="1" fillId="0" borderId="0" xfId="0" applyFont="1" applyBorder="1" applyAlignment="1">
      <alignment horizontal="right"/>
    </xf>
    <xf numFmtId="0" fontId="1" fillId="0" borderId="0" xfId="0" applyNumberFormat="1" applyFont="1" applyBorder="1" applyAlignment="1">
      <alignment horizontal="right"/>
    </xf>
    <xf numFmtId="0" fontId="1" fillId="0" borderId="7" xfId="0" applyFont="1" applyBorder="1" applyAlignment="1">
      <alignment horizontal="right"/>
    </xf>
    <xf numFmtId="0" fontId="1" fillId="0" borderId="0" xfId="0" applyFont="1" applyAlignment="1">
      <alignment horizontal="right"/>
    </xf>
    <xf numFmtId="164" fontId="2" fillId="0" borderId="0" xfId="0" applyNumberFormat="1" applyFont="1" applyAlignment="1">
      <alignment horizontal="right" textRotation="90"/>
    </xf>
    <xf numFmtId="164" fontId="1" fillId="0" borderId="0" xfId="0" applyNumberFormat="1" applyFont="1" applyAlignment="1">
      <alignment horizontal="right"/>
    </xf>
    <xf numFmtId="164" fontId="1" fillId="0" borderId="8" xfId="0" applyNumberFormat="1" applyFont="1" applyBorder="1" applyAlignment="1">
      <alignment horizontal="right"/>
    </xf>
    <xf numFmtId="165" fontId="1" fillId="0" borderId="0" xfId="0" applyNumberFormat="1" applyFont="1" applyBorder="1" applyAlignment="1">
      <alignment horizontal="right"/>
    </xf>
    <xf numFmtId="165" fontId="1" fillId="0" borderId="8" xfId="0" applyNumberFormat="1" applyFont="1" applyBorder="1" applyAlignment="1">
      <alignment horizontal="right"/>
    </xf>
    <xf numFmtId="0" fontId="0" fillId="0" borderId="0" xfId="0" applyAlignment="1">
      <alignment horizontal="left" indent="2"/>
    </xf>
    <xf numFmtId="0" fontId="1" fillId="0" borderId="7" xfId="0" applyFont="1" applyBorder="1" applyAlignment="1">
      <alignment horizontal="left" indent="2"/>
    </xf>
    <xf numFmtId="1" fontId="3" fillId="0" borderId="8" xfId="0" applyNumberFormat="1" applyFont="1" applyBorder="1" applyAlignment="1">
      <alignment horizontal="left" indent="2"/>
    </xf>
    <xf numFmtId="0" fontId="13" fillId="0" borderId="0" xfId="0" applyFont="1" applyAlignment="1">
      <alignment horizontal="right"/>
    </xf>
    <xf numFmtId="164" fontId="20" fillId="0" borderId="0" xfId="0" applyNumberFormat="1" applyFont="1"/>
    <xf numFmtId="164" fontId="20" fillId="0" borderId="0" xfId="0" applyNumberFormat="1" applyFont="1" applyAlignment="1">
      <alignment horizontal="right"/>
    </xf>
    <xf numFmtId="0" fontId="2" fillId="0" borderId="12" xfId="0" applyFont="1" applyBorder="1" applyAlignment="1">
      <alignment horizontal="center" textRotation="90"/>
    </xf>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left" indent="2"/>
    </xf>
    <xf numFmtId="6" fontId="12" fillId="0" borderId="1" xfId="0" applyNumberFormat="1" applyFont="1" applyBorder="1" applyAlignment="1">
      <alignment horizontal="center"/>
    </xf>
    <xf numFmtId="0" fontId="3" fillId="0" borderId="0" xfId="0" applyFont="1" applyBorder="1" applyAlignment="1">
      <alignment horizontal="left" indent="2"/>
    </xf>
    <xf numFmtId="0" fontId="3" fillId="0" borderId="0" xfId="0" applyFont="1" applyAlignment="1">
      <alignment horizontal="center"/>
    </xf>
    <xf numFmtId="0" fontId="5" fillId="0" borderId="12" xfId="0" applyFont="1" applyBorder="1" applyAlignment="1">
      <alignment horizontal="center" textRotation="90"/>
    </xf>
    <xf numFmtId="0" fontId="0" fillId="0" borderId="0" xfId="0" applyNumberFormat="1" applyAlignment="1">
      <alignment horizontal="right"/>
    </xf>
    <xf numFmtId="0" fontId="21" fillId="0" borderId="0" xfId="0" applyFont="1" applyAlignment="1">
      <alignment horizontal="right"/>
    </xf>
    <xf numFmtId="1" fontId="0" fillId="0" borderId="0" xfId="0" applyNumberFormat="1" applyAlignment="1">
      <alignment horizontal="right"/>
    </xf>
    <xf numFmtId="164" fontId="0" fillId="0" borderId="0" xfId="0" applyNumberFormat="1" applyAlignment="1"/>
    <xf numFmtId="2" fontId="0" fillId="0" borderId="0" xfId="0" applyNumberFormat="1" applyAlignment="1">
      <alignment horizontal="right"/>
    </xf>
    <xf numFmtId="0" fontId="0" fillId="0" borderId="0" xfId="0" applyAlignment="1">
      <alignment horizontal="left"/>
    </xf>
    <xf numFmtId="0" fontId="3" fillId="0" borderId="0" xfId="0" applyFont="1" applyAlignment="1">
      <alignment horizontal="center" wrapText="1"/>
    </xf>
    <xf numFmtId="1" fontId="3" fillId="0" borderId="0" xfId="0" applyNumberFormat="1" applyFont="1" applyAlignment="1">
      <alignment horizontal="center" wrapText="1"/>
    </xf>
    <xf numFmtId="165" fontId="3" fillId="0" borderId="0" xfId="0" applyNumberFormat="1" applyFont="1" applyAlignment="1">
      <alignment horizontal="center" wrapText="1"/>
    </xf>
    <xf numFmtId="168" fontId="3" fillId="0" borderId="0" xfId="0" applyNumberFormat="1" applyFont="1" applyAlignment="1">
      <alignment horizontal="center" wrapText="1"/>
    </xf>
    <xf numFmtId="0" fontId="3" fillId="0" borderId="0" xfId="0" applyFont="1" applyAlignment="1">
      <alignment wrapText="1"/>
    </xf>
    <xf numFmtId="164" fontId="3" fillId="0" borderId="0" xfId="0" applyNumberFormat="1" applyFont="1" applyAlignment="1">
      <alignment horizontal="center" wrapText="1"/>
    </xf>
    <xf numFmtId="2" fontId="3" fillId="0" borderId="0" xfId="0" applyNumberFormat="1" applyFont="1" applyAlignment="1">
      <alignment horizontal="center" wrapText="1"/>
    </xf>
    <xf numFmtId="0" fontId="0" fillId="0" borderId="0" xfId="0" applyAlignment="1"/>
    <xf numFmtId="0" fontId="3" fillId="0" borderId="0" xfId="0" applyFont="1" applyAlignment="1">
      <alignment horizontal="right"/>
    </xf>
    <xf numFmtId="1" fontId="3" fillId="0" borderId="0" xfId="0" applyNumberFormat="1" applyFont="1" applyAlignment="1">
      <alignment wrapText="1"/>
    </xf>
    <xf numFmtId="165" fontId="3" fillId="0" borderId="0" xfId="0" applyNumberFormat="1" applyFont="1" applyAlignment="1">
      <alignment wrapText="1"/>
    </xf>
    <xf numFmtId="168" fontId="3" fillId="0" borderId="0" xfId="0" applyNumberFormat="1" applyFont="1" applyAlignment="1">
      <alignment wrapText="1"/>
    </xf>
    <xf numFmtId="0" fontId="3" fillId="0" borderId="0" xfId="0" applyFont="1" applyAlignment="1">
      <alignment horizontal="left"/>
    </xf>
    <xf numFmtId="0" fontId="16" fillId="0" borderId="0" xfId="0" applyFont="1"/>
    <xf numFmtId="0" fontId="3" fillId="0" borderId="0" xfId="0" applyFont="1" applyAlignment="1"/>
    <xf numFmtId="0" fontId="0" fillId="0" borderId="0" xfId="0" applyAlignment="1">
      <alignment horizontal="center"/>
    </xf>
    <xf numFmtId="0" fontId="0" fillId="0" borderId="0" xfId="0" applyAlignment="1">
      <alignment horizontal="left" indent="1"/>
    </xf>
    <xf numFmtId="9" fontId="0" fillId="0" borderId="0" xfId="0" applyNumberFormat="1" applyAlignment="1"/>
    <xf numFmtId="1" fontId="0" fillId="0" borderId="0" xfId="0" applyNumberFormat="1" applyAlignment="1"/>
    <xf numFmtId="165" fontId="0" fillId="0" borderId="0" xfId="0" applyNumberFormat="1" applyAlignment="1"/>
    <xf numFmtId="168" fontId="0" fillId="0" borderId="0" xfId="0" applyNumberFormat="1" applyAlignment="1"/>
    <xf numFmtId="166" fontId="0" fillId="0" borderId="0" xfId="0" applyNumberFormat="1" applyAlignment="1"/>
    <xf numFmtId="2" fontId="0" fillId="0" borderId="0" xfId="0" applyNumberFormat="1" applyAlignment="1"/>
    <xf numFmtId="0" fontId="0" fillId="0" borderId="0" xfId="0" applyFont="1" applyAlignment="1"/>
    <xf numFmtId="168" fontId="3" fillId="0" borderId="0" xfId="0" applyNumberFormat="1" applyFont="1"/>
    <xf numFmtId="2" fontId="3" fillId="0" borderId="0" xfId="0" applyNumberFormat="1" applyFont="1"/>
    <xf numFmtId="168" fontId="0" fillId="0" borderId="0" xfId="0" applyNumberFormat="1"/>
    <xf numFmtId="0" fontId="1" fillId="0" borderId="0" xfId="0" applyFont="1" applyAlignment="1">
      <alignment horizontal="left"/>
    </xf>
    <xf numFmtId="164" fontId="0" fillId="0" borderId="0" xfId="0" applyNumberFormat="1" applyAlignment="1">
      <alignment horizontal="right"/>
    </xf>
    <xf numFmtId="3" fontId="0" fillId="0" borderId="0" xfId="0" applyNumberFormat="1" applyAlignment="1"/>
    <xf numFmtId="1" fontId="1" fillId="0" borderId="5" xfId="0" applyNumberFormat="1" applyFont="1" applyBorder="1" applyAlignment="1"/>
    <xf numFmtId="1" fontId="1" fillId="0" borderId="2" xfId="0" applyNumberFormat="1" applyFont="1" applyBorder="1" applyAlignment="1"/>
    <xf numFmtId="1" fontId="1" fillId="0" borderId="6" xfId="0" applyNumberFormat="1" applyFont="1" applyBorder="1" applyAlignment="1"/>
    <xf numFmtId="1" fontId="0" fillId="0" borderId="5" xfId="0" applyNumberFormat="1" applyBorder="1" applyAlignment="1"/>
    <xf numFmtId="1" fontId="0" fillId="0" borderId="2" xfId="0" applyNumberFormat="1" applyBorder="1" applyAlignment="1"/>
    <xf numFmtId="1" fontId="0" fillId="0" borderId="6" xfId="0" applyNumberFormat="1" applyBorder="1" applyAlignment="1"/>
    <xf numFmtId="3" fontId="1" fillId="0" borderId="2" xfId="0" applyNumberFormat="1" applyFont="1" applyBorder="1" applyAlignment="1"/>
    <xf numFmtId="3" fontId="0" fillId="0" borderId="2" xfId="0" applyNumberFormat="1" applyBorder="1" applyAlignment="1"/>
    <xf numFmtId="3" fontId="0" fillId="0" borderId="15" xfId="0" applyNumberFormat="1" applyBorder="1" applyAlignment="1"/>
    <xf numFmtId="164" fontId="0" fillId="0" borderId="2" xfId="0" applyNumberFormat="1" applyBorder="1" applyAlignment="1"/>
    <xf numFmtId="3" fontId="0" fillId="0" borderId="5" xfId="0" applyNumberFormat="1" applyBorder="1" applyAlignment="1"/>
    <xf numFmtId="3" fontId="0" fillId="0" borderId="6" xfId="0" applyNumberFormat="1" applyBorder="1" applyAlignment="1"/>
    <xf numFmtId="3" fontId="0" fillId="0" borderId="16" xfId="0" applyNumberFormat="1" applyBorder="1" applyAlignment="1"/>
    <xf numFmtId="3" fontId="0" fillId="0" borderId="17" xfId="0" applyNumberFormat="1" applyBorder="1" applyAlignment="1"/>
    <xf numFmtId="0" fontId="3" fillId="0" borderId="0" xfId="0" applyFont="1" applyAlignment="1">
      <alignment horizontal="left" indent="1"/>
    </xf>
    <xf numFmtId="0" fontId="32" fillId="4" borderId="42" xfId="4"/>
    <xf numFmtId="0" fontId="31" fillId="3" borderId="42" xfId="2"/>
    <xf numFmtId="10" fontId="32" fillId="4" borderId="42" xfId="4" applyNumberFormat="1"/>
    <xf numFmtId="0" fontId="3" fillId="0" borderId="7" xfId="0" applyFont="1" applyBorder="1" applyAlignment="1">
      <alignment horizontal="right"/>
    </xf>
    <xf numFmtId="0" fontId="3" fillId="0" borderId="0" xfId="0" applyFont="1" applyBorder="1" applyAlignment="1">
      <alignment horizontal="right"/>
    </xf>
    <xf numFmtId="0" fontId="8" fillId="0" borderId="0" xfId="0" applyFont="1"/>
    <xf numFmtId="165" fontId="2" fillId="0" borderId="0" xfId="0" applyNumberFormat="1" applyFont="1" applyAlignment="1">
      <alignment horizontal="right" textRotation="90"/>
    </xf>
    <xf numFmtId="0" fontId="3" fillId="0" borderId="0" xfId="0" applyNumberFormat="1" applyFont="1" applyBorder="1" applyAlignment="1">
      <alignment horizontal="right"/>
    </xf>
    <xf numFmtId="0" fontId="30" fillId="2" borderId="0" xfId="1" applyBorder="1" applyAlignment="1">
      <alignment horizontal="left"/>
    </xf>
    <xf numFmtId="0" fontId="3" fillId="0" borderId="0" xfId="0" applyFont="1" applyBorder="1" applyAlignment="1">
      <alignment horizontal="left"/>
    </xf>
    <xf numFmtId="6" fontId="14" fillId="0" borderId="1" xfId="0" applyNumberFormat="1" applyFont="1" applyBorder="1" applyAlignment="1">
      <alignment horizontal="left"/>
    </xf>
    <xf numFmtId="0" fontId="5" fillId="0" borderId="0" xfId="0" applyFont="1" applyBorder="1" applyAlignment="1">
      <alignment horizontal="left"/>
    </xf>
    <xf numFmtId="164" fontId="3" fillId="0" borderId="0" xfId="0" applyNumberFormat="1" applyFont="1" applyBorder="1" applyAlignment="1">
      <alignment horizontal="left"/>
    </xf>
    <xf numFmtId="0" fontId="22" fillId="0" borderId="12" xfId="0" applyFont="1" applyBorder="1" applyAlignment="1">
      <alignment horizontal="center"/>
    </xf>
    <xf numFmtId="0" fontId="6" fillId="0" borderId="12" xfId="0" applyFont="1" applyBorder="1" applyAlignment="1">
      <alignment horizontal="center" wrapText="1"/>
    </xf>
    <xf numFmtId="166" fontId="0" fillId="0" borderId="0" xfId="0" applyNumberFormat="1" applyAlignment="1">
      <alignment horizontal="right"/>
    </xf>
    <xf numFmtId="1" fontId="31" fillId="3" borderId="42" xfId="2" applyNumberFormat="1" applyAlignment="1"/>
    <xf numFmtId="0" fontId="7" fillId="0" borderId="0" xfId="0" applyFont="1" applyAlignment="1">
      <alignment horizontal="right"/>
    </xf>
    <xf numFmtId="166" fontId="7" fillId="0" borderId="0" xfId="0" applyNumberFormat="1" applyFont="1" applyAlignment="1">
      <alignment horizontal="center"/>
    </xf>
    <xf numFmtId="1" fontId="7" fillId="0" borderId="0" xfId="0" applyNumberFormat="1" applyFont="1" applyAlignment="1">
      <alignment horizontal="right"/>
    </xf>
    <xf numFmtId="1" fontId="7" fillId="0" borderId="0" xfId="0" applyNumberFormat="1" applyFont="1" applyAlignment="1">
      <alignment horizontal="left"/>
    </xf>
    <xf numFmtId="165" fontId="3" fillId="0" borderId="0" xfId="0" applyNumberFormat="1" applyFont="1" applyAlignment="1">
      <alignment horizontal="center" textRotation="180"/>
    </xf>
    <xf numFmtId="165" fontId="0" fillId="0" borderId="0" xfId="0" applyNumberFormat="1" applyAlignment="1">
      <alignment horizontal="center"/>
    </xf>
    <xf numFmtId="0" fontId="1" fillId="0" borderId="0" xfId="0" applyFont="1" applyAlignment="1">
      <alignment horizontal="left" indent="2"/>
    </xf>
    <xf numFmtId="164" fontId="3" fillId="0" borderId="0" xfId="0" applyNumberFormat="1" applyFont="1" applyAlignment="1">
      <alignment horizontal="left"/>
    </xf>
    <xf numFmtId="0" fontId="3" fillId="0" borderId="0" xfId="0" applyFont="1" applyAlignment="1">
      <alignment horizontal="left" indent="4"/>
    </xf>
    <xf numFmtId="0" fontId="8" fillId="0" borderId="0" xfId="0" applyFont="1" applyAlignment="1">
      <alignment horizontal="left" indent="2"/>
    </xf>
    <xf numFmtId="165" fontId="0" fillId="0" borderId="0" xfId="0" applyNumberFormat="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5" fontId="2" fillId="0" borderId="0" xfId="0" applyNumberFormat="1" applyFont="1" applyFill="1" applyAlignment="1">
      <alignment horizontal="right" textRotation="90"/>
    </xf>
    <xf numFmtId="0" fontId="2" fillId="0" borderId="0" xfId="0" applyFont="1" applyAlignment="1">
      <alignment horizontal="right" textRotation="90" wrapText="1"/>
    </xf>
    <xf numFmtId="0" fontId="2" fillId="0" borderId="0" xfId="0" applyFont="1" applyFill="1" applyAlignment="1">
      <alignment horizontal="right" textRotation="90"/>
    </xf>
    <xf numFmtId="0" fontId="2" fillId="0" borderId="0" xfId="0" applyFont="1" applyAlignment="1">
      <alignment horizontal="right" wrapText="1"/>
    </xf>
    <xf numFmtId="165" fontId="0" fillId="0" borderId="0" xfId="0" applyNumberFormat="1" applyBorder="1" applyAlignment="1">
      <alignment horizontal="right"/>
    </xf>
    <xf numFmtId="164" fontId="0" fillId="0" borderId="0" xfId="0" applyNumberFormat="1" applyBorder="1" applyAlignment="1">
      <alignment horizontal="right"/>
    </xf>
    <xf numFmtId="164" fontId="0" fillId="0" borderId="8" xfId="0" applyNumberFormat="1" applyBorder="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164" fontId="3" fillId="0" borderId="8" xfId="0" applyNumberFormat="1" applyFont="1" applyBorder="1" applyAlignment="1">
      <alignment horizontal="right"/>
    </xf>
    <xf numFmtId="165" fontId="3" fillId="0" borderId="0" xfId="0" applyNumberFormat="1" applyFont="1" applyBorder="1" applyAlignment="1">
      <alignment horizontal="right"/>
    </xf>
    <xf numFmtId="165" fontId="3" fillId="0" borderId="8" xfId="0" applyNumberFormat="1" applyFont="1" applyBorder="1" applyAlignment="1">
      <alignment horizontal="right"/>
    </xf>
    <xf numFmtId="3" fontId="3" fillId="0" borderId="0" xfId="0" applyNumberFormat="1" applyFont="1" applyAlignment="1">
      <alignment horizontal="right"/>
    </xf>
    <xf numFmtId="165" fontId="0" fillId="0" borderId="1" xfId="0" applyNumberFormat="1" applyBorder="1" applyAlignment="1">
      <alignment horizontal="right"/>
    </xf>
    <xf numFmtId="164" fontId="0" fillId="0" borderId="1" xfId="0" applyNumberFormat="1" applyBorder="1" applyAlignment="1">
      <alignment horizontal="right"/>
    </xf>
    <xf numFmtId="164" fontId="0" fillId="0" borderId="9" xfId="0" applyNumberFormat="1" applyBorder="1" applyAlignment="1">
      <alignment horizontal="right"/>
    </xf>
    <xf numFmtId="165" fontId="0" fillId="0" borderId="9" xfId="0" applyNumberFormat="1" applyBorder="1" applyAlignment="1">
      <alignment horizontal="right"/>
    </xf>
    <xf numFmtId="165" fontId="0" fillId="0" borderId="8" xfId="0" applyNumberFormat="1" applyBorder="1" applyAlignment="1">
      <alignment horizontal="right"/>
    </xf>
    <xf numFmtId="3" fontId="0" fillId="0" borderId="0" xfId="0" applyNumberFormat="1" applyAlignment="1">
      <alignment horizontal="right"/>
    </xf>
    <xf numFmtId="0" fontId="11" fillId="0" borderId="0" xfId="0" applyFont="1" applyAlignment="1">
      <alignment horizontal="right"/>
    </xf>
    <xf numFmtId="164" fontId="13" fillId="0" borderId="0" xfId="0" applyNumberFormat="1" applyFont="1" applyAlignment="1">
      <alignment horizontal="right"/>
    </xf>
    <xf numFmtId="165" fontId="0" fillId="0" borderId="0" xfId="0" applyNumberFormat="1" applyAlignment="1">
      <alignment horizontal="right" indent="2"/>
    </xf>
    <xf numFmtId="164" fontId="0" fillId="0" borderId="0" xfId="0" applyNumberFormat="1" applyAlignment="1">
      <alignment horizontal="right" indent="2"/>
    </xf>
    <xf numFmtId="164" fontId="0" fillId="0" borderId="8" xfId="0" applyNumberFormat="1" applyBorder="1" applyAlignment="1">
      <alignment horizontal="right" indent="2"/>
    </xf>
    <xf numFmtId="165" fontId="0" fillId="0" borderId="0" xfId="0" applyNumberFormat="1" applyBorder="1" applyAlignment="1">
      <alignment horizontal="right" indent="2"/>
    </xf>
    <xf numFmtId="165" fontId="0" fillId="0" borderId="8" xfId="0" applyNumberFormat="1" applyBorder="1" applyAlignment="1">
      <alignment horizontal="right" indent="2"/>
    </xf>
    <xf numFmtId="3" fontId="0" fillId="0" borderId="0" xfId="0" applyNumberFormat="1" applyAlignment="1">
      <alignment horizontal="right" indent="2"/>
    </xf>
    <xf numFmtId="165" fontId="3" fillId="0" borderId="0" xfId="0" applyNumberFormat="1" applyFont="1" applyAlignment="1">
      <alignment horizontal="right" indent="2"/>
    </xf>
    <xf numFmtId="164" fontId="3" fillId="0" borderId="0" xfId="0" applyNumberFormat="1" applyFont="1" applyAlignment="1">
      <alignment horizontal="right" indent="2"/>
    </xf>
    <xf numFmtId="164" fontId="3" fillId="0" borderId="8" xfId="0" applyNumberFormat="1" applyFont="1" applyBorder="1" applyAlignment="1">
      <alignment horizontal="right" indent="2"/>
    </xf>
    <xf numFmtId="165" fontId="3" fillId="0" borderId="0" xfId="0" applyNumberFormat="1" applyFont="1" applyBorder="1" applyAlignment="1">
      <alignment horizontal="right" indent="2"/>
    </xf>
    <xf numFmtId="165" fontId="3" fillId="0" borderId="8" xfId="0" applyNumberFormat="1" applyFont="1" applyBorder="1" applyAlignment="1">
      <alignment horizontal="right" indent="2"/>
    </xf>
    <xf numFmtId="3" fontId="3" fillId="0" borderId="0" xfId="0" applyNumberFormat="1" applyFont="1" applyAlignment="1">
      <alignment horizontal="right" indent="2"/>
    </xf>
    <xf numFmtId="165" fontId="1" fillId="0" borderId="0" xfId="0" applyNumberFormat="1" applyFont="1" applyAlignment="1">
      <alignment horizontal="right"/>
    </xf>
    <xf numFmtId="3" fontId="1" fillId="0" borderId="0" xfId="0" applyNumberFormat="1" applyFont="1" applyAlignment="1">
      <alignment horizontal="right"/>
    </xf>
    <xf numFmtId="0" fontId="1" fillId="0" borderId="18" xfId="0" applyFont="1" applyBorder="1" applyAlignment="1">
      <alignment horizontal="right"/>
    </xf>
    <xf numFmtId="165"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65" fontId="2" fillId="0" borderId="0" xfId="0" applyNumberFormat="1" applyFont="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right"/>
    </xf>
    <xf numFmtId="165"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7" fillId="0" borderId="0" xfId="0" applyFont="1" applyFill="1" applyAlignment="1">
      <alignment horizontal="right"/>
    </xf>
    <xf numFmtId="5" fontId="2" fillId="0" borderId="0" xfId="0" applyNumberFormat="1" applyFont="1" applyAlignment="1">
      <alignment horizontal="right"/>
    </xf>
    <xf numFmtId="6" fontId="2" fillId="0" borderId="0" xfId="0" applyNumberFormat="1" applyFont="1" applyAlignment="1">
      <alignment horizontal="right"/>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165" fontId="23" fillId="5" borderId="43" xfId="5" applyNumberFormat="1" applyFont="1" applyAlignment="1">
      <alignment horizontal="right"/>
    </xf>
    <xf numFmtId="165" fontId="1" fillId="5" borderId="43" xfId="5" applyNumberFormat="1" applyFont="1" applyAlignment="1">
      <alignment horizontal="right"/>
    </xf>
    <xf numFmtId="164" fontId="1" fillId="0" borderId="0" xfId="0" applyNumberFormat="1" applyFont="1" applyFill="1" applyBorder="1" applyAlignment="1">
      <alignment horizontal="right"/>
    </xf>
    <xf numFmtId="165" fontId="7" fillId="5" borderId="43" xfId="5" applyNumberFormat="1" applyFont="1" applyAlignment="1">
      <alignment horizontal="right"/>
    </xf>
    <xf numFmtId="165" fontId="3" fillId="5" borderId="43" xfId="5" applyNumberFormat="1" applyFont="1" applyAlignment="1">
      <alignment horizontal="right"/>
    </xf>
    <xf numFmtId="164" fontId="8"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3" fillId="0" borderId="0" xfId="0" applyNumberFormat="1" applyFont="1" applyAlignment="1"/>
    <xf numFmtId="3" fontId="3" fillId="0" borderId="0" xfId="0" applyNumberFormat="1" applyFont="1" applyAlignment="1"/>
    <xf numFmtId="0" fontId="3" fillId="0" borderId="0" xfId="0" applyFont="1" applyBorder="1" applyAlignment="1"/>
    <xf numFmtId="165" fontId="3" fillId="0" borderId="0" xfId="0" applyNumberFormat="1" applyFont="1" applyAlignment="1"/>
    <xf numFmtId="164" fontId="3" fillId="0" borderId="8" xfId="0" applyNumberFormat="1" applyFont="1" applyBorder="1" applyAlignment="1"/>
    <xf numFmtId="165" fontId="3" fillId="0" borderId="0" xfId="0" applyNumberFormat="1" applyFont="1" applyBorder="1" applyAlignment="1"/>
    <xf numFmtId="165" fontId="3" fillId="0" borderId="8" xfId="0" applyNumberFormat="1" applyFont="1" applyBorder="1" applyAlignment="1"/>
    <xf numFmtId="0" fontId="1" fillId="0" borderId="0" xfId="0" applyFont="1" applyAlignment="1">
      <alignment horizontal="left" indent="3"/>
    </xf>
    <xf numFmtId="0" fontId="2" fillId="0" borderId="0" xfId="0" applyFont="1" applyAlignment="1">
      <alignment horizontal="left"/>
    </xf>
    <xf numFmtId="0" fontId="13" fillId="0" borderId="0" xfId="0" applyFont="1" applyAlignment="1">
      <alignment horizontal="left"/>
    </xf>
    <xf numFmtId="0" fontId="7" fillId="0" borderId="0" xfId="0" applyFont="1" applyAlignment="1">
      <alignment horizontal="left"/>
    </xf>
    <xf numFmtId="0" fontId="23" fillId="5" borderId="43" xfId="5" applyFont="1" applyAlignment="1">
      <alignment horizontal="left"/>
    </xf>
    <xf numFmtId="0" fontId="2" fillId="0" borderId="0" xfId="0" applyFont="1" applyAlignment="1">
      <alignment horizontal="center"/>
    </xf>
    <xf numFmtId="0" fontId="2"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alignment horizontal="left"/>
    </xf>
    <xf numFmtId="0" fontId="24" fillId="0" borderId="0" xfId="0" applyFont="1" applyAlignment="1">
      <alignment horizontal="right" vertical="center"/>
    </xf>
    <xf numFmtId="0" fontId="2" fillId="0" borderId="11" xfId="0" applyFont="1" applyBorder="1" applyAlignment="1">
      <alignment horizontal="right" textRotation="90"/>
    </xf>
    <xf numFmtId="0" fontId="2" fillId="0" borderId="12" xfId="0" applyFont="1" applyBorder="1" applyAlignment="1">
      <alignment horizontal="right" textRotation="90"/>
    </xf>
    <xf numFmtId="0" fontId="2" fillId="0" borderId="13" xfId="0" applyFont="1" applyBorder="1" applyAlignment="1">
      <alignment horizontal="right" textRotation="90"/>
    </xf>
    <xf numFmtId="164" fontId="3" fillId="0" borderId="0" xfId="0" applyNumberFormat="1" applyFont="1" applyBorder="1" applyAlignment="1">
      <alignment horizontal="right"/>
    </xf>
    <xf numFmtId="0" fontId="3" fillId="0" borderId="8" xfId="0" applyFont="1" applyBorder="1" applyAlignment="1">
      <alignment horizontal="right"/>
    </xf>
    <xf numFmtId="0" fontId="8" fillId="0" borderId="8" xfId="0" applyFont="1" applyBorder="1" applyAlignment="1">
      <alignment horizontal="right"/>
    </xf>
    <xf numFmtId="164" fontId="2" fillId="0" borderId="0" xfId="0" applyNumberFormat="1" applyFont="1" applyBorder="1" applyAlignment="1">
      <alignment horizontal="right"/>
    </xf>
    <xf numFmtId="0" fontId="2" fillId="0" borderId="8" xfId="0" applyFont="1" applyBorder="1" applyAlignment="1">
      <alignment horizontal="right"/>
    </xf>
    <xf numFmtId="0" fontId="0" fillId="0" borderId="8" xfId="0" applyBorder="1" applyAlignment="1">
      <alignment horizontal="right"/>
    </xf>
    <xf numFmtId="0" fontId="9" fillId="0" borderId="8" xfId="0" applyFont="1"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0" fontId="1" fillId="0" borderId="8" xfId="0" applyFont="1" applyBorder="1" applyAlignment="1">
      <alignment horizontal="right"/>
    </xf>
    <xf numFmtId="3" fontId="1" fillId="0" borderId="19" xfId="0" applyNumberFormat="1" applyFont="1" applyBorder="1" applyAlignment="1">
      <alignment horizontal="right"/>
    </xf>
    <xf numFmtId="164" fontId="1" fillId="0" borderId="19" xfId="0" applyNumberFormat="1" applyFont="1" applyBorder="1" applyAlignment="1">
      <alignment horizontal="right"/>
    </xf>
    <xf numFmtId="164" fontId="1" fillId="0" borderId="20" xfId="0" applyNumberFormat="1" applyFont="1" applyBorder="1" applyAlignment="1">
      <alignment horizontal="right"/>
    </xf>
    <xf numFmtId="3" fontId="1" fillId="0" borderId="21" xfId="0" applyNumberFormat="1" applyFont="1" applyBorder="1" applyAlignment="1">
      <alignment horizontal="right"/>
    </xf>
    <xf numFmtId="164" fontId="6" fillId="0" borderId="22" xfId="0" applyNumberFormat="1" applyFont="1" applyBorder="1" applyAlignment="1">
      <alignment horizontal="right"/>
    </xf>
    <xf numFmtId="164" fontId="6" fillId="0" borderId="0" xfId="0" applyNumberFormat="1" applyFont="1"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0" fontId="0" fillId="0" borderId="5"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23" xfId="0" applyNumberFormat="1" applyBorder="1" applyAlignment="1">
      <alignment horizontal="right"/>
    </xf>
    <xf numFmtId="164" fontId="0" fillId="0" borderId="24" xfId="0" applyNumberFormat="1" applyBorder="1" applyAlignment="1">
      <alignment horizontal="right"/>
    </xf>
    <xf numFmtId="164" fontId="0" fillId="0" borderId="25" xfId="0" applyNumberFormat="1" applyBorder="1" applyAlignment="1">
      <alignment horizontal="right"/>
    </xf>
    <xf numFmtId="164" fontId="0" fillId="0" borderId="16" xfId="0" applyNumberFormat="1" applyBorder="1" applyAlignment="1">
      <alignment horizontal="right"/>
    </xf>
    <xf numFmtId="164" fontId="0" fillId="0" borderId="15" xfId="0" applyNumberFormat="1" applyBorder="1" applyAlignment="1">
      <alignment horizontal="right"/>
    </xf>
    <xf numFmtId="164" fontId="0" fillId="0" borderId="17" xfId="0" applyNumberFormat="1" applyBorder="1" applyAlignment="1">
      <alignment horizontal="right"/>
    </xf>
    <xf numFmtId="167" fontId="21" fillId="0" borderId="0" xfId="0" applyNumberFormat="1" applyFont="1" applyAlignment="1">
      <alignment horizontal="right"/>
    </xf>
    <xf numFmtId="1" fontId="3" fillId="0" borderId="0" xfId="0" applyNumberFormat="1" applyFont="1" applyBorder="1" applyAlignment="1">
      <alignment horizontal="right"/>
    </xf>
    <xf numFmtId="0" fontId="1" fillId="0" borderId="19" xfId="0" applyFont="1" applyBorder="1" applyAlignment="1">
      <alignment horizontal="right"/>
    </xf>
    <xf numFmtId="165" fontId="3" fillId="0" borderId="0" xfId="0" applyNumberFormat="1" applyFont="1" applyAlignment="1">
      <alignment horizontal="left" indent="2"/>
    </xf>
    <xf numFmtId="164" fontId="3" fillId="0" borderId="0" xfId="0" applyNumberFormat="1" applyFont="1" applyAlignment="1">
      <alignment horizontal="left" indent="2"/>
    </xf>
    <xf numFmtId="165" fontId="3" fillId="0" borderId="8" xfId="0" applyNumberFormat="1" applyFont="1" applyBorder="1" applyAlignment="1">
      <alignment horizontal="left" indent="2"/>
    </xf>
    <xf numFmtId="3" fontId="3" fillId="0" borderId="0" xfId="0" applyNumberFormat="1" applyFont="1" applyAlignment="1">
      <alignment horizontal="left" indent="2"/>
    </xf>
    <xf numFmtId="0" fontId="8" fillId="0" borderId="8" xfId="0" applyFont="1" applyBorder="1" applyAlignment="1">
      <alignment horizontal="left" indent="2"/>
    </xf>
    <xf numFmtId="0" fontId="8" fillId="0" borderId="0" xfId="0" applyFont="1" applyBorder="1" applyAlignment="1">
      <alignment horizontal="left" indent="2"/>
    </xf>
    <xf numFmtId="0" fontId="8" fillId="0" borderId="0" xfId="0" applyFont="1" applyAlignment="1">
      <alignment horizontal="left" indent="4"/>
    </xf>
    <xf numFmtId="0" fontId="1" fillId="0" borderId="0" xfId="0" applyFont="1" applyBorder="1" applyAlignment="1">
      <alignment horizontal="left"/>
    </xf>
    <xf numFmtId="0" fontId="1" fillId="0" borderId="7" xfId="0" applyFont="1" applyBorder="1" applyAlignment="1">
      <alignment horizontal="left"/>
    </xf>
    <xf numFmtId="0" fontId="3" fillId="0" borderId="0" xfId="0" applyFont="1" applyBorder="1"/>
    <xf numFmtId="0" fontId="0" fillId="0" borderId="0" xfId="0" applyBorder="1"/>
    <xf numFmtId="0" fontId="0" fillId="0" borderId="0" xfId="0" applyBorder="1" applyAlignment="1">
      <alignment horizontal="left"/>
    </xf>
    <xf numFmtId="6" fontId="12" fillId="0" borderId="7" xfId="0" applyNumberFormat="1" applyFont="1" applyBorder="1" applyAlignment="1">
      <alignment horizontal="center"/>
    </xf>
    <xf numFmtId="6" fontId="12" fillId="0" borderId="0" xfId="0" applyNumberFormat="1" applyFont="1" applyBorder="1" applyAlignment="1">
      <alignment horizontal="center"/>
    </xf>
    <xf numFmtId="6" fontId="14" fillId="0" borderId="0" xfId="0" applyNumberFormat="1" applyFont="1" applyBorder="1" applyAlignment="1">
      <alignment horizontal="left"/>
    </xf>
    <xf numFmtId="0" fontId="3" fillId="0" borderId="0" xfId="0" applyFont="1" applyAlignment="1">
      <alignment horizontal="left" indent="3"/>
    </xf>
    <xf numFmtId="3" fontId="3" fillId="0" borderId="0" xfId="0" applyNumberFormat="1" applyFont="1" applyAlignment="1">
      <alignment horizontal="left"/>
    </xf>
    <xf numFmtId="0" fontId="8" fillId="0" borderId="8" xfId="0" applyFont="1" applyBorder="1" applyAlignment="1">
      <alignment horizontal="left"/>
    </xf>
    <xf numFmtId="0" fontId="8" fillId="0" borderId="0" xfId="0" applyFont="1" applyBorder="1" applyAlignment="1">
      <alignment horizontal="left"/>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3" xfId="0" applyFont="1" applyBorder="1" applyAlignment="1">
      <alignment horizontal="center"/>
    </xf>
    <xf numFmtId="42" fontId="1" fillId="0" borderId="26" xfId="3" applyFont="1" applyBorder="1" applyAlignment="1">
      <alignment horizontal="center"/>
    </xf>
    <xf numFmtId="42" fontId="1" fillId="0" borderId="25" xfId="3" applyFont="1" applyBorder="1" applyAlignment="1">
      <alignment horizontal="center"/>
    </xf>
    <xf numFmtId="1" fontId="0" fillId="0" borderId="28" xfId="0" applyNumberFormat="1" applyBorder="1"/>
    <xf numFmtId="1" fontId="0" fillId="0" borderId="29" xfId="0" applyNumberFormat="1" applyBorder="1"/>
    <xf numFmtId="1" fontId="0" fillId="0" borderId="30" xfId="0" applyNumberFormat="1" applyBorder="1"/>
    <xf numFmtId="1" fontId="0" fillId="0" borderId="31" xfId="0" applyNumberFormat="1" applyBorder="1"/>
    <xf numFmtId="164" fontId="0" fillId="0" borderId="30" xfId="0" applyNumberFormat="1" applyBorder="1"/>
    <xf numFmtId="164" fontId="0" fillId="0" borderId="29" xfId="0" applyNumberFormat="1" applyBorder="1"/>
    <xf numFmtId="1" fontId="0" fillId="0" borderId="3" xfId="0" applyNumberFormat="1" applyBorder="1"/>
    <xf numFmtId="1" fontId="3" fillId="0" borderId="0" xfId="0" applyNumberFormat="1" applyFont="1"/>
    <xf numFmtId="0" fontId="3" fillId="0" borderId="0" xfId="0" applyFont="1" applyFill="1" applyBorder="1" applyAlignment="1">
      <alignment horizontal="right"/>
    </xf>
    <xf numFmtId="2" fontId="0" fillId="0" borderId="0" xfId="0" applyNumberFormat="1"/>
    <xf numFmtId="164" fontId="0" fillId="0" borderId="0" xfId="0" applyNumberFormat="1"/>
    <xf numFmtId="164" fontId="3" fillId="0" borderId="0" xfId="0" applyNumberFormat="1" applyFont="1"/>
    <xf numFmtId="0" fontId="15" fillId="0" borderId="0" xfId="0" applyFont="1"/>
    <xf numFmtId="42" fontId="0" fillId="0" borderId="0" xfId="3" applyFont="1"/>
    <xf numFmtId="0" fontId="3" fillId="0" borderId="23" xfId="0" applyFont="1" applyBorder="1" applyAlignment="1">
      <alignment horizontal="center"/>
    </xf>
    <xf numFmtId="0" fontId="3" fillId="0" borderId="27"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42" fontId="3" fillId="0" borderId="23" xfId="3" applyFont="1" applyBorder="1" applyAlignment="1">
      <alignment horizontal="center"/>
    </xf>
    <xf numFmtId="42" fontId="3" fillId="0" borderId="25" xfId="3" applyFont="1" applyBorder="1" applyAlignment="1">
      <alignment horizontal="center"/>
    </xf>
    <xf numFmtId="0" fontId="0" fillId="0" borderId="28" xfId="0" applyBorder="1"/>
    <xf numFmtId="0" fontId="0" fillId="0" borderId="31" xfId="0" applyBorder="1"/>
    <xf numFmtId="0" fontId="0" fillId="0" borderId="29" xfId="0" applyBorder="1"/>
    <xf numFmtId="0" fontId="0" fillId="0" borderId="30" xfId="0" applyBorder="1"/>
    <xf numFmtId="42" fontId="0" fillId="0" borderId="28" xfId="3" applyFont="1" applyBorder="1"/>
    <xf numFmtId="42" fontId="0" fillId="0" borderId="29" xfId="3" applyFont="1" applyBorder="1"/>
    <xf numFmtId="0" fontId="0" fillId="0" borderId="14" xfId="0" applyBorder="1"/>
    <xf numFmtId="0" fontId="0" fillId="0" borderId="4" xfId="0" applyBorder="1"/>
    <xf numFmtId="0" fontId="0" fillId="0" borderId="9" xfId="0" applyBorder="1"/>
    <xf numFmtId="42" fontId="0" fillId="0" borderId="3" xfId="3" applyFont="1" applyBorder="1"/>
    <xf numFmtId="42" fontId="0" fillId="0" borderId="4" xfId="3" applyFont="1" applyBorder="1"/>
    <xf numFmtId="0" fontId="0" fillId="0" borderId="23" xfId="0" applyBorder="1"/>
    <xf numFmtId="0" fontId="0" fillId="0" borderId="27" xfId="0" applyBorder="1"/>
    <xf numFmtId="0" fontId="0" fillId="0" borderId="25" xfId="0" applyBorder="1"/>
    <xf numFmtId="0" fontId="0" fillId="0" borderId="26" xfId="0" applyBorder="1"/>
    <xf numFmtId="42" fontId="0" fillId="0" borderId="23" xfId="3" applyFont="1" applyBorder="1"/>
    <xf numFmtId="42" fontId="0" fillId="0" borderId="25" xfId="3" applyFont="1" applyBorder="1"/>
    <xf numFmtId="0" fontId="3" fillId="0" borderId="0" xfId="0" applyFont="1" applyFill="1" applyBorder="1" applyAlignment="1">
      <alignment horizontal="left" indent="2"/>
    </xf>
    <xf numFmtId="165" fontId="3" fillId="0" borderId="8" xfId="0" applyNumberFormat="1" applyFont="1" applyFill="1" applyBorder="1" applyAlignment="1">
      <alignment horizontal="right"/>
    </xf>
    <xf numFmtId="165" fontId="3" fillId="0" borderId="8" xfId="0" applyNumberFormat="1" applyFont="1" applyFill="1" applyBorder="1" applyAlignment="1">
      <alignment horizontal="right" indent="2"/>
    </xf>
    <xf numFmtId="165" fontId="3" fillId="0" borderId="8" xfId="0" applyNumberFormat="1" applyFont="1" applyFill="1" applyBorder="1" applyAlignment="1"/>
    <xf numFmtId="165" fontId="3" fillId="0" borderId="0" xfId="0" applyNumberFormat="1" applyFont="1" applyFill="1" applyBorder="1" applyAlignment="1"/>
    <xf numFmtId="0" fontId="3" fillId="0" borderId="0" xfId="0" applyFont="1" applyAlignment="1">
      <alignment wrapText="1"/>
    </xf>
    <xf numFmtId="0" fontId="0" fillId="0" borderId="0" xfId="0" applyAlignment="1"/>
    <xf numFmtId="1" fontId="1" fillId="0" borderId="32" xfId="0" applyNumberFormat="1"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1" fontId="1" fillId="0" borderId="5" xfId="0" applyNumberFormat="1"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42" fontId="11" fillId="0" borderId="30" xfId="3" applyFont="1" applyBorder="1" applyAlignment="1">
      <alignment horizontal="center"/>
    </xf>
    <xf numFmtId="42" fontId="11" fillId="0" borderId="29" xfId="3"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42" fontId="3" fillId="0" borderId="28" xfId="3" applyFont="1" applyBorder="1" applyAlignment="1">
      <alignment horizontal="center"/>
    </xf>
    <xf numFmtId="42" fontId="3" fillId="0" borderId="29" xfId="3" applyFont="1" applyBorder="1" applyAlignment="1">
      <alignment horizontal="center"/>
    </xf>
    <xf numFmtId="0" fontId="3" fillId="0" borderId="28" xfId="0" applyFont="1" applyBorder="1" applyAlignment="1">
      <alignment horizontal="center"/>
    </xf>
    <xf numFmtId="0" fontId="3" fillId="0" borderId="31"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0" fillId="2" borderId="12" xfId="1" applyBorder="1" applyAlignment="1">
      <alignment horizontal="center"/>
    </xf>
    <xf numFmtId="0" fontId="3" fillId="5" borderId="43" xfId="5" applyFont="1" applyAlignment="1">
      <alignment horizontal="right"/>
    </xf>
    <xf numFmtId="0" fontId="23" fillId="5" borderId="43" xfId="5" applyFont="1" applyAlignment="1">
      <alignment horizontal="right"/>
    </xf>
    <xf numFmtId="0" fontId="18" fillId="5" borderId="43" xfId="5" applyFont="1" applyAlignment="1">
      <alignment horizontal="right" wrapText="1"/>
    </xf>
    <xf numFmtId="0" fontId="3" fillId="0" borderId="1" xfId="0" applyFont="1" applyBorder="1" applyAlignment="1">
      <alignment horizontal="left"/>
    </xf>
    <xf numFmtId="0" fontId="0" fillId="0" borderId="1" xfId="0" applyBorder="1" applyAlignment="1">
      <alignment horizontal="left"/>
    </xf>
    <xf numFmtId="0" fontId="0" fillId="0" borderId="9" xfId="0" applyBorder="1" applyAlignment="1">
      <alignment horizontal="left"/>
    </xf>
    <xf numFmtId="0" fontId="3" fillId="0" borderId="9" xfId="0" applyFont="1" applyBorder="1" applyAlignment="1">
      <alignment horizontal="left"/>
    </xf>
    <xf numFmtId="0" fontId="25" fillId="0" borderId="35" xfId="0" applyFont="1" applyBorder="1" applyAlignment="1">
      <alignment horizontal="center"/>
    </xf>
    <xf numFmtId="0" fontId="25" fillId="0" borderId="1" xfId="0" applyFont="1" applyBorder="1" applyAlignment="1">
      <alignment horizontal="center"/>
    </xf>
    <xf numFmtId="0" fontId="25" fillId="0" borderId="36" xfId="0" applyFont="1" applyBorder="1" applyAlignment="1">
      <alignment horizontal="center"/>
    </xf>
    <xf numFmtId="166" fontId="25" fillId="0" borderId="37" xfId="0" applyNumberFormat="1" applyFont="1" applyBorder="1" applyAlignment="1">
      <alignment horizontal="center" vertical="center"/>
    </xf>
    <xf numFmtId="0" fontId="0" fillId="0" borderId="18" xfId="0" applyBorder="1" applyAlignment="1">
      <alignment vertical="center"/>
    </xf>
    <xf numFmtId="0" fontId="0" fillId="0" borderId="38" xfId="0" applyBorder="1" applyAlignment="1">
      <alignment vertical="center"/>
    </xf>
    <xf numFmtId="0" fontId="24" fillId="0" borderId="37" xfId="0" applyFont="1" applyBorder="1" applyAlignment="1">
      <alignment horizontal="right" vertical="center"/>
    </xf>
    <xf numFmtId="0" fontId="24" fillId="0" borderId="18" xfId="0" applyFont="1" applyBorder="1" applyAlignment="1">
      <alignment horizontal="right" vertical="center"/>
    </xf>
    <xf numFmtId="0" fontId="24" fillId="0" borderId="38" xfId="0" applyFont="1" applyBorder="1" applyAlignment="1">
      <alignment horizontal="right" vertical="center"/>
    </xf>
    <xf numFmtId="0" fontId="24" fillId="0" borderId="28" xfId="0" applyFont="1" applyBorder="1" applyAlignment="1">
      <alignment horizontal="center" vertical="center"/>
    </xf>
    <xf numFmtId="0" fontId="24" fillId="0" borderId="39" xfId="0" applyFont="1" applyBorder="1" applyAlignment="1">
      <alignment horizontal="center" vertical="center"/>
    </xf>
    <xf numFmtId="0" fontId="24" fillId="0" borderId="29"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40" xfId="0" applyFont="1" applyBorder="1" applyAlignment="1">
      <alignment horizontal="center"/>
    </xf>
    <xf numFmtId="0" fontId="25" fillId="0" borderId="41" xfId="0" applyFont="1" applyBorder="1" applyAlignment="1">
      <alignment horizontal="center"/>
    </xf>
    <xf numFmtId="0" fontId="1" fillId="0" borderId="0" xfId="0" applyFont="1" applyAlignment="1"/>
    <xf numFmtId="0" fontId="0" fillId="0" borderId="0" xfId="0" applyAlignment="1">
      <alignment wrapText="1"/>
    </xf>
    <xf numFmtId="0" fontId="32" fillId="4" borderId="42" xfId="4" applyAlignment="1"/>
    <xf numFmtId="0" fontId="15" fillId="0" borderId="0" xfId="0" applyFont="1" applyAlignment="1"/>
    <xf numFmtId="0" fontId="3" fillId="0" borderId="0" xfId="0" applyFont="1" applyAlignment="1"/>
    <xf numFmtId="0" fontId="3" fillId="0" borderId="0" xfId="0" applyFont="1" applyFill="1" applyAlignment="1">
      <alignment horizontal="left" indent="4"/>
    </xf>
    <xf numFmtId="0" fontId="3" fillId="0" borderId="0" xfId="0" applyFont="1" applyFill="1"/>
    <xf numFmtId="165" fontId="3" fillId="0" borderId="0" xfId="0" applyNumberFormat="1" applyFont="1" applyFill="1" applyAlignment="1"/>
    <xf numFmtId="0" fontId="3" fillId="0" borderId="0" xfId="0" applyFont="1" applyFill="1" applyAlignment="1">
      <alignment horizontal="left"/>
    </xf>
    <xf numFmtId="164" fontId="3" fillId="0" borderId="0" xfId="0" applyNumberFormat="1" applyFont="1" applyFill="1" applyAlignment="1"/>
    <xf numFmtId="164" fontId="3" fillId="0" borderId="8" xfId="0" applyNumberFormat="1" applyFont="1" applyFill="1" applyBorder="1" applyAlignment="1">
      <alignment horizontal="right"/>
    </xf>
    <xf numFmtId="165" fontId="3" fillId="0" borderId="0" xfId="0" applyNumberFormat="1" applyFont="1" applyFill="1" applyBorder="1" applyAlignment="1">
      <alignment horizontal="right"/>
    </xf>
    <xf numFmtId="164" fontId="3" fillId="0" borderId="0" xfId="0" applyNumberFormat="1" applyFont="1" applyFill="1" applyAlignment="1">
      <alignment horizontal="right"/>
    </xf>
    <xf numFmtId="0" fontId="3" fillId="0" borderId="0" xfId="0" applyFont="1" applyFill="1" applyAlignment="1">
      <alignment horizontal="left" indent="2"/>
    </xf>
    <xf numFmtId="3" fontId="3" fillId="0" borderId="0" xfId="0" applyNumberFormat="1" applyFont="1" applyFill="1" applyAlignment="1"/>
    <xf numFmtId="3" fontId="3" fillId="0" borderId="0" xfId="0" applyNumberFormat="1" applyFont="1" applyFill="1" applyAlignment="1">
      <alignment horizontal="left" indent="2"/>
    </xf>
    <xf numFmtId="0" fontId="1" fillId="0" borderId="7" xfId="0" applyFont="1" applyFill="1" applyBorder="1" applyAlignment="1">
      <alignment horizontal="left"/>
    </xf>
    <xf numFmtId="0" fontId="3" fillId="0" borderId="0" xfId="0" applyFont="1" applyFill="1" applyBorder="1" applyAlignment="1">
      <alignment horizontal="left"/>
    </xf>
    <xf numFmtId="1" fontId="3" fillId="0" borderId="8" xfId="0" applyNumberFormat="1" applyFont="1" applyFill="1" applyBorder="1" applyAlignment="1">
      <alignment horizontal="left" indent="2"/>
    </xf>
    <xf numFmtId="0" fontId="8" fillId="0" borderId="8" xfId="0" applyFont="1" applyFill="1" applyBorder="1" applyAlignment="1">
      <alignment horizontal="left" indent="2"/>
    </xf>
    <xf numFmtId="0" fontId="8" fillId="0" borderId="0" xfId="0" applyFont="1" applyFill="1" applyBorder="1" applyAlignment="1">
      <alignment horizontal="left" indent="2"/>
    </xf>
    <xf numFmtId="164" fontId="3" fillId="0" borderId="0" xfId="0" applyNumberFormat="1" applyFont="1" applyFill="1" applyAlignment="1">
      <alignment horizontal="left" indent="2"/>
    </xf>
    <xf numFmtId="0" fontId="3" fillId="0" borderId="7" xfId="0" applyFont="1" applyFill="1" applyBorder="1" applyAlignment="1">
      <alignment horizontal="right"/>
    </xf>
    <xf numFmtId="0" fontId="8" fillId="0" borderId="0" xfId="0" applyFont="1" applyFill="1" applyAlignment="1">
      <alignment horizontal="left" indent="4"/>
    </xf>
  </cellXfs>
  <cellStyles count="6">
    <cellStyle name="Bad" xfId="1" builtinId="27"/>
    <cellStyle name="Calculation" xfId="2" builtinId="22"/>
    <cellStyle name="Currency [0]" xfId="3" builtinId="7"/>
    <cellStyle name="Input" xfId="4" builtinId="20"/>
    <cellStyle name="Normal" xfId="0" builtinId="0"/>
    <cellStyle name="Note" xfId="5" builtinId="10"/>
  </cellStyles>
  <dxfs count="2">
    <dxf>
      <font>
        <strike/>
      </font>
    </dxf>
    <dxf>
      <font>
        <strik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9120879120879117E-2"/>
          <c:y val="3.9184952978056443E-2"/>
          <c:w val="0.77912087912088557"/>
          <c:h val="0.87460815047022278"/>
        </c:manualLayout>
      </c:layout>
      <c:areaChart>
        <c:grouping val="stacked"/>
        <c:ser>
          <c:idx val="1"/>
          <c:order val="0"/>
          <c:tx>
            <c:v>Base Cost</c:v>
          </c:tx>
          <c:cat>
            <c:numRef>
              <c:f>SUMMARY!$A$34:$A$39</c:f>
              <c:numCache>
                <c:formatCode>0</c:formatCode>
                <c:ptCount val="6"/>
                <c:pt idx="0">
                  <c:v>2009</c:v>
                </c:pt>
                <c:pt idx="1">
                  <c:v>2010</c:v>
                </c:pt>
                <c:pt idx="2">
                  <c:v>2011</c:v>
                </c:pt>
                <c:pt idx="3">
                  <c:v>2012</c:v>
                </c:pt>
                <c:pt idx="4">
                  <c:v>2013</c:v>
                </c:pt>
                <c:pt idx="5">
                  <c:v>2014</c:v>
                </c:pt>
              </c:numCache>
            </c:numRef>
          </c:cat>
          <c:val>
            <c:numRef>
              <c:f>SUMMARY!$H$14:$H$19</c:f>
              <c:numCache>
                <c:formatCode>#,##0</c:formatCode>
                <c:ptCount val="6"/>
                <c:pt idx="0">
                  <c:v>0</c:v>
                </c:pt>
                <c:pt idx="1">
                  <c:v>202830.48</c:v>
                </c:pt>
                <c:pt idx="2">
                  <c:v>406017.76</c:v>
                </c:pt>
                <c:pt idx="3">
                  <c:v>718463.10000000009</c:v>
                </c:pt>
                <c:pt idx="4">
                  <c:v>920933.82000000007</c:v>
                </c:pt>
                <c:pt idx="5">
                  <c:v>62195.92</c:v>
                </c:pt>
              </c:numCache>
            </c:numRef>
          </c:val>
        </c:ser>
        <c:ser>
          <c:idx val="2"/>
          <c:order val="1"/>
          <c:tx>
            <c:v>Contingency</c:v>
          </c:tx>
          <c:cat>
            <c:numRef>
              <c:f>SUMMARY!$A$34:$A$39</c:f>
              <c:numCache>
                <c:formatCode>0</c:formatCode>
                <c:ptCount val="6"/>
                <c:pt idx="0">
                  <c:v>2009</c:v>
                </c:pt>
                <c:pt idx="1">
                  <c:v>2010</c:v>
                </c:pt>
                <c:pt idx="2">
                  <c:v>2011</c:v>
                </c:pt>
                <c:pt idx="3">
                  <c:v>2012</c:v>
                </c:pt>
                <c:pt idx="4">
                  <c:v>2013</c:v>
                </c:pt>
                <c:pt idx="5">
                  <c:v>2014</c:v>
                </c:pt>
              </c:numCache>
            </c:numRef>
          </c:cat>
          <c:val>
            <c:numRef>
              <c:f>SUMMARY!$R$14:$R$19</c:f>
              <c:numCache>
                <c:formatCode>#,##0</c:formatCode>
                <c:ptCount val="6"/>
                <c:pt idx="0">
                  <c:v>0</c:v>
                </c:pt>
                <c:pt idx="1">
                  <c:v>34236</c:v>
                </c:pt>
                <c:pt idx="2">
                  <c:v>52437.440000000002</c:v>
                </c:pt>
                <c:pt idx="3">
                  <c:v>420315.25</c:v>
                </c:pt>
                <c:pt idx="4">
                  <c:v>145789.08000000002</c:v>
                </c:pt>
                <c:pt idx="5">
                  <c:v>78683.22</c:v>
                </c:pt>
              </c:numCache>
            </c:numRef>
          </c:val>
        </c:ser>
        <c:axId val="80798464"/>
        <c:axId val="80800000"/>
      </c:areaChart>
      <c:catAx>
        <c:axId val="80798464"/>
        <c:scaling>
          <c:orientation val="minMax"/>
        </c:scaling>
        <c:axPos val="b"/>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800000"/>
        <c:crosses val="autoZero"/>
        <c:auto val="1"/>
        <c:lblAlgn val="ctr"/>
        <c:lblOffset val="100"/>
      </c:catAx>
      <c:valAx>
        <c:axId val="8080000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798464"/>
        <c:crosses val="autoZero"/>
        <c:crossBetween val="midCat"/>
      </c:valAx>
    </c:plotArea>
    <c:legend>
      <c:legendPos val="r"/>
      <c:layout>
        <c:manualLayout>
          <c:xMode val="edge"/>
          <c:yMode val="edge"/>
          <c:x val="0.89074693422519546"/>
          <c:y val="0.45826513911620276"/>
          <c:w val="9.9219620958751142E-2"/>
          <c:h val="7.8559738134206525E-2"/>
        </c:manualLayout>
      </c:layout>
      <c:txPr>
        <a:bodyPr/>
        <a:lstStyle/>
        <a:p>
          <a:pPr>
            <a:defRPr sz="920" b="0" i="0" u="none" strike="noStrike" baseline="0">
              <a:solidFill>
                <a:srgbClr val="000000"/>
              </a:solidFill>
              <a:latin typeface="Calibri"/>
              <a:ea typeface="Calibri"/>
              <a:cs typeface="Calibri"/>
            </a:defRPr>
          </a:pPr>
          <a:endParaRPr lang="en-US"/>
        </a:p>
      </c:txPr>
    </c:legend>
    <c:plotVisOnly val="1"/>
    <c:dispBlanksAs val="zero"/>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149" workbookViewId="0"/>
  </sheetViews>
  <pageMargins left="0.7" right="0.7" top="0.75" bottom="0.75" header="0.3" footer="0.3"/>
  <pageSetup orientation="landscape" horizontalDpi="4294967293"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43925" cy="5819775"/>
    <xdr:graphicFrame macro="">
      <xdr:nvGraphicFramePr>
        <xdr:cNvPr id="2" name="Shap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D1:E28"/>
  <sheetViews>
    <sheetView topLeftCell="A4" workbookViewId="0">
      <selection activeCell="D8" sqref="D8:D28"/>
    </sheetView>
  </sheetViews>
  <sheetFormatPr defaultRowHeight="12.75"/>
  <cols>
    <col min="4" max="4" width="14.5703125" customWidth="1"/>
    <col min="5" max="5" width="44" bestFit="1" customWidth="1"/>
  </cols>
  <sheetData>
    <row r="1" spans="4:5">
      <c r="D1" s="338" t="s">
        <v>147</v>
      </c>
      <c r="E1" s="339"/>
    </row>
    <row r="2" spans="4:5" ht="12.75" customHeight="1">
      <c r="D2" s="339"/>
      <c r="E2" s="339"/>
    </row>
    <row r="3" spans="4:5">
      <c r="D3" s="339"/>
      <c r="E3" s="339"/>
    </row>
    <row r="4" spans="4:5">
      <c r="D4" s="339"/>
      <c r="E4" s="339"/>
    </row>
    <row r="5" spans="4:5">
      <c r="D5" s="339"/>
      <c r="E5" s="339"/>
    </row>
    <row r="7" spans="4:5">
      <c r="D7" s="45" t="s">
        <v>132</v>
      </c>
      <c r="E7" s="45" t="s">
        <v>143</v>
      </c>
    </row>
    <row r="8" spans="4:5">
      <c r="D8" s="18" t="s">
        <v>172</v>
      </c>
      <c r="E8" s="18" t="s">
        <v>171</v>
      </c>
    </row>
    <row r="9" spans="4:5">
      <c r="D9" s="123" t="s">
        <v>173</v>
      </c>
      <c r="E9" s="18" t="s">
        <v>174</v>
      </c>
    </row>
    <row r="10" spans="4:5">
      <c r="D10" s="42" t="s">
        <v>175</v>
      </c>
      <c r="E10" s="18" t="s">
        <v>176</v>
      </c>
    </row>
    <row r="11" spans="4:5">
      <c r="D11" s="42" t="s">
        <v>177</v>
      </c>
      <c r="E11" s="18" t="s">
        <v>178</v>
      </c>
    </row>
    <row r="12" spans="4:5">
      <c r="D12" s="123" t="s">
        <v>179</v>
      </c>
      <c r="E12" s="18" t="s">
        <v>180</v>
      </c>
    </row>
    <row r="13" spans="4:5">
      <c r="D13" s="42" t="s">
        <v>181</v>
      </c>
      <c r="E13" s="18" t="s">
        <v>182</v>
      </c>
    </row>
    <row r="14" spans="4:5">
      <c r="D14" s="42" t="s">
        <v>183</v>
      </c>
      <c r="E14" s="18" t="s">
        <v>184</v>
      </c>
    </row>
    <row r="15" spans="4:5">
      <c r="D15" s="123" t="s">
        <v>185</v>
      </c>
      <c r="E15" s="18" t="s">
        <v>186</v>
      </c>
    </row>
    <row r="16" spans="4:5">
      <c r="D16" s="42" t="s">
        <v>187</v>
      </c>
      <c r="E16" s="18" t="s">
        <v>188</v>
      </c>
    </row>
    <row r="17" spans="4:5">
      <c r="D17" s="42" t="s">
        <v>189</v>
      </c>
      <c r="E17" s="18" t="s">
        <v>190</v>
      </c>
    </row>
    <row r="18" spans="4:5">
      <c r="D18" s="42" t="s">
        <v>191</v>
      </c>
      <c r="E18" s="18" t="s">
        <v>192</v>
      </c>
    </row>
    <row r="19" spans="4:5">
      <c r="D19" s="42" t="s">
        <v>193</v>
      </c>
      <c r="E19" s="18" t="s">
        <v>194</v>
      </c>
    </row>
    <row r="20" spans="4:5">
      <c r="D20" s="42" t="s">
        <v>195</v>
      </c>
      <c r="E20" s="18" t="s">
        <v>196</v>
      </c>
    </row>
    <row r="21" spans="4:5">
      <c r="D21" s="123" t="s">
        <v>197</v>
      </c>
      <c r="E21" s="18" t="s">
        <v>198</v>
      </c>
    </row>
    <row r="22" spans="4:5">
      <c r="D22" s="42" t="s">
        <v>199</v>
      </c>
      <c r="E22" s="18" t="s">
        <v>201</v>
      </c>
    </row>
    <row r="23" spans="4:5">
      <c r="D23" s="123" t="s">
        <v>202</v>
      </c>
      <c r="E23" s="18" t="s">
        <v>203</v>
      </c>
    </row>
    <row r="24" spans="4:5">
      <c r="D24" s="42" t="s">
        <v>204</v>
      </c>
      <c r="E24" s="18" t="s">
        <v>205</v>
      </c>
    </row>
    <row r="25" spans="4:5">
      <c r="D25" s="42" t="s">
        <v>206</v>
      </c>
      <c r="E25" s="18" t="s">
        <v>207</v>
      </c>
    </row>
    <row r="26" spans="4:5">
      <c r="D26" s="42" t="s">
        <v>208</v>
      </c>
      <c r="E26" s="18" t="s">
        <v>209</v>
      </c>
    </row>
    <row r="27" spans="4:5">
      <c r="D27" s="42" t="s">
        <v>210</v>
      </c>
      <c r="E27" s="18" t="s">
        <v>211</v>
      </c>
    </row>
    <row r="28" spans="4:5">
      <c r="D28" s="123" t="s">
        <v>212</v>
      </c>
      <c r="E28" s="18" t="s">
        <v>213</v>
      </c>
    </row>
  </sheetData>
  <mergeCells count="1">
    <mergeCell ref="D1:E5"/>
  </mergeCells>
  <phoneticPr fontId="2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R61"/>
  <sheetViews>
    <sheetView workbookViewId="0">
      <selection activeCell="V51" sqref="V51"/>
    </sheetView>
  </sheetViews>
  <sheetFormatPr defaultRowHeight="12.75"/>
  <cols>
    <col min="1" max="1" width="11.5703125" style="6" bestFit="1" customWidth="1"/>
    <col min="2" max="2" width="11" style="86" bestFit="1" customWidth="1"/>
    <col min="3" max="3" width="9" style="86" bestFit="1" customWidth="1"/>
    <col min="4" max="4" width="6.5703125" style="86" bestFit="1" customWidth="1"/>
    <col min="5" max="5" width="12.140625" style="86" bestFit="1" customWidth="1"/>
    <col min="6" max="6" width="7.28515625" style="86" bestFit="1" customWidth="1"/>
    <col min="7" max="7" width="9.85546875" style="108" bestFit="1" customWidth="1"/>
    <col min="8" max="8" width="10.140625" style="86" bestFit="1" customWidth="1"/>
    <col min="9" max="9" width="9.140625" style="86"/>
    <col min="10" max="10" width="9.7109375" style="86" customWidth="1"/>
    <col min="11" max="11" width="11.42578125" style="6" bestFit="1" customWidth="1"/>
    <col min="12" max="12" width="11" style="86" bestFit="1" customWidth="1"/>
    <col min="13" max="13" width="9" style="86" bestFit="1" customWidth="1"/>
    <col min="14" max="14" width="6.5703125" style="86" bestFit="1" customWidth="1"/>
    <col min="15" max="15" width="12.140625" style="86" bestFit="1" customWidth="1"/>
    <col min="16" max="16" width="7.28515625" style="86" bestFit="1" customWidth="1"/>
    <col min="17" max="17" width="11.42578125" style="108" bestFit="1" customWidth="1"/>
    <col min="18" max="18" width="8.5703125" style="86" bestFit="1" customWidth="1"/>
    <col min="19" max="16384" width="9.140625" style="86"/>
  </cols>
  <sheetData>
    <row r="1" spans="1:18" ht="13.5" thickBot="1"/>
    <row r="2" spans="1:18">
      <c r="A2" s="75"/>
      <c r="B2" s="340" t="str">
        <f>'Pre- and Production'!AC345</f>
        <v>BASE</v>
      </c>
      <c r="C2" s="341"/>
      <c r="D2" s="341"/>
      <c r="E2" s="341"/>
      <c r="F2" s="341"/>
      <c r="G2" s="341"/>
      <c r="H2" s="342"/>
      <c r="I2" s="97"/>
      <c r="J2" s="97"/>
      <c r="K2" s="75"/>
      <c r="L2" s="340" t="str">
        <f>'Pre- and Production'!AM345</f>
        <v>CONTINGENCY</v>
      </c>
      <c r="M2" s="341"/>
      <c r="N2" s="341"/>
      <c r="O2" s="341"/>
      <c r="P2" s="341"/>
      <c r="Q2" s="341"/>
      <c r="R2" s="342"/>
    </row>
    <row r="3" spans="1:18">
      <c r="A3" s="75"/>
      <c r="B3" s="109" t="str">
        <f>'Pre- and Production'!AC346</f>
        <v>Shop Time</v>
      </c>
      <c r="C3" s="110" t="str">
        <f>'Pre- and Production'!AD346</f>
        <v>MT Time</v>
      </c>
      <c r="D3" s="110" t="str">
        <f>'Pre- and Production'!AE346</f>
        <v>CMM</v>
      </c>
      <c r="E3" s="110" t="str">
        <f>'Pre- and Production'!AF346</f>
        <v>Engineering</v>
      </c>
      <c r="F3" s="110" t="str">
        <f>'Pre- and Production'!AG346</f>
        <v>Design</v>
      </c>
      <c r="G3" s="115" t="str">
        <f>'Pre- and Production'!AH346</f>
        <v>M&amp;S Cost</v>
      </c>
      <c r="H3" s="111"/>
      <c r="I3" s="97"/>
      <c r="J3" s="97"/>
      <c r="K3" s="75"/>
      <c r="L3" s="109" t="str">
        <f>'Pre- and Production'!AM346</f>
        <v>Shop Time</v>
      </c>
      <c r="M3" s="110" t="str">
        <f>'Pre- and Production'!AN346</f>
        <v>MT Time</v>
      </c>
      <c r="N3" s="110" t="str">
        <f>'Pre- and Production'!AO346</f>
        <v>CMM</v>
      </c>
      <c r="O3" s="110" t="str">
        <f>'Pre- and Production'!AP346</f>
        <v>Engineering</v>
      </c>
      <c r="P3" s="110" t="str">
        <f>'Pre- and Production'!AQ346</f>
        <v>Design</v>
      </c>
      <c r="Q3" s="115" t="str">
        <f>'Pre- and Production'!AR346</f>
        <v>M&amp;S Cost</v>
      </c>
      <c r="R3" s="111"/>
    </row>
    <row r="4" spans="1:18">
      <c r="A4" s="75">
        <f>'Pre- and Production'!AB347</f>
        <v>2009</v>
      </c>
      <c r="B4" s="112">
        <f>'Pre- and Production'!AC347</f>
        <v>0</v>
      </c>
      <c r="C4" s="113">
        <f>'Pre- and Production'!AD347</f>
        <v>0</v>
      </c>
      <c r="D4" s="113">
        <f>'Pre- and Production'!AE347</f>
        <v>0</v>
      </c>
      <c r="E4" s="113">
        <f>'Pre- and Production'!AF347</f>
        <v>0</v>
      </c>
      <c r="F4" s="113">
        <f>'Pre- and Production'!AG347</f>
        <v>0</v>
      </c>
      <c r="G4" s="118">
        <f>'Pre- and Production'!AH347</f>
        <v>0</v>
      </c>
      <c r="H4" s="114"/>
      <c r="I4" s="97"/>
      <c r="J4" s="97"/>
      <c r="K4" s="75">
        <f>'Pre- and Production'!AL347</f>
        <v>2009</v>
      </c>
      <c r="L4" s="112">
        <f>'Pre- and Production'!AM347</f>
        <v>0</v>
      </c>
      <c r="M4" s="113">
        <f>'Pre- and Production'!AN347</f>
        <v>0</v>
      </c>
      <c r="N4" s="113">
        <f>'Pre- and Production'!AO347</f>
        <v>0</v>
      </c>
      <c r="O4" s="113">
        <f>'Pre- and Production'!AP347</f>
        <v>0</v>
      </c>
      <c r="P4" s="113">
        <f>'Pre- and Production'!AQ347</f>
        <v>0</v>
      </c>
      <c r="Q4" s="118">
        <f>'Pre- and Production'!AR347</f>
        <v>0</v>
      </c>
      <c r="R4" s="114"/>
    </row>
    <row r="5" spans="1:18">
      <c r="A5" s="75">
        <f>'Pre- and Production'!AB348</f>
        <v>2010</v>
      </c>
      <c r="B5" s="112">
        <f>'Pre- and Production'!AC348</f>
        <v>128</v>
      </c>
      <c r="C5" s="113">
        <f>'Pre- and Production'!AD348</f>
        <v>464</v>
      </c>
      <c r="D5" s="113">
        <f>'Pre- and Production'!AE348</f>
        <v>2756</v>
      </c>
      <c r="E5" s="113">
        <f>'Pre- and Production'!AF348</f>
        <v>336</v>
      </c>
      <c r="F5" s="113">
        <f>'Pre- and Production'!AG348</f>
        <v>2644</v>
      </c>
      <c r="G5" s="118">
        <f>'Pre- and Production'!AH348</f>
        <v>87108</v>
      </c>
      <c r="H5" s="114"/>
      <c r="I5" s="97"/>
      <c r="J5" s="97"/>
      <c r="K5" s="75">
        <f>'Pre- and Production'!AL348</f>
        <v>2010</v>
      </c>
      <c r="L5" s="112">
        <f>'Pre- and Production'!AM348</f>
        <v>0</v>
      </c>
      <c r="M5" s="113">
        <f>'Pre- and Production'!AN348</f>
        <v>208</v>
      </c>
      <c r="N5" s="113">
        <f>'Pre- and Production'!AO348</f>
        <v>16</v>
      </c>
      <c r="O5" s="113">
        <f>'Pre- and Production'!AP348</f>
        <v>16</v>
      </c>
      <c r="P5" s="113">
        <f>'Pre- and Production'!AQ348</f>
        <v>48</v>
      </c>
      <c r="Q5" s="118">
        <f>'Pre- and Production'!AR348</f>
        <v>7500</v>
      </c>
      <c r="R5" s="114"/>
    </row>
    <row r="6" spans="1:18">
      <c r="A6" s="75">
        <f>'Pre- and Production'!AB349</f>
        <v>2011</v>
      </c>
      <c r="B6" s="112">
        <f>'Pre- and Production'!AC349</f>
        <v>136</v>
      </c>
      <c r="C6" s="113">
        <f>'Pre- and Production'!AD349</f>
        <v>804</v>
      </c>
      <c r="D6" s="113">
        <f>'Pre- and Production'!AE349</f>
        <v>2052</v>
      </c>
      <c r="E6" s="113">
        <f>'Pre- and Production'!AF349</f>
        <v>676</v>
      </c>
      <c r="F6" s="113">
        <f>'Pre- and Production'!AG349</f>
        <v>2256</v>
      </c>
      <c r="G6" s="118">
        <f>'Pre- and Production'!AH349</f>
        <v>214750</v>
      </c>
      <c r="H6" s="114"/>
      <c r="I6" s="97"/>
      <c r="J6" s="97"/>
      <c r="K6" s="75">
        <f>'Pre- and Production'!AL349</f>
        <v>2011</v>
      </c>
      <c r="L6" s="112">
        <f>'Pre- and Production'!AM349</f>
        <v>40</v>
      </c>
      <c r="M6" s="113">
        <f>'Pre- and Production'!AN349</f>
        <v>168</v>
      </c>
      <c r="N6" s="113">
        <f>'Pre- and Production'!AO349</f>
        <v>88</v>
      </c>
      <c r="O6" s="113">
        <f>'Pre- and Production'!AP349</f>
        <v>64</v>
      </c>
      <c r="P6" s="113">
        <f>'Pre- and Production'!AQ349</f>
        <v>136</v>
      </c>
      <c r="Q6" s="118">
        <f>'Pre- and Production'!AR349</f>
        <v>22250</v>
      </c>
      <c r="R6" s="114"/>
    </row>
    <row r="7" spans="1:18">
      <c r="A7" s="75">
        <f>'Pre- and Production'!AB350</f>
        <v>2012</v>
      </c>
      <c r="B7" s="112">
        <f>'Pre- and Production'!AC350</f>
        <v>152</v>
      </c>
      <c r="C7" s="113">
        <f>'Pre- and Production'!AD350</f>
        <v>1634</v>
      </c>
      <c r="D7" s="113">
        <f>'Pre- and Production'!AE350</f>
        <v>2122</v>
      </c>
      <c r="E7" s="113">
        <f>'Pre- and Production'!AF350</f>
        <v>926</v>
      </c>
      <c r="F7" s="113">
        <f>'Pre- and Production'!AG350</f>
        <v>2516</v>
      </c>
      <c r="G7" s="118">
        <f>'Pre- and Production'!AH350</f>
        <v>425760</v>
      </c>
      <c r="H7" s="114"/>
      <c r="I7" s="97"/>
      <c r="J7" s="97"/>
      <c r="K7" s="75">
        <f>'Pre- and Production'!AL350</f>
        <v>2012</v>
      </c>
      <c r="L7" s="112">
        <f>'Pre- and Production'!AM350</f>
        <v>252</v>
      </c>
      <c r="M7" s="113">
        <f>'Pre- and Production'!AN350</f>
        <v>849</v>
      </c>
      <c r="N7" s="113">
        <f>'Pre- and Production'!AO350</f>
        <v>52</v>
      </c>
      <c r="O7" s="113">
        <f>'Pre- and Production'!AP350</f>
        <v>316</v>
      </c>
      <c r="P7" s="113">
        <f>'Pre- and Production'!AQ350</f>
        <v>80</v>
      </c>
      <c r="Q7" s="118">
        <f>'Pre- and Production'!AR350</f>
        <v>256750</v>
      </c>
      <c r="R7" s="114"/>
    </row>
    <row r="8" spans="1:18">
      <c r="A8" s="75">
        <f>'Pre- and Production'!AB351</f>
        <v>2013</v>
      </c>
      <c r="B8" s="112">
        <f>'Pre- and Production'!AC351</f>
        <v>48</v>
      </c>
      <c r="C8" s="113">
        <f>'Pre- and Production'!AD351</f>
        <v>2522</v>
      </c>
      <c r="D8" s="113">
        <f>'Pre- and Production'!AE351</f>
        <v>2546</v>
      </c>
      <c r="E8" s="113">
        <f>'Pre- and Production'!AF351</f>
        <v>250</v>
      </c>
      <c r="F8" s="113">
        <f>'Pre- and Production'!AG351</f>
        <v>2594</v>
      </c>
      <c r="G8" s="118">
        <f>'Pre- and Production'!AH351</f>
        <v>646650</v>
      </c>
      <c r="H8" s="114"/>
      <c r="I8" s="97"/>
      <c r="J8" s="97"/>
      <c r="K8" s="75">
        <f>'Pre- and Production'!AL351</f>
        <v>2013</v>
      </c>
      <c r="L8" s="112">
        <f>'Pre- and Production'!AM351</f>
        <v>72</v>
      </c>
      <c r="M8" s="113">
        <f>'Pre- and Production'!AN351</f>
        <v>488</v>
      </c>
      <c r="N8" s="113">
        <f>'Pre- and Production'!AO351</f>
        <v>0</v>
      </c>
      <c r="O8" s="113">
        <f>'Pre- and Production'!AP351</f>
        <v>302</v>
      </c>
      <c r="P8" s="113">
        <f>'Pre- and Production'!AQ351</f>
        <v>0</v>
      </c>
      <c r="Q8" s="118">
        <f>'Pre- and Production'!AR351</f>
        <v>55500</v>
      </c>
      <c r="R8" s="114"/>
    </row>
    <row r="9" spans="1:18">
      <c r="A9" s="75">
        <f>'Pre- and Production'!AB352</f>
        <v>2014</v>
      </c>
      <c r="B9" s="112">
        <f>'Pre- and Production'!AC352</f>
        <v>0</v>
      </c>
      <c r="C9" s="113">
        <f>'Pre- and Production'!AD352</f>
        <v>296</v>
      </c>
      <c r="D9" s="113">
        <f>'Pre- and Production'!AE352</f>
        <v>202</v>
      </c>
      <c r="E9" s="113">
        <f>'Pre- and Production'!AF352</f>
        <v>16</v>
      </c>
      <c r="F9" s="113">
        <f>'Pre- and Production'!AG352</f>
        <v>222</v>
      </c>
      <c r="G9" s="118">
        <f>'Pre- and Production'!AH352</f>
        <v>32200</v>
      </c>
      <c r="H9" s="114"/>
      <c r="I9" s="97"/>
      <c r="J9" s="97"/>
      <c r="K9" s="75">
        <f>'Pre- and Production'!AL352</f>
        <v>2014</v>
      </c>
      <c r="L9" s="112">
        <f>'Pre- and Production'!AM352</f>
        <v>40</v>
      </c>
      <c r="M9" s="113">
        <f>'Pre- and Production'!AN352</f>
        <v>66</v>
      </c>
      <c r="N9" s="113">
        <f>'Pre- and Production'!AO352</f>
        <v>40</v>
      </c>
      <c r="O9" s="113">
        <f>'Pre- and Production'!AP352</f>
        <v>44</v>
      </c>
      <c r="P9" s="113">
        <f>'Pre- and Production'!AQ352</f>
        <v>40</v>
      </c>
      <c r="Q9" s="118">
        <f>'Pre- and Production'!AR352</f>
        <v>63000</v>
      </c>
      <c r="R9" s="114"/>
    </row>
    <row r="10" spans="1:18">
      <c r="A10" s="75" t="str">
        <f>'Pre- and Production'!AB353</f>
        <v>CONT</v>
      </c>
      <c r="B10" s="112">
        <f>'Pre- and Production'!AC353</f>
        <v>0</v>
      </c>
      <c r="C10" s="113">
        <f>'Pre- and Production'!AD353</f>
        <v>0</v>
      </c>
      <c r="D10" s="113">
        <f>'Pre- and Production'!AE353</f>
        <v>0</v>
      </c>
      <c r="E10" s="113">
        <f>'Pre- and Production'!AF353</f>
        <v>0</v>
      </c>
      <c r="F10" s="113">
        <f>'Pre- and Production'!AG353</f>
        <v>0</v>
      </c>
      <c r="G10" s="118">
        <f>'Pre- and Production'!AH353</f>
        <v>0</v>
      </c>
      <c r="H10" s="114"/>
      <c r="I10" s="97"/>
      <c r="J10" s="97"/>
      <c r="K10" s="75" t="str">
        <f>'Pre- and Production'!AL353</f>
        <v>CONT</v>
      </c>
      <c r="L10" s="112">
        <f>'Pre- and Production'!AM353</f>
        <v>0</v>
      </c>
      <c r="M10" s="113">
        <f>'Pre- and Production'!AN353</f>
        <v>0</v>
      </c>
      <c r="N10" s="113">
        <f>'Pre- and Production'!AO353</f>
        <v>0</v>
      </c>
      <c r="O10" s="113">
        <f>'Pre- and Production'!AP353</f>
        <v>0</v>
      </c>
      <c r="P10" s="113">
        <f>'Pre- and Production'!AQ353</f>
        <v>0</v>
      </c>
      <c r="Q10" s="118">
        <f>'Pre- and Production'!AR353</f>
        <v>0</v>
      </c>
      <c r="R10" s="114"/>
    </row>
    <row r="11" spans="1:18">
      <c r="A11" s="75" t="str">
        <f>'Pre- and Production'!AB354</f>
        <v>STAR</v>
      </c>
      <c r="B11" s="112">
        <f>'Pre- and Production'!AC354</f>
        <v>0</v>
      </c>
      <c r="C11" s="113">
        <f>'Pre- and Production'!AD354</f>
        <v>0</v>
      </c>
      <c r="D11" s="113">
        <f>'Pre- and Production'!AE354</f>
        <v>0</v>
      </c>
      <c r="E11" s="113">
        <f>'Pre- and Production'!AF354</f>
        <v>0</v>
      </c>
      <c r="F11" s="113">
        <f>'Pre- and Production'!AG354</f>
        <v>0</v>
      </c>
      <c r="G11" s="118">
        <f>'Pre- and Production'!AH354</f>
        <v>0</v>
      </c>
      <c r="H11" s="114"/>
      <c r="I11" s="97"/>
      <c r="J11" s="97"/>
      <c r="K11" s="75" t="str">
        <f>'Pre- and Production'!AL354</f>
        <v>STAR</v>
      </c>
      <c r="L11" s="112">
        <f>'Pre- and Production'!AM354</f>
        <v>0</v>
      </c>
      <c r="M11" s="113">
        <f>'Pre- and Production'!AN354</f>
        <v>0</v>
      </c>
      <c r="N11" s="113">
        <f>'Pre- and Production'!AO354</f>
        <v>0</v>
      </c>
      <c r="O11" s="113">
        <f>'Pre- and Production'!AP354</f>
        <v>0</v>
      </c>
      <c r="P11" s="113">
        <f>'Pre- and Production'!AQ354</f>
        <v>0</v>
      </c>
      <c r="Q11" s="118">
        <f>'Pre- and Production'!AR354</f>
        <v>0</v>
      </c>
      <c r="R11" s="114"/>
    </row>
    <row r="12" spans="1:18">
      <c r="A12" s="75"/>
      <c r="B12" s="343" t="str">
        <f>'Pre- and Production'!AC355</f>
        <v>Project Estimated Cost</v>
      </c>
      <c r="C12" s="344"/>
      <c r="D12" s="344"/>
      <c r="E12" s="344"/>
      <c r="F12" s="344"/>
      <c r="G12" s="344"/>
      <c r="H12" s="345"/>
      <c r="I12" s="97"/>
      <c r="J12" s="97"/>
      <c r="K12" s="75"/>
      <c r="L12" s="343" t="str">
        <f>'Pre- and Production'!AM355</f>
        <v>Project Estimated Contingency</v>
      </c>
      <c r="M12" s="344"/>
      <c r="N12" s="344"/>
      <c r="O12" s="344"/>
      <c r="P12" s="344"/>
      <c r="Q12" s="344"/>
      <c r="R12" s="345"/>
    </row>
    <row r="13" spans="1:18">
      <c r="A13" s="75"/>
      <c r="B13" s="109" t="str">
        <f>'Pre- and Production'!AC356</f>
        <v>Shop Cost</v>
      </c>
      <c r="C13" s="110" t="str">
        <f>'Pre- and Production'!AD356</f>
        <v>MT Cost</v>
      </c>
      <c r="D13" s="110" t="str">
        <f>'Pre- and Production'!AE356</f>
        <v>CMM</v>
      </c>
      <c r="E13" s="110" t="str">
        <f>'Pre- and Production'!AF356</f>
        <v>Engineering</v>
      </c>
      <c r="F13" s="110" t="str">
        <f>'Pre- and Production'!AG356</f>
        <v>Design</v>
      </c>
      <c r="G13" s="115" t="str">
        <f>'Pre- and Production'!AH356</f>
        <v>M&amp;S Cost</v>
      </c>
      <c r="H13" s="111" t="str">
        <f>'Pre- and Production'!AI356</f>
        <v>Totals</v>
      </c>
      <c r="I13" s="97"/>
      <c r="J13" s="97"/>
      <c r="K13" s="75"/>
      <c r="L13" s="109" t="str">
        <f>'Pre- and Production'!AM356</f>
        <v>Shop Cost</v>
      </c>
      <c r="M13" s="110" t="str">
        <f>'Pre- and Production'!AN356</f>
        <v>MT Cost</v>
      </c>
      <c r="N13" s="110" t="str">
        <f>'Pre- and Production'!AO356</f>
        <v>CMM</v>
      </c>
      <c r="O13" s="110" t="str">
        <f>'Pre- and Production'!AP356</f>
        <v>Engineering</v>
      </c>
      <c r="P13" s="110" t="str">
        <f>'Pre- and Production'!AQ356</f>
        <v>Design</v>
      </c>
      <c r="Q13" s="115" t="str">
        <f>'Pre- and Production'!AR356</f>
        <v>M&amp;S Cost</v>
      </c>
      <c r="R13" s="111" t="str">
        <f>'Pre- and Production'!AS356</f>
        <v>Totals</v>
      </c>
    </row>
    <row r="14" spans="1:18">
      <c r="A14" s="75">
        <f>'Pre- and Production'!AB357</f>
        <v>2009</v>
      </c>
      <c r="B14" s="119">
        <f>'Pre- and Production'!AC357</f>
        <v>0</v>
      </c>
      <c r="C14" s="116">
        <f>'Pre- and Production'!AD357</f>
        <v>0</v>
      </c>
      <c r="D14" s="116">
        <f>'Pre- and Production'!AE357</f>
        <v>0</v>
      </c>
      <c r="E14" s="116">
        <f>'Pre- and Production'!AF357</f>
        <v>0</v>
      </c>
      <c r="F14" s="116">
        <f>'Pre- and Production'!AG357</f>
        <v>0</v>
      </c>
      <c r="G14" s="116">
        <f>'Pre- and Production'!AH357</f>
        <v>0</v>
      </c>
      <c r="H14" s="120">
        <f>'Pre- and Production'!AI357</f>
        <v>0</v>
      </c>
      <c r="I14" s="97"/>
      <c r="J14" s="97"/>
      <c r="K14" s="75">
        <f>'Pre- and Production'!AL357</f>
        <v>2009</v>
      </c>
      <c r="L14" s="119">
        <f>'Pre- and Production'!AM357</f>
        <v>0</v>
      </c>
      <c r="M14" s="116">
        <f>'Pre- and Production'!AN357</f>
        <v>0</v>
      </c>
      <c r="N14" s="116">
        <f>'Pre- and Production'!AO357</f>
        <v>0</v>
      </c>
      <c r="O14" s="116">
        <f>'Pre- and Production'!AP357</f>
        <v>0</v>
      </c>
      <c r="P14" s="116">
        <f>'Pre- and Production'!AQ357</f>
        <v>0</v>
      </c>
      <c r="Q14" s="116">
        <f>'Pre- and Production'!AR357</f>
        <v>0</v>
      </c>
      <c r="R14" s="120">
        <f>'Pre- and Production'!AS357</f>
        <v>0</v>
      </c>
    </row>
    <row r="15" spans="1:18">
      <c r="A15" s="75">
        <f>'Pre- and Production'!AB358</f>
        <v>2010</v>
      </c>
      <c r="B15" s="119">
        <f>'Pre- and Production'!AC358</f>
        <v>15170.4</v>
      </c>
      <c r="C15" s="116">
        <f>'Pre- and Production'!AD358</f>
        <v>51976.08</v>
      </c>
      <c r="D15" s="116">
        <f>'Pre- and Production'!AE358</f>
        <v>0</v>
      </c>
      <c r="E15" s="116">
        <f>'Pre- and Production'!AF358</f>
        <v>48576</v>
      </c>
      <c r="F15" s="116">
        <f>'Pre- and Production'!AG358</f>
        <v>0</v>
      </c>
      <c r="G15" s="116">
        <f>'Pre- and Production'!AH358</f>
        <v>87108</v>
      </c>
      <c r="H15" s="120">
        <f>'Pre- and Production'!AI358</f>
        <v>202830.48</v>
      </c>
      <c r="I15" s="97"/>
      <c r="J15" s="97"/>
      <c r="K15" s="75">
        <f>'Pre- and Production'!AL358</f>
        <v>2010</v>
      </c>
      <c r="L15" s="119">
        <f>'Pre- and Production'!AM358</f>
        <v>0</v>
      </c>
      <c r="M15" s="116">
        <f>'Pre- and Production'!AN358</f>
        <v>24336</v>
      </c>
      <c r="N15" s="116">
        <f>'Pre- and Production'!AO358</f>
        <v>0</v>
      </c>
      <c r="O15" s="116">
        <f>'Pre- and Production'!AP358</f>
        <v>2400</v>
      </c>
      <c r="P15" s="116">
        <f>'Pre- and Production'!AQ358</f>
        <v>0</v>
      </c>
      <c r="Q15" s="116">
        <f>'Pre- and Production'!AR358</f>
        <v>7500</v>
      </c>
      <c r="R15" s="120">
        <f>'Pre- and Production'!AS358</f>
        <v>34236</v>
      </c>
    </row>
    <row r="16" spans="1:18">
      <c r="A16" s="75">
        <f>'Pre- and Production'!AB359</f>
        <v>2011</v>
      </c>
      <c r="B16" s="119">
        <f>'Pre- and Production'!AC359</f>
        <v>15603.84</v>
      </c>
      <c r="C16" s="116">
        <f>'Pre- and Production'!AD359</f>
        <v>87487.92</v>
      </c>
      <c r="D16" s="116">
        <f>'Pre- and Production'!AE359</f>
        <v>0</v>
      </c>
      <c r="E16" s="116">
        <f>'Pre- and Production'!AF359</f>
        <v>88176</v>
      </c>
      <c r="F16" s="116">
        <f>'Pre- and Production'!AG359</f>
        <v>0</v>
      </c>
      <c r="G16" s="116">
        <f>'Pre- and Production'!AH359</f>
        <v>214750</v>
      </c>
      <c r="H16" s="120">
        <f>'Pre- and Production'!AI359</f>
        <v>406017.76</v>
      </c>
      <c r="I16" s="97"/>
      <c r="J16" s="97"/>
      <c r="K16" s="75">
        <f>'Pre- and Production'!AL359</f>
        <v>2011</v>
      </c>
      <c r="L16" s="119">
        <f>'Pre- and Production'!AM359</f>
        <v>4561.2</v>
      </c>
      <c r="M16" s="116">
        <f>'Pre- and Production'!AN359</f>
        <v>17166.240000000002</v>
      </c>
      <c r="N16" s="116">
        <f>'Pre- and Production'!AO359</f>
        <v>0</v>
      </c>
      <c r="O16" s="116">
        <f>'Pre- and Production'!AP359</f>
        <v>8460</v>
      </c>
      <c r="P16" s="116">
        <f>'Pre- and Production'!AQ359</f>
        <v>0</v>
      </c>
      <c r="Q16" s="116">
        <f>'Pre- and Production'!AR359</f>
        <v>22250</v>
      </c>
      <c r="R16" s="120">
        <f>'Pre- and Production'!AS359</f>
        <v>52437.440000000002</v>
      </c>
    </row>
    <row r="17" spans="1:18">
      <c r="A17" s="75">
        <f>'Pre- and Production'!AB360</f>
        <v>2012</v>
      </c>
      <c r="B17" s="119">
        <f>'Pre- and Production'!AC360</f>
        <v>18385.919999999998</v>
      </c>
      <c r="C17" s="116">
        <f>'Pre- and Production'!AD360</f>
        <v>159300.18000000002</v>
      </c>
      <c r="D17" s="116">
        <f>'Pre- and Production'!AE360</f>
        <v>0</v>
      </c>
      <c r="E17" s="116">
        <f>'Pre- and Production'!AF360</f>
        <v>115017.00000000001</v>
      </c>
      <c r="F17" s="116">
        <f>'Pre- and Production'!AG360</f>
        <v>0</v>
      </c>
      <c r="G17" s="116">
        <f>'Pre- and Production'!AH360</f>
        <v>425760</v>
      </c>
      <c r="H17" s="120">
        <f>'Pre- and Production'!AI360</f>
        <v>718463.10000000009</v>
      </c>
      <c r="I17" s="97"/>
      <c r="J17" s="97"/>
      <c r="K17" s="75">
        <f>'Pre- and Production'!AL360</f>
        <v>2012</v>
      </c>
      <c r="L17" s="119">
        <f>'Pre- and Production'!AM360</f>
        <v>31464.720000000001</v>
      </c>
      <c r="M17" s="116">
        <f>'Pre- and Production'!AN360</f>
        <v>88462.53</v>
      </c>
      <c r="N17" s="116">
        <f>'Pre- and Production'!AO360</f>
        <v>0</v>
      </c>
      <c r="O17" s="116">
        <f>'Pre- and Production'!AP360</f>
        <v>43638</v>
      </c>
      <c r="P17" s="116">
        <f>'Pre- and Production'!AQ360</f>
        <v>0</v>
      </c>
      <c r="Q17" s="116">
        <f>'Pre- and Production'!AR360</f>
        <v>256750</v>
      </c>
      <c r="R17" s="120">
        <f>'Pre- and Production'!AS360</f>
        <v>420315.25</v>
      </c>
    </row>
    <row r="18" spans="1:18">
      <c r="A18" s="75">
        <f>'Pre- and Production'!AB361</f>
        <v>2013</v>
      </c>
      <c r="B18" s="119">
        <f>'Pre- and Production'!AC361</f>
        <v>4898.88</v>
      </c>
      <c r="C18" s="116">
        <f>'Pre- and Production'!AD361</f>
        <v>239009.94000000003</v>
      </c>
      <c r="D18" s="116">
        <f>'Pre- and Production'!AE361</f>
        <v>0</v>
      </c>
      <c r="E18" s="116">
        <f>'Pre- and Production'!AF361</f>
        <v>30375.000000000004</v>
      </c>
      <c r="F18" s="116">
        <f>'Pre- and Production'!AG361</f>
        <v>0</v>
      </c>
      <c r="G18" s="116">
        <f>'Pre- and Production'!AH361</f>
        <v>646650</v>
      </c>
      <c r="H18" s="120">
        <f>'Pre- and Production'!AI361</f>
        <v>920933.82000000007</v>
      </c>
      <c r="I18" s="97"/>
      <c r="J18" s="97"/>
      <c r="K18" s="75">
        <f>'Pre- and Production'!AL361</f>
        <v>2013</v>
      </c>
      <c r="L18" s="119">
        <f>'Pre- and Production'!AM361</f>
        <v>7348.32</v>
      </c>
      <c r="M18" s="116">
        <f>'Pre- and Production'!AN361</f>
        <v>46247.76</v>
      </c>
      <c r="N18" s="116">
        <f>'Pre- and Production'!AO361</f>
        <v>0</v>
      </c>
      <c r="O18" s="116">
        <f>'Pre- and Production'!AP361</f>
        <v>36693.000000000007</v>
      </c>
      <c r="P18" s="116">
        <f>'Pre- and Production'!AQ361</f>
        <v>0</v>
      </c>
      <c r="Q18" s="116">
        <f>'Pre- and Production'!AR361</f>
        <v>55500</v>
      </c>
      <c r="R18" s="120">
        <f>'Pre- and Production'!AS361</f>
        <v>145789.08000000002</v>
      </c>
    </row>
    <row r="19" spans="1:18" ht="13.5" thickBot="1">
      <c r="A19" s="75">
        <f>'Pre- and Production'!AB362</f>
        <v>2014</v>
      </c>
      <c r="B19" s="121">
        <f>'Pre- and Production'!AC362</f>
        <v>0</v>
      </c>
      <c r="C19" s="117">
        <f>'Pre- and Production'!AD362</f>
        <v>28051.920000000002</v>
      </c>
      <c r="D19" s="117">
        <f>'Pre- and Production'!AE362</f>
        <v>0</v>
      </c>
      <c r="E19" s="117">
        <f>'Pre- and Production'!AF362</f>
        <v>1944.0000000000002</v>
      </c>
      <c r="F19" s="117">
        <f>'Pre- and Production'!AG362</f>
        <v>0</v>
      </c>
      <c r="G19" s="117">
        <f>'Pre- and Production'!AH362</f>
        <v>32200</v>
      </c>
      <c r="H19" s="122">
        <f>'Pre- and Production'!AI362</f>
        <v>62195.92</v>
      </c>
      <c r="I19" s="97"/>
      <c r="J19" s="97"/>
      <c r="K19" s="75">
        <f>'Pre- and Production'!AL362</f>
        <v>2014</v>
      </c>
      <c r="L19" s="121">
        <f>'Pre- and Production'!AM362</f>
        <v>4082.4</v>
      </c>
      <c r="M19" s="117">
        <f>'Pre- and Production'!AN362</f>
        <v>6254.8200000000006</v>
      </c>
      <c r="N19" s="117">
        <f>'Pre- and Production'!AO362</f>
        <v>0</v>
      </c>
      <c r="O19" s="117">
        <f>'Pre- and Production'!AP362</f>
        <v>5346.0000000000009</v>
      </c>
      <c r="P19" s="117">
        <f>'Pre- and Production'!AQ362</f>
        <v>0</v>
      </c>
      <c r="Q19" s="117">
        <f>'Pre- and Production'!AR362</f>
        <v>63000</v>
      </c>
      <c r="R19" s="122">
        <f>'Pre- and Production'!AS362</f>
        <v>78683.22</v>
      </c>
    </row>
    <row r="20" spans="1:18">
      <c r="A20" s="75"/>
      <c r="B20" s="97"/>
      <c r="C20" s="97"/>
      <c r="D20" s="97"/>
      <c r="E20" s="97"/>
      <c r="F20" s="97"/>
      <c r="G20" s="108" t="str">
        <f>'Pre- and Production'!AH363</f>
        <v>Base Cost</v>
      </c>
      <c r="H20" s="76">
        <f>'Pre- and Production'!AI363</f>
        <v>2310441.08</v>
      </c>
      <c r="I20" s="97"/>
      <c r="J20" s="97"/>
      <c r="K20" s="75"/>
      <c r="L20" s="97"/>
      <c r="M20" s="97"/>
      <c r="N20" s="97"/>
      <c r="O20" s="97"/>
      <c r="P20" s="97"/>
      <c r="Q20" s="108" t="str">
        <f>'Pre- and Production'!AR363</f>
        <v>Contingency</v>
      </c>
      <c r="R20" s="76">
        <f>'Pre- and Production'!AS363</f>
        <v>731460.99</v>
      </c>
    </row>
    <row r="21" spans="1:18" ht="13.5" thickBot="1">
      <c r="A21" s="75"/>
      <c r="B21" s="97"/>
      <c r="C21" s="97"/>
      <c r="D21" s="97"/>
      <c r="E21" s="97"/>
      <c r="F21" s="97"/>
      <c r="H21" s="97"/>
      <c r="I21" s="97"/>
      <c r="J21" s="97"/>
      <c r="K21" s="75"/>
      <c r="L21" s="97"/>
      <c r="M21" s="97"/>
      <c r="N21" s="97"/>
      <c r="O21" s="97"/>
      <c r="P21" s="97"/>
      <c r="Q21" s="108" t="str">
        <f>'Pre- and Production'!AR364</f>
        <v>Percent</v>
      </c>
      <c r="R21" s="96">
        <f>'Pre- and Production'!AS364</f>
        <v>0.31658932847575577</v>
      </c>
    </row>
    <row r="22" spans="1:18">
      <c r="A22" s="75"/>
      <c r="B22" s="340" t="str">
        <f>'Pre- and Production'!AC367</f>
        <v>Pre-Production Base Cost</v>
      </c>
      <c r="C22" s="341"/>
      <c r="D22" s="341"/>
      <c r="E22" s="341"/>
      <c r="F22" s="341"/>
      <c r="G22" s="341"/>
      <c r="H22" s="342"/>
      <c r="I22" s="97"/>
      <c r="J22" s="97"/>
      <c r="K22" s="75"/>
      <c r="L22" s="340" t="str">
        <f>'Pre- and Production'!AM367</f>
        <v>Pre-Production Contingency Cost</v>
      </c>
      <c r="M22" s="341"/>
      <c r="N22" s="341"/>
      <c r="O22" s="341"/>
      <c r="P22" s="341"/>
      <c r="Q22" s="341"/>
      <c r="R22" s="342"/>
    </row>
    <row r="23" spans="1:18">
      <c r="A23" s="75"/>
      <c r="B23" s="109" t="str">
        <f>'Pre- and Production'!AC368</f>
        <v>Shop Time</v>
      </c>
      <c r="C23" s="110" t="str">
        <f>'Pre- and Production'!AD368</f>
        <v>MT Time</v>
      </c>
      <c r="D23" s="110" t="str">
        <f>'Pre- and Production'!AE368</f>
        <v>CMM</v>
      </c>
      <c r="E23" s="110" t="str">
        <f>'Pre- and Production'!AF368</f>
        <v>Engineering</v>
      </c>
      <c r="F23" s="110" t="str">
        <f>'Pre- and Production'!AG368</f>
        <v>Design</v>
      </c>
      <c r="G23" s="115" t="str">
        <f>'Pre- and Production'!AH368</f>
        <v>M&amp;S Cost</v>
      </c>
      <c r="H23" s="111"/>
      <c r="I23" s="97"/>
      <c r="J23" s="97"/>
      <c r="K23" s="75"/>
      <c r="L23" s="109" t="str">
        <f>'Pre- and Production'!AM368</f>
        <v>Shop Time</v>
      </c>
      <c r="M23" s="110" t="str">
        <f>'Pre- and Production'!AN368</f>
        <v>MT Time</v>
      </c>
      <c r="N23" s="110" t="str">
        <f>'Pre- and Production'!AO368</f>
        <v>CMM</v>
      </c>
      <c r="O23" s="110" t="str">
        <f>'Pre- and Production'!AP368</f>
        <v>Engineering</v>
      </c>
      <c r="P23" s="110" t="str">
        <f>'Pre- and Production'!AQ368</f>
        <v>Design</v>
      </c>
      <c r="Q23" s="115" t="str">
        <f>'Pre- and Production'!AR368</f>
        <v>M&amp;S Cost</v>
      </c>
      <c r="R23" s="111"/>
    </row>
    <row r="24" spans="1:18">
      <c r="A24" s="75">
        <f>'Pre- and Production'!AB369</f>
        <v>2009</v>
      </c>
      <c r="B24" s="112">
        <f>'Pre- and Production'!AC369</f>
        <v>0</v>
      </c>
      <c r="C24" s="113">
        <f>'Pre- and Production'!AD369</f>
        <v>0</v>
      </c>
      <c r="D24" s="113">
        <f>'Pre- and Production'!AE369</f>
        <v>0</v>
      </c>
      <c r="E24" s="113">
        <f>'Pre- and Production'!AF369</f>
        <v>0</v>
      </c>
      <c r="F24" s="113">
        <f>'Pre- and Production'!AG369</f>
        <v>0</v>
      </c>
      <c r="G24" s="118">
        <f>'Pre- and Production'!AH369</f>
        <v>0</v>
      </c>
      <c r="H24" s="114"/>
      <c r="I24" s="97"/>
      <c r="J24" s="97"/>
      <c r="K24" s="75">
        <f>'Pre- and Production'!AL369</f>
        <v>2009</v>
      </c>
      <c r="L24" s="112">
        <f>'Pre- and Production'!AM369</f>
        <v>0</v>
      </c>
      <c r="M24" s="113">
        <f>'Pre- and Production'!AN369</f>
        <v>0</v>
      </c>
      <c r="N24" s="113">
        <f>'Pre- and Production'!AO369</f>
        <v>0</v>
      </c>
      <c r="O24" s="113">
        <f>'Pre- and Production'!AP369</f>
        <v>0</v>
      </c>
      <c r="P24" s="113">
        <f>'Pre- and Production'!AQ369</f>
        <v>0</v>
      </c>
      <c r="Q24" s="118">
        <f>'Pre- and Production'!AR369</f>
        <v>0</v>
      </c>
      <c r="R24" s="114"/>
    </row>
    <row r="25" spans="1:18">
      <c r="A25" s="75">
        <f>'Pre- and Production'!AB370</f>
        <v>2010</v>
      </c>
      <c r="B25" s="112">
        <f>'Pre- and Production'!AC370</f>
        <v>88</v>
      </c>
      <c r="C25" s="113">
        <f>'Pre- and Production'!AD370</f>
        <v>360</v>
      </c>
      <c r="D25" s="113">
        <f>'Pre- and Production'!AE370</f>
        <v>2184</v>
      </c>
      <c r="E25" s="113">
        <f>'Pre- and Production'!AF370</f>
        <v>272</v>
      </c>
      <c r="F25" s="113">
        <f>'Pre- and Production'!AG370</f>
        <v>2188</v>
      </c>
      <c r="G25" s="118">
        <f>'Pre- and Production'!AH370</f>
        <v>37708</v>
      </c>
      <c r="H25" s="114"/>
      <c r="I25" s="97"/>
      <c r="J25" s="97"/>
      <c r="K25" s="75">
        <f>'Pre- and Production'!AL370</f>
        <v>2010</v>
      </c>
      <c r="L25" s="112">
        <f>'Pre- and Production'!AM370</f>
        <v>0</v>
      </c>
      <c r="M25" s="113">
        <f>'Pre- and Production'!AN370</f>
        <v>208</v>
      </c>
      <c r="N25" s="113">
        <f>'Pre- and Production'!AO370</f>
        <v>8</v>
      </c>
      <c r="O25" s="113">
        <f>'Pre- and Production'!AP370</f>
        <v>16</v>
      </c>
      <c r="P25" s="113">
        <f>'Pre- and Production'!AQ370</f>
        <v>8</v>
      </c>
      <c r="Q25" s="118">
        <f>'Pre- and Production'!AR370</f>
        <v>7500</v>
      </c>
      <c r="R25" s="114"/>
    </row>
    <row r="26" spans="1:18">
      <c r="A26" s="75">
        <f>'Pre- and Production'!AB371</f>
        <v>2011</v>
      </c>
      <c r="B26" s="112">
        <f>'Pre- and Production'!AC371</f>
        <v>72</v>
      </c>
      <c r="C26" s="113">
        <f>'Pre- and Production'!AD371</f>
        <v>508</v>
      </c>
      <c r="D26" s="113">
        <f>'Pre- and Production'!AE371</f>
        <v>980</v>
      </c>
      <c r="E26" s="113">
        <f>'Pre- and Production'!AF371</f>
        <v>212</v>
      </c>
      <c r="F26" s="113">
        <f>'Pre- and Production'!AG371</f>
        <v>1408</v>
      </c>
      <c r="G26" s="118">
        <f>'Pre- and Production'!AH371</f>
        <v>202100</v>
      </c>
      <c r="H26" s="114"/>
      <c r="I26" s="97"/>
      <c r="J26" s="97"/>
      <c r="K26" s="75">
        <f>'Pre- and Production'!AL371</f>
        <v>2011</v>
      </c>
      <c r="L26" s="112">
        <f>'Pre- and Production'!AM371</f>
        <v>20</v>
      </c>
      <c r="M26" s="113">
        <f>'Pre- and Production'!AN371</f>
        <v>56</v>
      </c>
      <c r="N26" s="113">
        <f>'Pre- and Production'!AO371</f>
        <v>0</v>
      </c>
      <c r="O26" s="113">
        <f>'Pre- and Production'!AP371</f>
        <v>24</v>
      </c>
      <c r="P26" s="113">
        <f>'Pre- and Production'!AQ371</f>
        <v>0</v>
      </c>
      <c r="Q26" s="118">
        <f>'Pre- and Production'!AR371</f>
        <v>7500</v>
      </c>
      <c r="R26" s="114"/>
    </row>
    <row r="27" spans="1:18">
      <c r="A27" s="75">
        <f>'Pre- and Production'!AB372</f>
        <v>2012</v>
      </c>
      <c r="B27" s="112">
        <f>'Pre- and Production'!AC372</f>
        <v>120</v>
      </c>
      <c r="C27" s="113">
        <f>'Pre- and Production'!AD372</f>
        <v>200</v>
      </c>
      <c r="D27" s="113">
        <f>'Pre- and Production'!AE372</f>
        <v>280</v>
      </c>
      <c r="E27" s="113">
        <f>'Pre- and Production'!AF372</f>
        <v>88</v>
      </c>
      <c r="F27" s="113">
        <f>'Pre- and Production'!AG372</f>
        <v>336</v>
      </c>
      <c r="G27" s="118">
        <f>'Pre- and Production'!AH372</f>
        <v>161500</v>
      </c>
      <c r="H27" s="114"/>
      <c r="I27" s="97"/>
      <c r="J27" s="97"/>
      <c r="K27" s="75">
        <f>'Pre- and Production'!AL372</f>
        <v>2012</v>
      </c>
      <c r="L27" s="112">
        <f>'Pre- and Production'!AM372</f>
        <v>240</v>
      </c>
      <c r="M27" s="113">
        <f>'Pre- and Production'!AN372</f>
        <v>360</v>
      </c>
      <c r="N27" s="113">
        <f>'Pre- and Production'!AO372</f>
        <v>48</v>
      </c>
      <c r="O27" s="113">
        <f>'Pre- and Production'!AP372</f>
        <v>184</v>
      </c>
      <c r="P27" s="113">
        <f>'Pre- and Production'!AQ372</f>
        <v>80</v>
      </c>
      <c r="Q27" s="118">
        <f>'Pre- and Production'!AR372</f>
        <v>199150</v>
      </c>
      <c r="R27" s="114"/>
    </row>
    <row r="28" spans="1:18">
      <c r="A28" s="75">
        <f>'Pre- and Production'!AB373</f>
        <v>2013</v>
      </c>
      <c r="B28" s="112">
        <f>'Pre- and Production'!AC373</f>
        <v>0</v>
      </c>
      <c r="C28" s="113">
        <f>'Pre- and Production'!AD373</f>
        <v>0</v>
      </c>
      <c r="D28" s="113">
        <f>'Pre- and Production'!AE373</f>
        <v>0</v>
      </c>
      <c r="E28" s="113">
        <f>'Pre- and Production'!AF373</f>
        <v>0</v>
      </c>
      <c r="F28" s="113">
        <f>'Pre- and Production'!AG373</f>
        <v>0</v>
      </c>
      <c r="G28" s="118">
        <f>'Pre- and Production'!AH373</f>
        <v>0</v>
      </c>
      <c r="H28" s="114"/>
      <c r="I28" s="97"/>
      <c r="J28" s="97"/>
      <c r="K28" s="75">
        <f>'Pre- and Production'!AL373</f>
        <v>2013</v>
      </c>
      <c r="L28" s="112">
        <f>'Pre- and Production'!AM373</f>
        <v>0</v>
      </c>
      <c r="M28" s="113">
        <f>'Pre- and Production'!AN373</f>
        <v>0</v>
      </c>
      <c r="N28" s="113">
        <f>'Pre- and Production'!AO373</f>
        <v>0</v>
      </c>
      <c r="O28" s="113">
        <f>'Pre- and Production'!AP373</f>
        <v>0</v>
      </c>
      <c r="P28" s="113">
        <f>'Pre- and Production'!AQ373</f>
        <v>0</v>
      </c>
      <c r="Q28" s="118">
        <f>'Pre- and Production'!AR373</f>
        <v>0</v>
      </c>
      <c r="R28" s="114"/>
    </row>
    <row r="29" spans="1:18">
      <c r="A29" s="75">
        <f>'Pre- and Production'!AB374</f>
        <v>2014</v>
      </c>
      <c r="B29" s="112">
        <f>'Pre- and Production'!AC374</f>
        <v>0</v>
      </c>
      <c r="C29" s="113">
        <f>'Pre- and Production'!AD374</f>
        <v>0</v>
      </c>
      <c r="D29" s="113">
        <f>'Pre- and Production'!AE374</f>
        <v>0</v>
      </c>
      <c r="E29" s="113">
        <f>'Pre- and Production'!AF374</f>
        <v>0</v>
      </c>
      <c r="F29" s="113">
        <f>'Pre- and Production'!AG374</f>
        <v>0</v>
      </c>
      <c r="G29" s="118">
        <f>'Pre- and Production'!AH374</f>
        <v>0</v>
      </c>
      <c r="H29" s="114"/>
      <c r="I29" s="97"/>
      <c r="J29" s="97"/>
      <c r="K29" s="75">
        <f>'Pre- and Production'!AL374</f>
        <v>2014</v>
      </c>
      <c r="L29" s="112">
        <f>'Pre- and Production'!AM374</f>
        <v>0</v>
      </c>
      <c r="M29" s="113">
        <f>'Pre- and Production'!AN374</f>
        <v>0</v>
      </c>
      <c r="N29" s="113">
        <f>'Pre- and Production'!AO374</f>
        <v>0</v>
      </c>
      <c r="O29" s="113">
        <f>'Pre- and Production'!AP374</f>
        <v>0</v>
      </c>
      <c r="P29" s="113">
        <f>'Pre- and Production'!AQ374</f>
        <v>0</v>
      </c>
      <c r="Q29" s="118">
        <f>'Pre- and Production'!AR374</f>
        <v>0</v>
      </c>
      <c r="R29" s="114"/>
    </row>
    <row r="30" spans="1:18">
      <c r="A30" s="75" t="str">
        <f>'Pre- and Production'!AB375</f>
        <v>CONT</v>
      </c>
      <c r="B30" s="112">
        <f>'Pre- and Production'!AC375</f>
        <v>0</v>
      </c>
      <c r="C30" s="113">
        <f>'Pre- and Production'!AD375</f>
        <v>0</v>
      </c>
      <c r="D30" s="113">
        <f>'Pre- and Production'!AE375</f>
        <v>0</v>
      </c>
      <c r="E30" s="113">
        <f>'Pre- and Production'!AF375</f>
        <v>0</v>
      </c>
      <c r="F30" s="113">
        <f>'Pre- and Production'!AG375</f>
        <v>0</v>
      </c>
      <c r="G30" s="118">
        <f>'Pre- and Production'!AH375</f>
        <v>0</v>
      </c>
      <c r="H30" s="114"/>
      <c r="I30" s="97"/>
      <c r="J30" s="97"/>
      <c r="K30" s="75" t="str">
        <f>'Pre- and Production'!AL375</f>
        <v>CONT</v>
      </c>
      <c r="L30" s="112">
        <f>'Pre- and Production'!AM375</f>
        <v>0</v>
      </c>
      <c r="M30" s="113">
        <f>'Pre- and Production'!AN375</f>
        <v>0</v>
      </c>
      <c r="N30" s="113">
        <f>'Pre- and Production'!AO375</f>
        <v>0</v>
      </c>
      <c r="O30" s="113">
        <f>'Pre- and Production'!AP375</f>
        <v>0</v>
      </c>
      <c r="P30" s="113">
        <f>'Pre- and Production'!AQ375</f>
        <v>0</v>
      </c>
      <c r="Q30" s="118">
        <f>'Pre- and Production'!AR375</f>
        <v>0</v>
      </c>
      <c r="R30" s="114"/>
    </row>
    <row r="31" spans="1:18">
      <c r="A31" s="75" t="str">
        <f>'Pre- and Production'!AB376</f>
        <v>STAR</v>
      </c>
      <c r="B31" s="112">
        <f>'Pre- and Production'!AC376</f>
        <v>0</v>
      </c>
      <c r="C31" s="113">
        <f>'Pre- and Production'!AD376</f>
        <v>0</v>
      </c>
      <c r="D31" s="113">
        <f>'Pre- and Production'!AE376</f>
        <v>0</v>
      </c>
      <c r="E31" s="113">
        <f>'Pre- and Production'!AF376</f>
        <v>0</v>
      </c>
      <c r="F31" s="113">
        <f>'Pre- and Production'!AG376</f>
        <v>0</v>
      </c>
      <c r="G31" s="118">
        <f>'Pre- and Production'!AH376</f>
        <v>0</v>
      </c>
      <c r="H31" s="114"/>
      <c r="I31" s="97"/>
      <c r="J31" s="97"/>
      <c r="K31" s="75" t="str">
        <f>'Pre- and Production'!AL376</f>
        <v>STAR</v>
      </c>
      <c r="L31" s="112">
        <f>'Pre- and Production'!AM376</f>
        <v>0</v>
      </c>
      <c r="M31" s="113">
        <f>'Pre- and Production'!AN376</f>
        <v>0</v>
      </c>
      <c r="N31" s="113">
        <f>'Pre- and Production'!AO376</f>
        <v>0</v>
      </c>
      <c r="O31" s="113">
        <f>'Pre- and Production'!AP376</f>
        <v>0</v>
      </c>
      <c r="P31" s="113">
        <f>'Pre- and Production'!AQ376</f>
        <v>0</v>
      </c>
      <c r="Q31" s="118">
        <f>'Pre- and Production'!AR376</f>
        <v>0</v>
      </c>
      <c r="R31" s="114"/>
    </row>
    <row r="32" spans="1:18">
      <c r="A32" s="75"/>
      <c r="B32" s="343" t="str">
        <f>'Pre- and Production'!AC377</f>
        <v>Project Estimated Cost</v>
      </c>
      <c r="C32" s="344"/>
      <c r="D32" s="344"/>
      <c r="E32" s="344"/>
      <c r="F32" s="344"/>
      <c r="G32" s="344"/>
      <c r="H32" s="345"/>
      <c r="I32" s="97"/>
      <c r="J32" s="97"/>
      <c r="K32" s="75"/>
      <c r="L32" s="343" t="str">
        <f>'Pre- and Production'!AM377</f>
        <v>Project Estimated Cost</v>
      </c>
      <c r="M32" s="344"/>
      <c r="N32" s="344"/>
      <c r="O32" s="344"/>
      <c r="P32" s="344"/>
      <c r="Q32" s="344"/>
      <c r="R32" s="345"/>
    </row>
    <row r="33" spans="1:18">
      <c r="A33" s="75"/>
      <c r="B33" s="109" t="str">
        <f>'Pre- and Production'!AC378</f>
        <v>Shop Cost</v>
      </c>
      <c r="C33" s="110" t="str">
        <f>'Pre- and Production'!AD378</f>
        <v>MT Cost</v>
      </c>
      <c r="D33" s="110" t="str">
        <f>'Pre- and Production'!AE378</f>
        <v>CMM</v>
      </c>
      <c r="E33" s="110" t="str">
        <f>'Pre- and Production'!AF378</f>
        <v>Engineering</v>
      </c>
      <c r="F33" s="110" t="str">
        <f>'Pre- and Production'!AG378</f>
        <v>Design</v>
      </c>
      <c r="G33" s="115" t="str">
        <f>'Pre- and Production'!AH378</f>
        <v>M&amp;S Cost</v>
      </c>
      <c r="H33" s="111" t="str">
        <f>'Pre- and Production'!AI378</f>
        <v>Totals</v>
      </c>
      <c r="I33" s="97"/>
      <c r="J33" s="97"/>
      <c r="K33" s="75"/>
      <c r="L33" s="109" t="str">
        <f>'Pre- and Production'!AM378</f>
        <v>Shop Cost</v>
      </c>
      <c r="M33" s="110" t="str">
        <f>'Pre- and Production'!AN378</f>
        <v>MT Cost</v>
      </c>
      <c r="N33" s="110" t="str">
        <f>'Pre- and Production'!AO378</f>
        <v>CMM</v>
      </c>
      <c r="O33" s="110" t="str">
        <f>'Pre- and Production'!AP378</f>
        <v>Engineering</v>
      </c>
      <c r="P33" s="110" t="str">
        <f>'Pre- and Production'!AQ378</f>
        <v>Design</v>
      </c>
      <c r="Q33" s="115" t="str">
        <f>'Pre- and Production'!AR378</f>
        <v>M&amp;S Cost</v>
      </c>
      <c r="R33" s="111" t="str">
        <f>'Pre- and Production'!AS378</f>
        <v>Totals</v>
      </c>
    </row>
    <row r="34" spans="1:18">
      <c r="A34" s="75">
        <f>'Pre- and Production'!AB379</f>
        <v>2009</v>
      </c>
      <c r="B34" s="119">
        <f>'Pre- and Production'!AC379</f>
        <v>0</v>
      </c>
      <c r="C34" s="116">
        <f>'Pre- and Production'!AD379</f>
        <v>0</v>
      </c>
      <c r="D34" s="116">
        <f>'Pre- and Production'!AE379</f>
        <v>0</v>
      </c>
      <c r="E34" s="116">
        <f>'Pre- and Production'!AF379</f>
        <v>0</v>
      </c>
      <c r="F34" s="116">
        <f>'Pre- and Production'!AG379</f>
        <v>0</v>
      </c>
      <c r="G34" s="116">
        <f>'Pre- and Production'!AH379</f>
        <v>0</v>
      </c>
      <c r="H34" s="120">
        <f>'Pre- and Production'!AI379</f>
        <v>0</v>
      </c>
      <c r="I34" s="97"/>
      <c r="J34" s="97"/>
      <c r="K34" s="75">
        <f>'Pre- and Production'!AL379</f>
        <v>2009</v>
      </c>
      <c r="L34" s="119">
        <f>'Pre- and Production'!AM379</f>
        <v>0</v>
      </c>
      <c r="M34" s="116">
        <f>'Pre- and Production'!AN379</f>
        <v>0</v>
      </c>
      <c r="N34" s="116">
        <f>'Pre- and Production'!AO379</f>
        <v>0</v>
      </c>
      <c r="O34" s="116">
        <f>'Pre- and Production'!AP379</f>
        <v>0</v>
      </c>
      <c r="P34" s="116">
        <f>'Pre- and Production'!AQ379</f>
        <v>0</v>
      </c>
      <c r="Q34" s="116">
        <f>'Pre- and Production'!AR379</f>
        <v>0</v>
      </c>
      <c r="R34" s="120">
        <f>'Pre- and Production'!AS379</f>
        <v>0</v>
      </c>
    </row>
    <row r="35" spans="1:18">
      <c r="A35" s="75">
        <f>'Pre- and Production'!AB380</f>
        <v>2010</v>
      </c>
      <c r="B35" s="119">
        <f>'Pre- and Production'!AC380</f>
        <v>11088</v>
      </c>
      <c r="C35" s="116">
        <f>'Pre- and Production'!AD380</f>
        <v>42120</v>
      </c>
      <c r="D35" s="116">
        <f>'Pre- and Production'!AE380</f>
        <v>0</v>
      </c>
      <c r="E35" s="116">
        <f>'Pre- and Production'!AF380</f>
        <v>40800</v>
      </c>
      <c r="F35" s="116">
        <f>'Pre- and Production'!AG380</f>
        <v>0</v>
      </c>
      <c r="G35" s="116">
        <f>'Pre- and Production'!AH380</f>
        <v>37708</v>
      </c>
      <c r="H35" s="120">
        <f>'Pre- and Production'!AI380</f>
        <v>131716</v>
      </c>
      <c r="I35" s="97"/>
      <c r="J35" s="97"/>
      <c r="K35" s="75">
        <f>'Pre- and Production'!AL380</f>
        <v>2010</v>
      </c>
      <c r="L35" s="119">
        <f>'Pre- and Production'!AM380</f>
        <v>0</v>
      </c>
      <c r="M35" s="116">
        <f>'Pre- and Production'!AN380</f>
        <v>24336</v>
      </c>
      <c r="N35" s="116">
        <f>'Pre- and Production'!AO380</f>
        <v>0</v>
      </c>
      <c r="O35" s="116">
        <f>'Pre- and Production'!AP380</f>
        <v>2400</v>
      </c>
      <c r="P35" s="116">
        <f>'Pre- and Production'!AQ380</f>
        <v>0</v>
      </c>
      <c r="Q35" s="116">
        <f>'Pre- and Production'!AR380</f>
        <v>7500</v>
      </c>
      <c r="R35" s="120">
        <f>'Pre- and Production'!AS380</f>
        <v>34236</v>
      </c>
    </row>
    <row r="36" spans="1:18">
      <c r="A36" s="75">
        <f>'Pre- and Production'!AB381</f>
        <v>2011</v>
      </c>
      <c r="B36" s="119">
        <f>'Pre- and Production'!AC381</f>
        <v>9072</v>
      </c>
      <c r="C36" s="116">
        <f>'Pre- and Production'!AD381</f>
        <v>59436</v>
      </c>
      <c r="D36" s="116">
        <f>'Pre- and Production'!AE381</f>
        <v>0</v>
      </c>
      <c r="E36" s="116">
        <f>'Pre- and Production'!AF381</f>
        <v>31800</v>
      </c>
      <c r="F36" s="116">
        <f>'Pre- and Production'!AG381</f>
        <v>0</v>
      </c>
      <c r="G36" s="116">
        <f>'Pre- and Production'!AH381</f>
        <v>202100</v>
      </c>
      <c r="H36" s="120">
        <f>'Pre- and Production'!AI381</f>
        <v>302408</v>
      </c>
      <c r="I36" s="97"/>
      <c r="J36" s="97"/>
      <c r="K36" s="75">
        <f>'Pre- and Production'!AL381</f>
        <v>2011</v>
      </c>
      <c r="L36" s="119">
        <f>'Pre- and Production'!AM381</f>
        <v>2520</v>
      </c>
      <c r="M36" s="116">
        <f>'Pre- and Production'!AN381</f>
        <v>6552</v>
      </c>
      <c r="N36" s="116">
        <f>'Pre- and Production'!AO381</f>
        <v>0</v>
      </c>
      <c r="O36" s="116">
        <f>'Pre- and Production'!AP381</f>
        <v>3600</v>
      </c>
      <c r="P36" s="116">
        <f>'Pre- and Production'!AQ381</f>
        <v>0</v>
      </c>
      <c r="Q36" s="116">
        <f>'Pre- and Production'!AR381</f>
        <v>7500</v>
      </c>
      <c r="R36" s="120">
        <f>'Pre- and Production'!AS381</f>
        <v>20172</v>
      </c>
    </row>
    <row r="37" spans="1:18">
      <c r="A37" s="75">
        <f>'Pre- and Production'!AB382</f>
        <v>2012</v>
      </c>
      <c r="B37" s="119">
        <f>'Pre- and Production'!AC382</f>
        <v>15120</v>
      </c>
      <c r="C37" s="116">
        <f>'Pre- and Production'!AD382</f>
        <v>23400</v>
      </c>
      <c r="D37" s="116">
        <f>'Pre- and Production'!AE382</f>
        <v>0</v>
      </c>
      <c r="E37" s="116">
        <f>'Pre- and Production'!AF382</f>
        <v>13200</v>
      </c>
      <c r="F37" s="116">
        <f>'Pre- and Production'!AG382</f>
        <v>0</v>
      </c>
      <c r="G37" s="116">
        <f>'Pre- and Production'!AH382</f>
        <v>161500</v>
      </c>
      <c r="H37" s="120">
        <f>'Pre- and Production'!AI382</f>
        <v>213220</v>
      </c>
      <c r="I37" s="97"/>
      <c r="J37" s="97"/>
      <c r="K37" s="75">
        <f>'Pre- and Production'!AL382</f>
        <v>2012</v>
      </c>
      <c r="L37" s="119">
        <f>'Pre- and Production'!AM382</f>
        <v>30240</v>
      </c>
      <c r="M37" s="116">
        <f>'Pre- and Production'!AN382</f>
        <v>42120</v>
      </c>
      <c r="N37" s="116">
        <f>'Pre- and Production'!AO382</f>
        <v>0</v>
      </c>
      <c r="O37" s="116">
        <f>'Pre- and Production'!AP382</f>
        <v>27600</v>
      </c>
      <c r="P37" s="116">
        <f>'Pre- and Production'!AQ382</f>
        <v>0</v>
      </c>
      <c r="Q37" s="116">
        <f>'Pre- and Production'!AR382</f>
        <v>199150</v>
      </c>
      <c r="R37" s="120">
        <f>'Pre- and Production'!AS382</f>
        <v>299110</v>
      </c>
    </row>
    <row r="38" spans="1:18">
      <c r="A38" s="75">
        <f>'Pre- and Production'!AB383</f>
        <v>2013</v>
      </c>
      <c r="B38" s="119">
        <f>'Pre- and Production'!AC383</f>
        <v>0</v>
      </c>
      <c r="C38" s="116">
        <f>'Pre- and Production'!AD383</f>
        <v>0</v>
      </c>
      <c r="D38" s="116">
        <f>'Pre- and Production'!AE383</f>
        <v>0</v>
      </c>
      <c r="E38" s="116">
        <f>'Pre- and Production'!AF383</f>
        <v>0</v>
      </c>
      <c r="F38" s="116">
        <f>'Pre- and Production'!AG383</f>
        <v>0</v>
      </c>
      <c r="G38" s="116">
        <f>'Pre- and Production'!AH383</f>
        <v>0</v>
      </c>
      <c r="H38" s="120">
        <f>'Pre- and Production'!AI383</f>
        <v>0</v>
      </c>
      <c r="I38" s="97"/>
      <c r="J38" s="97"/>
      <c r="K38" s="75">
        <f>'Pre- and Production'!AL383</f>
        <v>2013</v>
      </c>
      <c r="L38" s="119">
        <f>'Pre- and Production'!AM383</f>
        <v>0</v>
      </c>
      <c r="M38" s="116">
        <f>'Pre- and Production'!AN383</f>
        <v>0</v>
      </c>
      <c r="N38" s="116">
        <f>'Pre- and Production'!AO383</f>
        <v>0</v>
      </c>
      <c r="O38" s="116">
        <f>'Pre- and Production'!AP383</f>
        <v>0</v>
      </c>
      <c r="P38" s="116">
        <f>'Pre- and Production'!AQ383</f>
        <v>0</v>
      </c>
      <c r="Q38" s="116">
        <f>'Pre- and Production'!AR383</f>
        <v>0</v>
      </c>
      <c r="R38" s="120">
        <f>'Pre- and Production'!AS383</f>
        <v>0</v>
      </c>
    </row>
    <row r="39" spans="1:18" ht="13.5" thickBot="1">
      <c r="A39" s="75">
        <f>'Pre- and Production'!AB384</f>
        <v>2014</v>
      </c>
      <c r="B39" s="121">
        <f>'Pre- and Production'!AC384</f>
        <v>0</v>
      </c>
      <c r="C39" s="117">
        <f>'Pre- and Production'!AD384</f>
        <v>0</v>
      </c>
      <c r="D39" s="117">
        <f>'Pre- and Production'!AE384</f>
        <v>0</v>
      </c>
      <c r="E39" s="117">
        <f>'Pre- and Production'!AF384</f>
        <v>0</v>
      </c>
      <c r="F39" s="117">
        <f>'Pre- and Production'!AG384</f>
        <v>0</v>
      </c>
      <c r="G39" s="117">
        <f>'Pre- and Production'!AH384</f>
        <v>0</v>
      </c>
      <c r="H39" s="122">
        <f>'Pre- and Production'!AI384</f>
        <v>0</v>
      </c>
      <c r="I39" s="97"/>
      <c r="J39" s="97"/>
      <c r="K39" s="75">
        <f>'Pre- and Production'!AL384</f>
        <v>2014</v>
      </c>
      <c r="L39" s="121">
        <f>'Pre- and Production'!AM384</f>
        <v>0</v>
      </c>
      <c r="M39" s="117">
        <f>'Pre- and Production'!AN384</f>
        <v>0</v>
      </c>
      <c r="N39" s="117">
        <f>'Pre- and Production'!AO384</f>
        <v>0</v>
      </c>
      <c r="O39" s="117">
        <f>'Pre- and Production'!AP384</f>
        <v>0</v>
      </c>
      <c r="P39" s="117">
        <f>'Pre- and Production'!AQ384</f>
        <v>0</v>
      </c>
      <c r="Q39" s="117">
        <f>'Pre- and Production'!AR384</f>
        <v>0</v>
      </c>
      <c r="R39" s="122">
        <f>'Pre- and Production'!AS384</f>
        <v>0</v>
      </c>
    </row>
    <row r="40" spans="1:18">
      <c r="A40" s="75"/>
      <c r="B40" s="97"/>
      <c r="C40" s="97"/>
      <c r="D40" s="97"/>
      <c r="E40" s="97"/>
      <c r="F40" s="97"/>
      <c r="G40" s="108" t="str">
        <f>'Pre- and Production'!AH385</f>
        <v>Base Cost</v>
      </c>
      <c r="H40" s="76">
        <f>'Pre- and Production'!AI385</f>
        <v>647344</v>
      </c>
      <c r="I40" s="97"/>
      <c r="J40" s="97"/>
      <c r="K40" s="75"/>
      <c r="L40" s="97"/>
      <c r="M40" s="97"/>
      <c r="N40" s="97"/>
      <c r="O40" s="97"/>
      <c r="P40" s="97"/>
      <c r="Q40" s="108" t="str">
        <f>'Pre- and Production'!AR385</f>
        <v>Contingency</v>
      </c>
      <c r="R40" s="76">
        <f>'Pre- and Production'!AS385</f>
        <v>353518</v>
      </c>
    </row>
    <row r="41" spans="1:18" ht="13.5" thickBot="1">
      <c r="A41" s="75"/>
      <c r="B41" s="97"/>
      <c r="C41" s="97"/>
      <c r="D41" s="97"/>
      <c r="E41" s="97"/>
      <c r="F41" s="97"/>
      <c r="H41" s="97"/>
      <c r="I41" s="97"/>
      <c r="J41" s="97"/>
      <c r="K41" s="75"/>
      <c r="L41" s="97"/>
      <c r="M41" s="97"/>
      <c r="N41" s="97"/>
      <c r="O41" s="97"/>
      <c r="P41" s="97"/>
      <c r="Q41" s="108" t="str">
        <f>'Pre- and Production'!AR386</f>
        <v>Percent</v>
      </c>
      <c r="R41" s="96">
        <f>'Pre- and Production'!AS386</f>
        <v>0.54610531649324012</v>
      </c>
    </row>
    <row r="42" spans="1:18">
      <c r="A42" s="75"/>
      <c r="B42" s="340" t="str">
        <f>'Pre- and Production'!AC388</f>
        <v>Production Base Cost</v>
      </c>
      <c r="C42" s="341"/>
      <c r="D42" s="341"/>
      <c r="E42" s="341"/>
      <c r="F42" s="341"/>
      <c r="G42" s="341"/>
      <c r="H42" s="342"/>
      <c r="I42" s="97"/>
      <c r="J42" s="97"/>
      <c r="K42" s="75"/>
      <c r="L42" s="340" t="str">
        <f>'Pre- and Production'!AM388</f>
        <v>Production Contingency Cost</v>
      </c>
      <c r="M42" s="341"/>
      <c r="N42" s="341"/>
      <c r="O42" s="341"/>
      <c r="P42" s="341"/>
      <c r="Q42" s="341"/>
      <c r="R42" s="342"/>
    </row>
    <row r="43" spans="1:18">
      <c r="A43" s="75"/>
      <c r="B43" s="109" t="str">
        <f>'Pre- and Production'!AC389</f>
        <v>Shop Time</v>
      </c>
      <c r="C43" s="110" t="str">
        <f>'Pre- and Production'!AD389</f>
        <v>MT Time</v>
      </c>
      <c r="D43" s="110" t="str">
        <f>'Pre- and Production'!AE389</f>
        <v>CMM</v>
      </c>
      <c r="E43" s="110" t="str">
        <f>'Pre- and Production'!AF389</f>
        <v>Engineering</v>
      </c>
      <c r="F43" s="110" t="str">
        <f>'Pre- and Production'!AG389</f>
        <v>Design</v>
      </c>
      <c r="G43" s="115" t="str">
        <f>'Pre- and Production'!AH389</f>
        <v>M&amp;S Cost</v>
      </c>
      <c r="H43" s="111"/>
      <c r="I43" s="97"/>
      <c r="J43" s="97"/>
      <c r="K43" s="75"/>
      <c r="L43" s="109" t="str">
        <f>'Pre- and Production'!AM389</f>
        <v>Shop Time</v>
      </c>
      <c r="M43" s="110" t="str">
        <f>'Pre- and Production'!AN389</f>
        <v>MT Time</v>
      </c>
      <c r="N43" s="110" t="str">
        <f>'Pre- and Production'!AO389</f>
        <v>CMM</v>
      </c>
      <c r="O43" s="110" t="str">
        <f>'Pre- and Production'!AP389</f>
        <v>Engineering</v>
      </c>
      <c r="P43" s="110" t="str">
        <f>'Pre- and Production'!AQ389</f>
        <v>Design</v>
      </c>
      <c r="Q43" s="115" t="str">
        <f>'Pre- and Production'!AR389</f>
        <v>M&amp;S Cost</v>
      </c>
      <c r="R43" s="111"/>
    </row>
    <row r="44" spans="1:18">
      <c r="A44" s="75">
        <f>'Pre- and Production'!AB390</f>
        <v>2009</v>
      </c>
      <c r="B44" s="112">
        <f>'Pre- and Production'!AC390</f>
        <v>0</v>
      </c>
      <c r="C44" s="113">
        <f>'Pre- and Production'!AD390</f>
        <v>0</v>
      </c>
      <c r="D44" s="113">
        <f>'Pre- and Production'!AE390</f>
        <v>0</v>
      </c>
      <c r="E44" s="113">
        <f>'Pre- and Production'!AF390</f>
        <v>0</v>
      </c>
      <c r="F44" s="113">
        <f>'Pre- and Production'!AG390</f>
        <v>0</v>
      </c>
      <c r="G44" s="118">
        <f>'Pre- and Production'!AH390</f>
        <v>0</v>
      </c>
      <c r="H44" s="114"/>
      <c r="I44" s="97"/>
      <c r="J44" s="97"/>
      <c r="K44" s="75">
        <f>'Pre- and Production'!AL390</f>
        <v>2009</v>
      </c>
      <c r="L44" s="112">
        <f>'Pre- and Production'!AM390</f>
        <v>0</v>
      </c>
      <c r="M44" s="113">
        <f>'Pre- and Production'!AN390</f>
        <v>0</v>
      </c>
      <c r="N44" s="113">
        <f>'Pre- and Production'!AO390</f>
        <v>0</v>
      </c>
      <c r="O44" s="113">
        <f>'Pre- and Production'!AP390</f>
        <v>0</v>
      </c>
      <c r="P44" s="113">
        <f>'Pre- and Production'!AQ390</f>
        <v>0</v>
      </c>
      <c r="Q44" s="118">
        <f>'Pre- and Production'!AR390</f>
        <v>0</v>
      </c>
      <c r="R44" s="114"/>
    </row>
    <row r="45" spans="1:18">
      <c r="A45" s="75">
        <f>'Pre- and Production'!AB391</f>
        <v>2010</v>
      </c>
      <c r="B45" s="112">
        <f>'Pre- and Production'!AC391</f>
        <v>40</v>
      </c>
      <c r="C45" s="113">
        <f>'Pre- and Production'!AD391</f>
        <v>104</v>
      </c>
      <c r="D45" s="113">
        <f>'Pre- and Production'!AE391</f>
        <v>572</v>
      </c>
      <c r="E45" s="113">
        <f>'Pre- and Production'!AF391</f>
        <v>64</v>
      </c>
      <c r="F45" s="113">
        <f>'Pre- and Production'!AG391</f>
        <v>456</v>
      </c>
      <c r="G45" s="118">
        <f>'Pre- and Production'!AH391</f>
        <v>49400</v>
      </c>
      <c r="H45" s="114"/>
      <c r="I45" s="97"/>
      <c r="J45" s="97"/>
      <c r="K45" s="75">
        <f>'Pre- and Production'!AL391</f>
        <v>2010</v>
      </c>
      <c r="L45" s="112">
        <f>'Pre- and Production'!AM391</f>
        <v>0</v>
      </c>
      <c r="M45" s="113">
        <f>'Pre- and Production'!AN391</f>
        <v>0</v>
      </c>
      <c r="N45" s="113">
        <f>'Pre- and Production'!AO391</f>
        <v>8</v>
      </c>
      <c r="O45" s="113">
        <f>'Pre- and Production'!AP391</f>
        <v>0</v>
      </c>
      <c r="P45" s="113">
        <f>'Pre- and Production'!AQ391</f>
        <v>40</v>
      </c>
      <c r="Q45" s="118">
        <f>'Pre- and Production'!AR391</f>
        <v>0</v>
      </c>
      <c r="R45" s="114"/>
    </row>
    <row r="46" spans="1:18">
      <c r="A46" s="75">
        <f>'Pre- and Production'!AB392</f>
        <v>2011</v>
      </c>
      <c r="B46" s="112">
        <f>'Pre- and Production'!AC392</f>
        <v>64</v>
      </c>
      <c r="C46" s="113">
        <f>'Pre- and Production'!AD392</f>
        <v>296</v>
      </c>
      <c r="D46" s="113">
        <f>'Pre- and Production'!AE392</f>
        <v>1072</v>
      </c>
      <c r="E46" s="113">
        <f>'Pre- and Production'!AF392</f>
        <v>464</v>
      </c>
      <c r="F46" s="113">
        <f>'Pre- and Production'!AG392</f>
        <v>848</v>
      </c>
      <c r="G46" s="118">
        <f>'Pre- and Production'!AH392</f>
        <v>12650</v>
      </c>
      <c r="H46" s="114"/>
      <c r="I46" s="97"/>
      <c r="J46" s="97"/>
      <c r="K46" s="75">
        <f>'Pre- and Production'!AL392</f>
        <v>2011</v>
      </c>
      <c r="L46" s="112">
        <f>'Pre- and Production'!AM392</f>
        <v>20</v>
      </c>
      <c r="M46" s="113">
        <f>'Pre- and Production'!AN392</f>
        <v>112</v>
      </c>
      <c r="N46" s="113">
        <f>'Pre- and Production'!AO392</f>
        <v>88</v>
      </c>
      <c r="O46" s="113">
        <f>'Pre- and Production'!AP392</f>
        <v>40</v>
      </c>
      <c r="P46" s="113">
        <f>'Pre- and Production'!AQ392</f>
        <v>136</v>
      </c>
      <c r="Q46" s="118">
        <f>'Pre- and Production'!AR392</f>
        <v>14750</v>
      </c>
      <c r="R46" s="114"/>
    </row>
    <row r="47" spans="1:18">
      <c r="A47" s="75">
        <f>'Pre- and Production'!AB393</f>
        <v>2012</v>
      </c>
      <c r="B47" s="112">
        <f>'Pre- and Production'!AC393</f>
        <v>32</v>
      </c>
      <c r="C47" s="113">
        <f>'Pre- and Production'!AD393</f>
        <v>1434</v>
      </c>
      <c r="D47" s="113">
        <f>'Pre- and Production'!AE393</f>
        <v>1842</v>
      </c>
      <c r="E47" s="113">
        <f>'Pre- and Production'!AF393</f>
        <v>838</v>
      </c>
      <c r="F47" s="113">
        <f>'Pre- and Production'!AG393</f>
        <v>2180</v>
      </c>
      <c r="G47" s="118">
        <f>'Pre- and Production'!AH393</f>
        <v>264260</v>
      </c>
      <c r="H47" s="114"/>
      <c r="I47" s="97"/>
      <c r="J47" s="97"/>
      <c r="K47" s="75">
        <f>'Pre- and Production'!AL393</f>
        <v>2012</v>
      </c>
      <c r="L47" s="112">
        <f>'Pre- and Production'!AM393</f>
        <v>12</v>
      </c>
      <c r="M47" s="113">
        <f>'Pre- and Production'!AN393</f>
        <v>489</v>
      </c>
      <c r="N47" s="113">
        <f>'Pre- and Production'!AO393</f>
        <v>4</v>
      </c>
      <c r="O47" s="113">
        <f>'Pre- and Production'!AP393</f>
        <v>132</v>
      </c>
      <c r="P47" s="113">
        <f>'Pre- and Production'!AQ393</f>
        <v>0</v>
      </c>
      <c r="Q47" s="118">
        <f>'Pre- and Production'!AR393</f>
        <v>57600</v>
      </c>
      <c r="R47" s="114"/>
    </row>
    <row r="48" spans="1:18">
      <c r="A48" s="75">
        <f>'Pre- and Production'!AB394</f>
        <v>2013</v>
      </c>
      <c r="B48" s="112">
        <f>'Pre- and Production'!AC394</f>
        <v>48</v>
      </c>
      <c r="C48" s="113">
        <f>'Pre- and Production'!AD394</f>
        <v>2522</v>
      </c>
      <c r="D48" s="113">
        <f>'Pre- and Production'!AE394</f>
        <v>2546</v>
      </c>
      <c r="E48" s="113">
        <f>'Pre- and Production'!AF394</f>
        <v>250</v>
      </c>
      <c r="F48" s="113">
        <f>'Pre- and Production'!AG394</f>
        <v>2594</v>
      </c>
      <c r="G48" s="118">
        <f>'Pre- and Production'!AH394</f>
        <v>646650</v>
      </c>
      <c r="H48" s="114"/>
      <c r="I48" s="97"/>
      <c r="J48" s="97"/>
      <c r="K48" s="75">
        <f>'Pre- and Production'!AL394</f>
        <v>2013</v>
      </c>
      <c r="L48" s="112">
        <f>'Pre- and Production'!AM394</f>
        <v>72</v>
      </c>
      <c r="M48" s="113">
        <f>'Pre- and Production'!AN394</f>
        <v>488</v>
      </c>
      <c r="N48" s="113">
        <f>'Pre- and Production'!AO394</f>
        <v>0</v>
      </c>
      <c r="O48" s="113">
        <f>'Pre- and Production'!AP394</f>
        <v>302</v>
      </c>
      <c r="P48" s="113">
        <f>'Pre- and Production'!AQ394</f>
        <v>0</v>
      </c>
      <c r="Q48" s="118">
        <f>'Pre- and Production'!AR394</f>
        <v>55500</v>
      </c>
      <c r="R48" s="114"/>
    </row>
    <row r="49" spans="1:18">
      <c r="A49" s="75">
        <f>'Pre- and Production'!AB395</f>
        <v>2014</v>
      </c>
      <c r="B49" s="112">
        <f>'Pre- and Production'!AC395</f>
        <v>0</v>
      </c>
      <c r="C49" s="113">
        <f>'Pre- and Production'!AD395</f>
        <v>296</v>
      </c>
      <c r="D49" s="113">
        <f>'Pre- and Production'!AE395</f>
        <v>202</v>
      </c>
      <c r="E49" s="113">
        <f>'Pre- and Production'!AF395</f>
        <v>16</v>
      </c>
      <c r="F49" s="113">
        <f>'Pre- and Production'!AG395</f>
        <v>222</v>
      </c>
      <c r="G49" s="118">
        <f>'Pre- and Production'!AH395</f>
        <v>32200</v>
      </c>
      <c r="H49" s="114"/>
      <c r="I49" s="97"/>
      <c r="J49" s="97"/>
      <c r="K49" s="75">
        <f>'Pre- and Production'!AL395</f>
        <v>2014</v>
      </c>
      <c r="L49" s="112">
        <f>'Pre- and Production'!AM395</f>
        <v>40</v>
      </c>
      <c r="M49" s="113">
        <f>'Pre- and Production'!AN395</f>
        <v>66</v>
      </c>
      <c r="N49" s="113">
        <f>'Pre- and Production'!AO395</f>
        <v>40</v>
      </c>
      <c r="O49" s="113">
        <f>'Pre- and Production'!AP395</f>
        <v>44</v>
      </c>
      <c r="P49" s="113">
        <f>'Pre- and Production'!AQ395</f>
        <v>40</v>
      </c>
      <c r="Q49" s="118">
        <f>'Pre- and Production'!AR395</f>
        <v>63000</v>
      </c>
      <c r="R49" s="114"/>
    </row>
    <row r="50" spans="1:18">
      <c r="A50" s="75" t="str">
        <f>'Pre- and Production'!AB396</f>
        <v>CONT</v>
      </c>
      <c r="B50" s="112">
        <f>'Pre- and Production'!AC396</f>
        <v>0</v>
      </c>
      <c r="C50" s="113">
        <f>'Pre- and Production'!AD396</f>
        <v>0</v>
      </c>
      <c r="D50" s="113">
        <f>'Pre- and Production'!AE396</f>
        <v>0</v>
      </c>
      <c r="E50" s="113">
        <f>'Pre- and Production'!AF396</f>
        <v>0</v>
      </c>
      <c r="F50" s="113">
        <f>'Pre- and Production'!AG396</f>
        <v>0</v>
      </c>
      <c r="G50" s="118">
        <f>'Pre- and Production'!AH396</f>
        <v>0</v>
      </c>
      <c r="H50" s="114"/>
      <c r="I50" s="97"/>
      <c r="J50" s="97"/>
      <c r="K50" s="75" t="str">
        <f>'Pre- and Production'!AL396</f>
        <v>CONT</v>
      </c>
      <c r="L50" s="112">
        <f>'Pre- and Production'!AM396</f>
        <v>0</v>
      </c>
      <c r="M50" s="113">
        <f>'Pre- and Production'!AN396</f>
        <v>0</v>
      </c>
      <c r="N50" s="113">
        <f>'Pre- and Production'!AO396</f>
        <v>0</v>
      </c>
      <c r="O50" s="113">
        <f>'Pre- and Production'!AP396</f>
        <v>0</v>
      </c>
      <c r="P50" s="113">
        <f>'Pre- and Production'!AQ396</f>
        <v>0</v>
      </c>
      <c r="Q50" s="118">
        <f>'Pre- and Production'!AR396</f>
        <v>0</v>
      </c>
      <c r="R50" s="114"/>
    </row>
    <row r="51" spans="1:18">
      <c r="A51" s="75" t="str">
        <f>'Pre- and Production'!AB397</f>
        <v>STAR</v>
      </c>
      <c r="B51" s="112">
        <f>'Pre- and Production'!AC397</f>
        <v>0</v>
      </c>
      <c r="C51" s="113">
        <f>'Pre- and Production'!AD397</f>
        <v>0</v>
      </c>
      <c r="D51" s="113">
        <f>'Pre- and Production'!AE397</f>
        <v>0</v>
      </c>
      <c r="E51" s="113">
        <f>'Pre- and Production'!AF397</f>
        <v>0</v>
      </c>
      <c r="F51" s="113">
        <f>'Pre- and Production'!AG397</f>
        <v>0</v>
      </c>
      <c r="G51" s="118">
        <f>'Pre- and Production'!AH397</f>
        <v>0</v>
      </c>
      <c r="H51" s="114"/>
      <c r="I51" s="97"/>
      <c r="J51" s="97"/>
      <c r="K51" s="75" t="str">
        <f>'Pre- and Production'!AL397</f>
        <v>STAR</v>
      </c>
      <c r="L51" s="112">
        <f>'Pre- and Production'!AM397</f>
        <v>0</v>
      </c>
      <c r="M51" s="113">
        <f>'Pre- and Production'!AN397</f>
        <v>0</v>
      </c>
      <c r="N51" s="113">
        <f>'Pre- and Production'!AO397</f>
        <v>0</v>
      </c>
      <c r="O51" s="113">
        <f>'Pre- and Production'!AP397</f>
        <v>0</v>
      </c>
      <c r="P51" s="113">
        <f>'Pre- and Production'!AQ397</f>
        <v>0</v>
      </c>
      <c r="Q51" s="118">
        <f>'Pre- and Production'!AR397</f>
        <v>0</v>
      </c>
      <c r="R51" s="114"/>
    </row>
    <row r="52" spans="1:18">
      <c r="A52" s="75"/>
      <c r="B52" s="343" t="str">
        <f>'Pre- and Production'!AC398</f>
        <v>Project Estimated Cost</v>
      </c>
      <c r="C52" s="344"/>
      <c r="D52" s="344"/>
      <c r="E52" s="344"/>
      <c r="F52" s="344"/>
      <c r="G52" s="344"/>
      <c r="H52" s="345"/>
      <c r="I52" s="97"/>
      <c r="J52" s="97"/>
      <c r="K52" s="75"/>
      <c r="L52" s="343" t="str">
        <f>'Pre- and Production'!AM398</f>
        <v>Project Estimated Cost</v>
      </c>
      <c r="M52" s="344"/>
      <c r="N52" s="344"/>
      <c r="O52" s="344"/>
      <c r="P52" s="344"/>
      <c r="Q52" s="344"/>
      <c r="R52" s="345"/>
    </row>
    <row r="53" spans="1:18">
      <c r="A53" s="75"/>
      <c r="B53" s="109" t="str">
        <f>'Pre- and Production'!AC399</f>
        <v>Shop Cost</v>
      </c>
      <c r="C53" s="110" t="str">
        <f>'Pre- and Production'!AD399</f>
        <v>MT Cost</v>
      </c>
      <c r="D53" s="110" t="str">
        <f>'Pre- and Production'!AE399</f>
        <v>CMM</v>
      </c>
      <c r="E53" s="110" t="str">
        <f>'Pre- and Production'!AF399</f>
        <v>Engineering</v>
      </c>
      <c r="F53" s="110" t="str">
        <f>'Pre- and Production'!AG399</f>
        <v>Design</v>
      </c>
      <c r="G53" s="115" t="str">
        <f>'Pre- and Production'!AH399</f>
        <v>M&amp;S Cost</v>
      </c>
      <c r="H53" s="111" t="str">
        <f>'Pre- and Production'!AI399</f>
        <v>Totals</v>
      </c>
      <c r="I53" s="97"/>
      <c r="J53" s="97"/>
      <c r="K53" s="75"/>
      <c r="L53" s="109" t="str">
        <f>'Pre- and Production'!AM399</f>
        <v>Shop Cost</v>
      </c>
      <c r="M53" s="110" t="str">
        <f>'Pre- and Production'!AN399</f>
        <v>MT Cost</v>
      </c>
      <c r="N53" s="110" t="str">
        <f>'Pre- and Production'!AO399</f>
        <v>CMM</v>
      </c>
      <c r="O53" s="110" t="str">
        <f>'Pre- and Production'!AP399</f>
        <v>Engineering</v>
      </c>
      <c r="P53" s="110" t="str">
        <f>'Pre- and Production'!AQ399</f>
        <v>Design</v>
      </c>
      <c r="Q53" s="115" t="str">
        <f>'Pre- and Production'!AR399</f>
        <v>M&amp;S Cost</v>
      </c>
      <c r="R53" s="111" t="str">
        <f>'Pre- and Production'!AS399</f>
        <v>Totals</v>
      </c>
    </row>
    <row r="54" spans="1:18">
      <c r="A54" s="75">
        <f>'Pre- and Production'!AB400</f>
        <v>2009</v>
      </c>
      <c r="B54" s="119">
        <f>'Pre- and Production'!AC400</f>
        <v>0</v>
      </c>
      <c r="C54" s="116">
        <f>'Pre- and Production'!AD400</f>
        <v>0</v>
      </c>
      <c r="D54" s="116">
        <f>'Pre- and Production'!AE400</f>
        <v>0</v>
      </c>
      <c r="E54" s="116">
        <f>'Pre- and Production'!AF400</f>
        <v>0</v>
      </c>
      <c r="F54" s="116">
        <f>'Pre- and Production'!AG400</f>
        <v>0</v>
      </c>
      <c r="G54" s="116">
        <f>'Pre- and Production'!AH400</f>
        <v>0</v>
      </c>
      <c r="H54" s="120">
        <f>'Pre- and Production'!AI400</f>
        <v>0</v>
      </c>
      <c r="I54" s="97"/>
      <c r="J54" s="97"/>
      <c r="K54" s="75">
        <f>'Pre- and Production'!AL400</f>
        <v>2009</v>
      </c>
      <c r="L54" s="119">
        <f>'Pre- and Production'!AM400</f>
        <v>0</v>
      </c>
      <c r="M54" s="116">
        <f>'Pre- and Production'!AN400</f>
        <v>0</v>
      </c>
      <c r="N54" s="116">
        <f>'Pre- and Production'!AO400</f>
        <v>0</v>
      </c>
      <c r="O54" s="116">
        <f>'Pre- and Production'!AP400</f>
        <v>0</v>
      </c>
      <c r="P54" s="116">
        <f>'Pre- and Production'!AQ400</f>
        <v>0</v>
      </c>
      <c r="Q54" s="116">
        <f>'Pre- and Production'!AR400</f>
        <v>0</v>
      </c>
      <c r="R54" s="120">
        <f>'Pre- and Production'!AS400</f>
        <v>0</v>
      </c>
    </row>
    <row r="55" spans="1:18">
      <c r="A55" s="75">
        <f>'Pre- and Production'!AB401</f>
        <v>2010</v>
      </c>
      <c r="B55" s="119">
        <f>'Pre- and Production'!AC401</f>
        <v>4082.4</v>
      </c>
      <c r="C55" s="116">
        <f>'Pre- and Production'!AD401</f>
        <v>9856.0800000000017</v>
      </c>
      <c r="D55" s="116">
        <f>'Pre- and Production'!AE401</f>
        <v>0</v>
      </c>
      <c r="E55" s="116">
        <f>'Pre- and Production'!AF401</f>
        <v>7776.0000000000009</v>
      </c>
      <c r="F55" s="116">
        <f>'Pre- and Production'!AG401</f>
        <v>0</v>
      </c>
      <c r="G55" s="116">
        <f>'Pre- and Production'!AH401</f>
        <v>49400</v>
      </c>
      <c r="H55" s="120">
        <f>'Pre- and Production'!AI401</f>
        <v>71114.48000000001</v>
      </c>
      <c r="I55" s="97"/>
      <c r="J55" s="97"/>
      <c r="K55" s="75">
        <f>'Pre- and Production'!AL401</f>
        <v>2010</v>
      </c>
      <c r="L55" s="119">
        <f>'Pre- and Production'!AM401</f>
        <v>0</v>
      </c>
      <c r="M55" s="116">
        <f>'Pre- and Production'!AN401</f>
        <v>0</v>
      </c>
      <c r="N55" s="116">
        <f>'Pre- and Production'!AO401</f>
        <v>0</v>
      </c>
      <c r="O55" s="116">
        <f>'Pre- and Production'!AP401</f>
        <v>0</v>
      </c>
      <c r="P55" s="116">
        <f>'Pre- and Production'!AQ401</f>
        <v>0</v>
      </c>
      <c r="Q55" s="116">
        <f>'Pre- and Production'!AR401</f>
        <v>0</v>
      </c>
      <c r="R55" s="120">
        <f>'Pre- and Production'!AS401</f>
        <v>0</v>
      </c>
    </row>
    <row r="56" spans="1:18">
      <c r="A56" s="75">
        <f>'Pre- and Production'!AB402</f>
        <v>2011</v>
      </c>
      <c r="B56" s="119">
        <f>'Pre- and Production'!AC402</f>
        <v>6531.84</v>
      </c>
      <c r="C56" s="116">
        <f>'Pre- and Production'!AD402</f>
        <v>28051.920000000002</v>
      </c>
      <c r="D56" s="116">
        <f>'Pre- and Production'!AE402</f>
        <v>0</v>
      </c>
      <c r="E56" s="116">
        <f>'Pre- and Production'!AF402</f>
        <v>56376.000000000007</v>
      </c>
      <c r="F56" s="116">
        <f>'Pre- and Production'!AG402</f>
        <v>0</v>
      </c>
      <c r="G56" s="116">
        <f>'Pre- and Production'!AH402</f>
        <v>12650</v>
      </c>
      <c r="H56" s="120">
        <f>'Pre- and Production'!AI402</f>
        <v>103609.76000000001</v>
      </c>
      <c r="I56" s="97"/>
      <c r="J56" s="97"/>
      <c r="K56" s="75">
        <f>'Pre- and Production'!AL402</f>
        <v>2011</v>
      </c>
      <c r="L56" s="119">
        <f>'Pre- and Production'!AM402</f>
        <v>2041.2</v>
      </c>
      <c r="M56" s="116">
        <f>'Pre- and Production'!AN402</f>
        <v>10614.240000000002</v>
      </c>
      <c r="N56" s="116">
        <f>'Pre- and Production'!AO402</f>
        <v>0</v>
      </c>
      <c r="O56" s="116">
        <f>'Pre- and Production'!AP402</f>
        <v>4860.0000000000009</v>
      </c>
      <c r="P56" s="116">
        <f>'Pre- and Production'!AQ402</f>
        <v>0</v>
      </c>
      <c r="Q56" s="116">
        <f>'Pre- and Production'!AR402</f>
        <v>14750</v>
      </c>
      <c r="R56" s="120">
        <f>'Pre- and Production'!AS402</f>
        <v>32265.440000000002</v>
      </c>
    </row>
    <row r="57" spans="1:18">
      <c r="A57" s="75">
        <f>'Pre- and Production'!AB403</f>
        <v>2012</v>
      </c>
      <c r="B57" s="119">
        <f>'Pre- and Production'!AC403</f>
        <v>3265.92</v>
      </c>
      <c r="C57" s="116">
        <f>'Pre- and Production'!AD403</f>
        <v>135900.18000000002</v>
      </c>
      <c r="D57" s="116">
        <f>'Pre- and Production'!AE403</f>
        <v>0</v>
      </c>
      <c r="E57" s="116">
        <f>'Pre- and Production'!AF403</f>
        <v>101817.00000000001</v>
      </c>
      <c r="F57" s="116">
        <f>'Pre- and Production'!AG403</f>
        <v>0</v>
      </c>
      <c r="G57" s="116">
        <f>'Pre- and Production'!AH403</f>
        <v>264260</v>
      </c>
      <c r="H57" s="120">
        <f>'Pre- and Production'!AI403</f>
        <v>505243.10000000003</v>
      </c>
      <c r="I57" s="97"/>
      <c r="J57" s="97"/>
      <c r="K57" s="75">
        <f>'Pre- and Production'!AL403</f>
        <v>2012</v>
      </c>
      <c r="L57" s="119">
        <f>'Pre- and Production'!AM403</f>
        <v>1224.72</v>
      </c>
      <c r="M57" s="116">
        <f>'Pre- and Production'!AN403</f>
        <v>46342.530000000006</v>
      </c>
      <c r="N57" s="116">
        <f>'Pre- and Production'!AO403</f>
        <v>0</v>
      </c>
      <c r="O57" s="116">
        <f>'Pre- and Production'!AP403</f>
        <v>16038.000000000002</v>
      </c>
      <c r="P57" s="116">
        <f>'Pre- and Production'!AQ403</f>
        <v>0</v>
      </c>
      <c r="Q57" s="116">
        <f>'Pre- and Production'!AR403</f>
        <v>57600</v>
      </c>
      <c r="R57" s="120">
        <f>'Pre- and Production'!AS403</f>
        <v>121205.25</v>
      </c>
    </row>
    <row r="58" spans="1:18">
      <c r="A58" s="75">
        <f>'Pre- and Production'!AB404</f>
        <v>2013</v>
      </c>
      <c r="B58" s="119">
        <f>'Pre- and Production'!AC404</f>
        <v>4898.88</v>
      </c>
      <c r="C58" s="116">
        <f>'Pre- and Production'!AD404</f>
        <v>239009.94000000003</v>
      </c>
      <c r="D58" s="116">
        <f>'Pre- and Production'!AE404</f>
        <v>0</v>
      </c>
      <c r="E58" s="116">
        <f>'Pre- and Production'!AF404</f>
        <v>30375.000000000004</v>
      </c>
      <c r="F58" s="116">
        <f>'Pre- and Production'!AG404</f>
        <v>0</v>
      </c>
      <c r="G58" s="116">
        <f>'Pre- and Production'!AH404</f>
        <v>646650</v>
      </c>
      <c r="H58" s="120">
        <f>'Pre- and Production'!AI404</f>
        <v>920933.82000000007</v>
      </c>
      <c r="I58" s="97"/>
      <c r="J58" s="97"/>
      <c r="K58" s="75">
        <f>'Pre- and Production'!AL404</f>
        <v>2013</v>
      </c>
      <c r="L58" s="119">
        <f>'Pre- and Production'!AM404</f>
        <v>7348.32</v>
      </c>
      <c r="M58" s="116">
        <f>'Pre- and Production'!AN404</f>
        <v>46247.76</v>
      </c>
      <c r="N58" s="116">
        <f>'Pre- and Production'!AO404</f>
        <v>0</v>
      </c>
      <c r="O58" s="116">
        <f>'Pre- and Production'!AP404</f>
        <v>36693.000000000007</v>
      </c>
      <c r="P58" s="116">
        <f>'Pre- and Production'!AQ404</f>
        <v>0</v>
      </c>
      <c r="Q58" s="116">
        <f>'Pre- and Production'!AR404</f>
        <v>55500</v>
      </c>
      <c r="R58" s="120">
        <f>'Pre- and Production'!AS404</f>
        <v>145789.08000000002</v>
      </c>
    </row>
    <row r="59" spans="1:18" ht="13.5" thickBot="1">
      <c r="A59" s="75">
        <f>'Pre- and Production'!AB405</f>
        <v>2014</v>
      </c>
      <c r="B59" s="121">
        <f>'Pre- and Production'!AC405</f>
        <v>0</v>
      </c>
      <c r="C59" s="117">
        <f>'Pre- and Production'!AD405</f>
        <v>28051.920000000002</v>
      </c>
      <c r="D59" s="117">
        <f>'Pre- and Production'!AE405</f>
        <v>0</v>
      </c>
      <c r="E59" s="117">
        <f>'Pre- and Production'!AF405</f>
        <v>1944.0000000000002</v>
      </c>
      <c r="F59" s="117">
        <f>'Pre- and Production'!AG405</f>
        <v>0</v>
      </c>
      <c r="G59" s="117">
        <f>'Pre- and Production'!AH405</f>
        <v>32200</v>
      </c>
      <c r="H59" s="122">
        <f>'Pre- and Production'!AI405</f>
        <v>62195.92</v>
      </c>
      <c r="I59" s="97"/>
      <c r="J59" s="97"/>
      <c r="K59" s="75">
        <f>'Pre- and Production'!AL405</f>
        <v>2014</v>
      </c>
      <c r="L59" s="121">
        <f>'Pre- and Production'!AM405</f>
        <v>4082.4</v>
      </c>
      <c r="M59" s="117">
        <f>'Pre- and Production'!AN405</f>
        <v>6254.8200000000006</v>
      </c>
      <c r="N59" s="117">
        <f>'Pre- and Production'!AO405</f>
        <v>0</v>
      </c>
      <c r="O59" s="117">
        <f>'Pre- and Production'!AP405</f>
        <v>5346.0000000000009</v>
      </c>
      <c r="P59" s="117">
        <f>'Pre- and Production'!AQ405</f>
        <v>0</v>
      </c>
      <c r="Q59" s="117">
        <f>'Pre- and Production'!AR405</f>
        <v>63000</v>
      </c>
      <c r="R59" s="122">
        <f>'Pre- and Production'!AS405</f>
        <v>78683.22</v>
      </c>
    </row>
    <row r="60" spans="1:18">
      <c r="A60" s="75"/>
      <c r="B60" s="97"/>
      <c r="C60" s="97"/>
      <c r="D60" s="97"/>
      <c r="E60" s="97"/>
      <c r="F60" s="97"/>
      <c r="G60" s="108" t="str">
        <f>'Pre- and Production'!AH406</f>
        <v>Base Cost</v>
      </c>
      <c r="H60" s="76">
        <f>'Pre- and Production'!AI406</f>
        <v>1663097.08</v>
      </c>
      <c r="I60" s="97"/>
      <c r="J60" s="97"/>
      <c r="K60" s="75"/>
      <c r="L60" s="97"/>
      <c r="M60" s="97"/>
      <c r="N60" s="97"/>
      <c r="O60" s="97"/>
      <c r="P60" s="97"/>
      <c r="Q60" s="108" t="str">
        <f>'Pre- and Production'!AR406</f>
        <v>Contingency</v>
      </c>
      <c r="R60" s="76">
        <f>'Pre- and Production'!AS406</f>
        <v>377942.99</v>
      </c>
    </row>
    <row r="61" spans="1:18">
      <c r="A61" s="75"/>
      <c r="B61" s="97"/>
      <c r="C61" s="97"/>
      <c r="D61" s="97"/>
      <c r="E61" s="97"/>
      <c r="F61" s="97"/>
      <c r="H61" s="97"/>
      <c r="I61" s="97"/>
      <c r="J61" s="97"/>
      <c r="K61" s="75"/>
      <c r="L61" s="97"/>
      <c r="M61" s="97"/>
      <c r="N61" s="97"/>
      <c r="O61" s="97"/>
      <c r="P61" s="97"/>
      <c r="Q61" s="108" t="str">
        <f>'Pre- and Production'!AR407</f>
        <v>Percent</v>
      </c>
      <c r="R61" s="96">
        <f>'Pre- and Production'!AS407</f>
        <v>0.22725251252320158</v>
      </c>
    </row>
  </sheetData>
  <mergeCells count="12">
    <mergeCell ref="B2:H2"/>
    <mergeCell ref="L2:R2"/>
    <mergeCell ref="B12:H12"/>
    <mergeCell ref="L12:R12"/>
    <mergeCell ref="B52:H52"/>
    <mergeCell ref="L52:R52"/>
    <mergeCell ref="B22:H22"/>
    <mergeCell ref="L22:R22"/>
    <mergeCell ref="B32:H32"/>
    <mergeCell ref="L32:R32"/>
    <mergeCell ref="B42:H42"/>
    <mergeCell ref="L42:R42"/>
  </mergeCells>
  <phoneticPr fontId="26" type="noConversion"/>
  <pageMargins left="0.49" right="0.46" top="0.57999999999999996" bottom="0.55000000000000004" header="0.3" footer="0.3"/>
  <pageSetup paperSize="9" scale="67" orientation="landscape" horizontalDpi="4294967293" r:id="rId1"/>
  <headerFooter>
    <oddHeader>&amp;L&amp;16WBS 1.2.1&amp;C&amp;16STAR PIXEL MECHANICS COST SUMMARY</oddHeader>
    <oddFooter>&amp;LReleased: 12 August, 2009&amp;C&amp;F&amp;RE Anderssen</oddFooter>
  </headerFooter>
</worksheet>
</file>

<file path=xl/worksheets/sheet3.xml><?xml version="1.0" encoding="utf-8"?>
<worksheet xmlns="http://schemas.openxmlformats.org/spreadsheetml/2006/main" xmlns:r="http://schemas.openxmlformats.org/officeDocument/2006/relationships">
  <dimension ref="C4:P31"/>
  <sheetViews>
    <sheetView workbookViewId="0">
      <selection activeCell="C27" sqref="C27:D27"/>
    </sheetView>
  </sheetViews>
  <sheetFormatPr defaultRowHeight="12.75"/>
  <cols>
    <col min="3" max="3" width="11.7109375" bestFit="1" customWidth="1"/>
    <col min="4" max="4" width="44" bestFit="1" customWidth="1"/>
    <col min="15" max="15" width="10.140625" bestFit="1" customWidth="1"/>
    <col min="16" max="16" width="9.28515625" bestFit="1" customWidth="1"/>
  </cols>
  <sheetData>
    <row r="4" spans="3:16" ht="13.5" thickBot="1"/>
    <row r="5" spans="3:16" ht="16.5" thickTop="1">
      <c r="C5" s="92"/>
      <c r="D5" s="92"/>
      <c r="E5" s="348" t="s">
        <v>27</v>
      </c>
      <c r="F5" s="349"/>
      <c r="G5" s="350" t="s">
        <v>380</v>
      </c>
      <c r="H5" s="351"/>
      <c r="I5" s="348" t="s">
        <v>381</v>
      </c>
      <c r="J5" s="349"/>
      <c r="K5" s="350" t="s">
        <v>376</v>
      </c>
      <c r="L5" s="351"/>
      <c r="M5" s="348" t="s">
        <v>382</v>
      </c>
      <c r="N5" s="349"/>
      <c r="O5" s="346" t="s">
        <v>377</v>
      </c>
      <c r="P5" s="347"/>
    </row>
    <row r="6" spans="3:16" ht="13.5" thickBot="1">
      <c r="C6" s="45" t="s">
        <v>132</v>
      </c>
      <c r="D6" s="45" t="s">
        <v>143</v>
      </c>
      <c r="E6" s="293" t="s">
        <v>378</v>
      </c>
      <c r="F6" s="290" t="s">
        <v>379</v>
      </c>
      <c r="G6" s="291" t="s">
        <v>378</v>
      </c>
      <c r="H6" s="292" t="s">
        <v>379</v>
      </c>
      <c r="I6" s="293" t="s">
        <v>378</v>
      </c>
      <c r="J6" s="290" t="s">
        <v>379</v>
      </c>
      <c r="K6" s="291" t="s">
        <v>378</v>
      </c>
      <c r="L6" s="292" t="s">
        <v>379</v>
      </c>
      <c r="M6" s="293" t="s">
        <v>378</v>
      </c>
      <c r="N6" s="290" t="s">
        <v>379</v>
      </c>
      <c r="O6" s="294" t="s">
        <v>378</v>
      </c>
      <c r="P6" s="295" t="s">
        <v>379</v>
      </c>
    </row>
    <row r="7" spans="3:16" ht="14.25" thickTop="1" thickBot="1">
      <c r="C7" s="18" t="s">
        <v>172</v>
      </c>
      <c r="D7" s="18" t="s">
        <v>171</v>
      </c>
      <c r="E7" s="302">
        <f>SUMIF('Pre- and Production'!$U$5:$U$337,$C7,'Pre- and Production'!AC$5:AC$337)</f>
        <v>0</v>
      </c>
      <c r="F7" s="297">
        <f>SUMIF('Pre- and Production'!$U$5:$U$337,$C7,'Pre- and Production'!AM$5:AM$337)</f>
        <v>0</v>
      </c>
      <c r="G7" s="298">
        <f>SUMIF('Pre- and Production'!$U$5:$U$337,$C7,'Pre- and Production'!AD$5:AD$337)</f>
        <v>0</v>
      </c>
      <c r="H7" s="299">
        <f>SUMIF('Pre- and Production'!$U$5:$U$337,$C7,'Pre- and Production'!AN$5:AN$337)</f>
        <v>0</v>
      </c>
      <c r="I7" s="296">
        <f>SUMIF('Pre- and Production'!$U$5:$U$337,$C7,'Pre- and Production'!AE$5:AF$337)</f>
        <v>0</v>
      </c>
      <c r="J7" s="297">
        <f>SUMIF('Pre- and Production'!$U$5:$U$337,$C7,'Pre- and Production'!AO$5:AO$337)</f>
        <v>0</v>
      </c>
      <c r="K7" s="298">
        <f>SUMIF('Pre- and Production'!$U$5:$U$337,$C7,'Pre- and Production'!AF$5:AF$337)</f>
        <v>0</v>
      </c>
      <c r="L7" s="299">
        <f>SUMIF('Pre- and Production'!$U$5:$U$337,$C7,'Pre- and Production'!AP$5:AP$337)</f>
        <v>0</v>
      </c>
      <c r="M7" s="296">
        <f>SUMIF('Pre- and Production'!$U$5:$U$337,$C7,'Pre- and Production'!AG$5:AG$337)</f>
        <v>0</v>
      </c>
      <c r="N7" s="297">
        <f>SUMIF('Pre- and Production'!$U$5:$U$337,$C7,'Pre- and Production'!AQ$5:AQ$337)</f>
        <v>0</v>
      </c>
      <c r="O7" s="300">
        <f>SUMIF('Pre- and Production'!$U$5:$U$337,$C7,'Pre- and Production'!AH$5:AH$337)</f>
        <v>0</v>
      </c>
      <c r="P7" s="301">
        <f>SUMIF('Pre- and Production'!$U$5:$U$337,$C7,'Pre- and Production'!AR$5:AR$337)</f>
        <v>0</v>
      </c>
    </row>
    <row r="8" spans="3:16" ht="14.25" thickTop="1" thickBot="1">
      <c r="C8" s="123" t="s">
        <v>173</v>
      </c>
      <c r="D8" s="18" t="s">
        <v>174</v>
      </c>
      <c r="E8" s="302">
        <f>SUMIF('Pre- and Production'!$U$5:$U$337,$C8,'Pre- and Production'!AC$5:AC$337)</f>
        <v>0</v>
      </c>
      <c r="F8" s="297">
        <f>SUMIF('Pre- and Production'!$U$5:$U$337,$C8,'Pre- and Production'!AM$5:AM$337)</f>
        <v>0</v>
      </c>
      <c r="G8" s="298">
        <f>SUMIF('Pre- and Production'!$U$5:$U$337,$C8,'Pre- and Production'!AD$5:AD$337)</f>
        <v>0</v>
      </c>
      <c r="H8" s="299">
        <f>SUMIF('Pre- and Production'!$U$5:$U$337,$C8,'Pre- and Production'!AN$5:AN$337)</f>
        <v>0</v>
      </c>
      <c r="I8" s="296">
        <f>SUMIF('Pre- and Production'!$U$5:$U$337,$C8,'Pre- and Production'!AE$5:AF$337)</f>
        <v>0</v>
      </c>
      <c r="J8" s="297">
        <f>SUMIF('Pre- and Production'!$U$5:$U$337,$C8,'Pre- and Production'!AO$5:AO$337)</f>
        <v>0</v>
      </c>
      <c r="K8" s="298">
        <f>SUMIF('Pre- and Production'!$U$5:$U$337,$C8,'Pre- and Production'!AF$5:AF$337)</f>
        <v>0</v>
      </c>
      <c r="L8" s="299">
        <f>SUMIF('Pre- and Production'!$U$5:$U$337,$C8,'Pre- and Production'!AP$5:AP$337)</f>
        <v>0</v>
      </c>
      <c r="M8" s="296">
        <f>SUMIF('Pre- and Production'!$U$5:$U$337,$C8,'Pre- and Production'!AG$5:AG$337)</f>
        <v>0</v>
      </c>
      <c r="N8" s="297">
        <f>SUMIF('Pre- and Production'!$U$5:$U$337,$C8,'Pre- and Production'!AQ$5:AQ$337)</f>
        <v>0</v>
      </c>
      <c r="O8" s="300">
        <f>SUMIF('Pre- and Production'!$U$5:$U$337,$C8,'Pre- and Production'!AH$5:AH$337)</f>
        <v>0</v>
      </c>
      <c r="P8" s="301">
        <f>SUMIF('Pre- and Production'!$U$5:$U$337,$C8,'Pre- and Production'!AR$5:AR$337)</f>
        <v>0</v>
      </c>
    </row>
    <row r="9" spans="3:16" ht="14.25" thickTop="1" thickBot="1">
      <c r="C9" s="42" t="s">
        <v>175</v>
      </c>
      <c r="D9" s="18" t="s">
        <v>176</v>
      </c>
      <c r="E9" s="302">
        <f>SUMIF('Pre- and Production'!$U$5:$U$337,$C9,'Pre- and Production'!AC$5:AC$337)</f>
        <v>64</v>
      </c>
      <c r="F9" s="297">
        <f>SUMIF('Pre- and Production'!$U$5:$U$337,$C9,'Pre- and Production'!AM$5:AM$337)</f>
        <v>0</v>
      </c>
      <c r="G9" s="298">
        <f>SUMIF('Pre- and Production'!$U$5:$U$337,$C9,'Pre- and Production'!AD$5:AD$337)</f>
        <v>72</v>
      </c>
      <c r="H9" s="299">
        <f>SUMIF('Pre- and Production'!$U$5:$U$337,$C9,'Pre- and Production'!AN$5:AN$337)</f>
        <v>84</v>
      </c>
      <c r="I9" s="296">
        <f>SUMIF('Pre- and Production'!$U$5:$U$337,$C9,'Pre- and Production'!AE$5:AF$337)</f>
        <v>548</v>
      </c>
      <c r="J9" s="297">
        <f>SUMIF('Pre- and Production'!$U$5:$U$337,$C9,'Pre- and Production'!AO$5:AO$337)</f>
        <v>16</v>
      </c>
      <c r="K9" s="298">
        <f>SUMIF('Pre- and Production'!$U$5:$U$337,$C9,'Pre- and Production'!AF$5:AF$337)</f>
        <v>40</v>
      </c>
      <c r="L9" s="299">
        <f>SUMIF('Pre- and Production'!$U$5:$U$337,$C9,'Pre- and Production'!AP$5:AP$337)</f>
        <v>0</v>
      </c>
      <c r="M9" s="296">
        <f>SUMIF('Pre- and Production'!$U$5:$U$337,$C9,'Pre- and Production'!AG$5:AG$337)</f>
        <v>336</v>
      </c>
      <c r="N9" s="297">
        <f>SUMIF('Pre- and Production'!$U$5:$U$337,$C9,'Pre- and Production'!AQ$5:AQ$337)</f>
        <v>48</v>
      </c>
      <c r="O9" s="300">
        <f>SUMIF('Pre- and Production'!$U$5:$U$337,$C9,'Pre- and Production'!AH$5:AH$337)</f>
        <v>17100</v>
      </c>
      <c r="P9" s="301">
        <f>SUMIF('Pre- and Production'!$U$5:$U$337,$C9,'Pre- and Production'!AR$5:AR$337)</f>
        <v>3000</v>
      </c>
    </row>
    <row r="10" spans="3:16" ht="14.25" thickTop="1" thickBot="1">
      <c r="C10" s="42" t="s">
        <v>177</v>
      </c>
      <c r="D10" s="18" t="s">
        <v>178</v>
      </c>
      <c r="E10" s="302">
        <f>SUMIF('Pre- and Production'!$U$5:$U$337,$C10,'Pre- and Production'!AC$5:AC$337)</f>
        <v>64</v>
      </c>
      <c r="F10" s="297">
        <f>SUMIF('Pre- and Production'!$U$5:$U$337,$C10,'Pre- and Production'!AM$5:AM$337)</f>
        <v>20</v>
      </c>
      <c r="G10" s="298">
        <f>SUMIF('Pre- and Production'!$U$5:$U$337,$C10,'Pre- and Production'!AD$5:AD$337)</f>
        <v>112</v>
      </c>
      <c r="H10" s="299">
        <f>SUMIF('Pre- and Production'!$U$5:$U$337,$C10,'Pre- and Production'!AN$5:AN$337)</f>
        <v>112</v>
      </c>
      <c r="I10" s="296">
        <f>SUMIF('Pre- and Production'!$U$5:$U$337,$C10,'Pre- and Production'!AE$5:AF$337)</f>
        <v>612</v>
      </c>
      <c r="J10" s="297">
        <f>SUMIF('Pre- and Production'!$U$5:$U$337,$C10,'Pre- and Production'!AO$5:AO$337)</f>
        <v>88</v>
      </c>
      <c r="K10" s="298">
        <f>SUMIF('Pre- and Production'!$U$5:$U$337,$C10,'Pre- and Production'!AF$5:AF$337)</f>
        <v>64</v>
      </c>
      <c r="L10" s="299">
        <f>SUMIF('Pre- and Production'!$U$5:$U$337,$C10,'Pre- and Production'!AP$5:AP$337)</f>
        <v>40</v>
      </c>
      <c r="M10" s="296">
        <f>SUMIF('Pre- and Production'!$U$5:$U$337,$C10,'Pre- and Production'!AG$5:AG$337)</f>
        <v>476</v>
      </c>
      <c r="N10" s="297">
        <f>SUMIF('Pre- and Production'!$U$5:$U$337,$C10,'Pre- and Production'!AQ$5:AQ$337)</f>
        <v>136</v>
      </c>
      <c r="O10" s="300">
        <f>SUMIF('Pre- and Production'!$U$5:$U$337,$C10,'Pre- and Production'!AH$5:AH$337)</f>
        <v>50900</v>
      </c>
      <c r="P10" s="301">
        <f>SUMIF('Pre- and Production'!$U$5:$U$337,$C10,'Pre- and Production'!AR$5:AR$337)</f>
        <v>14750</v>
      </c>
    </row>
    <row r="11" spans="3:16" ht="14.25" thickTop="1" thickBot="1">
      <c r="C11" s="123" t="s">
        <v>179</v>
      </c>
      <c r="D11" s="18" t="s">
        <v>180</v>
      </c>
      <c r="E11" s="302">
        <f>SUMIF('Pre- and Production'!$U$5:$U$337,$C11,'Pre- and Production'!AC$5:AC$337)</f>
        <v>0</v>
      </c>
      <c r="F11" s="297">
        <f>SUMIF('Pre- and Production'!$U$5:$U$337,$C11,'Pre- and Production'!AM$5:AM$337)</f>
        <v>0</v>
      </c>
      <c r="G11" s="298">
        <f>SUMIF('Pre- and Production'!$U$5:$U$337,$C11,'Pre- and Production'!AD$5:AD$337)</f>
        <v>0</v>
      </c>
      <c r="H11" s="299">
        <f>SUMIF('Pre- and Production'!$U$5:$U$337,$C11,'Pre- and Production'!AN$5:AN$337)</f>
        <v>0</v>
      </c>
      <c r="I11" s="296">
        <f>SUMIF('Pre- and Production'!$U$5:$U$337,$C11,'Pre- and Production'!AE$5:AF$337)</f>
        <v>0</v>
      </c>
      <c r="J11" s="297">
        <f>SUMIF('Pre- and Production'!$U$5:$U$337,$C11,'Pre- and Production'!AO$5:AO$337)</f>
        <v>0</v>
      </c>
      <c r="K11" s="298">
        <f>SUMIF('Pre- and Production'!$U$5:$U$337,$C11,'Pre- and Production'!AF$5:AF$337)</f>
        <v>0</v>
      </c>
      <c r="L11" s="299">
        <f>SUMIF('Pre- and Production'!$U$5:$U$337,$C11,'Pre- and Production'!AP$5:AP$337)</f>
        <v>0</v>
      </c>
      <c r="M11" s="296">
        <f>SUMIF('Pre- and Production'!$U$5:$U$337,$C11,'Pre- and Production'!AG$5:AG$337)</f>
        <v>0</v>
      </c>
      <c r="N11" s="297">
        <f>SUMIF('Pre- and Production'!$U$5:$U$337,$C11,'Pre- and Production'!AQ$5:AQ$337)</f>
        <v>0</v>
      </c>
      <c r="O11" s="300">
        <f>SUMIF('Pre- and Production'!$U$5:$U$337,$C11,'Pre- and Production'!AH$5:AH$337)</f>
        <v>0</v>
      </c>
      <c r="P11" s="301">
        <f>SUMIF('Pre- and Production'!$U$5:$U$337,$C11,'Pre- and Production'!AR$5:AR$337)</f>
        <v>0</v>
      </c>
    </row>
    <row r="12" spans="3:16" ht="14.25" thickTop="1" thickBot="1">
      <c r="C12" s="42" t="s">
        <v>181</v>
      </c>
      <c r="D12" s="18" t="s">
        <v>182</v>
      </c>
      <c r="E12" s="302">
        <f>SUMIF('Pre- and Production'!$U$5:$U$337,$C12,'Pre- and Production'!AC$5:AC$337)</f>
        <v>72</v>
      </c>
      <c r="F12" s="297">
        <f>SUMIF('Pre- and Production'!$U$5:$U$337,$C12,'Pre- and Production'!AM$5:AM$337)</f>
        <v>20</v>
      </c>
      <c r="G12" s="298">
        <f>SUMIF('Pre- and Production'!$U$5:$U$337,$C12,'Pre- and Production'!AD$5:AD$337)</f>
        <v>360</v>
      </c>
      <c r="H12" s="299">
        <f>SUMIF('Pre- and Production'!$U$5:$U$337,$C12,'Pre- and Production'!AN$5:AN$337)</f>
        <v>16</v>
      </c>
      <c r="I12" s="296">
        <f>SUMIF('Pre- and Production'!$U$5:$U$337,$C12,'Pre- and Production'!AE$5:AF$337)</f>
        <v>1012</v>
      </c>
      <c r="J12" s="297">
        <f>SUMIF('Pre- and Production'!$U$5:$U$337,$C12,'Pre- and Production'!AO$5:AO$337)</f>
        <v>8</v>
      </c>
      <c r="K12" s="298">
        <f>SUMIF('Pre- and Production'!$U$5:$U$337,$C12,'Pre- and Production'!AF$5:AF$337)</f>
        <v>100</v>
      </c>
      <c r="L12" s="299">
        <f>SUMIF('Pre- and Production'!$U$5:$U$337,$C12,'Pre- and Production'!AP$5:AP$337)</f>
        <v>24</v>
      </c>
      <c r="M12" s="296">
        <f>SUMIF('Pre- and Production'!$U$5:$U$337,$C12,'Pre- and Production'!AG$5:AG$337)</f>
        <v>1056</v>
      </c>
      <c r="N12" s="297">
        <f>SUMIF('Pre- and Production'!$U$5:$U$337,$C12,'Pre- and Production'!AQ$5:AQ$337)</f>
        <v>40</v>
      </c>
      <c r="O12" s="300">
        <f>SUMIF('Pre- and Production'!$U$5:$U$337,$C12,'Pre- and Production'!AH$5:AH$337)</f>
        <v>342550</v>
      </c>
      <c r="P12" s="301">
        <f>SUMIF('Pre- and Production'!$U$5:$U$337,$C12,'Pre- and Production'!AR$5:AR$337)</f>
        <v>189900</v>
      </c>
    </row>
    <row r="13" spans="3:16" ht="14.25" thickTop="1" thickBot="1">
      <c r="C13" s="42" t="s">
        <v>183</v>
      </c>
      <c r="D13" s="18" t="s">
        <v>184</v>
      </c>
      <c r="E13" s="302">
        <f>SUMIF('Pre- and Production'!$U$5:$U$337,$C13,'Pre- and Production'!AC$5:AC$337)</f>
        <v>64</v>
      </c>
      <c r="F13" s="297">
        <f>SUMIF('Pre- and Production'!$U$5:$U$337,$C13,'Pre- and Production'!AM$5:AM$337)</f>
        <v>16</v>
      </c>
      <c r="G13" s="298">
        <f>SUMIF('Pre- and Production'!$U$5:$U$337,$C13,'Pre- and Production'!AD$5:AD$337)</f>
        <v>504</v>
      </c>
      <c r="H13" s="299">
        <f>SUMIF('Pre- and Production'!$U$5:$U$337,$C13,'Pre- and Production'!AN$5:AN$337)</f>
        <v>96</v>
      </c>
      <c r="I13" s="296">
        <f>SUMIF('Pre- and Production'!$U$5:$U$337,$C13,'Pre- and Production'!AE$5:AF$337)</f>
        <v>840</v>
      </c>
      <c r="J13" s="297">
        <f>SUMIF('Pre- and Production'!$U$5:$U$337,$C13,'Pre- and Production'!AO$5:AO$337)</f>
        <v>0</v>
      </c>
      <c r="K13" s="298">
        <f>SUMIF('Pre- and Production'!$U$5:$U$337,$C13,'Pre- and Production'!AF$5:AF$337)</f>
        <v>396</v>
      </c>
      <c r="L13" s="299">
        <f>SUMIF('Pre- and Production'!$U$5:$U$337,$C13,'Pre- and Production'!AP$5:AP$337)</f>
        <v>96</v>
      </c>
      <c r="M13" s="296">
        <f>SUMIF('Pre- and Production'!$U$5:$U$337,$C13,'Pre- and Production'!AG$5:AG$337)</f>
        <v>552</v>
      </c>
      <c r="N13" s="297">
        <f>SUMIF('Pre- and Production'!$U$5:$U$337,$C13,'Pre- and Production'!AQ$5:AQ$337)</f>
        <v>0</v>
      </c>
      <c r="O13" s="300">
        <f>SUMIF('Pre- and Production'!$U$5:$U$337,$C13,'Pre- and Production'!AH$5:AH$337)</f>
        <v>385860</v>
      </c>
      <c r="P13" s="301">
        <f>SUMIF('Pre- and Production'!$U$5:$U$337,$C13,'Pre- and Production'!AR$5:AR$337)</f>
        <v>21500</v>
      </c>
    </row>
    <row r="14" spans="3:16" ht="14.25" thickTop="1" thickBot="1">
      <c r="C14" s="123" t="s">
        <v>185</v>
      </c>
      <c r="D14" s="18" t="s">
        <v>186</v>
      </c>
      <c r="E14" s="302">
        <f>SUMIF('Pre- and Production'!$U$5:$U$337,$C14,'Pre- and Production'!AC$5:AC$337)</f>
        <v>0</v>
      </c>
      <c r="F14" s="297">
        <f>SUMIF('Pre- and Production'!$U$5:$U$337,$C14,'Pre- and Production'!AM$5:AM$337)</f>
        <v>0</v>
      </c>
      <c r="G14" s="298">
        <f>SUMIF('Pre- and Production'!$U$5:$U$337,$C14,'Pre- and Production'!AD$5:AD$337)</f>
        <v>0</v>
      </c>
      <c r="H14" s="299">
        <f>SUMIF('Pre- and Production'!$U$5:$U$337,$C14,'Pre- and Production'!AN$5:AN$337)</f>
        <v>0</v>
      </c>
      <c r="I14" s="296">
        <f>SUMIF('Pre- and Production'!$U$5:$U$337,$C14,'Pre- and Production'!AE$5:AF$337)</f>
        <v>0</v>
      </c>
      <c r="J14" s="297">
        <f>SUMIF('Pre- and Production'!$U$5:$U$337,$C14,'Pre- and Production'!AO$5:AO$337)</f>
        <v>0</v>
      </c>
      <c r="K14" s="298">
        <f>SUMIF('Pre- and Production'!$U$5:$U$337,$C14,'Pre- and Production'!AF$5:AF$337)</f>
        <v>0</v>
      </c>
      <c r="L14" s="299">
        <f>SUMIF('Pre- and Production'!$U$5:$U$337,$C14,'Pre- and Production'!AP$5:AP$337)</f>
        <v>0</v>
      </c>
      <c r="M14" s="296">
        <f>SUMIF('Pre- and Production'!$U$5:$U$337,$C14,'Pre- and Production'!AG$5:AG$337)</f>
        <v>0</v>
      </c>
      <c r="N14" s="297">
        <f>SUMIF('Pre- and Production'!$U$5:$U$337,$C14,'Pre- and Production'!AQ$5:AQ$337)</f>
        <v>0</v>
      </c>
      <c r="O14" s="300">
        <f>SUMIF('Pre- and Production'!$U$5:$U$337,$C14,'Pre- and Production'!AH$5:AH$337)</f>
        <v>0</v>
      </c>
      <c r="P14" s="301">
        <f>SUMIF('Pre- and Production'!$U$5:$U$337,$C14,'Pre- and Production'!AR$5:AR$337)</f>
        <v>0</v>
      </c>
    </row>
    <row r="15" spans="3:16" ht="14.25" thickTop="1" thickBot="1">
      <c r="C15" s="42" t="s">
        <v>187</v>
      </c>
      <c r="D15" s="18" t="s">
        <v>188</v>
      </c>
      <c r="E15" s="302">
        <f>SUMIF('Pre- and Production'!$U$5:$U$337,$C15,'Pre- and Production'!AC$5:AC$337)</f>
        <v>0</v>
      </c>
      <c r="F15" s="297">
        <f>SUMIF('Pre- and Production'!$U$5:$U$337,$C15,'Pre- and Production'!AM$5:AM$337)</f>
        <v>0</v>
      </c>
      <c r="G15" s="298">
        <f>SUMIF('Pre- and Production'!$U$5:$U$337,$C15,'Pre- and Production'!AD$5:AD$337)</f>
        <v>136</v>
      </c>
      <c r="H15" s="299">
        <f>SUMIF('Pre- and Production'!$U$5:$U$337,$C15,'Pre- and Production'!AN$5:AN$337)</f>
        <v>24</v>
      </c>
      <c r="I15" s="296">
        <f>SUMIF('Pre- and Production'!$U$5:$U$337,$C15,'Pre- and Production'!AE$5:AF$337)</f>
        <v>396</v>
      </c>
      <c r="J15" s="297">
        <f>SUMIF('Pre- and Production'!$U$5:$U$337,$C15,'Pre- and Production'!AO$5:AO$337)</f>
        <v>0</v>
      </c>
      <c r="K15" s="298">
        <f>SUMIF('Pre- and Production'!$U$5:$U$337,$C15,'Pre- and Production'!AF$5:AF$337)</f>
        <v>96</v>
      </c>
      <c r="L15" s="299">
        <f>SUMIF('Pre- and Production'!$U$5:$U$337,$C15,'Pre- and Production'!AP$5:AP$337)</f>
        <v>4</v>
      </c>
      <c r="M15" s="296">
        <f>SUMIF('Pre- and Production'!$U$5:$U$337,$C15,'Pre- and Production'!AG$5:AG$337)</f>
        <v>740</v>
      </c>
      <c r="N15" s="297">
        <f>SUMIF('Pre- and Production'!$U$5:$U$337,$C15,'Pre- and Production'!AQ$5:AQ$337)</f>
        <v>0</v>
      </c>
      <c r="O15" s="300">
        <f>SUMIF('Pre- and Production'!$U$5:$U$337,$C15,'Pre- and Production'!AH$5:AH$337)</f>
        <v>10200</v>
      </c>
      <c r="P15" s="301">
        <f>SUMIF('Pre- and Production'!$U$5:$U$337,$C15,'Pre- and Production'!AR$5:AR$337)</f>
        <v>1500</v>
      </c>
    </row>
    <row r="16" spans="3:16" ht="14.25" thickTop="1" thickBot="1">
      <c r="C16" s="42" t="s">
        <v>189</v>
      </c>
      <c r="D16" s="18" t="s">
        <v>190</v>
      </c>
      <c r="E16" s="302">
        <f>SUMIF('Pre- and Production'!$U$5:$U$337,$C16,'Pre- and Production'!AC$5:AC$337)</f>
        <v>0</v>
      </c>
      <c r="F16" s="297">
        <f>SUMIF('Pre- and Production'!$U$5:$U$337,$C16,'Pre- and Production'!AM$5:AM$337)</f>
        <v>0</v>
      </c>
      <c r="G16" s="298">
        <f>SUMIF('Pre- and Production'!$U$5:$U$337,$C16,'Pre- and Production'!AD$5:AD$337)</f>
        <v>76</v>
      </c>
      <c r="H16" s="299">
        <f>SUMIF('Pre- and Production'!$U$5:$U$337,$C16,'Pre- and Production'!AN$5:AN$337)</f>
        <v>100</v>
      </c>
      <c r="I16" s="296">
        <f>SUMIF('Pre- and Production'!$U$5:$U$337,$C16,'Pre- and Production'!AE$5:AF$337)</f>
        <v>184</v>
      </c>
      <c r="J16" s="297">
        <f>SUMIF('Pre- and Production'!$U$5:$U$337,$C16,'Pre- and Production'!AO$5:AO$337)</f>
        <v>0</v>
      </c>
      <c r="K16" s="298">
        <f>SUMIF('Pre- and Production'!$U$5:$U$337,$C16,'Pre- and Production'!AF$5:AF$337)</f>
        <v>32</v>
      </c>
      <c r="L16" s="299">
        <f>SUMIF('Pre- and Production'!$U$5:$U$337,$C16,'Pre- and Production'!AP$5:AP$337)</f>
        <v>12</v>
      </c>
      <c r="M16" s="296">
        <f>SUMIF('Pre- and Production'!$U$5:$U$337,$C16,'Pre- and Production'!AG$5:AG$337)</f>
        <v>328</v>
      </c>
      <c r="N16" s="297">
        <f>SUMIF('Pre- and Production'!$U$5:$U$337,$C16,'Pre- and Production'!AQ$5:AQ$337)</f>
        <v>0</v>
      </c>
      <c r="O16" s="300">
        <f>SUMIF('Pre- and Production'!$U$5:$U$337,$C16,'Pre- and Production'!AH$5:AH$337)</f>
        <v>3708</v>
      </c>
      <c r="P16" s="301">
        <f>SUMIF('Pre- and Production'!$U$5:$U$337,$C16,'Pre- and Production'!AR$5:AR$337)</f>
        <v>3000</v>
      </c>
    </row>
    <row r="17" spans="3:16" ht="14.25" thickTop="1" thickBot="1">
      <c r="C17" s="42" t="s">
        <v>191</v>
      </c>
      <c r="D17" s="18" t="s">
        <v>192</v>
      </c>
      <c r="E17" s="302">
        <f>SUMIF('Pre- and Production'!$U$5:$U$337,$C17,'Pre- and Production'!AC$5:AC$337)</f>
        <v>0</v>
      </c>
      <c r="F17" s="297">
        <f>SUMIF('Pre- and Production'!$U$5:$U$337,$C17,'Pre- and Production'!AM$5:AM$337)</f>
        <v>0</v>
      </c>
      <c r="G17" s="298">
        <f>SUMIF('Pre- and Production'!$U$5:$U$337,$C17,'Pre- and Production'!AD$5:AD$337)</f>
        <v>136</v>
      </c>
      <c r="H17" s="299">
        <f>SUMIF('Pre- and Production'!$U$5:$U$337,$C17,'Pre- and Production'!AN$5:AN$337)</f>
        <v>40</v>
      </c>
      <c r="I17" s="296">
        <f>SUMIF('Pre- and Production'!$U$5:$U$337,$C17,'Pre- and Production'!AE$5:AF$337)</f>
        <v>264</v>
      </c>
      <c r="J17" s="297">
        <f>SUMIF('Pre- and Production'!$U$5:$U$337,$C17,'Pre- and Production'!AO$5:AO$337)</f>
        <v>0</v>
      </c>
      <c r="K17" s="298">
        <f>SUMIF('Pre- and Production'!$U$5:$U$337,$C17,'Pre- and Production'!AF$5:AF$337)</f>
        <v>64</v>
      </c>
      <c r="L17" s="299">
        <f>SUMIF('Pre- and Production'!$U$5:$U$337,$C17,'Pre- and Production'!AP$5:AP$337)</f>
        <v>0</v>
      </c>
      <c r="M17" s="296">
        <f>SUMIF('Pre- and Production'!$U$5:$U$337,$C17,'Pre- and Production'!AG$5:AG$337)</f>
        <v>444</v>
      </c>
      <c r="N17" s="297">
        <f>SUMIF('Pre- and Production'!$U$5:$U$337,$C17,'Pre- and Production'!AQ$5:AQ$337)</f>
        <v>0</v>
      </c>
      <c r="O17" s="300">
        <f>SUMIF('Pre- and Production'!$U$5:$U$337,$C17,'Pre- and Production'!AH$5:AH$337)</f>
        <v>8700</v>
      </c>
      <c r="P17" s="301">
        <f>SUMIF('Pre- and Production'!$U$5:$U$337,$C17,'Pre- and Production'!AR$5:AR$337)</f>
        <v>1000</v>
      </c>
    </row>
    <row r="18" spans="3:16" ht="14.25" thickTop="1" thickBot="1">
      <c r="C18" s="42" t="s">
        <v>193</v>
      </c>
      <c r="D18" s="18" t="s">
        <v>194</v>
      </c>
      <c r="E18" s="302">
        <f>SUMIF('Pre- and Production'!$U$5:$U$337,$C18,'Pre- and Production'!AC$5:AC$337)</f>
        <v>0</v>
      </c>
      <c r="F18" s="297">
        <f>SUMIF('Pre- and Production'!$U$5:$U$337,$C18,'Pre- and Production'!AM$5:AM$337)</f>
        <v>0</v>
      </c>
      <c r="G18" s="298">
        <f>SUMIF('Pre- and Production'!$U$5:$U$337,$C18,'Pre- and Production'!AD$5:AD$337)</f>
        <v>0</v>
      </c>
      <c r="H18" s="299">
        <f>SUMIF('Pre- and Production'!$U$5:$U$337,$C18,'Pre- and Production'!AN$5:AN$337)</f>
        <v>0</v>
      </c>
      <c r="I18" s="296">
        <f>SUMIF('Pre- and Production'!$U$5:$U$337,$C18,'Pre- and Production'!AE$5:AF$337)</f>
        <v>0</v>
      </c>
      <c r="J18" s="297">
        <f>SUMIF('Pre- and Production'!$U$5:$U$337,$C18,'Pre- and Production'!AO$5:AO$337)</f>
        <v>0</v>
      </c>
      <c r="K18" s="298">
        <f>SUMIF('Pre- and Production'!$U$5:$U$337,$C18,'Pre- and Production'!AF$5:AF$337)</f>
        <v>0</v>
      </c>
      <c r="L18" s="299">
        <f>SUMIF('Pre- and Production'!$U$5:$U$337,$C18,'Pre- and Production'!AP$5:AP$337)</f>
        <v>0</v>
      </c>
      <c r="M18" s="296">
        <f>SUMIF('Pre- and Production'!$U$5:$U$337,$C18,'Pre- and Production'!AG$5:AG$337)</f>
        <v>0</v>
      </c>
      <c r="N18" s="297">
        <f>SUMIF('Pre- and Production'!$U$5:$U$337,$C18,'Pre- and Production'!AQ$5:AQ$337)</f>
        <v>0</v>
      </c>
      <c r="O18" s="300">
        <f>SUMIF('Pre- and Production'!$U$5:$U$337,$C18,'Pre- and Production'!AH$5:AH$337)</f>
        <v>0</v>
      </c>
      <c r="P18" s="301">
        <f>SUMIF('Pre- and Production'!$U$5:$U$337,$C18,'Pre- and Production'!AR$5:AR$337)</f>
        <v>0</v>
      </c>
    </row>
    <row r="19" spans="3:16" ht="14.25" thickTop="1" thickBot="1">
      <c r="C19" s="42" t="s">
        <v>195</v>
      </c>
      <c r="D19" s="18" t="s">
        <v>196</v>
      </c>
      <c r="E19" s="302">
        <f>SUMIF('Pre- and Production'!$U$5:$U$337,$C19,'Pre- and Production'!AC$5:AC$337)</f>
        <v>0</v>
      </c>
      <c r="F19" s="297">
        <f>SUMIF('Pre- and Production'!$U$5:$U$337,$C19,'Pre- and Production'!AM$5:AM$337)</f>
        <v>0</v>
      </c>
      <c r="G19" s="298">
        <f>SUMIF('Pre- and Production'!$U$5:$U$337,$C19,'Pre- and Production'!AD$5:AD$337)</f>
        <v>176</v>
      </c>
      <c r="H19" s="299">
        <f>SUMIF('Pre- and Production'!$U$5:$U$337,$C19,'Pre- and Production'!AN$5:AN$337)</f>
        <v>40</v>
      </c>
      <c r="I19" s="296">
        <f>SUMIF('Pre- and Production'!$U$5:$U$337,$C19,'Pre- and Production'!AE$5:AF$337)</f>
        <v>496</v>
      </c>
      <c r="J19" s="297">
        <f>SUMIF('Pre- and Production'!$U$5:$U$337,$C19,'Pre- and Production'!AO$5:AO$337)</f>
        <v>0</v>
      </c>
      <c r="K19" s="298">
        <f>SUMIF('Pre- and Production'!$U$5:$U$337,$C19,'Pre- and Production'!AF$5:AF$337)</f>
        <v>320</v>
      </c>
      <c r="L19" s="299">
        <f>SUMIF('Pre- and Production'!$U$5:$U$337,$C19,'Pre- and Production'!AP$5:AP$337)</f>
        <v>40</v>
      </c>
      <c r="M19" s="296">
        <f>SUMIF('Pre- and Production'!$U$5:$U$337,$C19,'Pre- and Production'!AG$5:AG$337)</f>
        <v>760</v>
      </c>
      <c r="N19" s="297">
        <f>SUMIF('Pre- and Production'!$U$5:$U$337,$C19,'Pre- and Production'!AQ$5:AQ$337)</f>
        <v>0</v>
      </c>
      <c r="O19" s="300">
        <f>SUMIF('Pre- and Production'!$U$5:$U$337,$C19,'Pre- and Production'!AH$5:AH$337)</f>
        <v>19000</v>
      </c>
      <c r="P19" s="301">
        <f>SUMIF('Pre- and Production'!$U$5:$U$337,$C19,'Pre- and Production'!AR$5:AR$337)</f>
        <v>4000</v>
      </c>
    </row>
    <row r="20" spans="3:16" ht="14.25" thickTop="1" thickBot="1">
      <c r="C20" s="123" t="s">
        <v>197</v>
      </c>
      <c r="D20" s="18" t="s">
        <v>198</v>
      </c>
      <c r="E20" s="302">
        <f>SUMIF('Pre- and Production'!$U$5:$U$337,$C20,'Pre- and Production'!AC$5:AC$337)</f>
        <v>8</v>
      </c>
      <c r="F20" s="297">
        <f>SUMIF('Pre- and Production'!$U$5:$U$337,$C20,'Pre- and Production'!AM$5:AM$337)</f>
        <v>16</v>
      </c>
      <c r="G20" s="298">
        <f>SUMIF('Pre- and Production'!$U$5:$U$337,$C20,'Pre- and Production'!AD$5:AD$337)</f>
        <v>712</v>
      </c>
      <c r="H20" s="299">
        <f>SUMIF('Pre- and Production'!$U$5:$U$337,$C20,'Pre- and Production'!AN$5:AN$337)</f>
        <v>456</v>
      </c>
      <c r="I20" s="296">
        <f>SUMIF('Pre- and Production'!$U$5:$U$337,$C20,'Pre- and Production'!AE$5:AF$337)</f>
        <v>542</v>
      </c>
      <c r="J20" s="297">
        <f>SUMIF('Pre- and Production'!$U$5:$U$337,$C20,'Pre- and Production'!AO$5:AO$337)</f>
        <v>4</v>
      </c>
      <c r="K20" s="298">
        <f>SUMIF('Pre- and Production'!$U$5:$U$337,$C20,'Pre- and Production'!AF$5:AF$337)</f>
        <v>48</v>
      </c>
      <c r="L20" s="299">
        <f>SUMIF('Pre- and Production'!$U$5:$U$337,$C20,'Pre- and Production'!AP$5:AP$337)</f>
        <v>16</v>
      </c>
      <c r="M20" s="296">
        <f>SUMIF('Pre- and Production'!$U$5:$U$337,$C20,'Pre- and Production'!AG$5:AG$337)</f>
        <v>632</v>
      </c>
      <c r="N20" s="297">
        <f>SUMIF('Pre- and Production'!$U$5:$U$337,$C20,'Pre- and Production'!AQ$5:AQ$337)</f>
        <v>0</v>
      </c>
      <c r="O20" s="300">
        <f>SUMIF('Pre- and Production'!$U$5:$U$337,$C20,'Pre- and Production'!AH$5:AH$337)</f>
        <v>25300</v>
      </c>
      <c r="P20" s="301">
        <f>SUMIF('Pre- and Production'!$U$5:$U$337,$C20,'Pre- and Production'!AR$5:AR$337)</f>
        <v>52600</v>
      </c>
    </row>
    <row r="21" spans="3:16" ht="14.25" thickTop="1" thickBot="1">
      <c r="C21" s="42" t="s">
        <v>199</v>
      </c>
      <c r="D21" s="18" t="s">
        <v>201</v>
      </c>
      <c r="E21" s="302">
        <f>SUMIF('Pre- and Production'!$U$5:$U$337,$C21,'Pre- and Production'!AC$5:AC$337)</f>
        <v>64</v>
      </c>
      <c r="F21" s="297">
        <f>SUMIF('Pre- and Production'!$U$5:$U$337,$C21,'Pre- and Production'!AM$5:AM$337)</f>
        <v>120</v>
      </c>
      <c r="G21" s="298">
        <f>SUMIF('Pre- and Production'!$U$5:$U$337,$C21,'Pre- and Production'!AD$5:AD$337)</f>
        <v>80</v>
      </c>
      <c r="H21" s="299">
        <f>SUMIF('Pre- and Production'!$U$5:$U$337,$C21,'Pre- and Production'!AN$5:AN$337)</f>
        <v>120</v>
      </c>
      <c r="I21" s="296">
        <f>SUMIF('Pre- and Production'!$U$5:$U$337,$C21,'Pre- and Production'!AE$5:AF$337)</f>
        <v>80</v>
      </c>
      <c r="J21" s="297">
        <f>SUMIF('Pre- and Production'!$U$5:$U$337,$C21,'Pre- and Production'!AO$5:AO$337)</f>
        <v>0</v>
      </c>
      <c r="K21" s="298">
        <f>SUMIF('Pre- and Production'!$U$5:$U$337,$C21,'Pre- and Production'!AF$5:AF$337)</f>
        <v>24</v>
      </c>
      <c r="L21" s="299">
        <f>SUMIF('Pre- and Production'!$U$5:$U$337,$C21,'Pre- and Production'!AP$5:AP$337)</f>
        <v>16</v>
      </c>
      <c r="M21" s="296">
        <f>SUMIF('Pre- and Production'!$U$5:$U$337,$C21,'Pre- and Production'!AG$5:AG$337)</f>
        <v>80</v>
      </c>
      <c r="N21" s="297">
        <f>SUMIF('Pre- and Production'!$U$5:$U$337,$C21,'Pre- and Production'!AQ$5:AQ$337)</f>
        <v>0</v>
      </c>
      <c r="O21" s="300">
        <f>SUMIF('Pre- and Production'!$U$5:$U$337,$C21,'Pre- and Production'!AH$5:AH$337)</f>
        <v>3500</v>
      </c>
      <c r="P21" s="301">
        <f>SUMIF('Pre- and Production'!$U$5:$U$337,$C21,'Pre- and Production'!AR$5:AR$337)</f>
        <v>4500</v>
      </c>
    </row>
    <row r="22" spans="3:16" ht="14.25" thickTop="1" thickBot="1">
      <c r="C22" s="123" t="s">
        <v>202</v>
      </c>
      <c r="D22" s="18" t="s">
        <v>203</v>
      </c>
      <c r="E22" s="302">
        <f>SUMIF('Pre- and Production'!$U$5:$U$337,$C22,'Pre- and Production'!AC$5:AC$337)</f>
        <v>0</v>
      </c>
      <c r="F22" s="297">
        <f>SUMIF('Pre- and Production'!$U$5:$U$337,$C22,'Pre- and Production'!AM$5:AM$337)</f>
        <v>0</v>
      </c>
      <c r="G22" s="298">
        <f>SUMIF('Pre- and Production'!$U$5:$U$337,$C22,'Pre- and Production'!AD$5:AD$337)</f>
        <v>0</v>
      </c>
      <c r="H22" s="299">
        <f>SUMIF('Pre- and Production'!$U$5:$U$337,$C22,'Pre- and Production'!AN$5:AN$337)</f>
        <v>0</v>
      </c>
      <c r="I22" s="296">
        <f>SUMIF('Pre- and Production'!$U$5:$U$337,$C22,'Pre- and Production'!AE$5:AF$337)</f>
        <v>0</v>
      </c>
      <c r="J22" s="297">
        <f>SUMIF('Pre- and Production'!$U$5:$U$337,$C22,'Pre- and Production'!AO$5:AO$337)</f>
        <v>0</v>
      </c>
      <c r="K22" s="298">
        <f>SUMIF('Pre- and Production'!$U$5:$U$337,$C22,'Pre- and Production'!AF$5:AF$337)</f>
        <v>0</v>
      </c>
      <c r="L22" s="299">
        <f>SUMIF('Pre- and Production'!$U$5:$U$337,$C22,'Pre- and Production'!AP$5:AP$337)</f>
        <v>0</v>
      </c>
      <c r="M22" s="296">
        <f>SUMIF('Pre- and Production'!$U$5:$U$337,$C22,'Pre- and Production'!AG$5:AG$337)</f>
        <v>0</v>
      </c>
      <c r="N22" s="297">
        <f>SUMIF('Pre- and Production'!$U$5:$U$337,$C22,'Pre- and Production'!AQ$5:AQ$337)</f>
        <v>0</v>
      </c>
      <c r="O22" s="300">
        <f>SUMIF('Pre- and Production'!$U$5:$U$337,$C22,'Pre- and Production'!AH$5:AH$337)</f>
        <v>0</v>
      </c>
      <c r="P22" s="301">
        <f>SUMIF('Pre- and Production'!$U$5:$U$337,$C22,'Pre- and Production'!AR$5:AR$337)</f>
        <v>0</v>
      </c>
    </row>
    <row r="23" spans="3:16" ht="14.25" thickTop="1" thickBot="1">
      <c r="C23" s="42" t="s">
        <v>204</v>
      </c>
      <c r="D23" s="18" t="s">
        <v>205</v>
      </c>
      <c r="E23" s="302">
        <f>SUMIF('Pre- and Production'!$U$5:$U$337,$C23,'Pre- and Production'!AC$5:AC$337)</f>
        <v>0</v>
      </c>
      <c r="F23" s="297">
        <f>SUMIF('Pre- and Production'!$U$5:$U$337,$C23,'Pre- and Production'!AM$5:AM$337)</f>
        <v>0</v>
      </c>
      <c r="G23" s="298">
        <f>SUMIF('Pre- and Production'!$U$5:$U$337,$C23,'Pre- and Production'!AD$5:AD$337)</f>
        <v>520</v>
      </c>
      <c r="H23" s="299">
        <f>SUMIF('Pre- and Production'!$U$5:$U$337,$C23,'Pre- and Production'!AN$5:AN$337)</f>
        <v>205</v>
      </c>
      <c r="I23" s="296">
        <f>SUMIF('Pre- and Production'!$U$5:$U$337,$C23,'Pre- and Production'!AE$5:AF$337)</f>
        <v>2424</v>
      </c>
      <c r="J23" s="297">
        <f>SUMIF('Pre- and Production'!$U$5:$U$337,$C23,'Pre- and Production'!AO$5:AO$337)</f>
        <v>0</v>
      </c>
      <c r="K23" s="298">
        <f>SUMIF('Pre- and Production'!$U$5:$U$337,$C23,'Pre- and Production'!AF$5:AF$337)</f>
        <v>704</v>
      </c>
      <c r="L23" s="299">
        <f>SUMIF('Pre- and Production'!$U$5:$U$337,$C23,'Pre- and Production'!AP$5:AP$337)</f>
        <v>298</v>
      </c>
      <c r="M23" s="296">
        <f>SUMIF('Pre- and Production'!$U$5:$U$337,$C23,'Pre- and Production'!AG$5:AG$337)</f>
        <v>2252</v>
      </c>
      <c r="N23" s="297">
        <f>SUMIF('Pre- and Production'!$U$5:$U$337,$C23,'Pre- and Production'!AQ$5:AQ$337)</f>
        <v>0</v>
      </c>
      <c r="O23" s="300">
        <f>SUMIF('Pre- and Production'!$U$5:$U$337,$C23,'Pre- and Production'!AH$5:AH$337)</f>
        <v>181000</v>
      </c>
      <c r="P23" s="301">
        <f>SUMIF('Pre- and Production'!$U$5:$U$337,$C23,'Pre- and Production'!AR$5:AR$337)</f>
        <v>24750</v>
      </c>
    </row>
    <row r="24" spans="3:16" ht="14.25" thickTop="1" thickBot="1">
      <c r="C24" s="42" t="s">
        <v>206</v>
      </c>
      <c r="D24" s="18" t="s">
        <v>207</v>
      </c>
      <c r="E24" s="302">
        <f>SUMIF('Pre- and Production'!$U$5:$U$337,$C24,'Pre- and Production'!AC$5:AC$337)</f>
        <v>0</v>
      </c>
      <c r="F24" s="297">
        <f>SUMIF('Pre- and Production'!$U$5:$U$337,$C24,'Pre- and Production'!AM$5:AM$337)</f>
        <v>0</v>
      </c>
      <c r="G24" s="298">
        <f>SUMIF('Pre- and Production'!$U$5:$U$337,$C24,'Pre- and Production'!AD$5:AD$337)</f>
        <v>300</v>
      </c>
      <c r="H24" s="299">
        <f>SUMIF('Pre- and Production'!$U$5:$U$337,$C24,'Pre- and Production'!AN$5:AN$337)</f>
        <v>40</v>
      </c>
      <c r="I24" s="296">
        <f>SUMIF('Pre- and Production'!$U$5:$U$337,$C24,'Pre- and Production'!AE$5:AF$337)</f>
        <v>312</v>
      </c>
      <c r="J24" s="297">
        <f>SUMIF('Pre- and Production'!$U$5:$U$337,$C24,'Pre- and Production'!AO$5:AO$337)</f>
        <v>0</v>
      </c>
      <c r="K24" s="298">
        <f>SUMIF('Pre- and Production'!$U$5:$U$337,$C24,'Pre- and Production'!AF$5:AF$337)</f>
        <v>80</v>
      </c>
      <c r="L24" s="299">
        <f>SUMIF('Pre- and Production'!$U$5:$U$337,$C24,'Pre- and Production'!AP$5:AP$337)</f>
        <v>40</v>
      </c>
      <c r="M24" s="296">
        <f>SUMIF('Pre- and Production'!$U$5:$U$337,$C24,'Pre- and Production'!AG$5:AG$337)</f>
        <v>408</v>
      </c>
      <c r="N24" s="297">
        <f>SUMIF('Pre- and Production'!$U$5:$U$337,$C24,'Pre- and Production'!AQ$5:AQ$337)</f>
        <v>0</v>
      </c>
      <c r="O24" s="300">
        <f>SUMIF('Pre- and Production'!$U$5:$U$337,$C24,'Pre- and Production'!AH$5:AH$337)</f>
        <v>26550</v>
      </c>
      <c r="P24" s="301">
        <f>SUMIF('Pre- and Production'!$U$5:$U$337,$C24,'Pre- and Production'!AR$5:AR$337)</f>
        <v>4000</v>
      </c>
    </row>
    <row r="25" spans="3:16" ht="14.25" thickTop="1" thickBot="1">
      <c r="C25" s="42" t="s">
        <v>208</v>
      </c>
      <c r="D25" s="18" t="s">
        <v>209</v>
      </c>
      <c r="E25" s="302">
        <f>SUMIF('Pre- and Production'!$U$5:$U$337,$C25,'Pre- and Production'!AC$5:AC$337)</f>
        <v>0</v>
      </c>
      <c r="F25" s="297">
        <f>SUMIF('Pre- and Production'!$U$5:$U$337,$C25,'Pre- and Production'!AM$5:AM$337)</f>
        <v>0</v>
      </c>
      <c r="G25" s="298">
        <f>SUMIF('Pre- and Production'!$U$5:$U$337,$C25,'Pre- and Production'!AD$5:AD$337)</f>
        <v>0</v>
      </c>
      <c r="H25" s="299">
        <f>SUMIF('Pre- and Production'!$U$5:$U$337,$C25,'Pre- and Production'!AN$5:AN$337)</f>
        <v>0</v>
      </c>
      <c r="I25" s="296">
        <f>SUMIF('Pre- and Production'!$U$5:$U$337,$C25,'Pre- and Production'!AE$5:AF$337)</f>
        <v>80</v>
      </c>
      <c r="J25" s="297">
        <f>SUMIF('Pre- and Production'!$U$5:$U$337,$C25,'Pre- and Production'!AO$5:AO$337)</f>
        <v>0</v>
      </c>
      <c r="K25" s="298">
        <f>SUMIF('Pre- and Production'!$U$5:$U$337,$C25,'Pre- and Production'!AF$5:AF$337)</f>
        <v>32</v>
      </c>
      <c r="L25" s="299">
        <f>SUMIF('Pre- and Production'!$U$5:$U$337,$C25,'Pre- and Production'!AP$5:AP$337)</f>
        <v>16</v>
      </c>
      <c r="M25" s="296">
        <f>SUMIF('Pre- and Production'!$U$5:$U$337,$C25,'Pre- and Production'!AG$5:AG$337)</f>
        <v>80</v>
      </c>
      <c r="N25" s="297">
        <f>SUMIF('Pre- and Production'!$U$5:$U$337,$C25,'Pre- and Production'!AQ$5:AQ$337)</f>
        <v>0</v>
      </c>
      <c r="O25" s="300">
        <f>SUMIF('Pre- and Production'!$U$5:$U$337,$C25,'Pre- and Production'!AH$5:AH$337)</f>
        <v>60500</v>
      </c>
      <c r="P25" s="301">
        <f>SUMIF('Pre- and Production'!$U$5:$U$337,$C25,'Pre- and Production'!AR$5:AR$337)</f>
        <v>8000</v>
      </c>
    </row>
    <row r="26" spans="3:16" ht="14.25" thickTop="1" thickBot="1">
      <c r="C26" s="42" t="s">
        <v>210</v>
      </c>
      <c r="D26" s="18" t="s">
        <v>211</v>
      </c>
      <c r="E26" s="302">
        <f>SUMIF('Pre- and Production'!$U$5:$U$337,$C26,'Pre- and Production'!AC$5:AC$337)</f>
        <v>0</v>
      </c>
      <c r="F26" s="297">
        <f>SUMIF('Pre- and Production'!$U$5:$U$337,$C26,'Pre- and Production'!AM$5:AM$337)</f>
        <v>0</v>
      </c>
      <c r="G26" s="298">
        <f>SUMIF('Pre- and Production'!$U$5:$U$337,$C26,'Pre- and Production'!AD$5:AD$337)</f>
        <v>0</v>
      </c>
      <c r="H26" s="299">
        <f>SUMIF('Pre- and Production'!$U$5:$U$337,$C26,'Pre- and Production'!AN$5:AN$337)</f>
        <v>0</v>
      </c>
      <c r="I26" s="296">
        <f>SUMIF('Pre- and Production'!$U$5:$U$337,$C26,'Pre- and Production'!AE$5:AF$337)</f>
        <v>352</v>
      </c>
      <c r="J26" s="297">
        <f>SUMIF('Pre- and Production'!$U$5:$U$337,$C26,'Pre- and Production'!AO$5:AO$337)</f>
        <v>0</v>
      </c>
      <c r="K26" s="298">
        <f>SUMIF('Pre- and Production'!$U$5:$U$337,$C26,'Pre- and Production'!AF$5:AF$337)</f>
        <v>16</v>
      </c>
      <c r="L26" s="299">
        <f>SUMIF('Pre- and Production'!$U$5:$U$337,$C26,'Pre- and Production'!AP$5:AP$337)</f>
        <v>8</v>
      </c>
      <c r="M26" s="296">
        <f>SUMIF('Pre- and Production'!$U$5:$U$337,$C26,'Pre- and Production'!AG$5:AG$337)</f>
        <v>352</v>
      </c>
      <c r="N26" s="297">
        <f>SUMIF('Pre- and Production'!$U$5:$U$337,$C26,'Pre- and Production'!AQ$5:AQ$337)</f>
        <v>0</v>
      </c>
      <c r="O26" s="300">
        <f>SUMIF('Pre- and Production'!$U$5:$U$337,$C26,'Pre- and Production'!AH$5:AH$337)</f>
        <v>6000</v>
      </c>
      <c r="P26" s="301">
        <f>SUMIF('Pre- and Production'!$U$5:$U$337,$C26,'Pre- and Production'!AR$5:AR$337)</f>
        <v>1000</v>
      </c>
    </row>
    <row r="27" spans="3:16" ht="13.5" thickTop="1">
      <c r="C27" s="123" t="s">
        <v>212</v>
      </c>
      <c r="D27" s="18" t="s">
        <v>213</v>
      </c>
      <c r="E27" s="302">
        <f>SUMIF('Pre- and Production'!$U$5:$U$337,$C27,'Pre- and Production'!AC$5:AC$337)</f>
        <v>128</v>
      </c>
      <c r="F27" s="297">
        <f>SUMIF('Pre- and Production'!$U$5:$U$337,$C27,'Pre- and Production'!AM$5:AM$337)</f>
        <v>212</v>
      </c>
      <c r="G27" s="298">
        <f>SUMIF('Pre- and Production'!$U$5:$U$337,$C27,'Pre- and Production'!AD$5:AD$337)</f>
        <v>2536</v>
      </c>
      <c r="H27" s="299">
        <f>SUMIF('Pre- and Production'!$U$5:$U$337,$C27,'Pre- and Production'!AN$5:AN$337)</f>
        <v>446</v>
      </c>
      <c r="I27" s="296">
        <f>SUMIF('Pre- and Production'!$U$5:$U$337,$C27,'Pre- and Production'!AE$5:AF$337)</f>
        <v>1536</v>
      </c>
      <c r="J27" s="297">
        <f>SUMIF('Pre- and Production'!$U$5:$U$337,$C27,'Pre- and Production'!AO$5:AO$337)</f>
        <v>80</v>
      </c>
      <c r="K27" s="298">
        <f>SUMIF('Pre- and Production'!$U$5:$U$337,$C27,'Pre- and Production'!AF$5:AF$337)</f>
        <v>188</v>
      </c>
      <c r="L27" s="299">
        <f>SUMIF('Pre- and Production'!$U$5:$U$337,$C27,'Pre- and Production'!AP$5:AP$337)</f>
        <v>132</v>
      </c>
      <c r="M27" s="296">
        <f>SUMIF('Pre- and Production'!$U$5:$U$337,$C27,'Pre- and Production'!AG$5:AG$337)</f>
        <v>1736</v>
      </c>
      <c r="N27" s="297">
        <f>SUMIF('Pre- and Production'!$U$5:$U$337,$C27,'Pre- and Production'!AQ$5:AQ$337)</f>
        <v>80</v>
      </c>
      <c r="O27" s="300">
        <f>SUMIF('Pre- and Production'!$U$5:$U$337,$C27,'Pre- and Production'!AH$5:AH$337)</f>
        <v>265600</v>
      </c>
      <c r="P27" s="301">
        <f>SUMIF('Pre- and Production'!$U$5:$U$337,$C27,'Pre- and Production'!AR$5:AR$337)</f>
        <v>71500</v>
      </c>
    </row>
    <row r="29" spans="3:16">
      <c r="D29" s="87" t="s">
        <v>383</v>
      </c>
      <c r="E29" s="303">
        <f>SUM(E7:E27)</f>
        <v>464</v>
      </c>
      <c r="F29" s="303">
        <f t="shared" ref="F29:P29" si="0">SUM(F7:F27)</f>
        <v>404</v>
      </c>
      <c r="G29" s="303">
        <f t="shared" si="0"/>
        <v>5720</v>
      </c>
      <c r="H29" s="303">
        <f t="shared" si="0"/>
        <v>1779</v>
      </c>
      <c r="I29" s="303">
        <f t="shared" si="0"/>
        <v>9678</v>
      </c>
      <c r="J29" s="303">
        <f t="shared" si="0"/>
        <v>196</v>
      </c>
      <c r="K29" s="303">
        <f t="shared" si="0"/>
        <v>2204</v>
      </c>
      <c r="L29" s="303">
        <f t="shared" si="0"/>
        <v>742</v>
      </c>
      <c r="M29" s="303">
        <f t="shared" si="0"/>
        <v>10232</v>
      </c>
      <c r="N29" s="303">
        <f t="shared" si="0"/>
        <v>304</v>
      </c>
      <c r="O29" s="307">
        <f t="shared" si="0"/>
        <v>1406468</v>
      </c>
      <c r="P29" s="307">
        <f t="shared" si="0"/>
        <v>405000</v>
      </c>
    </row>
    <row r="30" spans="3:16">
      <c r="D30" s="87" t="s">
        <v>384</v>
      </c>
      <c r="E30" s="305">
        <f>E29/1720</f>
        <v>0.26976744186046514</v>
      </c>
      <c r="F30" s="305">
        <f t="shared" ref="F30:N30" si="1">F29/1720</f>
        <v>0.23488372093023255</v>
      </c>
      <c r="G30" s="305">
        <f t="shared" si="1"/>
        <v>3.3255813953488373</v>
      </c>
      <c r="H30" s="305">
        <f t="shared" si="1"/>
        <v>1.0343023255813955</v>
      </c>
      <c r="I30" s="305">
        <f t="shared" si="1"/>
        <v>5.6267441860465119</v>
      </c>
      <c r="J30" s="305">
        <f t="shared" si="1"/>
        <v>0.11395348837209303</v>
      </c>
      <c r="K30" s="305">
        <f t="shared" si="1"/>
        <v>1.2813953488372094</v>
      </c>
      <c r="L30" s="305">
        <f t="shared" si="1"/>
        <v>0.43139534883720931</v>
      </c>
      <c r="M30" s="305">
        <f t="shared" si="1"/>
        <v>5.9488372093023258</v>
      </c>
      <c r="N30" s="305">
        <f t="shared" si="1"/>
        <v>0.17674418604651163</v>
      </c>
    </row>
    <row r="31" spans="3:16">
      <c r="D31" s="304" t="s">
        <v>385</v>
      </c>
      <c r="E31" s="306">
        <f>E29*Shop</f>
        <v>47355.840000000004</v>
      </c>
      <c r="F31" s="306">
        <f>F29*Shop</f>
        <v>41232.239999999998</v>
      </c>
      <c r="G31" s="306">
        <f>G29*M_Tech</f>
        <v>542084.4</v>
      </c>
      <c r="H31" s="306">
        <f>H29*M_Tech</f>
        <v>168595.83000000002</v>
      </c>
      <c r="I31" s="306">
        <f>I30*CMM</f>
        <v>0</v>
      </c>
      <c r="J31" s="306">
        <f>J29*CMM</f>
        <v>0</v>
      </c>
      <c r="K31" s="306">
        <f>K29*ENG</f>
        <v>267786.00000000006</v>
      </c>
      <c r="L31" s="306">
        <f>L29*ENG</f>
        <v>90153.000000000015</v>
      </c>
      <c r="M31" s="306">
        <f>M29*DES</f>
        <v>0</v>
      </c>
      <c r="N31" s="306">
        <f>N29*DES</f>
        <v>0</v>
      </c>
    </row>
  </sheetData>
  <mergeCells count="6">
    <mergeCell ref="O5:P5"/>
    <mergeCell ref="E5:F5"/>
    <mergeCell ref="G5:H5"/>
    <mergeCell ref="I5:J5"/>
    <mergeCell ref="K5:L5"/>
    <mergeCell ref="M5:N5"/>
  </mergeCells>
  <phoneticPr fontId="2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3:P174"/>
  <sheetViews>
    <sheetView topLeftCell="A49" workbookViewId="0">
      <selection activeCell="P77" sqref="P77"/>
    </sheetView>
  </sheetViews>
  <sheetFormatPr defaultRowHeight="12.75"/>
  <cols>
    <col min="3" max="4" width="11.7109375" bestFit="1" customWidth="1"/>
    <col min="15" max="16" width="9.7109375" bestFit="1" customWidth="1"/>
  </cols>
  <sheetData>
    <row r="3" spans="3:16" ht="18.75" thickBot="1">
      <c r="C3" s="308">
        <v>2009</v>
      </c>
      <c r="O3" s="309"/>
      <c r="P3" s="309"/>
    </row>
    <row r="4" spans="3:16" ht="13.5" thickTop="1">
      <c r="E4" s="354" t="s">
        <v>27</v>
      </c>
      <c r="F4" s="355"/>
      <c r="G4" s="354" t="s">
        <v>386</v>
      </c>
      <c r="H4" s="356"/>
      <c r="I4" s="354" t="s">
        <v>381</v>
      </c>
      <c r="J4" s="356"/>
      <c r="K4" s="357" t="s">
        <v>376</v>
      </c>
      <c r="L4" s="356"/>
      <c r="M4" s="357" t="s">
        <v>387</v>
      </c>
      <c r="N4" s="355"/>
      <c r="O4" s="352" t="s">
        <v>377</v>
      </c>
      <c r="P4" s="353"/>
    </row>
    <row r="5" spans="3:16" ht="13.5" thickBot="1">
      <c r="E5" s="310" t="s">
        <v>378</v>
      </c>
      <c r="F5" s="311" t="s">
        <v>379</v>
      </c>
      <c r="G5" s="310" t="s">
        <v>378</v>
      </c>
      <c r="H5" s="312" t="s">
        <v>379</v>
      </c>
      <c r="I5" s="310" t="s">
        <v>378</v>
      </c>
      <c r="J5" s="312" t="s">
        <v>379</v>
      </c>
      <c r="K5" s="313" t="s">
        <v>378</v>
      </c>
      <c r="L5" s="312" t="s">
        <v>379</v>
      </c>
      <c r="M5" s="313" t="s">
        <v>378</v>
      </c>
      <c r="N5" s="311" t="s">
        <v>379</v>
      </c>
      <c r="O5" s="314" t="s">
        <v>378</v>
      </c>
      <c r="P5" s="315" t="s">
        <v>379</v>
      </c>
    </row>
    <row r="6" spans="3:16" ht="13.5" thickTop="1">
      <c r="D6" s="18" t="s">
        <v>172</v>
      </c>
      <c r="E6" s="316">
        <f>SUMIF('Pre- and Production'!$T$4:$T$574, CONCATENATE(LEFT('WBS Summary by Year'!E$5,1),'WBS Summary by Year'!$D6,$C$3),'Pre- and Production'!AC$4:AC$574)</f>
        <v>0</v>
      </c>
      <c r="F6" s="317">
        <f>SUMIF('Pre- and Production'!$T$4:$T$574, CONCATENATE(LEFT('WBS Summary by Year'!F$5,1),'WBS Summary by Year'!$D6,'WBS Summary by Year'!$C$3),'Pre- and Production'!AM$4:AM$574)</f>
        <v>0</v>
      </c>
      <c r="G6" s="316">
        <f>SUMIF('Pre- and Production'!$T$4:$T$574, CONCATENATE(LEFT('WBS Summary by Year'!G$5,1),'WBS Summary by Year'!$D6,'WBS Summary by Year'!$C$3),'Pre- and Production'!AD$4:AD$574)</f>
        <v>0</v>
      </c>
      <c r="H6" s="318">
        <f>SUMIF('Pre- and Production'!$T$4:$T$574, CONCATENATE(LEFT('WBS Summary by Year'!H$5,1),'WBS Summary by Year'!$D6,'WBS Summary by Year'!$C$3),'Pre- and Production'!AN$4:AN$574)</f>
        <v>0</v>
      </c>
      <c r="I6" s="316">
        <f>SUMIF('Pre- and Production'!$T$4:$T$574, CONCATENATE(LEFT('WBS Summary by Year'!I$5,1),'WBS Summary by Year'!$D6,'WBS Summary by Year'!$C$3),'Pre- and Production'!AE$4:AE$574)</f>
        <v>0</v>
      </c>
      <c r="J6" s="318">
        <f>SUMIF('Pre- and Production'!$T$4:$T$574, CONCATENATE(LEFT('WBS Summary by Year'!J$5,1),'WBS Summary by Year'!$D6,'WBS Summary by Year'!$C$3),'Pre- and Production'!AO$4:AO$574)</f>
        <v>0</v>
      </c>
      <c r="K6" s="319">
        <f>SUMIF('Pre- and Production'!$T$4:$T$574, CONCATENATE(LEFT('WBS Summary by Year'!K$5,1),'WBS Summary by Year'!$D6,'WBS Summary by Year'!$C$3),'Pre- and Production'!AF$4:AF$574)</f>
        <v>0</v>
      </c>
      <c r="L6" s="318">
        <f>SUMIF('Pre- and Production'!$T$4:$T$574, CONCATENATE(LEFT('WBS Summary by Year'!L$5,1),'WBS Summary by Year'!$D6,'WBS Summary by Year'!$C$3),'Pre- and Production'!AP$4:AP$574)</f>
        <v>0</v>
      </c>
      <c r="M6" s="319">
        <f>SUMIF('Pre- and Production'!$T$4:$T$574, CONCATENATE(LEFT('WBS Summary by Year'!M$5,1),'WBS Summary by Year'!$D6,'WBS Summary by Year'!$C$3),'Pre- and Production'!AG$4:AG$574)</f>
        <v>0</v>
      </c>
      <c r="N6" s="317">
        <f>SUMIF('Pre- and Production'!$T$4:$T$574, CONCATENATE(LEFT('WBS Summary by Year'!N$5,1),'WBS Summary by Year'!$D6,'WBS Summary by Year'!$C$3),'Pre- and Production'!AQ$4:AQ$574)</f>
        <v>0</v>
      </c>
      <c r="O6" s="320">
        <f>SUMIF('Pre- and Production'!$T$4:$T$574, CONCATENATE(LEFT('WBS Summary by Year'!O$5,1),'WBS Summary by Year'!$D6,'WBS Summary by Year'!$C$3),'Pre- and Production'!AH$4:AH$574)</f>
        <v>0</v>
      </c>
      <c r="P6" s="321">
        <f>SUMIF('Pre- and Production'!$T$4:$T$574, CONCATENATE(LEFT('WBS Summary by Year'!P$5,1),'WBS Summary by Year'!$D6,'WBS Summary by Year'!$C$3),'Pre- and Production'!AR$4:AR$574)</f>
        <v>0</v>
      </c>
    </row>
    <row r="7" spans="3:16">
      <c r="D7" s="123" t="s">
        <v>173</v>
      </c>
      <c r="E7" s="24">
        <f>SUMIF('Pre- and Production'!$T$4:$T$574, CONCATENATE(LEFT('WBS Summary by Year'!E$5,1),'WBS Summary by Year'!$D7,$C$3),'Pre- and Production'!AC$4:AC$574)</f>
        <v>0</v>
      </c>
      <c r="F7" s="322">
        <f>SUMIF('Pre- and Production'!$T$4:$T$574, CONCATENATE(LEFT('WBS Summary by Year'!F$5,1),'WBS Summary by Year'!$D7,'WBS Summary by Year'!$C$3),'Pre- and Production'!AM$4:AM$574)</f>
        <v>0</v>
      </c>
      <c r="G7" s="24">
        <f>SUMIF('Pre- and Production'!$T$4:$T$574, CONCATENATE(LEFT('WBS Summary by Year'!G$5,1),'WBS Summary by Year'!$D7,'WBS Summary by Year'!$C$3),'Pre- and Production'!AD$4:AD$574)</f>
        <v>0</v>
      </c>
      <c r="H7" s="323">
        <f>SUMIF('Pre- and Production'!$T$4:$T$574, CONCATENATE(LEFT('WBS Summary by Year'!H$5,1),'WBS Summary by Year'!$D7,'WBS Summary by Year'!$C$3),'Pre- and Production'!AN$4:AN$574)</f>
        <v>0</v>
      </c>
      <c r="I7" s="24">
        <f>SUMIF('Pre- and Production'!$T$4:$T$574, CONCATENATE(LEFT('WBS Summary by Year'!I$5,1),'WBS Summary by Year'!$D7,'WBS Summary by Year'!$C$3),'Pre- and Production'!AE$4:AE$574)</f>
        <v>0</v>
      </c>
      <c r="J7" s="323">
        <f>SUMIF('Pre- and Production'!$T$4:$T$574, CONCATENATE(LEFT('WBS Summary by Year'!J$5,1),'WBS Summary by Year'!$D7,'WBS Summary by Year'!$C$3),'Pre- and Production'!AO$4:AO$574)</f>
        <v>0</v>
      </c>
      <c r="K7" s="324">
        <f>SUMIF('Pre- and Production'!$T$4:$T$574, CONCATENATE(LEFT('WBS Summary by Year'!K$5,1),'WBS Summary by Year'!$D7,'WBS Summary by Year'!$C$3),'Pre- and Production'!AF$4:AF$574)</f>
        <v>0</v>
      </c>
      <c r="L7" s="323">
        <f>SUMIF('Pre- and Production'!$T$4:$T$574, CONCATENATE(LEFT('WBS Summary by Year'!L$5,1),'WBS Summary by Year'!$D7,'WBS Summary by Year'!$C$3),'Pre- and Production'!AP$4:AP$574)</f>
        <v>0</v>
      </c>
      <c r="M7" s="324">
        <f>SUMIF('Pre- and Production'!$T$4:$T$574, CONCATENATE(LEFT('WBS Summary by Year'!M$5,1),'WBS Summary by Year'!$D7,'WBS Summary by Year'!$C$3),'Pre- and Production'!AG$4:AG$574)</f>
        <v>0</v>
      </c>
      <c r="N7" s="322">
        <f>SUMIF('Pre- and Production'!$T$4:$T$574, CONCATENATE(LEFT('WBS Summary by Year'!N$5,1),'WBS Summary by Year'!$D7,'WBS Summary by Year'!$C$3),'Pre- and Production'!AQ$4:AQ$574)</f>
        <v>0</v>
      </c>
      <c r="O7" s="325">
        <f>SUMIF('Pre- and Production'!$T$4:$T$574, CONCATENATE(LEFT('WBS Summary by Year'!O$5,1),'WBS Summary by Year'!$D7,'WBS Summary by Year'!$C$3),'Pre- and Production'!AH$4:AH$574)</f>
        <v>0</v>
      </c>
      <c r="P7" s="326">
        <f>SUMIF('Pre- and Production'!$T$4:$T$574, CONCATENATE(LEFT('WBS Summary by Year'!P$5,1),'WBS Summary by Year'!$D7,'WBS Summary by Year'!$C$3),'Pre- and Production'!AR$4:AR$574)</f>
        <v>0</v>
      </c>
    </row>
    <row r="8" spans="3:16">
      <c r="D8" s="42" t="s">
        <v>175</v>
      </c>
      <c r="E8" s="24">
        <f>SUMIF('Pre- and Production'!$T$4:$T$574, CONCATENATE(LEFT('WBS Summary by Year'!E$5,1),'WBS Summary by Year'!$D8,$C$3),'Pre- and Production'!AC$4:AC$574)</f>
        <v>0</v>
      </c>
      <c r="F8" s="322">
        <f>SUMIF('Pre- and Production'!$T$4:$T$574, CONCATENATE(LEFT('WBS Summary by Year'!F$5,1),'WBS Summary by Year'!$D8,'WBS Summary by Year'!$C$3),'Pre- and Production'!AM$4:AM$574)</f>
        <v>0</v>
      </c>
      <c r="G8" s="24">
        <f>SUMIF('Pre- and Production'!$T$4:$T$574, CONCATENATE(LEFT('WBS Summary by Year'!G$5,1),'WBS Summary by Year'!$D8,'WBS Summary by Year'!$C$3),'Pre- and Production'!AD$4:AD$574)</f>
        <v>0</v>
      </c>
      <c r="H8" s="323">
        <f>SUMIF('Pre- and Production'!$T$4:$T$574, CONCATENATE(LEFT('WBS Summary by Year'!H$5,1),'WBS Summary by Year'!$D8,'WBS Summary by Year'!$C$3),'Pre- and Production'!AN$4:AN$574)</f>
        <v>0</v>
      </c>
      <c r="I8" s="24">
        <f>SUMIF('Pre- and Production'!$T$4:$T$574, CONCATENATE(LEFT('WBS Summary by Year'!I$5,1),'WBS Summary by Year'!$D8,'WBS Summary by Year'!$C$3),'Pre- and Production'!AE$4:AE$574)</f>
        <v>0</v>
      </c>
      <c r="J8" s="323">
        <f>SUMIF('Pre- and Production'!$T$4:$T$574, CONCATENATE(LEFT('WBS Summary by Year'!J$5,1),'WBS Summary by Year'!$D8,'WBS Summary by Year'!$C$3),'Pre- and Production'!AO$4:AO$574)</f>
        <v>0</v>
      </c>
      <c r="K8" s="324">
        <f>SUMIF('Pre- and Production'!$T$4:$T$574, CONCATENATE(LEFT('WBS Summary by Year'!K$5,1),'WBS Summary by Year'!$D8,'WBS Summary by Year'!$C$3),'Pre- and Production'!AF$4:AF$574)</f>
        <v>0</v>
      </c>
      <c r="L8" s="323">
        <f>SUMIF('Pre- and Production'!$T$4:$T$574, CONCATENATE(LEFT('WBS Summary by Year'!L$5,1),'WBS Summary by Year'!$D8,'WBS Summary by Year'!$C$3),'Pre- and Production'!AP$4:AP$574)</f>
        <v>0</v>
      </c>
      <c r="M8" s="324">
        <f>SUMIF('Pre- and Production'!$T$4:$T$574, CONCATENATE(LEFT('WBS Summary by Year'!M$5,1),'WBS Summary by Year'!$D8,'WBS Summary by Year'!$C$3),'Pre- and Production'!AG$4:AG$574)</f>
        <v>0</v>
      </c>
      <c r="N8" s="322">
        <f>SUMIF('Pre- and Production'!$T$4:$T$574, CONCATENATE(LEFT('WBS Summary by Year'!N$5,1),'WBS Summary by Year'!$D8,'WBS Summary by Year'!$C$3),'Pre- and Production'!AQ$4:AQ$574)</f>
        <v>0</v>
      </c>
      <c r="O8" s="325">
        <f>SUMIF('Pre- and Production'!$T$4:$T$574, CONCATENATE(LEFT('WBS Summary by Year'!O$5,1),'WBS Summary by Year'!$D8,'WBS Summary by Year'!$C$3),'Pre- and Production'!AH$4:AH$574)</f>
        <v>0</v>
      </c>
      <c r="P8" s="326">
        <f>SUMIF('Pre- and Production'!$T$4:$T$574, CONCATENATE(LEFT('WBS Summary by Year'!P$5,1),'WBS Summary by Year'!$D8,'WBS Summary by Year'!$C$3),'Pre- and Production'!AR$4:AR$574)</f>
        <v>0</v>
      </c>
    </row>
    <row r="9" spans="3:16">
      <c r="D9" s="42" t="s">
        <v>177</v>
      </c>
      <c r="E9" s="24">
        <f>SUMIF('Pre- and Production'!$T$4:$T$574, CONCATENATE(LEFT('WBS Summary by Year'!E$5,1),'WBS Summary by Year'!$D9,$C$3),'Pre- and Production'!AC$4:AC$574)</f>
        <v>0</v>
      </c>
      <c r="F9" s="322">
        <f>SUMIF('Pre- and Production'!$T$4:$T$574, CONCATENATE(LEFT('WBS Summary by Year'!F$5,1),'WBS Summary by Year'!$D9,'WBS Summary by Year'!$C$3),'Pre- and Production'!AM$4:AM$574)</f>
        <v>0</v>
      </c>
      <c r="G9" s="24">
        <f>SUMIF('Pre- and Production'!$T$4:$T$574, CONCATENATE(LEFT('WBS Summary by Year'!G$5,1),'WBS Summary by Year'!$D9,'WBS Summary by Year'!$C$3),'Pre- and Production'!AD$4:AD$574)</f>
        <v>0</v>
      </c>
      <c r="H9" s="323">
        <f>SUMIF('Pre- and Production'!$T$4:$T$574, CONCATENATE(LEFT('WBS Summary by Year'!H$5,1),'WBS Summary by Year'!$D9,'WBS Summary by Year'!$C$3),'Pre- and Production'!AN$4:AN$574)</f>
        <v>0</v>
      </c>
      <c r="I9" s="24">
        <f>SUMIF('Pre- and Production'!$T$4:$T$574, CONCATENATE(LEFT('WBS Summary by Year'!I$5,1),'WBS Summary by Year'!$D9,'WBS Summary by Year'!$C$3),'Pre- and Production'!AE$4:AE$574)</f>
        <v>0</v>
      </c>
      <c r="J9" s="323">
        <f>SUMIF('Pre- and Production'!$T$4:$T$574, CONCATENATE(LEFT('WBS Summary by Year'!J$5,1),'WBS Summary by Year'!$D9,'WBS Summary by Year'!$C$3),'Pre- and Production'!AO$4:AO$574)</f>
        <v>0</v>
      </c>
      <c r="K9" s="324">
        <f>SUMIF('Pre- and Production'!$T$4:$T$574, CONCATENATE(LEFT('WBS Summary by Year'!K$5,1),'WBS Summary by Year'!$D9,'WBS Summary by Year'!$C$3),'Pre- and Production'!AF$4:AF$574)</f>
        <v>0</v>
      </c>
      <c r="L9" s="323">
        <f>SUMIF('Pre- and Production'!$T$4:$T$574, CONCATENATE(LEFT('WBS Summary by Year'!L$5,1),'WBS Summary by Year'!$D9,'WBS Summary by Year'!$C$3),'Pre- and Production'!AP$4:AP$574)</f>
        <v>0</v>
      </c>
      <c r="M9" s="324">
        <f>SUMIF('Pre- and Production'!$T$4:$T$574, CONCATENATE(LEFT('WBS Summary by Year'!M$5,1),'WBS Summary by Year'!$D9,'WBS Summary by Year'!$C$3),'Pre- and Production'!AG$4:AG$574)</f>
        <v>0</v>
      </c>
      <c r="N9" s="322">
        <f>SUMIF('Pre- and Production'!$T$4:$T$574, CONCATENATE(LEFT('WBS Summary by Year'!N$5,1),'WBS Summary by Year'!$D9,'WBS Summary by Year'!$C$3),'Pre- and Production'!AQ$4:AQ$574)</f>
        <v>0</v>
      </c>
      <c r="O9" s="325">
        <f>SUMIF('Pre- and Production'!$T$4:$T$574, CONCATENATE(LEFT('WBS Summary by Year'!O$5,1),'WBS Summary by Year'!$D9,'WBS Summary by Year'!$C$3),'Pre- and Production'!AH$4:AH$574)</f>
        <v>0</v>
      </c>
      <c r="P9" s="326">
        <f>SUMIF('Pre- and Production'!$T$4:$T$574, CONCATENATE(LEFT('WBS Summary by Year'!P$5,1),'WBS Summary by Year'!$D9,'WBS Summary by Year'!$C$3),'Pre- and Production'!AR$4:AR$574)</f>
        <v>0</v>
      </c>
    </row>
    <row r="10" spans="3:16">
      <c r="D10" s="123" t="s">
        <v>179</v>
      </c>
      <c r="E10" s="24">
        <f>SUMIF('Pre- and Production'!$T$4:$T$574, CONCATENATE(LEFT('WBS Summary by Year'!E$5,1),'WBS Summary by Year'!$D10,$C$3),'Pre- and Production'!AC$4:AC$574)</f>
        <v>0</v>
      </c>
      <c r="F10" s="322">
        <f>SUMIF('Pre- and Production'!$T$4:$T$574, CONCATENATE(LEFT('WBS Summary by Year'!F$5,1),'WBS Summary by Year'!$D10,'WBS Summary by Year'!$C$3),'Pre- and Production'!AM$4:AM$574)</f>
        <v>0</v>
      </c>
      <c r="G10" s="24">
        <f>SUMIF('Pre- and Production'!$T$4:$T$574, CONCATENATE(LEFT('WBS Summary by Year'!G$5,1),'WBS Summary by Year'!$D10,'WBS Summary by Year'!$C$3),'Pre- and Production'!AD$4:AD$574)</f>
        <v>0</v>
      </c>
      <c r="H10" s="323">
        <f>SUMIF('Pre- and Production'!$T$4:$T$574, CONCATENATE(LEFT('WBS Summary by Year'!H$5,1),'WBS Summary by Year'!$D10,'WBS Summary by Year'!$C$3),'Pre- and Production'!AN$4:AN$574)</f>
        <v>0</v>
      </c>
      <c r="I10" s="24">
        <f>SUMIF('Pre- and Production'!$T$4:$T$574, CONCATENATE(LEFT('WBS Summary by Year'!I$5,1),'WBS Summary by Year'!$D10,'WBS Summary by Year'!$C$3),'Pre- and Production'!AE$4:AE$574)</f>
        <v>0</v>
      </c>
      <c r="J10" s="323">
        <f>SUMIF('Pre- and Production'!$T$4:$T$574, CONCATENATE(LEFT('WBS Summary by Year'!J$5,1),'WBS Summary by Year'!$D10,'WBS Summary by Year'!$C$3),'Pre- and Production'!AO$4:AO$574)</f>
        <v>0</v>
      </c>
      <c r="K10" s="324">
        <f>SUMIF('Pre- and Production'!$T$4:$T$574, CONCATENATE(LEFT('WBS Summary by Year'!K$5,1),'WBS Summary by Year'!$D10,'WBS Summary by Year'!$C$3),'Pre- and Production'!AF$4:AF$574)</f>
        <v>0</v>
      </c>
      <c r="L10" s="323">
        <f>SUMIF('Pre- and Production'!$T$4:$T$574, CONCATENATE(LEFT('WBS Summary by Year'!L$5,1),'WBS Summary by Year'!$D10,'WBS Summary by Year'!$C$3),'Pre- and Production'!AP$4:AP$574)</f>
        <v>0</v>
      </c>
      <c r="M10" s="324">
        <f>SUMIF('Pre- and Production'!$T$4:$T$574, CONCATENATE(LEFT('WBS Summary by Year'!M$5,1),'WBS Summary by Year'!$D10,'WBS Summary by Year'!$C$3),'Pre- and Production'!AG$4:AG$574)</f>
        <v>0</v>
      </c>
      <c r="N10" s="322">
        <f>SUMIF('Pre- and Production'!$T$4:$T$574, CONCATENATE(LEFT('WBS Summary by Year'!N$5,1),'WBS Summary by Year'!$D10,'WBS Summary by Year'!$C$3),'Pre- and Production'!AQ$4:AQ$574)</f>
        <v>0</v>
      </c>
      <c r="O10" s="325">
        <f>SUMIF('Pre- and Production'!$T$4:$T$574, CONCATENATE(LEFT('WBS Summary by Year'!O$5,1),'WBS Summary by Year'!$D10,'WBS Summary by Year'!$C$3),'Pre- and Production'!AH$4:AH$574)</f>
        <v>0</v>
      </c>
      <c r="P10" s="326">
        <f>SUMIF('Pre- and Production'!$T$4:$T$574, CONCATENATE(LEFT('WBS Summary by Year'!P$5,1),'WBS Summary by Year'!$D10,'WBS Summary by Year'!$C$3),'Pre- and Production'!AR$4:AR$574)</f>
        <v>0</v>
      </c>
    </row>
    <row r="11" spans="3:16">
      <c r="D11" s="42" t="s">
        <v>181</v>
      </c>
      <c r="E11" s="24">
        <f>SUMIF('Pre- and Production'!$T$4:$T$574, CONCATENATE(LEFT('WBS Summary by Year'!E$5,1),'WBS Summary by Year'!$D11,$C$3),'Pre- and Production'!AC$4:AC$574)</f>
        <v>0</v>
      </c>
      <c r="F11" s="322">
        <f>SUMIF('Pre- and Production'!$T$4:$T$574, CONCATENATE(LEFT('WBS Summary by Year'!F$5,1),'WBS Summary by Year'!$D11,'WBS Summary by Year'!$C$3),'Pre- and Production'!AM$4:AM$574)</f>
        <v>0</v>
      </c>
      <c r="G11" s="24">
        <f>SUMIF('Pre- and Production'!$T$4:$T$574, CONCATENATE(LEFT('WBS Summary by Year'!G$5,1),'WBS Summary by Year'!$D11,'WBS Summary by Year'!$C$3),'Pre- and Production'!AD$4:AD$574)</f>
        <v>0</v>
      </c>
      <c r="H11" s="323">
        <f>SUMIF('Pre- and Production'!$T$4:$T$574, CONCATENATE(LEFT('WBS Summary by Year'!H$5,1),'WBS Summary by Year'!$D11,'WBS Summary by Year'!$C$3),'Pre- and Production'!AN$4:AN$574)</f>
        <v>0</v>
      </c>
      <c r="I11" s="24">
        <f>SUMIF('Pre- and Production'!$T$4:$T$574, CONCATENATE(LEFT('WBS Summary by Year'!I$5,1),'WBS Summary by Year'!$D11,'WBS Summary by Year'!$C$3),'Pre- and Production'!AE$4:AE$574)</f>
        <v>0</v>
      </c>
      <c r="J11" s="323">
        <f>SUMIF('Pre- and Production'!$T$4:$T$574, CONCATENATE(LEFT('WBS Summary by Year'!J$5,1),'WBS Summary by Year'!$D11,'WBS Summary by Year'!$C$3),'Pre- and Production'!AO$4:AO$574)</f>
        <v>0</v>
      </c>
      <c r="K11" s="324">
        <f>SUMIF('Pre- and Production'!$T$4:$T$574, CONCATENATE(LEFT('WBS Summary by Year'!K$5,1),'WBS Summary by Year'!$D11,'WBS Summary by Year'!$C$3),'Pre- and Production'!AF$4:AF$574)</f>
        <v>0</v>
      </c>
      <c r="L11" s="323">
        <f>SUMIF('Pre- and Production'!$T$4:$T$574, CONCATENATE(LEFT('WBS Summary by Year'!L$5,1),'WBS Summary by Year'!$D11,'WBS Summary by Year'!$C$3),'Pre- and Production'!AP$4:AP$574)</f>
        <v>0</v>
      </c>
      <c r="M11" s="324">
        <f>SUMIF('Pre- and Production'!$T$4:$T$574, CONCATENATE(LEFT('WBS Summary by Year'!M$5,1),'WBS Summary by Year'!$D11,'WBS Summary by Year'!$C$3),'Pre- and Production'!AG$4:AG$574)</f>
        <v>0</v>
      </c>
      <c r="N11" s="322">
        <f>SUMIF('Pre- and Production'!$T$4:$T$574, CONCATENATE(LEFT('WBS Summary by Year'!N$5,1),'WBS Summary by Year'!$D11,'WBS Summary by Year'!$C$3),'Pre- and Production'!AQ$4:AQ$574)</f>
        <v>0</v>
      </c>
      <c r="O11" s="325">
        <f>SUMIF('Pre- and Production'!$T$4:$T$574, CONCATENATE(LEFT('WBS Summary by Year'!O$5,1),'WBS Summary by Year'!$D11,'WBS Summary by Year'!$C$3),'Pre- and Production'!AH$4:AH$574)</f>
        <v>0</v>
      </c>
      <c r="P11" s="326">
        <f>SUMIF('Pre- and Production'!$T$4:$T$574, CONCATENATE(LEFT('WBS Summary by Year'!P$5,1),'WBS Summary by Year'!$D11,'WBS Summary by Year'!$C$3),'Pre- and Production'!AR$4:AR$574)</f>
        <v>0</v>
      </c>
    </row>
    <row r="12" spans="3:16">
      <c r="D12" s="42" t="s">
        <v>183</v>
      </c>
      <c r="E12" s="24">
        <f>SUMIF('Pre- and Production'!$T$4:$T$574, CONCATENATE(LEFT('WBS Summary by Year'!E$5,1),'WBS Summary by Year'!$D12,$C$3),'Pre- and Production'!AC$4:AC$574)</f>
        <v>0</v>
      </c>
      <c r="F12" s="322">
        <f>SUMIF('Pre- and Production'!$T$4:$T$574, CONCATENATE(LEFT('WBS Summary by Year'!F$5,1),'WBS Summary by Year'!$D12,'WBS Summary by Year'!$C$3),'Pre- and Production'!AM$4:AM$574)</f>
        <v>0</v>
      </c>
      <c r="G12" s="24">
        <f>SUMIF('Pre- and Production'!$T$4:$T$574, CONCATENATE(LEFT('WBS Summary by Year'!G$5,1),'WBS Summary by Year'!$D12,'WBS Summary by Year'!$C$3),'Pre- and Production'!AD$4:AD$574)</f>
        <v>0</v>
      </c>
      <c r="H12" s="323">
        <f>SUMIF('Pre- and Production'!$T$4:$T$574, CONCATENATE(LEFT('WBS Summary by Year'!H$5,1),'WBS Summary by Year'!$D12,'WBS Summary by Year'!$C$3),'Pre- and Production'!AN$4:AN$574)</f>
        <v>0</v>
      </c>
      <c r="I12" s="24">
        <f>SUMIF('Pre- and Production'!$T$4:$T$574, CONCATENATE(LEFT('WBS Summary by Year'!I$5,1),'WBS Summary by Year'!$D12,'WBS Summary by Year'!$C$3),'Pre- and Production'!AE$4:AE$574)</f>
        <v>0</v>
      </c>
      <c r="J12" s="323">
        <f>SUMIF('Pre- and Production'!$T$4:$T$574, CONCATENATE(LEFT('WBS Summary by Year'!J$5,1),'WBS Summary by Year'!$D12,'WBS Summary by Year'!$C$3),'Pre- and Production'!AO$4:AO$574)</f>
        <v>0</v>
      </c>
      <c r="K12" s="324">
        <f>SUMIF('Pre- and Production'!$T$4:$T$574, CONCATENATE(LEFT('WBS Summary by Year'!K$5,1),'WBS Summary by Year'!$D12,'WBS Summary by Year'!$C$3),'Pre- and Production'!AF$4:AF$574)</f>
        <v>0</v>
      </c>
      <c r="L12" s="323">
        <f>SUMIF('Pre- and Production'!$T$4:$T$574, CONCATENATE(LEFT('WBS Summary by Year'!L$5,1),'WBS Summary by Year'!$D12,'WBS Summary by Year'!$C$3),'Pre- and Production'!AP$4:AP$574)</f>
        <v>0</v>
      </c>
      <c r="M12" s="324">
        <f>SUMIF('Pre- and Production'!$T$4:$T$574, CONCATENATE(LEFT('WBS Summary by Year'!M$5,1),'WBS Summary by Year'!$D12,'WBS Summary by Year'!$C$3),'Pre- and Production'!AG$4:AG$574)</f>
        <v>0</v>
      </c>
      <c r="N12" s="322">
        <f>SUMIF('Pre- and Production'!$T$4:$T$574, CONCATENATE(LEFT('WBS Summary by Year'!N$5,1),'WBS Summary by Year'!$D12,'WBS Summary by Year'!$C$3),'Pre- and Production'!AQ$4:AQ$574)</f>
        <v>0</v>
      </c>
      <c r="O12" s="325">
        <f>SUMIF('Pre- and Production'!$T$4:$T$574, CONCATENATE(LEFT('WBS Summary by Year'!O$5,1),'WBS Summary by Year'!$D12,'WBS Summary by Year'!$C$3),'Pre- and Production'!AH$4:AH$574)</f>
        <v>0</v>
      </c>
      <c r="P12" s="326">
        <f>SUMIF('Pre- and Production'!$T$4:$T$574, CONCATENATE(LEFT('WBS Summary by Year'!P$5,1),'WBS Summary by Year'!$D12,'WBS Summary by Year'!$C$3),'Pre- and Production'!AR$4:AR$574)</f>
        <v>0</v>
      </c>
    </row>
    <row r="13" spans="3:16">
      <c r="D13" s="123" t="s">
        <v>185</v>
      </c>
      <c r="E13" s="24">
        <f>SUMIF('Pre- and Production'!$T$4:$T$574, CONCATENATE(LEFT('WBS Summary by Year'!E$5,1),'WBS Summary by Year'!$D13,$C$3),'Pre- and Production'!AC$4:AC$574)</f>
        <v>0</v>
      </c>
      <c r="F13" s="322">
        <f>SUMIF('Pre- and Production'!$T$4:$T$574, CONCATENATE(LEFT('WBS Summary by Year'!F$5,1),'WBS Summary by Year'!$D13,'WBS Summary by Year'!$C$3),'Pre- and Production'!AM$4:AM$574)</f>
        <v>0</v>
      </c>
      <c r="G13" s="24">
        <f>SUMIF('Pre- and Production'!$T$4:$T$574, CONCATENATE(LEFT('WBS Summary by Year'!G$5,1),'WBS Summary by Year'!$D13,'WBS Summary by Year'!$C$3),'Pre- and Production'!AD$4:AD$574)</f>
        <v>0</v>
      </c>
      <c r="H13" s="323">
        <f>SUMIF('Pre- and Production'!$T$4:$T$574, CONCATENATE(LEFT('WBS Summary by Year'!H$5,1),'WBS Summary by Year'!$D13,'WBS Summary by Year'!$C$3),'Pre- and Production'!AN$4:AN$574)</f>
        <v>0</v>
      </c>
      <c r="I13" s="24">
        <f>SUMIF('Pre- and Production'!$T$4:$T$574, CONCATENATE(LEFT('WBS Summary by Year'!I$5,1),'WBS Summary by Year'!$D13,'WBS Summary by Year'!$C$3),'Pre- and Production'!AE$4:AE$574)</f>
        <v>0</v>
      </c>
      <c r="J13" s="323">
        <f>SUMIF('Pre- and Production'!$T$4:$T$574, CONCATENATE(LEFT('WBS Summary by Year'!J$5,1),'WBS Summary by Year'!$D13,'WBS Summary by Year'!$C$3),'Pre- and Production'!AO$4:AO$574)</f>
        <v>0</v>
      </c>
      <c r="K13" s="324">
        <f>SUMIF('Pre- and Production'!$T$4:$T$574, CONCATENATE(LEFT('WBS Summary by Year'!K$5,1),'WBS Summary by Year'!$D13,'WBS Summary by Year'!$C$3),'Pre- and Production'!AF$4:AF$574)</f>
        <v>0</v>
      </c>
      <c r="L13" s="323">
        <f>SUMIF('Pre- and Production'!$T$4:$T$574, CONCATENATE(LEFT('WBS Summary by Year'!L$5,1),'WBS Summary by Year'!$D13,'WBS Summary by Year'!$C$3),'Pre- and Production'!AP$4:AP$574)</f>
        <v>0</v>
      </c>
      <c r="M13" s="324">
        <f>SUMIF('Pre- and Production'!$T$4:$T$574, CONCATENATE(LEFT('WBS Summary by Year'!M$5,1),'WBS Summary by Year'!$D13,'WBS Summary by Year'!$C$3),'Pre- and Production'!AG$4:AG$574)</f>
        <v>0</v>
      </c>
      <c r="N13" s="322">
        <f>SUMIF('Pre- and Production'!$T$4:$T$574, CONCATENATE(LEFT('WBS Summary by Year'!N$5,1),'WBS Summary by Year'!$D13,'WBS Summary by Year'!$C$3),'Pre- and Production'!AQ$4:AQ$574)</f>
        <v>0</v>
      </c>
      <c r="O13" s="325">
        <f>SUMIF('Pre- and Production'!$T$4:$T$574, CONCATENATE(LEFT('WBS Summary by Year'!O$5,1),'WBS Summary by Year'!$D13,'WBS Summary by Year'!$C$3),'Pre- and Production'!AH$4:AH$574)</f>
        <v>0</v>
      </c>
      <c r="P13" s="326">
        <f>SUMIF('Pre- and Production'!$T$4:$T$574, CONCATENATE(LEFT('WBS Summary by Year'!P$5,1),'WBS Summary by Year'!$D13,'WBS Summary by Year'!$C$3),'Pre- and Production'!AR$4:AR$574)</f>
        <v>0</v>
      </c>
    </row>
    <row r="14" spans="3:16">
      <c r="D14" s="42" t="s">
        <v>187</v>
      </c>
      <c r="E14" s="24">
        <f>SUMIF('Pre- and Production'!$T$4:$T$574, CONCATENATE(LEFT('WBS Summary by Year'!E$5,1),'WBS Summary by Year'!$D14,$C$3),'Pre- and Production'!AC$4:AC$574)</f>
        <v>0</v>
      </c>
      <c r="F14" s="322">
        <f>SUMIF('Pre- and Production'!$T$4:$T$574, CONCATENATE(LEFT('WBS Summary by Year'!F$5,1),'WBS Summary by Year'!$D14,'WBS Summary by Year'!$C$3),'Pre- and Production'!AM$4:AM$574)</f>
        <v>0</v>
      </c>
      <c r="G14" s="24">
        <f>SUMIF('Pre- and Production'!$T$4:$T$574, CONCATENATE(LEFT('WBS Summary by Year'!G$5,1),'WBS Summary by Year'!$D14,'WBS Summary by Year'!$C$3),'Pre- and Production'!AD$4:AD$574)</f>
        <v>0</v>
      </c>
      <c r="H14" s="323">
        <f>SUMIF('Pre- and Production'!$T$4:$T$574, CONCATENATE(LEFT('WBS Summary by Year'!H$5,1),'WBS Summary by Year'!$D14,'WBS Summary by Year'!$C$3),'Pre- and Production'!AN$4:AN$574)</f>
        <v>0</v>
      </c>
      <c r="I14" s="24">
        <f>SUMIF('Pre- and Production'!$T$4:$T$574, CONCATENATE(LEFT('WBS Summary by Year'!I$5,1),'WBS Summary by Year'!$D14,'WBS Summary by Year'!$C$3),'Pre- and Production'!AE$4:AE$574)</f>
        <v>0</v>
      </c>
      <c r="J14" s="323">
        <f>SUMIF('Pre- and Production'!$T$4:$T$574, CONCATENATE(LEFT('WBS Summary by Year'!J$5,1),'WBS Summary by Year'!$D14,'WBS Summary by Year'!$C$3),'Pre- and Production'!AO$4:AO$574)</f>
        <v>0</v>
      </c>
      <c r="K14" s="324">
        <f>SUMIF('Pre- and Production'!$T$4:$T$574, CONCATENATE(LEFT('WBS Summary by Year'!K$5,1),'WBS Summary by Year'!$D14,'WBS Summary by Year'!$C$3),'Pre- and Production'!AF$4:AF$574)</f>
        <v>0</v>
      </c>
      <c r="L14" s="323">
        <f>SUMIF('Pre- and Production'!$T$4:$T$574, CONCATENATE(LEFT('WBS Summary by Year'!L$5,1),'WBS Summary by Year'!$D14,'WBS Summary by Year'!$C$3),'Pre- and Production'!AP$4:AP$574)</f>
        <v>0</v>
      </c>
      <c r="M14" s="324">
        <f>SUMIF('Pre- and Production'!$T$4:$T$574, CONCATENATE(LEFT('WBS Summary by Year'!M$5,1),'WBS Summary by Year'!$D14,'WBS Summary by Year'!$C$3),'Pre- and Production'!AG$4:AG$574)</f>
        <v>0</v>
      </c>
      <c r="N14" s="322">
        <f>SUMIF('Pre- and Production'!$T$4:$T$574, CONCATENATE(LEFT('WBS Summary by Year'!N$5,1),'WBS Summary by Year'!$D14,'WBS Summary by Year'!$C$3),'Pre- and Production'!AQ$4:AQ$574)</f>
        <v>0</v>
      </c>
      <c r="O14" s="325">
        <f>SUMIF('Pre- and Production'!$T$4:$T$574, CONCATENATE(LEFT('WBS Summary by Year'!O$5,1),'WBS Summary by Year'!$D14,'WBS Summary by Year'!$C$3),'Pre- and Production'!AH$4:AH$574)</f>
        <v>0</v>
      </c>
      <c r="P14" s="326">
        <f>SUMIF('Pre- and Production'!$T$4:$T$574, CONCATENATE(LEFT('WBS Summary by Year'!P$5,1),'WBS Summary by Year'!$D14,'WBS Summary by Year'!$C$3),'Pre- and Production'!AR$4:AR$574)</f>
        <v>0</v>
      </c>
    </row>
    <row r="15" spans="3:16">
      <c r="D15" s="42" t="s">
        <v>189</v>
      </c>
      <c r="E15" s="24">
        <f>SUMIF('Pre- and Production'!$T$4:$T$574, CONCATENATE(LEFT('WBS Summary by Year'!E$5,1),'WBS Summary by Year'!$D15,$C$3),'Pre- and Production'!AC$4:AC$574)</f>
        <v>0</v>
      </c>
      <c r="F15" s="322">
        <f>SUMIF('Pre- and Production'!$T$4:$T$574, CONCATENATE(LEFT('WBS Summary by Year'!F$5,1),'WBS Summary by Year'!$D15,'WBS Summary by Year'!$C$3),'Pre- and Production'!AM$4:AM$574)</f>
        <v>0</v>
      </c>
      <c r="G15" s="24">
        <f>SUMIF('Pre- and Production'!$T$4:$T$574, CONCATENATE(LEFT('WBS Summary by Year'!G$5,1),'WBS Summary by Year'!$D15,'WBS Summary by Year'!$C$3),'Pre- and Production'!AD$4:AD$574)</f>
        <v>0</v>
      </c>
      <c r="H15" s="323">
        <f>SUMIF('Pre- and Production'!$T$4:$T$574, CONCATENATE(LEFT('WBS Summary by Year'!H$5,1),'WBS Summary by Year'!$D15,'WBS Summary by Year'!$C$3),'Pre- and Production'!AN$4:AN$574)</f>
        <v>0</v>
      </c>
      <c r="I15" s="24">
        <f>SUMIF('Pre- and Production'!$T$4:$T$574, CONCATENATE(LEFT('WBS Summary by Year'!I$5,1),'WBS Summary by Year'!$D15,'WBS Summary by Year'!$C$3),'Pre- and Production'!AE$4:AE$574)</f>
        <v>0</v>
      </c>
      <c r="J15" s="323">
        <f>SUMIF('Pre- and Production'!$T$4:$T$574, CONCATENATE(LEFT('WBS Summary by Year'!J$5,1),'WBS Summary by Year'!$D15,'WBS Summary by Year'!$C$3),'Pre- and Production'!AO$4:AO$574)</f>
        <v>0</v>
      </c>
      <c r="K15" s="324">
        <f>SUMIF('Pre- and Production'!$T$4:$T$574, CONCATENATE(LEFT('WBS Summary by Year'!K$5,1),'WBS Summary by Year'!$D15,'WBS Summary by Year'!$C$3),'Pre- and Production'!AF$4:AF$574)</f>
        <v>0</v>
      </c>
      <c r="L15" s="323">
        <f>SUMIF('Pre- and Production'!$T$4:$T$574, CONCATENATE(LEFT('WBS Summary by Year'!L$5,1),'WBS Summary by Year'!$D15,'WBS Summary by Year'!$C$3),'Pre- and Production'!AP$4:AP$574)</f>
        <v>0</v>
      </c>
      <c r="M15" s="324">
        <f>SUMIF('Pre- and Production'!$T$4:$T$574, CONCATENATE(LEFT('WBS Summary by Year'!M$5,1),'WBS Summary by Year'!$D15,'WBS Summary by Year'!$C$3),'Pre- and Production'!AG$4:AG$574)</f>
        <v>0</v>
      </c>
      <c r="N15" s="322">
        <f>SUMIF('Pre- and Production'!$T$4:$T$574, CONCATENATE(LEFT('WBS Summary by Year'!N$5,1),'WBS Summary by Year'!$D15,'WBS Summary by Year'!$C$3),'Pre- and Production'!AQ$4:AQ$574)</f>
        <v>0</v>
      </c>
      <c r="O15" s="325">
        <f>SUMIF('Pre- and Production'!$T$4:$T$574, CONCATENATE(LEFT('WBS Summary by Year'!O$5,1),'WBS Summary by Year'!$D15,'WBS Summary by Year'!$C$3),'Pre- and Production'!AH$4:AH$574)</f>
        <v>0</v>
      </c>
      <c r="P15" s="326">
        <f>SUMIF('Pre- and Production'!$T$4:$T$574, CONCATENATE(LEFT('WBS Summary by Year'!P$5,1),'WBS Summary by Year'!$D15,'WBS Summary by Year'!$C$3),'Pre- and Production'!AR$4:AR$574)</f>
        <v>0</v>
      </c>
    </row>
    <row r="16" spans="3:16">
      <c r="D16" s="42" t="s">
        <v>191</v>
      </c>
      <c r="E16" s="24">
        <f>SUMIF('Pre- and Production'!$T$4:$T$574, CONCATENATE(LEFT('WBS Summary by Year'!E$5,1),'WBS Summary by Year'!$D16,$C$3),'Pre- and Production'!AC$4:AC$574)</f>
        <v>0</v>
      </c>
      <c r="F16" s="322">
        <f>SUMIF('Pre- and Production'!$T$4:$T$574, CONCATENATE(LEFT('WBS Summary by Year'!F$5,1),'WBS Summary by Year'!$D16,'WBS Summary by Year'!$C$3),'Pre- and Production'!AM$4:AM$574)</f>
        <v>0</v>
      </c>
      <c r="G16" s="24">
        <f>SUMIF('Pre- and Production'!$T$4:$T$574, CONCATENATE(LEFT('WBS Summary by Year'!G$5,1),'WBS Summary by Year'!$D16,'WBS Summary by Year'!$C$3),'Pre- and Production'!AD$4:AD$574)</f>
        <v>0</v>
      </c>
      <c r="H16" s="323">
        <f>SUMIF('Pre- and Production'!$T$4:$T$574, CONCATENATE(LEFT('WBS Summary by Year'!H$5,1),'WBS Summary by Year'!$D16,'WBS Summary by Year'!$C$3),'Pre- and Production'!AN$4:AN$574)</f>
        <v>0</v>
      </c>
      <c r="I16" s="24">
        <f>SUMIF('Pre- and Production'!$T$4:$T$574, CONCATENATE(LEFT('WBS Summary by Year'!I$5,1),'WBS Summary by Year'!$D16,'WBS Summary by Year'!$C$3),'Pre- and Production'!AE$4:AE$574)</f>
        <v>0</v>
      </c>
      <c r="J16" s="323">
        <f>SUMIF('Pre- and Production'!$T$4:$T$574, CONCATENATE(LEFT('WBS Summary by Year'!J$5,1),'WBS Summary by Year'!$D16,'WBS Summary by Year'!$C$3),'Pre- and Production'!AO$4:AO$574)</f>
        <v>0</v>
      </c>
      <c r="K16" s="324">
        <f>SUMIF('Pre- and Production'!$T$4:$T$574, CONCATENATE(LEFT('WBS Summary by Year'!K$5,1),'WBS Summary by Year'!$D16,'WBS Summary by Year'!$C$3),'Pre- and Production'!AF$4:AF$574)</f>
        <v>0</v>
      </c>
      <c r="L16" s="323">
        <f>SUMIF('Pre- and Production'!$T$4:$T$574, CONCATENATE(LEFT('WBS Summary by Year'!L$5,1),'WBS Summary by Year'!$D16,'WBS Summary by Year'!$C$3),'Pre- and Production'!AP$4:AP$574)</f>
        <v>0</v>
      </c>
      <c r="M16" s="324">
        <f>SUMIF('Pre- and Production'!$T$4:$T$574, CONCATENATE(LEFT('WBS Summary by Year'!M$5,1),'WBS Summary by Year'!$D16,'WBS Summary by Year'!$C$3),'Pre- and Production'!AG$4:AG$574)</f>
        <v>0</v>
      </c>
      <c r="N16" s="322">
        <f>SUMIF('Pre- and Production'!$T$4:$T$574, CONCATENATE(LEFT('WBS Summary by Year'!N$5,1),'WBS Summary by Year'!$D16,'WBS Summary by Year'!$C$3),'Pre- and Production'!AQ$4:AQ$574)</f>
        <v>0</v>
      </c>
      <c r="O16" s="325">
        <f>SUMIF('Pre- and Production'!$T$4:$T$574, CONCATENATE(LEFT('WBS Summary by Year'!O$5,1),'WBS Summary by Year'!$D16,'WBS Summary by Year'!$C$3),'Pre- and Production'!AH$4:AH$574)</f>
        <v>0</v>
      </c>
      <c r="P16" s="326">
        <f>SUMIF('Pre- and Production'!$T$4:$T$574, CONCATENATE(LEFT('WBS Summary by Year'!P$5,1),'WBS Summary by Year'!$D16,'WBS Summary by Year'!$C$3),'Pre- and Production'!AR$4:AR$574)</f>
        <v>0</v>
      </c>
    </row>
    <row r="17" spans="3:16">
      <c r="D17" s="42" t="s">
        <v>193</v>
      </c>
      <c r="E17" s="24">
        <f>SUMIF('Pre- and Production'!$T$4:$T$574, CONCATENATE(LEFT('WBS Summary by Year'!E$5,1),'WBS Summary by Year'!$D17,$C$3),'Pre- and Production'!AC$4:AC$574)</f>
        <v>0</v>
      </c>
      <c r="F17" s="322">
        <f>SUMIF('Pre- and Production'!$T$4:$T$574, CONCATENATE(LEFT('WBS Summary by Year'!F$5,1),'WBS Summary by Year'!$D17,'WBS Summary by Year'!$C$3),'Pre- and Production'!AM$4:AM$574)</f>
        <v>0</v>
      </c>
      <c r="G17" s="24">
        <f>SUMIF('Pre- and Production'!$T$4:$T$574, CONCATENATE(LEFT('WBS Summary by Year'!G$5,1),'WBS Summary by Year'!$D17,'WBS Summary by Year'!$C$3),'Pre- and Production'!AD$4:AD$574)</f>
        <v>0</v>
      </c>
      <c r="H17" s="323">
        <f>SUMIF('Pre- and Production'!$T$4:$T$574, CONCATENATE(LEFT('WBS Summary by Year'!H$5,1),'WBS Summary by Year'!$D17,'WBS Summary by Year'!$C$3),'Pre- and Production'!AN$4:AN$574)</f>
        <v>0</v>
      </c>
      <c r="I17" s="24">
        <f>SUMIF('Pre- and Production'!$T$4:$T$574, CONCATENATE(LEFT('WBS Summary by Year'!I$5,1),'WBS Summary by Year'!$D17,'WBS Summary by Year'!$C$3),'Pre- and Production'!AE$4:AE$574)</f>
        <v>0</v>
      </c>
      <c r="J17" s="323">
        <f>SUMIF('Pre- and Production'!$T$4:$T$574, CONCATENATE(LEFT('WBS Summary by Year'!J$5,1),'WBS Summary by Year'!$D17,'WBS Summary by Year'!$C$3),'Pre- and Production'!AO$4:AO$574)</f>
        <v>0</v>
      </c>
      <c r="K17" s="324">
        <f>SUMIF('Pre- and Production'!$T$4:$T$574, CONCATENATE(LEFT('WBS Summary by Year'!K$5,1),'WBS Summary by Year'!$D17,'WBS Summary by Year'!$C$3),'Pre- and Production'!AF$4:AF$574)</f>
        <v>0</v>
      </c>
      <c r="L17" s="323">
        <f>SUMIF('Pre- and Production'!$T$4:$T$574, CONCATENATE(LEFT('WBS Summary by Year'!L$5,1),'WBS Summary by Year'!$D17,'WBS Summary by Year'!$C$3),'Pre- and Production'!AP$4:AP$574)</f>
        <v>0</v>
      </c>
      <c r="M17" s="324">
        <f>SUMIF('Pre- and Production'!$T$4:$T$574, CONCATENATE(LEFT('WBS Summary by Year'!M$5,1),'WBS Summary by Year'!$D17,'WBS Summary by Year'!$C$3),'Pre- and Production'!AG$4:AG$574)</f>
        <v>0</v>
      </c>
      <c r="N17" s="322">
        <f>SUMIF('Pre- and Production'!$T$4:$T$574, CONCATENATE(LEFT('WBS Summary by Year'!N$5,1),'WBS Summary by Year'!$D17,'WBS Summary by Year'!$C$3),'Pre- and Production'!AQ$4:AQ$574)</f>
        <v>0</v>
      </c>
      <c r="O17" s="325">
        <f>SUMIF('Pre- and Production'!$T$4:$T$574, CONCATENATE(LEFT('WBS Summary by Year'!O$5,1),'WBS Summary by Year'!$D17,'WBS Summary by Year'!$C$3),'Pre- and Production'!AH$4:AH$574)</f>
        <v>0</v>
      </c>
      <c r="P17" s="326">
        <f>SUMIF('Pre- and Production'!$T$4:$T$574, CONCATENATE(LEFT('WBS Summary by Year'!P$5,1),'WBS Summary by Year'!$D17,'WBS Summary by Year'!$C$3),'Pre- and Production'!AR$4:AR$574)</f>
        <v>0</v>
      </c>
    </row>
    <row r="18" spans="3:16">
      <c r="D18" s="42" t="s">
        <v>195</v>
      </c>
      <c r="E18" s="24">
        <f>SUMIF('Pre- and Production'!$T$4:$T$574, CONCATENATE(LEFT('WBS Summary by Year'!E$5,1),'WBS Summary by Year'!$D18,$C$3),'Pre- and Production'!AC$4:AC$574)</f>
        <v>0</v>
      </c>
      <c r="F18" s="322">
        <f>SUMIF('Pre- and Production'!$T$4:$T$574, CONCATENATE(LEFT('WBS Summary by Year'!F$5,1),'WBS Summary by Year'!$D18,'WBS Summary by Year'!$C$3),'Pre- and Production'!AM$4:AM$574)</f>
        <v>0</v>
      </c>
      <c r="G18" s="24">
        <f>SUMIF('Pre- and Production'!$T$4:$T$574, CONCATENATE(LEFT('WBS Summary by Year'!G$5,1),'WBS Summary by Year'!$D18,'WBS Summary by Year'!$C$3),'Pre- and Production'!AD$4:AD$574)</f>
        <v>0</v>
      </c>
      <c r="H18" s="323">
        <f>SUMIF('Pre- and Production'!$T$4:$T$574, CONCATENATE(LEFT('WBS Summary by Year'!H$5,1),'WBS Summary by Year'!$D18,'WBS Summary by Year'!$C$3),'Pre- and Production'!AN$4:AN$574)</f>
        <v>0</v>
      </c>
      <c r="I18" s="24">
        <f>SUMIF('Pre- and Production'!$T$4:$T$574, CONCATENATE(LEFT('WBS Summary by Year'!I$5,1),'WBS Summary by Year'!$D18,'WBS Summary by Year'!$C$3),'Pre- and Production'!AE$4:AE$574)</f>
        <v>0</v>
      </c>
      <c r="J18" s="323">
        <f>SUMIF('Pre- and Production'!$T$4:$T$574, CONCATENATE(LEFT('WBS Summary by Year'!J$5,1),'WBS Summary by Year'!$D18,'WBS Summary by Year'!$C$3),'Pre- and Production'!AO$4:AO$574)</f>
        <v>0</v>
      </c>
      <c r="K18" s="324">
        <f>SUMIF('Pre- and Production'!$T$4:$T$574, CONCATENATE(LEFT('WBS Summary by Year'!K$5,1),'WBS Summary by Year'!$D18,'WBS Summary by Year'!$C$3),'Pre- and Production'!AF$4:AF$574)</f>
        <v>0</v>
      </c>
      <c r="L18" s="323">
        <f>SUMIF('Pre- and Production'!$T$4:$T$574, CONCATENATE(LEFT('WBS Summary by Year'!L$5,1),'WBS Summary by Year'!$D18,'WBS Summary by Year'!$C$3),'Pre- and Production'!AP$4:AP$574)</f>
        <v>0</v>
      </c>
      <c r="M18" s="324">
        <f>SUMIF('Pre- and Production'!$T$4:$T$574, CONCATENATE(LEFT('WBS Summary by Year'!M$5,1),'WBS Summary by Year'!$D18,'WBS Summary by Year'!$C$3),'Pre- and Production'!AG$4:AG$574)</f>
        <v>0</v>
      </c>
      <c r="N18" s="322">
        <f>SUMIF('Pre- and Production'!$T$4:$T$574, CONCATENATE(LEFT('WBS Summary by Year'!N$5,1),'WBS Summary by Year'!$D18,'WBS Summary by Year'!$C$3),'Pre- and Production'!AQ$4:AQ$574)</f>
        <v>0</v>
      </c>
      <c r="O18" s="325">
        <f>SUMIF('Pre- and Production'!$T$4:$T$574, CONCATENATE(LEFT('WBS Summary by Year'!O$5,1),'WBS Summary by Year'!$D18,'WBS Summary by Year'!$C$3),'Pre- and Production'!AH$4:AH$574)</f>
        <v>0</v>
      </c>
      <c r="P18" s="326">
        <f>SUMIF('Pre- and Production'!$T$4:$T$574, CONCATENATE(LEFT('WBS Summary by Year'!P$5,1),'WBS Summary by Year'!$D18,'WBS Summary by Year'!$C$3),'Pre- and Production'!AR$4:AR$574)</f>
        <v>0</v>
      </c>
    </row>
    <row r="19" spans="3:16">
      <c r="D19" s="123" t="s">
        <v>197</v>
      </c>
      <c r="E19" s="24">
        <f>SUMIF('Pre- and Production'!$T$4:$T$574, CONCATENATE(LEFT('WBS Summary by Year'!E$5,1),'WBS Summary by Year'!$D19,$C$3),'Pre- and Production'!AC$4:AC$574)</f>
        <v>0</v>
      </c>
      <c r="F19" s="322">
        <f>SUMIF('Pre- and Production'!$T$4:$T$574, CONCATENATE(LEFT('WBS Summary by Year'!F$5,1),'WBS Summary by Year'!$D19,'WBS Summary by Year'!$C$3),'Pre- and Production'!AM$4:AM$574)</f>
        <v>0</v>
      </c>
      <c r="G19" s="24">
        <f>SUMIF('Pre- and Production'!$T$4:$T$574, CONCATENATE(LEFT('WBS Summary by Year'!G$5,1),'WBS Summary by Year'!$D19,'WBS Summary by Year'!$C$3),'Pre- and Production'!AD$4:AD$574)</f>
        <v>0</v>
      </c>
      <c r="H19" s="323">
        <f>SUMIF('Pre- and Production'!$T$4:$T$574, CONCATENATE(LEFT('WBS Summary by Year'!H$5,1),'WBS Summary by Year'!$D19,'WBS Summary by Year'!$C$3),'Pre- and Production'!AN$4:AN$574)</f>
        <v>0</v>
      </c>
      <c r="I19" s="24">
        <f>SUMIF('Pre- and Production'!$T$4:$T$574, CONCATENATE(LEFT('WBS Summary by Year'!I$5,1),'WBS Summary by Year'!$D19,'WBS Summary by Year'!$C$3),'Pre- and Production'!AE$4:AE$574)</f>
        <v>0</v>
      </c>
      <c r="J19" s="323">
        <f>SUMIF('Pre- and Production'!$T$4:$T$574, CONCATENATE(LEFT('WBS Summary by Year'!J$5,1),'WBS Summary by Year'!$D19,'WBS Summary by Year'!$C$3),'Pre- and Production'!AO$4:AO$574)</f>
        <v>0</v>
      </c>
      <c r="K19" s="324">
        <f>SUMIF('Pre- and Production'!$T$4:$T$574, CONCATENATE(LEFT('WBS Summary by Year'!K$5,1),'WBS Summary by Year'!$D19,'WBS Summary by Year'!$C$3),'Pre- and Production'!AF$4:AF$574)</f>
        <v>0</v>
      </c>
      <c r="L19" s="323">
        <f>SUMIF('Pre- and Production'!$T$4:$T$574, CONCATENATE(LEFT('WBS Summary by Year'!L$5,1),'WBS Summary by Year'!$D19,'WBS Summary by Year'!$C$3),'Pre- and Production'!AP$4:AP$574)</f>
        <v>0</v>
      </c>
      <c r="M19" s="324">
        <f>SUMIF('Pre- and Production'!$T$4:$T$574, CONCATENATE(LEFT('WBS Summary by Year'!M$5,1),'WBS Summary by Year'!$D19,'WBS Summary by Year'!$C$3),'Pre- and Production'!AG$4:AG$574)</f>
        <v>0</v>
      </c>
      <c r="N19" s="322">
        <f>SUMIF('Pre- and Production'!$T$4:$T$574, CONCATENATE(LEFT('WBS Summary by Year'!N$5,1),'WBS Summary by Year'!$D19,'WBS Summary by Year'!$C$3),'Pre- and Production'!AQ$4:AQ$574)</f>
        <v>0</v>
      </c>
      <c r="O19" s="325">
        <f>SUMIF('Pre- and Production'!$T$4:$T$574, CONCATENATE(LEFT('WBS Summary by Year'!O$5,1),'WBS Summary by Year'!$D19,'WBS Summary by Year'!$C$3),'Pre- and Production'!AH$4:AH$574)</f>
        <v>0</v>
      </c>
      <c r="P19" s="326">
        <f>SUMIF('Pre- and Production'!$T$4:$T$574, CONCATENATE(LEFT('WBS Summary by Year'!P$5,1),'WBS Summary by Year'!$D19,'WBS Summary by Year'!$C$3),'Pre- and Production'!AR$4:AR$574)</f>
        <v>0</v>
      </c>
    </row>
    <row r="20" spans="3:16">
      <c r="D20" s="42" t="s">
        <v>199</v>
      </c>
      <c r="E20" s="24">
        <f>SUMIF('Pre- and Production'!$T$4:$T$574, CONCATENATE(LEFT('WBS Summary by Year'!E$5,1),'WBS Summary by Year'!$D20,$C$3),'Pre- and Production'!AC$4:AC$574)</f>
        <v>0</v>
      </c>
      <c r="F20" s="322">
        <f>SUMIF('Pre- and Production'!$T$4:$T$574, CONCATENATE(LEFT('WBS Summary by Year'!F$5,1),'WBS Summary by Year'!$D20,'WBS Summary by Year'!$C$3),'Pre- and Production'!AM$4:AM$574)</f>
        <v>0</v>
      </c>
      <c r="G20" s="24">
        <f>SUMIF('Pre- and Production'!$T$4:$T$574, CONCATENATE(LEFT('WBS Summary by Year'!G$5,1),'WBS Summary by Year'!$D20,'WBS Summary by Year'!$C$3),'Pre- and Production'!AD$4:AD$574)</f>
        <v>0</v>
      </c>
      <c r="H20" s="323">
        <f>SUMIF('Pre- and Production'!$T$4:$T$574, CONCATENATE(LEFT('WBS Summary by Year'!H$5,1),'WBS Summary by Year'!$D20,'WBS Summary by Year'!$C$3),'Pre- and Production'!AN$4:AN$574)</f>
        <v>0</v>
      </c>
      <c r="I20" s="24">
        <f>SUMIF('Pre- and Production'!$T$4:$T$574, CONCATENATE(LEFT('WBS Summary by Year'!I$5,1),'WBS Summary by Year'!$D20,'WBS Summary by Year'!$C$3),'Pre- and Production'!AE$4:AE$574)</f>
        <v>0</v>
      </c>
      <c r="J20" s="323">
        <f>SUMIF('Pre- and Production'!$T$4:$T$574, CONCATENATE(LEFT('WBS Summary by Year'!J$5,1),'WBS Summary by Year'!$D20,'WBS Summary by Year'!$C$3),'Pre- and Production'!AO$4:AO$574)</f>
        <v>0</v>
      </c>
      <c r="K20" s="324">
        <f>SUMIF('Pre- and Production'!$T$4:$T$574, CONCATENATE(LEFT('WBS Summary by Year'!K$5,1),'WBS Summary by Year'!$D20,'WBS Summary by Year'!$C$3),'Pre- and Production'!AF$4:AF$574)</f>
        <v>0</v>
      </c>
      <c r="L20" s="323">
        <f>SUMIF('Pre- and Production'!$T$4:$T$574, CONCATENATE(LEFT('WBS Summary by Year'!L$5,1),'WBS Summary by Year'!$D20,'WBS Summary by Year'!$C$3),'Pre- and Production'!AP$4:AP$574)</f>
        <v>0</v>
      </c>
      <c r="M20" s="324">
        <f>SUMIF('Pre- and Production'!$T$4:$T$574, CONCATENATE(LEFT('WBS Summary by Year'!M$5,1),'WBS Summary by Year'!$D20,'WBS Summary by Year'!$C$3),'Pre- and Production'!AG$4:AG$574)</f>
        <v>0</v>
      </c>
      <c r="N20" s="322">
        <f>SUMIF('Pre- and Production'!$T$4:$T$574, CONCATENATE(LEFT('WBS Summary by Year'!N$5,1),'WBS Summary by Year'!$D20,'WBS Summary by Year'!$C$3),'Pre- and Production'!AQ$4:AQ$574)</f>
        <v>0</v>
      </c>
      <c r="O20" s="325">
        <f>SUMIF('Pre- and Production'!$T$4:$T$574, CONCATENATE(LEFT('WBS Summary by Year'!O$5,1),'WBS Summary by Year'!$D20,'WBS Summary by Year'!$C$3),'Pre- and Production'!AH$4:AH$574)</f>
        <v>0</v>
      </c>
      <c r="P20" s="326">
        <f>SUMIF('Pre- and Production'!$T$4:$T$574, CONCATENATE(LEFT('WBS Summary by Year'!P$5,1),'WBS Summary by Year'!$D20,'WBS Summary by Year'!$C$3),'Pre- and Production'!AR$4:AR$574)</f>
        <v>0</v>
      </c>
    </row>
    <row r="21" spans="3:16">
      <c r="D21" s="123" t="s">
        <v>202</v>
      </c>
      <c r="E21" s="24">
        <f>SUMIF('Pre- and Production'!$T$4:$T$574, CONCATENATE(LEFT('WBS Summary by Year'!E$5,1),'WBS Summary by Year'!$D21,$C$3),'Pre- and Production'!AC$4:AC$574)</f>
        <v>0</v>
      </c>
      <c r="F21" s="322">
        <f>SUMIF('Pre- and Production'!$T$4:$T$574, CONCATENATE(LEFT('WBS Summary by Year'!F$5,1),'WBS Summary by Year'!$D21,'WBS Summary by Year'!$C$3),'Pre- and Production'!AM$4:AM$574)</f>
        <v>0</v>
      </c>
      <c r="G21" s="24">
        <f>SUMIF('Pre- and Production'!$T$4:$T$574, CONCATENATE(LEFT('WBS Summary by Year'!G$5,1),'WBS Summary by Year'!$D21,'WBS Summary by Year'!$C$3),'Pre- and Production'!AD$4:AD$574)</f>
        <v>0</v>
      </c>
      <c r="H21" s="323">
        <f>SUMIF('Pre- and Production'!$T$4:$T$574, CONCATENATE(LEFT('WBS Summary by Year'!H$5,1),'WBS Summary by Year'!$D21,'WBS Summary by Year'!$C$3),'Pre- and Production'!AN$4:AN$574)</f>
        <v>0</v>
      </c>
      <c r="I21" s="24">
        <f>SUMIF('Pre- and Production'!$T$4:$T$574, CONCATENATE(LEFT('WBS Summary by Year'!I$5,1),'WBS Summary by Year'!$D21,'WBS Summary by Year'!$C$3),'Pre- and Production'!AE$4:AE$574)</f>
        <v>0</v>
      </c>
      <c r="J21" s="323">
        <f>SUMIF('Pre- and Production'!$T$4:$T$574, CONCATENATE(LEFT('WBS Summary by Year'!J$5,1),'WBS Summary by Year'!$D21,'WBS Summary by Year'!$C$3),'Pre- and Production'!AO$4:AO$574)</f>
        <v>0</v>
      </c>
      <c r="K21" s="324">
        <f>SUMIF('Pre- and Production'!$T$4:$T$574, CONCATENATE(LEFT('WBS Summary by Year'!K$5,1),'WBS Summary by Year'!$D21,'WBS Summary by Year'!$C$3),'Pre- and Production'!AF$4:AF$574)</f>
        <v>0</v>
      </c>
      <c r="L21" s="323">
        <f>SUMIF('Pre- and Production'!$T$4:$T$574, CONCATENATE(LEFT('WBS Summary by Year'!L$5,1),'WBS Summary by Year'!$D21,'WBS Summary by Year'!$C$3),'Pre- and Production'!AP$4:AP$574)</f>
        <v>0</v>
      </c>
      <c r="M21" s="324">
        <f>SUMIF('Pre- and Production'!$T$4:$T$574, CONCATENATE(LEFT('WBS Summary by Year'!M$5,1),'WBS Summary by Year'!$D21,'WBS Summary by Year'!$C$3),'Pre- and Production'!AG$4:AG$574)</f>
        <v>0</v>
      </c>
      <c r="N21" s="322">
        <f>SUMIF('Pre- and Production'!$T$4:$T$574, CONCATENATE(LEFT('WBS Summary by Year'!N$5,1),'WBS Summary by Year'!$D21,'WBS Summary by Year'!$C$3),'Pre- and Production'!AQ$4:AQ$574)</f>
        <v>0</v>
      </c>
      <c r="O21" s="325">
        <f>SUMIF('Pre- and Production'!$T$4:$T$574, CONCATENATE(LEFT('WBS Summary by Year'!O$5,1),'WBS Summary by Year'!$D21,'WBS Summary by Year'!$C$3),'Pre- and Production'!AH$4:AH$574)</f>
        <v>0</v>
      </c>
      <c r="P21" s="326">
        <f>SUMIF('Pre- and Production'!$T$4:$T$574, CONCATENATE(LEFT('WBS Summary by Year'!P$5,1),'WBS Summary by Year'!$D21,'WBS Summary by Year'!$C$3),'Pre- and Production'!AR$4:AR$574)</f>
        <v>0</v>
      </c>
    </row>
    <row r="22" spans="3:16">
      <c r="D22" s="42" t="s">
        <v>204</v>
      </c>
      <c r="E22" s="24">
        <f>SUMIF('Pre- and Production'!$T$4:$T$574, CONCATENATE(LEFT('WBS Summary by Year'!E$5,1),'WBS Summary by Year'!$D22,$C$3),'Pre- and Production'!AC$4:AC$574)</f>
        <v>0</v>
      </c>
      <c r="F22" s="322">
        <f>SUMIF('Pre- and Production'!$T$4:$T$574, CONCATENATE(LEFT('WBS Summary by Year'!F$5,1),'WBS Summary by Year'!$D22,'WBS Summary by Year'!$C$3),'Pre- and Production'!AM$4:AM$574)</f>
        <v>0</v>
      </c>
      <c r="G22" s="24">
        <f>SUMIF('Pre- and Production'!$T$4:$T$574, CONCATENATE(LEFT('WBS Summary by Year'!G$5,1),'WBS Summary by Year'!$D22,'WBS Summary by Year'!$C$3),'Pre- and Production'!AD$4:AD$574)</f>
        <v>0</v>
      </c>
      <c r="H22" s="323">
        <f>SUMIF('Pre- and Production'!$T$4:$T$574, CONCATENATE(LEFT('WBS Summary by Year'!H$5,1),'WBS Summary by Year'!$D22,'WBS Summary by Year'!$C$3),'Pre- and Production'!AN$4:AN$574)</f>
        <v>0</v>
      </c>
      <c r="I22" s="24">
        <f>SUMIF('Pre- and Production'!$T$4:$T$574, CONCATENATE(LEFT('WBS Summary by Year'!I$5,1),'WBS Summary by Year'!$D22,'WBS Summary by Year'!$C$3),'Pre- and Production'!AE$4:AE$574)</f>
        <v>0</v>
      </c>
      <c r="J22" s="323">
        <f>SUMIF('Pre- and Production'!$T$4:$T$574, CONCATENATE(LEFT('WBS Summary by Year'!J$5,1),'WBS Summary by Year'!$D22,'WBS Summary by Year'!$C$3),'Pre- and Production'!AO$4:AO$574)</f>
        <v>0</v>
      </c>
      <c r="K22" s="324">
        <f>SUMIF('Pre- and Production'!$T$4:$T$574, CONCATENATE(LEFT('WBS Summary by Year'!K$5,1),'WBS Summary by Year'!$D22,'WBS Summary by Year'!$C$3),'Pre- and Production'!AF$4:AF$574)</f>
        <v>0</v>
      </c>
      <c r="L22" s="323">
        <f>SUMIF('Pre- and Production'!$T$4:$T$574, CONCATENATE(LEFT('WBS Summary by Year'!L$5,1),'WBS Summary by Year'!$D22,'WBS Summary by Year'!$C$3),'Pre- and Production'!AP$4:AP$574)</f>
        <v>0</v>
      </c>
      <c r="M22" s="324">
        <f>SUMIF('Pre- and Production'!$T$4:$T$574, CONCATENATE(LEFT('WBS Summary by Year'!M$5,1),'WBS Summary by Year'!$D22,'WBS Summary by Year'!$C$3),'Pre- and Production'!AG$4:AG$574)</f>
        <v>0</v>
      </c>
      <c r="N22" s="322">
        <f>SUMIF('Pre- and Production'!$T$4:$T$574, CONCATENATE(LEFT('WBS Summary by Year'!N$5,1),'WBS Summary by Year'!$D22,'WBS Summary by Year'!$C$3),'Pre- and Production'!AQ$4:AQ$574)</f>
        <v>0</v>
      </c>
      <c r="O22" s="325">
        <f>SUMIF('Pre- and Production'!$T$4:$T$574, CONCATENATE(LEFT('WBS Summary by Year'!O$5,1),'WBS Summary by Year'!$D22,'WBS Summary by Year'!$C$3),'Pre- and Production'!AH$4:AH$574)</f>
        <v>0</v>
      </c>
      <c r="P22" s="326">
        <f>SUMIF('Pre- and Production'!$T$4:$T$574, CONCATENATE(LEFT('WBS Summary by Year'!P$5,1),'WBS Summary by Year'!$D22,'WBS Summary by Year'!$C$3),'Pre- and Production'!AR$4:AR$574)</f>
        <v>0</v>
      </c>
    </row>
    <row r="23" spans="3:16">
      <c r="D23" s="42" t="s">
        <v>206</v>
      </c>
      <c r="E23" s="24">
        <f>SUMIF('Pre- and Production'!$T$4:$T$574, CONCATENATE(LEFT('WBS Summary by Year'!E$5,1),'WBS Summary by Year'!$D23,$C$3),'Pre- and Production'!AC$4:AC$574)</f>
        <v>0</v>
      </c>
      <c r="F23" s="322">
        <f>SUMIF('Pre- and Production'!$T$4:$T$574, CONCATENATE(LEFT('WBS Summary by Year'!F$5,1),'WBS Summary by Year'!$D23,'WBS Summary by Year'!$C$3),'Pre- and Production'!AM$4:AM$574)</f>
        <v>0</v>
      </c>
      <c r="G23" s="24">
        <f>SUMIF('Pre- and Production'!$T$4:$T$574, CONCATENATE(LEFT('WBS Summary by Year'!G$5,1),'WBS Summary by Year'!$D23,'WBS Summary by Year'!$C$3),'Pre- and Production'!AD$4:AD$574)</f>
        <v>0</v>
      </c>
      <c r="H23" s="323">
        <f>SUMIF('Pre- and Production'!$T$4:$T$574, CONCATENATE(LEFT('WBS Summary by Year'!H$5,1),'WBS Summary by Year'!$D23,'WBS Summary by Year'!$C$3),'Pre- and Production'!AN$4:AN$574)</f>
        <v>0</v>
      </c>
      <c r="I23" s="24">
        <f>SUMIF('Pre- and Production'!$T$4:$T$574, CONCATENATE(LEFT('WBS Summary by Year'!I$5,1),'WBS Summary by Year'!$D23,'WBS Summary by Year'!$C$3),'Pre- and Production'!AE$4:AE$574)</f>
        <v>0</v>
      </c>
      <c r="J23" s="323">
        <f>SUMIF('Pre- and Production'!$T$4:$T$574, CONCATENATE(LEFT('WBS Summary by Year'!J$5,1),'WBS Summary by Year'!$D23,'WBS Summary by Year'!$C$3),'Pre- and Production'!AO$4:AO$574)</f>
        <v>0</v>
      </c>
      <c r="K23" s="324">
        <f>SUMIF('Pre- and Production'!$T$4:$T$574, CONCATENATE(LEFT('WBS Summary by Year'!K$5,1),'WBS Summary by Year'!$D23,'WBS Summary by Year'!$C$3),'Pre- and Production'!AF$4:AF$574)</f>
        <v>0</v>
      </c>
      <c r="L23" s="323">
        <f>SUMIF('Pre- and Production'!$T$4:$T$574, CONCATENATE(LEFT('WBS Summary by Year'!L$5,1),'WBS Summary by Year'!$D23,'WBS Summary by Year'!$C$3),'Pre- and Production'!AP$4:AP$574)</f>
        <v>0</v>
      </c>
      <c r="M23" s="324">
        <f>SUMIF('Pre- and Production'!$T$4:$T$574, CONCATENATE(LEFT('WBS Summary by Year'!M$5,1),'WBS Summary by Year'!$D23,'WBS Summary by Year'!$C$3),'Pre- and Production'!AG$4:AG$574)</f>
        <v>0</v>
      </c>
      <c r="N23" s="322">
        <f>SUMIF('Pre- and Production'!$T$4:$T$574, CONCATENATE(LEFT('WBS Summary by Year'!N$5,1),'WBS Summary by Year'!$D23,'WBS Summary by Year'!$C$3),'Pre- and Production'!AQ$4:AQ$574)</f>
        <v>0</v>
      </c>
      <c r="O23" s="325">
        <f>SUMIF('Pre- and Production'!$T$4:$T$574, CONCATENATE(LEFT('WBS Summary by Year'!O$5,1),'WBS Summary by Year'!$D23,'WBS Summary by Year'!$C$3),'Pre- and Production'!AH$4:AH$574)</f>
        <v>0</v>
      </c>
      <c r="P23" s="326">
        <f>SUMIF('Pre- and Production'!$T$4:$T$574, CONCATENATE(LEFT('WBS Summary by Year'!P$5,1),'WBS Summary by Year'!$D23,'WBS Summary by Year'!$C$3),'Pre- and Production'!AR$4:AR$574)</f>
        <v>0</v>
      </c>
    </row>
    <row r="24" spans="3:16">
      <c r="D24" s="42" t="s">
        <v>208</v>
      </c>
      <c r="E24" s="24">
        <f>SUMIF('Pre- and Production'!$T$4:$T$574, CONCATENATE(LEFT('WBS Summary by Year'!E$5,1),'WBS Summary by Year'!$D24,$C$3),'Pre- and Production'!AC$4:AC$574)</f>
        <v>0</v>
      </c>
      <c r="F24" s="322">
        <f>SUMIF('Pre- and Production'!$T$4:$T$574, CONCATENATE(LEFT('WBS Summary by Year'!F$5,1),'WBS Summary by Year'!$D24,'WBS Summary by Year'!$C$3),'Pre- and Production'!AM$4:AM$574)</f>
        <v>0</v>
      </c>
      <c r="G24" s="24">
        <f>SUMIF('Pre- and Production'!$T$4:$T$574, CONCATENATE(LEFT('WBS Summary by Year'!G$5,1),'WBS Summary by Year'!$D24,'WBS Summary by Year'!$C$3),'Pre- and Production'!AD$4:AD$574)</f>
        <v>0</v>
      </c>
      <c r="H24" s="323">
        <f>SUMIF('Pre- and Production'!$T$4:$T$574, CONCATENATE(LEFT('WBS Summary by Year'!H$5,1),'WBS Summary by Year'!$D24,'WBS Summary by Year'!$C$3),'Pre- and Production'!AN$4:AN$574)</f>
        <v>0</v>
      </c>
      <c r="I24" s="24">
        <f>SUMIF('Pre- and Production'!$T$4:$T$574, CONCATENATE(LEFT('WBS Summary by Year'!I$5,1),'WBS Summary by Year'!$D24,'WBS Summary by Year'!$C$3),'Pre- and Production'!AE$4:AE$574)</f>
        <v>0</v>
      </c>
      <c r="J24" s="323">
        <f>SUMIF('Pre- and Production'!$T$4:$T$574, CONCATENATE(LEFT('WBS Summary by Year'!J$5,1),'WBS Summary by Year'!$D24,'WBS Summary by Year'!$C$3),'Pre- and Production'!AO$4:AO$574)</f>
        <v>0</v>
      </c>
      <c r="K24" s="324">
        <f>SUMIF('Pre- and Production'!$T$4:$T$574, CONCATENATE(LEFT('WBS Summary by Year'!K$5,1),'WBS Summary by Year'!$D24,'WBS Summary by Year'!$C$3),'Pre- and Production'!AF$4:AF$574)</f>
        <v>0</v>
      </c>
      <c r="L24" s="323">
        <f>SUMIF('Pre- and Production'!$T$4:$T$574, CONCATENATE(LEFT('WBS Summary by Year'!L$5,1),'WBS Summary by Year'!$D24,'WBS Summary by Year'!$C$3),'Pre- and Production'!AP$4:AP$574)</f>
        <v>0</v>
      </c>
      <c r="M24" s="324">
        <f>SUMIF('Pre- and Production'!$T$4:$T$574, CONCATENATE(LEFT('WBS Summary by Year'!M$5,1),'WBS Summary by Year'!$D24,'WBS Summary by Year'!$C$3),'Pre- and Production'!AG$4:AG$574)</f>
        <v>0</v>
      </c>
      <c r="N24" s="322">
        <f>SUMIF('Pre- and Production'!$T$4:$T$574, CONCATENATE(LEFT('WBS Summary by Year'!N$5,1),'WBS Summary by Year'!$D24,'WBS Summary by Year'!$C$3),'Pre- and Production'!AQ$4:AQ$574)</f>
        <v>0</v>
      </c>
      <c r="O24" s="325">
        <f>SUMIF('Pre- and Production'!$T$4:$T$574, CONCATENATE(LEFT('WBS Summary by Year'!O$5,1),'WBS Summary by Year'!$D24,'WBS Summary by Year'!$C$3),'Pre- and Production'!AH$4:AH$574)</f>
        <v>0</v>
      </c>
      <c r="P24" s="326">
        <f>SUMIF('Pre- and Production'!$T$4:$T$574, CONCATENATE(LEFT('WBS Summary by Year'!P$5,1),'WBS Summary by Year'!$D24,'WBS Summary by Year'!$C$3),'Pre- and Production'!AR$4:AR$574)</f>
        <v>0</v>
      </c>
    </row>
    <row r="25" spans="3:16">
      <c r="D25" s="42" t="s">
        <v>210</v>
      </c>
      <c r="E25" s="24">
        <f>SUMIF('Pre- and Production'!$T$4:$T$574, CONCATENATE(LEFT('WBS Summary by Year'!E$5,1),'WBS Summary by Year'!$D25,$C$3),'Pre- and Production'!AC$4:AC$574)</f>
        <v>0</v>
      </c>
      <c r="F25" s="322">
        <f>SUMIF('Pre- and Production'!$T$4:$T$574, CONCATENATE(LEFT('WBS Summary by Year'!F$5,1),'WBS Summary by Year'!$D25,'WBS Summary by Year'!$C$3),'Pre- and Production'!AM$4:AM$574)</f>
        <v>0</v>
      </c>
      <c r="G25" s="24">
        <f>SUMIF('Pre- and Production'!$T$4:$T$574, CONCATENATE(LEFT('WBS Summary by Year'!G$5,1),'WBS Summary by Year'!$D25,'WBS Summary by Year'!$C$3),'Pre- and Production'!AD$4:AD$574)</f>
        <v>0</v>
      </c>
      <c r="H25" s="323">
        <f>SUMIF('Pre- and Production'!$T$4:$T$574, CONCATENATE(LEFT('WBS Summary by Year'!H$5,1),'WBS Summary by Year'!$D25,'WBS Summary by Year'!$C$3),'Pre- and Production'!AN$4:AN$574)</f>
        <v>0</v>
      </c>
      <c r="I25" s="24">
        <f>SUMIF('Pre- and Production'!$T$4:$T$574, CONCATENATE(LEFT('WBS Summary by Year'!I$5,1),'WBS Summary by Year'!$D25,'WBS Summary by Year'!$C$3),'Pre- and Production'!AE$4:AE$574)</f>
        <v>0</v>
      </c>
      <c r="J25" s="323">
        <f>SUMIF('Pre- and Production'!$T$4:$T$574, CONCATENATE(LEFT('WBS Summary by Year'!J$5,1),'WBS Summary by Year'!$D25,'WBS Summary by Year'!$C$3),'Pre- and Production'!AO$4:AO$574)</f>
        <v>0</v>
      </c>
      <c r="K25" s="324">
        <f>SUMIF('Pre- and Production'!$T$4:$T$574, CONCATENATE(LEFT('WBS Summary by Year'!K$5,1),'WBS Summary by Year'!$D25,'WBS Summary by Year'!$C$3),'Pre- and Production'!AF$4:AF$574)</f>
        <v>0</v>
      </c>
      <c r="L25" s="323">
        <f>SUMIF('Pre- and Production'!$T$4:$T$574, CONCATENATE(LEFT('WBS Summary by Year'!L$5,1),'WBS Summary by Year'!$D25,'WBS Summary by Year'!$C$3),'Pre- and Production'!AP$4:AP$574)</f>
        <v>0</v>
      </c>
      <c r="M25" s="324">
        <f>SUMIF('Pre- and Production'!$T$4:$T$574, CONCATENATE(LEFT('WBS Summary by Year'!M$5,1),'WBS Summary by Year'!$D25,'WBS Summary by Year'!$C$3),'Pre- and Production'!AG$4:AG$574)</f>
        <v>0</v>
      </c>
      <c r="N25" s="322">
        <f>SUMIF('Pre- and Production'!$T$4:$T$574, CONCATENATE(LEFT('WBS Summary by Year'!N$5,1),'WBS Summary by Year'!$D25,'WBS Summary by Year'!$C$3),'Pre- and Production'!AQ$4:AQ$574)</f>
        <v>0</v>
      </c>
      <c r="O25" s="325">
        <f>SUMIF('Pre- and Production'!$T$4:$T$574, CONCATENATE(LEFT('WBS Summary by Year'!O$5,1),'WBS Summary by Year'!$D25,'WBS Summary by Year'!$C$3),'Pre- and Production'!AH$4:AH$574)</f>
        <v>0</v>
      </c>
      <c r="P25" s="326">
        <f>SUMIF('Pre- and Production'!$T$4:$T$574, CONCATENATE(LEFT('WBS Summary by Year'!P$5,1),'WBS Summary by Year'!$D25,'WBS Summary by Year'!$C$3),'Pre- and Production'!AR$4:AR$574)</f>
        <v>0</v>
      </c>
    </row>
    <row r="26" spans="3:16" ht="13.5" thickBot="1">
      <c r="D26" s="123" t="s">
        <v>212</v>
      </c>
      <c r="E26" s="327">
        <f>SUMIF('Pre- and Production'!$T$4:$T$574, CONCATENATE(LEFT('WBS Summary by Year'!E$5,1),'WBS Summary by Year'!$D26,$C$3),'Pre- and Production'!AC$4:AC$574)</f>
        <v>0</v>
      </c>
      <c r="F26" s="328">
        <f>SUMIF('Pre- and Production'!$T$4:$T$574, CONCATENATE(LEFT('WBS Summary by Year'!F$5,1),'WBS Summary by Year'!$D26,'WBS Summary by Year'!$C$3),'Pre- and Production'!AM$4:AM$574)</f>
        <v>0</v>
      </c>
      <c r="G26" s="327">
        <f>SUMIF('Pre- and Production'!$T$4:$T$574, CONCATENATE(LEFT('WBS Summary by Year'!G$5,1),'WBS Summary by Year'!$D26,'WBS Summary by Year'!$C$3),'Pre- and Production'!AD$4:AD$574)</f>
        <v>0</v>
      </c>
      <c r="H26" s="329">
        <f>SUMIF('Pre- and Production'!$T$4:$T$574, CONCATENATE(LEFT('WBS Summary by Year'!H$5,1),'WBS Summary by Year'!$D26,'WBS Summary by Year'!$C$3),'Pre- and Production'!AN$4:AN$574)</f>
        <v>0</v>
      </c>
      <c r="I26" s="327">
        <f>SUMIF('Pre- and Production'!$T$4:$T$574, CONCATENATE(LEFT('WBS Summary by Year'!I$5,1),'WBS Summary by Year'!$D26,'WBS Summary by Year'!$C$3),'Pre- and Production'!AE$4:AE$574)</f>
        <v>0</v>
      </c>
      <c r="J26" s="329">
        <f>SUMIF('Pre- and Production'!$T$4:$T$574, CONCATENATE(LEFT('WBS Summary by Year'!J$5,1),'WBS Summary by Year'!$D26,'WBS Summary by Year'!$C$3),'Pre- and Production'!AO$4:AO$574)</f>
        <v>0</v>
      </c>
      <c r="K26" s="330">
        <f>SUMIF('Pre- and Production'!$T$4:$T$574, CONCATENATE(LEFT('WBS Summary by Year'!K$5,1),'WBS Summary by Year'!$D26,'WBS Summary by Year'!$C$3),'Pre- and Production'!AF$4:AF$574)</f>
        <v>0</v>
      </c>
      <c r="L26" s="329">
        <f>SUMIF('Pre- and Production'!$T$4:$T$574, CONCATENATE(LEFT('WBS Summary by Year'!L$5,1),'WBS Summary by Year'!$D26,'WBS Summary by Year'!$C$3),'Pre- and Production'!AP$4:AP$574)</f>
        <v>0</v>
      </c>
      <c r="M26" s="330">
        <f>SUMIF('Pre- and Production'!$T$4:$T$574, CONCATENATE(LEFT('WBS Summary by Year'!M$5,1),'WBS Summary by Year'!$D26,'WBS Summary by Year'!$C$3),'Pre- and Production'!AG$4:AG$574)</f>
        <v>0</v>
      </c>
      <c r="N26" s="328">
        <f>SUMIF('Pre- and Production'!$T$4:$T$574, CONCATENATE(LEFT('WBS Summary by Year'!N$5,1),'WBS Summary by Year'!$D26,'WBS Summary by Year'!$C$3),'Pre- and Production'!AQ$4:AQ$574)</f>
        <v>0</v>
      </c>
      <c r="O26" s="331">
        <f>SUMIF('Pre- and Production'!$T$4:$T$574, CONCATENATE(LEFT('WBS Summary by Year'!O$5,1),'WBS Summary by Year'!$D26,'WBS Summary by Year'!$C$3),'Pre- and Production'!AH$4:AH$574)</f>
        <v>0</v>
      </c>
      <c r="P26" s="332">
        <f>SUMIF('Pre- and Production'!$T$4:$T$574, CONCATENATE(LEFT('WBS Summary by Year'!P$5,1),'WBS Summary by Year'!$D26,'WBS Summary by Year'!$C$3),'Pre- and Production'!AR$4:AR$574)</f>
        <v>0</v>
      </c>
    </row>
    <row r="27" spans="3:16" ht="13.5" thickTop="1"/>
    <row r="28" spans="3:16">
      <c r="D28" s="333" t="s">
        <v>7</v>
      </c>
      <c r="E28">
        <f>SUM(E6:E26)</f>
        <v>0</v>
      </c>
      <c r="F28">
        <f t="shared" ref="F28:P28" si="0">SUM(F6:F26)</f>
        <v>0</v>
      </c>
      <c r="G28">
        <f t="shared" si="0"/>
        <v>0</v>
      </c>
      <c r="H28">
        <f t="shared" si="0"/>
        <v>0</v>
      </c>
      <c r="I28">
        <f t="shared" si="0"/>
        <v>0</v>
      </c>
      <c r="J28">
        <f t="shared" si="0"/>
        <v>0</v>
      </c>
      <c r="K28">
        <f t="shared" si="0"/>
        <v>0</v>
      </c>
      <c r="L28">
        <f t="shared" si="0"/>
        <v>0</v>
      </c>
      <c r="M28">
        <f t="shared" si="0"/>
        <v>0</v>
      </c>
      <c r="N28">
        <f t="shared" si="0"/>
        <v>0</v>
      </c>
      <c r="O28" s="306">
        <f t="shared" si="0"/>
        <v>0</v>
      </c>
      <c r="P28" s="306">
        <f t="shared" si="0"/>
        <v>0</v>
      </c>
    </row>
    <row r="29" spans="3:16">
      <c r="D29" s="333" t="s">
        <v>384</v>
      </c>
      <c r="E29" s="305">
        <f>E28/1720</f>
        <v>0</v>
      </c>
      <c r="F29" s="305">
        <f t="shared" ref="F29:N29" si="1">F28/1720</f>
        <v>0</v>
      </c>
      <c r="G29" s="305">
        <f t="shared" si="1"/>
        <v>0</v>
      </c>
      <c r="H29" s="305">
        <f t="shared" si="1"/>
        <v>0</v>
      </c>
      <c r="I29" s="305">
        <f t="shared" si="1"/>
        <v>0</v>
      </c>
      <c r="J29" s="305">
        <f t="shared" si="1"/>
        <v>0</v>
      </c>
      <c r="K29" s="305">
        <f t="shared" si="1"/>
        <v>0</v>
      </c>
      <c r="L29" s="305">
        <f t="shared" si="1"/>
        <v>0</v>
      </c>
      <c r="M29" s="305">
        <f t="shared" si="1"/>
        <v>0</v>
      </c>
      <c r="N29" s="305">
        <f t="shared" si="1"/>
        <v>0</v>
      </c>
    </row>
    <row r="32" spans="3:16" ht="18.75" thickBot="1">
      <c r="C32" s="308">
        <v>2010</v>
      </c>
      <c r="O32" s="309"/>
      <c r="P32" s="309"/>
    </row>
    <row r="33" spans="4:16" ht="13.5" thickTop="1">
      <c r="E33" s="354" t="s">
        <v>27</v>
      </c>
      <c r="F33" s="355"/>
      <c r="G33" s="354" t="s">
        <v>386</v>
      </c>
      <c r="H33" s="356"/>
      <c r="I33" s="354" t="s">
        <v>381</v>
      </c>
      <c r="J33" s="356"/>
      <c r="K33" s="357" t="s">
        <v>376</v>
      </c>
      <c r="L33" s="356"/>
      <c r="M33" s="357" t="s">
        <v>387</v>
      </c>
      <c r="N33" s="355"/>
      <c r="O33" s="352" t="s">
        <v>377</v>
      </c>
      <c r="P33" s="353"/>
    </row>
    <row r="34" spans="4:16" ht="13.5" thickBot="1">
      <c r="E34" s="310" t="s">
        <v>378</v>
      </c>
      <c r="F34" s="311" t="s">
        <v>379</v>
      </c>
      <c r="G34" s="310" t="s">
        <v>378</v>
      </c>
      <c r="H34" s="312" t="s">
        <v>379</v>
      </c>
      <c r="I34" s="310" t="s">
        <v>378</v>
      </c>
      <c r="J34" s="312" t="s">
        <v>379</v>
      </c>
      <c r="K34" s="313" t="s">
        <v>378</v>
      </c>
      <c r="L34" s="312" t="s">
        <v>379</v>
      </c>
      <c r="M34" s="313" t="s">
        <v>378</v>
      </c>
      <c r="N34" s="311" t="s">
        <v>379</v>
      </c>
      <c r="O34" s="314" t="s">
        <v>378</v>
      </c>
      <c r="P34" s="315" t="s">
        <v>379</v>
      </c>
    </row>
    <row r="35" spans="4:16" ht="13.5" thickTop="1">
      <c r="D35" s="18" t="s">
        <v>172</v>
      </c>
      <c r="E35" s="316">
        <f>SUMIF('Pre- and Production'!$T$4:$T$574, CONCATENATE(LEFT('WBS Summary by Year'!E$5,1),'WBS Summary by Year'!$D35,$C$32),'Pre- and Production'!AC$4:AC$574)</f>
        <v>0</v>
      </c>
      <c r="F35" s="317">
        <f>SUMIF('Pre- and Production'!$T$4:$T$574, CONCATENATE(LEFT('WBS Summary by Year'!F$5,1),'WBS Summary by Year'!$D35,'WBS Summary by Year'!$C$32),'Pre- and Production'!AM$4:AM$574)</f>
        <v>0</v>
      </c>
      <c r="G35" s="316">
        <f>SUMIF('Pre- and Production'!$T$4:$T$574, CONCATENATE(LEFT('WBS Summary by Year'!G$5,1),'WBS Summary by Year'!$D35,'WBS Summary by Year'!$C$32),'Pre- and Production'!AD$4:AD$574)</f>
        <v>0</v>
      </c>
      <c r="H35" s="318">
        <f>SUMIF('Pre- and Production'!$T$4:$T$574, CONCATENATE(LEFT('WBS Summary by Year'!H$5,1),'WBS Summary by Year'!$D35,'WBS Summary by Year'!$C$32),'Pre- and Production'!AN$4:AN$574)</f>
        <v>0</v>
      </c>
      <c r="I35" s="316">
        <f>SUMIF('Pre- and Production'!$T$4:$T$574, CONCATENATE(LEFT('WBS Summary by Year'!I$5,1),'WBS Summary by Year'!$D35,'WBS Summary by Year'!$C$32),'Pre- and Production'!AE$4:AE$574)</f>
        <v>0</v>
      </c>
      <c r="J35" s="318">
        <f>SUMIF('Pre- and Production'!$T$4:$T$574, CONCATENATE(LEFT('WBS Summary by Year'!J$5,1),'WBS Summary by Year'!$D35,'WBS Summary by Year'!$C$32),'Pre- and Production'!AO$4:AO$574)</f>
        <v>0</v>
      </c>
      <c r="K35" s="319">
        <f>SUMIF('Pre- and Production'!$T$4:$T$574, CONCATENATE(LEFT('WBS Summary by Year'!K$5,1),'WBS Summary by Year'!$D35,'WBS Summary by Year'!$C$32),'Pre- and Production'!AF$4:AF$574)</f>
        <v>0</v>
      </c>
      <c r="L35" s="318">
        <f>SUMIF('Pre- and Production'!$T$4:$T$574, CONCATENATE(LEFT('WBS Summary by Year'!L$5,1),'WBS Summary by Year'!$D35,'WBS Summary by Year'!$C$32),'Pre- and Production'!AP$4:AP$574)</f>
        <v>0</v>
      </c>
      <c r="M35" s="319">
        <f>SUMIF('Pre- and Production'!$T$4:$T$574, CONCATENATE(LEFT('WBS Summary by Year'!M$5,1),'WBS Summary by Year'!$D35,'WBS Summary by Year'!$C$32),'Pre- and Production'!AG$4:AG$574)</f>
        <v>0</v>
      </c>
      <c r="N35" s="317">
        <f>SUMIF('Pre- and Production'!$T$4:$T$574, CONCATENATE(LEFT('WBS Summary by Year'!N$5,1),'WBS Summary by Year'!$D35,'WBS Summary by Year'!$C$32),'Pre- and Production'!AQ$4:AQ$574)</f>
        <v>0</v>
      </c>
      <c r="O35" s="320">
        <f>SUMIF('Pre- and Production'!$T$4:$T$574, CONCATENATE(LEFT('WBS Summary by Year'!O$5,1),'WBS Summary by Year'!$D35,'WBS Summary by Year'!$C$32),'Pre- and Production'!AH$4:AH$574)</f>
        <v>0</v>
      </c>
      <c r="P35" s="321">
        <f>SUMIF('Pre- and Production'!$T$4:$T$574, CONCATENATE(LEFT('WBS Summary by Year'!P$5,1),'WBS Summary by Year'!$D35,'WBS Summary by Year'!$C$32),'Pre- and Production'!AR$4:AR$574)</f>
        <v>0</v>
      </c>
    </row>
    <row r="36" spans="4:16">
      <c r="D36" s="123" t="s">
        <v>173</v>
      </c>
      <c r="E36" s="24">
        <f>SUMIF('Pre- and Production'!$T$4:$T$574, CONCATENATE(LEFT('WBS Summary by Year'!E$5,1),'WBS Summary by Year'!$D36,$C$32),'Pre- and Production'!AC$4:AC$574)</f>
        <v>0</v>
      </c>
      <c r="F36" s="322">
        <f>SUMIF('Pre- and Production'!$T$4:$T$574, CONCATENATE(LEFT('WBS Summary by Year'!F$5,1),'WBS Summary by Year'!$D36,'WBS Summary by Year'!$C$32),'Pre- and Production'!AM$4:AM$574)</f>
        <v>0</v>
      </c>
      <c r="G36" s="24">
        <f>SUMIF('Pre- and Production'!$T$4:$T$574, CONCATENATE(LEFT('WBS Summary by Year'!G$5,1),'WBS Summary by Year'!$D36,'WBS Summary by Year'!$C$32),'Pre- and Production'!AD$4:AD$574)</f>
        <v>0</v>
      </c>
      <c r="H36" s="323">
        <f>SUMIF('Pre- and Production'!$T$4:$T$574, CONCATENATE(LEFT('WBS Summary by Year'!H$5,1),'WBS Summary by Year'!$D36,'WBS Summary by Year'!$C$32),'Pre- and Production'!AN$4:AN$574)</f>
        <v>0</v>
      </c>
      <c r="I36" s="24">
        <f>SUMIF('Pre- and Production'!$T$4:$T$574, CONCATENATE(LEFT('WBS Summary by Year'!I$5,1),'WBS Summary by Year'!$D36,'WBS Summary by Year'!$C$32),'Pre- and Production'!AE$4:AE$574)</f>
        <v>0</v>
      </c>
      <c r="J36" s="323">
        <f>SUMIF('Pre- and Production'!$T$4:$T$574, CONCATENATE(LEFT('WBS Summary by Year'!J$5,1),'WBS Summary by Year'!$D36,'WBS Summary by Year'!$C$32),'Pre- and Production'!AO$4:AO$574)</f>
        <v>0</v>
      </c>
      <c r="K36" s="324">
        <f>SUMIF('Pre- and Production'!$T$4:$T$574, CONCATENATE(LEFT('WBS Summary by Year'!K$5,1),'WBS Summary by Year'!$D36,'WBS Summary by Year'!$C$32),'Pre- and Production'!AF$4:AF$574)</f>
        <v>0</v>
      </c>
      <c r="L36" s="323">
        <f>SUMIF('Pre- and Production'!$T$4:$T$574, CONCATENATE(LEFT('WBS Summary by Year'!L$5,1),'WBS Summary by Year'!$D36,'WBS Summary by Year'!$C$32),'Pre- and Production'!AP$4:AP$574)</f>
        <v>0</v>
      </c>
      <c r="M36" s="324">
        <f>SUMIF('Pre- and Production'!$T$4:$T$574, CONCATENATE(LEFT('WBS Summary by Year'!M$5,1),'WBS Summary by Year'!$D36,'WBS Summary by Year'!$C$32),'Pre- and Production'!AG$4:AG$574)</f>
        <v>0</v>
      </c>
      <c r="N36" s="322">
        <f>SUMIF('Pre- and Production'!$T$4:$T$574, CONCATENATE(LEFT('WBS Summary by Year'!N$5,1),'WBS Summary by Year'!$D36,'WBS Summary by Year'!$C$32),'Pre- and Production'!AQ$4:AQ$574)</f>
        <v>0</v>
      </c>
      <c r="O36" s="325">
        <f>SUMIF('Pre- and Production'!$T$4:$T$574, CONCATENATE(LEFT('WBS Summary by Year'!O$5,1),'WBS Summary by Year'!$D36,'WBS Summary by Year'!$C$32),'Pre- and Production'!AH$4:AH$574)</f>
        <v>0</v>
      </c>
      <c r="P36" s="326">
        <f>SUMIF('Pre- and Production'!$T$4:$T$574, CONCATENATE(LEFT('WBS Summary by Year'!P$5,1),'WBS Summary by Year'!$D36,'WBS Summary by Year'!$C$32),'Pre- and Production'!AR$4:AR$574)</f>
        <v>0</v>
      </c>
    </row>
    <row r="37" spans="4:16">
      <c r="D37" s="42" t="s">
        <v>175</v>
      </c>
      <c r="E37" s="24">
        <f>SUMIF('Pre- and Production'!$T$4:$T$574, CONCATENATE(LEFT('WBS Summary by Year'!E$5,1),'WBS Summary by Year'!$D37,$C$32),'Pre- and Production'!AC$4:AC$574)</f>
        <v>64</v>
      </c>
      <c r="F37" s="322">
        <f>SUMIF('Pre- and Production'!$T$4:$T$574, CONCATENATE(LEFT('WBS Summary by Year'!F$5,1),'WBS Summary by Year'!$D37,'WBS Summary by Year'!$C$32),'Pre- and Production'!AM$4:AM$574)</f>
        <v>0</v>
      </c>
      <c r="G37" s="24">
        <f>SUMIF('Pre- and Production'!$T$4:$T$574, CONCATENATE(LEFT('WBS Summary by Year'!G$5,1),'WBS Summary by Year'!$D37,'WBS Summary by Year'!$C$32),'Pre- and Production'!AD$4:AD$574)</f>
        <v>72</v>
      </c>
      <c r="H37" s="323">
        <f>SUMIF('Pre- and Production'!$T$4:$T$574, CONCATENATE(LEFT('WBS Summary by Year'!H$5,1),'WBS Summary by Year'!$D37,'WBS Summary by Year'!$C$32),'Pre- and Production'!AN$4:AN$574)</f>
        <v>84</v>
      </c>
      <c r="I37" s="24">
        <f>SUMIF('Pre- and Production'!$T$4:$T$574, CONCATENATE(LEFT('WBS Summary by Year'!I$5,1),'WBS Summary by Year'!$D37,'WBS Summary by Year'!$C$32),'Pre- and Production'!AE$4:AE$574)</f>
        <v>548</v>
      </c>
      <c r="J37" s="323">
        <f>SUMIF('Pre- and Production'!$T$4:$T$574, CONCATENATE(LEFT('WBS Summary by Year'!J$5,1),'WBS Summary by Year'!$D37,'WBS Summary by Year'!$C$32),'Pre- and Production'!AO$4:AO$574)</f>
        <v>16</v>
      </c>
      <c r="K37" s="324">
        <f>SUMIF('Pre- and Production'!$T$4:$T$574, CONCATENATE(LEFT('WBS Summary by Year'!K$5,1),'WBS Summary by Year'!$D37,'WBS Summary by Year'!$C$32),'Pre- and Production'!AF$4:AF$574)</f>
        <v>40</v>
      </c>
      <c r="L37" s="323">
        <f>SUMIF('Pre- and Production'!$T$4:$T$574, CONCATENATE(LEFT('WBS Summary by Year'!L$5,1),'WBS Summary by Year'!$D37,'WBS Summary by Year'!$C$32),'Pre- and Production'!AP$4:AP$574)</f>
        <v>0</v>
      </c>
      <c r="M37" s="324">
        <f>SUMIF('Pre- and Production'!$T$4:$T$574, CONCATENATE(LEFT('WBS Summary by Year'!M$5,1),'WBS Summary by Year'!$D37,'WBS Summary by Year'!$C$32),'Pre- and Production'!AG$4:AG$574)</f>
        <v>336</v>
      </c>
      <c r="N37" s="322">
        <f>SUMIF('Pre- and Production'!$T$4:$T$574, CONCATENATE(LEFT('WBS Summary by Year'!N$5,1),'WBS Summary by Year'!$D37,'WBS Summary by Year'!$C$32),'Pre- and Production'!AQ$4:AQ$574)</f>
        <v>48</v>
      </c>
      <c r="O37" s="325">
        <f>SUMIF('Pre- and Production'!$T$4:$T$574, CONCATENATE(LEFT('WBS Summary by Year'!O$5,1),'WBS Summary by Year'!$D37,'WBS Summary by Year'!$C$32),'Pre- and Production'!AH$4:AH$574)</f>
        <v>17100</v>
      </c>
      <c r="P37" s="326">
        <f>SUMIF('Pre- and Production'!$T$4:$T$574, CONCATENATE(LEFT('WBS Summary by Year'!P$5,1),'WBS Summary by Year'!$D37,'WBS Summary by Year'!$C$32),'Pre- and Production'!AR$4:AR$574)</f>
        <v>3000</v>
      </c>
    </row>
    <row r="38" spans="4:16">
      <c r="D38" s="42" t="s">
        <v>177</v>
      </c>
      <c r="E38" s="24">
        <f>SUMIF('Pre- and Production'!$T$4:$T$574, CONCATENATE(LEFT('WBS Summary by Year'!E$5,1),'WBS Summary by Year'!$D38,$C$32),'Pre- and Production'!AC$4:AC$574)</f>
        <v>64</v>
      </c>
      <c r="F38" s="322">
        <f>SUMIF('Pre- and Production'!$T$4:$T$574, CONCATENATE(LEFT('WBS Summary by Year'!F$5,1),'WBS Summary by Year'!$D38,'WBS Summary by Year'!$C$32),'Pre- and Production'!AM$4:AM$574)</f>
        <v>0</v>
      </c>
      <c r="G38" s="24">
        <f>SUMIF('Pre- and Production'!$T$4:$T$574, CONCATENATE(LEFT('WBS Summary by Year'!G$5,1),'WBS Summary by Year'!$D38,'WBS Summary by Year'!$C$32),'Pre- and Production'!AD$4:AD$574)</f>
        <v>112</v>
      </c>
      <c r="H38" s="323">
        <f>SUMIF('Pre- and Production'!$T$4:$T$574, CONCATENATE(LEFT('WBS Summary by Year'!H$5,1),'WBS Summary by Year'!$D38,'WBS Summary by Year'!$C$32),'Pre- and Production'!AN$4:AN$574)</f>
        <v>0</v>
      </c>
      <c r="I38" s="24">
        <f>SUMIF('Pre- and Production'!$T$4:$T$574, CONCATENATE(LEFT('WBS Summary by Year'!I$5,1),'WBS Summary by Year'!$D38,'WBS Summary by Year'!$C$32),'Pre- and Production'!AE$4:AE$574)</f>
        <v>612</v>
      </c>
      <c r="J38" s="323">
        <f>SUMIF('Pre- and Production'!$T$4:$T$574, CONCATENATE(LEFT('WBS Summary by Year'!J$5,1),'WBS Summary by Year'!$D38,'WBS Summary by Year'!$C$32),'Pre- and Production'!AO$4:AO$574)</f>
        <v>0</v>
      </c>
      <c r="K38" s="324">
        <f>SUMIF('Pre- and Production'!$T$4:$T$574, CONCATENATE(LEFT('WBS Summary by Year'!K$5,1),'WBS Summary by Year'!$D38,'WBS Summary by Year'!$C$32),'Pre- and Production'!AF$4:AF$574)</f>
        <v>64</v>
      </c>
      <c r="L38" s="323">
        <f>SUMIF('Pre- and Production'!$T$4:$T$574, CONCATENATE(LEFT('WBS Summary by Year'!L$5,1),'WBS Summary by Year'!$D38,'WBS Summary by Year'!$C$32),'Pre- and Production'!AP$4:AP$574)</f>
        <v>0</v>
      </c>
      <c r="M38" s="324">
        <f>SUMIF('Pre- and Production'!$T$4:$T$574, CONCATENATE(LEFT('WBS Summary by Year'!M$5,1),'WBS Summary by Year'!$D38,'WBS Summary by Year'!$C$32),'Pre- and Production'!AG$4:AG$574)</f>
        <v>476</v>
      </c>
      <c r="N38" s="322">
        <f>SUMIF('Pre- and Production'!$T$4:$T$574, CONCATENATE(LEFT('WBS Summary by Year'!N$5,1),'WBS Summary by Year'!$D38,'WBS Summary by Year'!$C$32),'Pre- and Production'!AQ$4:AQ$574)</f>
        <v>0</v>
      </c>
      <c r="O38" s="325">
        <f>SUMIF('Pre- and Production'!$T$4:$T$574, CONCATENATE(LEFT('WBS Summary by Year'!O$5,1),'WBS Summary by Year'!$D38,'WBS Summary by Year'!$C$32),'Pre- and Production'!AH$4:AH$574)</f>
        <v>50900</v>
      </c>
      <c r="P38" s="326">
        <f>SUMIF('Pre- and Production'!$T$4:$T$574, CONCATENATE(LEFT('WBS Summary by Year'!P$5,1),'WBS Summary by Year'!$D38,'WBS Summary by Year'!$C$32),'Pre- and Production'!AR$4:AR$574)</f>
        <v>0</v>
      </c>
    </row>
    <row r="39" spans="4:16">
      <c r="D39" s="123" t="s">
        <v>179</v>
      </c>
      <c r="E39" s="24">
        <f>SUMIF('Pre- and Production'!$T$4:$T$574, CONCATENATE(LEFT('WBS Summary by Year'!E$5,1),'WBS Summary by Year'!$D39,$C$32),'Pre- and Production'!AC$4:AC$574)</f>
        <v>0</v>
      </c>
      <c r="F39" s="322">
        <f>SUMIF('Pre- and Production'!$T$4:$T$574, CONCATENATE(LEFT('WBS Summary by Year'!F$5,1),'WBS Summary by Year'!$D39,'WBS Summary by Year'!$C$32),'Pre- and Production'!AM$4:AM$574)</f>
        <v>0</v>
      </c>
      <c r="G39" s="24">
        <f>SUMIF('Pre- and Production'!$T$4:$T$574, CONCATENATE(LEFT('WBS Summary by Year'!G$5,1),'WBS Summary by Year'!$D39,'WBS Summary by Year'!$C$32),'Pre- and Production'!AD$4:AD$574)</f>
        <v>0</v>
      </c>
      <c r="H39" s="323">
        <f>SUMIF('Pre- and Production'!$T$4:$T$574, CONCATENATE(LEFT('WBS Summary by Year'!H$5,1),'WBS Summary by Year'!$D39,'WBS Summary by Year'!$C$32),'Pre- and Production'!AN$4:AN$574)</f>
        <v>0</v>
      </c>
      <c r="I39" s="24">
        <f>SUMIF('Pre- and Production'!$T$4:$T$574, CONCATENATE(LEFT('WBS Summary by Year'!I$5,1),'WBS Summary by Year'!$D39,'WBS Summary by Year'!$C$32),'Pre- and Production'!AE$4:AE$574)</f>
        <v>0</v>
      </c>
      <c r="J39" s="323">
        <f>SUMIF('Pre- and Production'!$T$4:$T$574, CONCATENATE(LEFT('WBS Summary by Year'!J$5,1),'WBS Summary by Year'!$D39,'WBS Summary by Year'!$C$32),'Pre- and Production'!AO$4:AO$574)</f>
        <v>0</v>
      </c>
      <c r="K39" s="324">
        <f>SUMIF('Pre- and Production'!$T$4:$T$574, CONCATENATE(LEFT('WBS Summary by Year'!K$5,1),'WBS Summary by Year'!$D39,'WBS Summary by Year'!$C$32),'Pre- and Production'!AF$4:AF$574)</f>
        <v>0</v>
      </c>
      <c r="L39" s="323">
        <f>SUMIF('Pre- and Production'!$T$4:$T$574, CONCATENATE(LEFT('WBS Summary by Year'!L$5,1),'WBS Summary by Year'!$D39,'WBS Summary by Year'!$C$32),'Pre- and Production'!AP$4:AP$574)</f>
        <v>0</v>
      </c>
      <c r="M39" s="324">
        <f>SUMIF('Pre- and Production'!$T$4:$T$574, CONCATENATE(LEFT('WBS Summary by Year'!M$5,1),'WBS Summary by Year'!$D39,'WBS Summary by Year'!$C$32),'Pre- and Production'!AG$4:AG$574)</f>
        <v>0</v>
      </c>
      <c r="N39" s="322">
        <f>SUMIF('Pre- and Production'!$T$4:$T$574, CONCATENATE(LEFT('WBS Summary by Year'!N$5,1),'WBS Summary by Year'!$D39,'WBS Summary by Year'!$C$32),'Pre- and Production'!AQ$4:AQ$574)</f>
        <v>0</v>
      </c>
      <c r="O39" s="325">
        <f>SUMIF('Pre- and Production'!$T$4:$T$574, CONCATENATE(LEFT('WBS Summary by Year'!O$5,1),'WBS Summary by Year'!$D39,'WBS Summary by Year'!$C$32),'Pre- and Production'!AH$4:AH$574)</f>
        <v>0</v>
      </c>
      <c r="P39" s="326">
        <f>SUMIF('Pre- and Production'!$T$4:$T$574, CONCATENATE(LEFT('WBS Summary by Year'!P$5,1),'WBS Summary by Year'!$D39,'WBS Summary by Year'!$C$32),'Pre- and Production'!AR$4:AR$574)</f>
        <v>0</v>
      </c>
    </row>
    <row r="40" spans="4:16">
      <c r="D40" s="42" t="s">
        <v>181</v>
      </c>
      <c r="E40" s="24">
        <f>SUMIF('Pre- and Production'!$T$4:$T$574, CONCATENATE(LEFT('WBS Summary by Year'!E$5,1),'WBS Summary by Year'!$D40,$C$32),'Pre- and Production'!AC$4:AC$574)</f>
        <v>0</v>
      </c>
      <c r="F40" s="322">
        <f>SUMIF('Pre- and Production'!$T$4:$T$574, CONCATENATE(LEFT('WBS Summary by Year'!F$5,1),'WBS Summary by Year'!$D40,'WBS Summary by Year'!$C$32),'Pre- and Production'!AM$4:AM$574)</f>
        <v>0</v>
      </c>
      <c r="G40" s="24">
        <f>SUMIF('Pre- and Production'!$T$4:$T$574, CONCATENATE(LEFT('WBS Summary by Year'!G$5,1),'WBS Summary by Year'!$D40,'WBS Summary by Year'!$C$32),'Pre- and Production'!AD$4:AD$574)</f>
        <v>68</v>
      </c>
      <c r="H40" s="323">
        <f>SUMIF('Pre- and Production'!$T$4:$T$574, CONCATENATE(LEFT('WBS Summary by Year'!H$5,1),'WBS Summary by Year'!$D40,'WBS Summary by Year'!$C$32),'Pre- and Production'!AN$4:AN$574)</f>
        <v>0</v>
      </c>
      <c r="I40" s="24">
        <f>SUMIF('Pre- and Production'!$T$4:$T$574, CONCATENATE(LEFT('WBS Summary by Year'!I$5,1),'WBS Summary by Year'!$D40,'WBS Summary by Year'!$C$32),'Pre- and Production'!AE$4:AE$574)</f>
        <v>376</v>
      </c>
      <c r="J40" s="323">
        <f>SUMIF('Pre- and Production'!$T$4:$T$574, CONCATENATE(LEFT('WBS Summary by Year'!J$5,1),'WBS Summary by Year'!$D40,'WBS Summary by Year'!$C$32),'Pre- and Production'!AO$4:AO$574)</f>
        <v>0</v>
      </c>
      <c r="K40" s="324">
        <f>SUMIF('Pre- and Production'!$T$4:$T$574, CONCATENATE(LEFT('WBS Summary by Year'!K$5,1),'WBS Summary by Year'!$D40,'WBS Summary by Year'!$C$32),'Pre- and Production'!AF$4:AF$574)</f>
        <v>24</v>
      </c>
      <c r="L40" s="323">
        <f>SUMIF('Pre- and Production'!$T$4:$T$574, CONCATENATE(LEFT('WBS Summary by Year'!L$5,1),'WBS Summary by Year'!$D40,'WBS Summary by Year'!$C$32),'Pre- and Production'!AP$4:AP$574)</f>
        <v>0</v>
      </c>
      <c r="M40" s="324">
        <f>SUMIF('Pre- and Production'!$T$4:$T$574, CONCATENATE(LEFT('WBS Summary by Year'!M$5,1),'WBS Summary by Year'!$D40,'WBS Summary by Year'!$C$32),'Pre- and Production'!AG$4:AG$574)</f>
        <v>304</v>
      </c>
      <c r="N40" s="322">
        <f>SUMIF('Pre- and Production'!$T$4:$T$574, CONCATENATE(LEFT('WBS Summary by Year'!N$5,1),'WBS Summary by Year'!$D40,'WBS Summary by Year'!$C$32),'Pre- and Production'!AQ$4:AQ$574)</f>
        <v>0</v>
      </c>
      <c r="O40" s="325">
        <f>SUMIF('Pre- and Production'!$T$4:$T$574, CONCATENATE(LEFT('WBS Summary by Year'!O$5,1),'WBS Summary by Year'!$D40,'WBS Summary by Year'!$C$32),'Pre- and Production'!AH$4:AH$574)</f>
        <v>5200</v>
      </c>
      <c r="P40" s="326">
        <f>SUMIF('Pre- and Production'!$T$4:$T$574, CONCATENATE(LEFT('WBS Summary by Year'!P$5,1),'WBS Summary by Year'!$D40,'WBS Summary by Year'!$C$32),'Pre- and Production'!AR$4:AR$574)</f>
        <v>0</v>
      </c>
    </row>
    <row r="41" spans="4:16">
      <c r="D41" s="42" t="s">
        <v>183</v>
      </c>
      <c r="E41" s="24">
        <f>SUMIF('Pre- and Production'!$T$4:$T$574, CONCATENATE(LEFT('WBS Summary by Year'!E$5,1),'WBS Summary by Year'!$D41,$C$32),'Pre- and Production'!AC$4:AC$574)</f>
        <v>0</v>
      </c>
      <c r="F41" s="322">
        <f>SUMIF('Pre- and Production'!$T$4:$T$574, CONCATENATE(LEFT('WBS Summary by Year'!F$5,1),'WBS Summary by Year'!$D41,'WBS Summary by Year'!$C$32),'Pre- and Production'!AM$4:AM$574)</f>
        <v>0</v>
      </c>
      <c r="G41" s="24">
        <f>SUMIF('Pre- and Production'!$T$4:$T$574, CONCATENATE(LEFT('WBS Summary by Year'!G$5,1),'WBS Summary by Year'!$D41,'WBS Summary by Year'!$C$32),'Pre- and Production'!AD$4:AD$574)</f>
        <v>0</v>
      </c>
      <c r="H41" s="323">
        <f>SUMIF('Pre- and Production'!$T$4:$T$574, CONCATENATE(LEFT('WBS Summary by Year'!H$5,1),'WBS Summary by Year'!$D41,'WBS Summary by Year'!$C$32),'Pre- and Production'!AN$4:AN$574)</f>
        <v>0</v>
      </c>
      <c r="I41" s="24">
        <f>SUMIF('Pre- and Production'!$T$4:$T$574, CONCATENATE(LEFT('WBS Summary by Year'!I$5,1),'WBS Summary by Year'!$D41,'WBS Summary by Year'!$C$32),'Pre- and Production'!AE$4:AE$574)</f>
        <v>0</v>
      </c>
      <c r="J41" s="323">
        <f>SUMIF('Pre- and Production'!$T$4:$T$574, CONCATENATE(LEFT('WBS Summary by Year'!J$5,1),'WBS Summary by Year'!$D41,'WBS Summary by Year'!$C$32),'Pre- and Production'!AO$4:AO$574)</f>
        <v>0</v>
      </c>
      <c r="K41" s="324">
        <f>SUMIF('Pre- and Production'!$T$4:$T$574, CONCATENATE(LEFT('WBS Summary by Year'!K$5,1),'WBS Summary by Year'!$D41,'WBS Summary by Year'!$C$32),'Pre- and Production'!AF$4:AF$574)</f>
        <v>0</v>
      </c>
      <c r="L41" s="323">
        <f>SUMIF('Pre- and Production'!$T$4:$T$574, CONCATENATE(LEFT('WBS Summary by Year'!L$5,1),'WBS Summary by Year'!$D41,'WBS Summary by Year'!$C$32),'Pre- and Production'!AP$4:AP$574)</f>
        <v>0</v>
      </c>
      <c r="M41" s="324">
        <f>SUMIF('Pre- and Production'!$T$4:$T$574, CONCATENATE(LEFT('WBS Summary by Year'!M$5,1),'WBS Summary by Year'!$D41,'WBS Summary by Year'!$C$32),'Pre- and Production'!AG$4:AG$574)</f>
        <v>0</v>
      </c>
      <c r="N41" s="322">
        <f>SUMIF('Pre- and Production'!$T$4:$T$574, CONCATENATE(LEFT('WBS Summary by Year'!N$5,1),'WBS Summary by Year'!$D41,'WBS Summary by Year'!$C$32),'Pre- and Production'!AQ$4:AQ$574)</f>
        <v>0</v>
      </c>
      <c r="O41" s="325">
        <f>SUMIF('Pre- and Production'!$T$4:$T$574, CONCATENATE(LEFT('WBS Summary by Year'!O$5,1),'WBS Summary by Year'!$D41,'WBS Summary by Year'!$C$32),'Pre- and Production'!AH$4:AH$574)</f>
        <v>0</v>
      </c>
      <c r="P41" s="326">
        <f>SUMIF('Pre- and Production'!$T$4:$T$574, CONCATENATE(LEFT('WBS Summary by Year'!P$5,1),'WBS Summary by Year'!$D41,'WBS Summary by Year'!$C$32),'Pre- and Production'!AR$4:AR$574)</f>
        <v>0</v>
      </c>
    </row>
    <row r="42" spans="4:16">
      <c r="D42" s="123" t="s">
        <v>185</v>
      </c>
      <c r="E42" s="24">
        <f>SUMIF('Pre- and Production'!$T$4:$T$574, CONCATENATE(LEFT('WBS Summary by Year'!E$5,1),'WBS Summary by Year'!$D42,$C$32),'Pre- and Production'!AC$4:AC$574)</f>
        <v>0</v>
      </c>
      <c r="F42" s="322">
        <f>SUMIF('Pre- and Production'!$T$4:$T$574, CONCATENATE(LEFT('WBS Summary by Year'!F$5,1),'WBS Summary by Year'!$D42,'WBS Summary by Year'!$C$32),'Pre- and Production'!AM$4:AM$574)</f>
        <v>0</v>
      </c>
      <c r="G42" s="24">
        <f>SUMIF('Pre- and Production'!$T$4:$T$574, CONCATENATE(LEFT('WBS Summary by Year'!G$5,1),'WBS Summary by Year'!$D42,'WBS Summary by Year'!$C$32),'Pre- and Production'!AD$4:AD$574)</f>
        <v>0</v>
      </c>
      <c r="H42" s="323">
        <f>SUMIF('Pre- and Production'!$T$4:$T$574, CONCATENATE(LEFT('WBS Summary by Year'!H$5,1),'WBS Summary by Year'!$D42,'WBS Summary by Year'!$C$32),'Pre- and Production'!AN$4:AN$574)</f>
        <v>0</v>
      </c>
      <c r="I42" s="24">
        <f>SUMIF('Pre- and Production'!$T$4:$T$574, CONCATENATE(LEFT('WBS Summary by Year'!I$5,1),'WBS Summary by Year'!$D42,'WBS Summary by Year'!$C$32),'Pre- and Production'!AE$4:AE$574)</f>
        <v>0</v>
      </c>
      <c r="J42" s="323">
        <f>SUMIF('Pre- and Production'!$T$4:$T$574, CONCATENATE(LEFT('WBS Summary by Year'!J$5,1),'WBS Summary by Year'!$D42,'WBS Summary by Year'!$C$32),'Pre- and Production'!AO$4:AO$574)</f>
        <v>0</v>
      </c>
      <c r="K42" s="324">
        <f>SUMIF('Pre- and Production'!$T$4:$T$574, CONCATENATE(LEFT('WBS Summary by Year'!K$5,1),'WBS Summary by Year'!$D42,'WBS Summary by Year'!$C$32),'Pre- and Production'!AF$4:AF$574)</f>
        <v>0</v>
      </c>
      <c r="L42" s="323">
        <f>SUMIF('Pre- and Production'!$T$4:$T$574, CONCATENATE(LEFT('WBS Summary by Year'!L$5,1),'WBS Summary by Year'!$D42,'WBS Summary by Year'!$C$32),'Pre- and Production'!AP$4:AP$574)</f>
        <v>0</v>
      </c>
      <c r="M42" s="324">
        <f>SUMIF('Pre- and Production'!$T$4:$T$574, CONCATENATE(LEFT('WBS Summary by Year'!M$5,1),'WBS Summary by Year'!$D42,'WBS Summary by Year'!$C$32),'Pre- and Production'!AG$4:AG$574)</f>
        <v>0</v>
      </c>
      <c r="N42" s="322">
        <f>SUMIF('Pre- and Production'!$T$4:$T$574, CONCATENATE(LEFT('WBS Summary by Year'!N$5,1),'WBS Summary by Year'!$D42,'WBS Summary by Year'!$C$32),'Pre- and Production'!AQ$4:AQ$574)</f>
        <v>0</v>
      </c>
      <c r="O42" s="325">
        <f>SUMIF('Pre- and Production'!$T$4:$T$574, CONCATENATE(LEFT('WBS Summary by Year'!O$5,1),'WBS Summary by Year'!$D42,'WBS Summary by Year'!$C$32),'Pre- and Production'!AH$4:AH$574)</f>
        <v>0</v>
      </c>
      <c r="P42" s="326">
        <f>SUMIF('Pre- and Production'!$T$4:$T$574, CONCATENATE(LEFT('WBS Summary by Year'!P$5,1),'WBS Summary by Year'!$D42,'WBS Summary by Year'!$C$32),'Pre- and Production'!AR$4:AR$574)</f>
        <v>0</v>
      </c>
    </row>
    <row r="43" spans="4:16">
      <c r="D43" s="42" t="s">
        <v>187</v>
      </c>
      <c r="E43" s="24">
        <f>SUMIF('Pre- and Production'!$T$4:$T$574, CONCATENATE(LEFT('WBS Summary by Year'!E$5,1),'WBS Summary by Year'!$D43,$C$32),'Pre- and Production'!AC$4:AC$574)</f>
        <v>0</v>
      </c>
      <c r="F43" s="322">
        <f>SUMIF('Pre- and Production'!$T$4:$T$574, CONCATENATE(LEFT('WBS Summary by Year'!F$5,1),'WBS Summary by Year'!$D43,'WBS Summary by Year'!$C$32),'Pre- and Production'!AM$4:AM$574)</f>
        <v>0</v>
      </c>
      <c r="G43" s="24">
        <f>SUMIF('Pre- and Production'!$T$4:$T$574, CONCATENATE(LEFT('WBS Summary by Year'!G$5,1),'WBS Summary by Year'!$D43,'WBS Summary by Year'!$C$32),'Pre- and Production'!AD$4:AD$574)</f>
        <v>136</v>
      </c>
      <c r="H43" s="323">
        <f>SUMIF('Pre- and Production'!$T$4:$T$574, CONCATENATE(LEFT('WBS Summary by Year'!H$5,1),'WBS Summary by Year'!$D43,'WBS Summary by Year'!$C$32),'Pre- and Production'!AN$4:AN$574)</f>
        <v>24</v>
      </c>
      <c r="I43" s="24">
        <f>SUMIF('Pre- and Production'!$T$4:$T$574, CONCATENATE(LEFT('WBS Summary by Year'!I$5,1),'WBS Summary by Year'!$D43,'WBS Summary by Year'!$C$32),'Pre- and Production'!AE$4:AE$574)</f>
        <v>396</v>
      </c>
      <c r="J43" s="323">
        <f>SUMIF('Pre- and Production'!$T$4:$T$574, CONCATENATE(LEFT('WBS Summary by Year'!J$5,1),'WBS Summary by Year'!$D43,'WBS Summary by Year'!$C$32),'Pre- and Production'!AO$4:AO$574)</f>
        <v>0</v>
      </c>
      <c r="K43" s="324">
        <f>SUMIF('Pre- and Production'!$T$4:$T$574, CONCATENATE(LEFT('WBS Summary by Year'!K$5,1),'WBS Summary by Year'!$D43,'WBS Summary by Year'!$C$32),'Pre- and Production'!AF$4:AF$574)</f>
        <v>96</v>
      </c>
      <c r="L43" s="323">
        <f>SUMIF('Pre- and Production'!$T$4:$T$574, CONCATENATE(LEFT('WBS Summary by Year'!L$5,1),'WBS Summary by Year'!$D43,'WBS Summary by Year'!$C$32),'Pre- and Production'!AP$4:AP$574)</f>
        <v>4</v>
      </c>
      <c r="M43" s="324">
        <f>SUMIF('Pre- and Production'!$T$4:$T$574, CONCATENATE(LEFT('WBS Summary by Year'!M$5,1),'WBS Summary by Year'!$D43,'WBS Summary by Year'!$C$32),'Pre- and Production'!AG$4:AG$574)</f>
        <v>740</v>
      </c>
      <c r="N43" s="322">
        <f>SUMIF('Pre- and Production'!$T$4:$T$574, CONCATENATE(LEFT('WBS Summary by Year'!N$5,1),'WBS Summary by Year'!$D43,'WBS Summary by Year'!$C$32),'Pre- and Production'!AQ$4:AQ$574)</f>
        <v>0</v>
      </c>
      <c r="O43" s="325">
        <f>SUMIF('Pre- and Production'!$T$4:$T$574, CONCATENATE(LEFT('WBS Summary by Year'!O$5,1),'WBS Summary by Year'!$D43,'WBS Summary by Year'!$C$32),'Pre- and Production'!AH$4:AH$574)</f>
        <v>10200</v>
      </c>
      <c r="P43" s="326">
        <f>SUMIF('Pre- and Production'!$T$4:$T$574, CONCATENATE(LEFT('WBS Summary by Year'!P$5,1),'WBS Summary by Year'!$D43,'WBS Summary by Year'!$C$32),'Pre- and Production'!AR$4:AR$574)</f>
        <v>1500</v>
      </c>
    </row>
    <row r="44" spans="4:16">
      <c r="D44" s="42" t="s">
        <v>189</v>
      </c>
      <c r="E44" s="24">
        <f>SUMIF('Pre- and Production'!$T$4:$T$574, CONCATENATE(LEFT('WBS Summary by Year'!E$5,1),'WBS Summary by Year'!$D44,$C$32),'Pre- and Production'!AC$4:AC$574)</f>
        <v>0</v>
      </c>
      <c r="F44" s="322">
        <f>SUMIF('Pre- and Production'!$T$4:$T$574, CONCATENATE(LEFT('WBS Summary by Year'!F$5,1),'WBS Summary by Year'!$D44,'WBS Summary by Year'!$C$32),'Pre- and Production'!AM$4:AM$574)</f>
        <v>0</v>
      </c>
      <c r="G44" s="24">
        <f>SUMIF('Pre- and Production'!$T$4:$T$574, CONCATENATE(LEFT('WBS Summary by Year'!G$5,1),'WBS Summary by Year'!$D44,'WBS Summary by Year'!$C$32),'Pre- and Production'!AD$4:AD$574)</f>
        <v>76</v>
      </c>
      <c r="H44" s="323">
        <f>SUMIF('Pre- and Production'!$T$4:$T$574, CONCATENATE(LEFT('WBS Summary by Year'!H$5,1),'WBS Summary by Year'!$D44,'WBS Summary by Year'!$C$32),'Pre- and Production'!AN$4:AN$574)</f>
        <v>100</v>
      </c>
      <c r="I44" s="24">
        <f>SUMIF('Pre- and Production'!$T$4:$T$574, CONCATENATE(LEFT('WBS Summary by Year'!I$5,1),'WBS Summary by Year'!$D44,'WBS Summary by Year'!$C$32),'Pre- and Production'!AE$4:AE$574)</f>
        <v>184</v>
      </c>
      <c r="J44" s="323">
        <f>SUMIF('Pre- and Production'!$T$4:$T$574, CONCATENATE(LEFT('WBS Summary by Year'!J$5,1),'WBS Summary by Year'!$D44,'WBS Summary by Year'!$C$32),'Pre- and Production'!AO$4:AO$574)</f>
        <v>0</v>
      </c>
      <c r="K44" s="324">
        <f>SUMIF('Pre- and Production'!$T$4:$T$574, CONCATENATE(LEFT('WBS Summary by Year'!K$5,1),'WBS Summary by Year'!$D44,'WBS Summary by Year'!$C$32),'Pre- and Production'!AF$4:AF$574)</f>
        <v>32</v>
      </c>
      <c r="L44" s="323">
        <f>SUMIF('Pre- and Production'!$T$4:$T$574, CONCATENATE(LEFT('WBS Summary by Year'!L$5,1),'WBS Summary by Year'!$D44,'WBS Summary by Year'!$C$32),'Pre- and Production'!AP$4:AP$574)</f>
        <v>12</v>
      </c>
      <c r="M44" s="324">
        <f>SUMIF('Pre- and Production'!$T$4:$T$574, CONCATENATE(LEFT('WBS Summary by Year'!M$5,1),'WBS Summary by Year'!$D44,'WBS Summary by Year'!$C$32),'Pre- and Production'!AG$4:AG$574)</f>
        <v>328</v>
      </c>
      <c r="N44" s="322">
        <f>SUMIF('Pre- and Production'!$T$4:$T$574, CONCATENATE(LEFT('WBS Summary by Year'!N$5,1),'WBS Summary by Year'!$D44,'WBS Summary by Year'!$C$32),'Pre- and Production'!AQ$4:AQ$574)</f>
        <v>0</v>
      </c>
      <c r="O44" s="325">
        <f>SUMIF('Pre- and Production'!$T$4:$T$574, CONCATENATE(LEFT('WBS Summary by Year'!O$5,1),'WBS Summary by Year'!$D44,'WBS Summary by Year'!$C$32),'Pre- and Production'!AH$4:AH$574)</f>
        <v>3708</v>
      </c>
      <c r="P44" s="326">
        <f>SUMIF('Pre- and Production'!$T$4:$T$574, CONCATENATE(LEFT('WBS Summary by Year'!P$5,1),'WBS Summary by Year'!$D44,'WBS Summary by Year'!$C$32),'Pre- and Production'!AR$4:AR$574)</f>
        <v>3000</v>
      </c>
    </row>
    <row r="45" spans="4:16">
      <c r="D45" s="42" t="s">
        <v>191</v>
      </c>
      <c r="E45" s="24">
        <f>SUMIF('Pre- and Production'!$T$4:$T$574, CONCATENATE(LEFT('WBS Summary by Year'!E$5,1),'WBS Summary by Year'!$D45,$C$32),'Pre- and Production'!AC$4:AC$574)</f>
        <v>0</v>
      </c>
      <c r="F45" s="322">
        <f>SUMIF('Pre- and Production'!$T$4:$T$574, CONCATENATE(LEFT('WBS Summary by Year'!F$5,1),'WBS Summary by Year'!$D45,'WBS Summary by Year'!$C$32),'Pre- and Production'!AM$4:AM$574)</f>
        <v>0</v>
      </c>
      <c r="G45" s="24">
        <f>SUMIF('Pre- and Production'!$T$4:$T$574, CONCATENATE(LEFT('WBS Summary by Year'!G$5,1),'WBS Summary by Year'!$D45,'WBS Summary by Year'!$C$32),'Pre- and Production'!AD$4:AD$574)</f>
        <v>0</v>
      </c>
      <c r="H45" s="323">
        <f>SUMIF('Pre- and Production'!$T$4:$T$574, CONCATENATE(LEFT('WBS Summary by Year'!H$5,1),'WBS Summary by Year'!$D45,'WBS Summary by Year'!$C$32),'Pre- and Production'!AN$4:AN$574)</f>
        <v>0</v>
      </c>
      <c r="I45" s="24">
        <f>SUMIF('Pre- and Production'!$T$4:$T$574, CONCATENATE(LEFT('WBS Summary by Year'!I$5,1),'WBS Summary by Year'!$D45,'WBS Summary by Year'!$C$32),'Pre- and Production'!AE$4:AE$574)</f>
        <v>0</v>
      </c>
      <c r="J45" s="323">
        <f>SUMIF('Pre- and Production'!$T$4:$T$574, CONCATENATE(LEFT('WBS Summary by Year'!J$5,1),'WBS Summary by Year'!$D45,'WBS Summary by Year'!$C$32),'Pre- and Production'!AO$4:AO$574)</f>
        <v>0</v>
      </c>
      <c r="K45" s="324">
        <f>SUMIF('Pre- and Production'!$T$4:$T$574, CONCATENATE(LEFT('WBS Summary by Year'!K$5,1),'WBS Summary by Year'!$D45,'WBS Summary by Year'!$C$32),'Pre- and Production'!AF$4:AF$574)</f>
        <v>0</v>
      </c>
      <c r="L45" s="323">
        <f>SUMIF('Pre- and Production'!$T$4:$T$574, CONCATENATE(LEFT('WBS Summary by Year'!L$5,1),'WBS Summary by Year'!$D45,'WBS Summary by Year'!$C$32),'Pre- and Production'!AP$4:AP$574)</f>
        <v>0</v>
      </c>
      <c r="M45" s="324">
        <f>SUMIF('Pre- and Production'!$T$4:$T$574, CONCATENATE(LEFT('WBS Summary by Year'!M$5,1),'WBS Summary by Year'!$D45,'WBS Summary by Year'!$C$32),'Pre- and Production'!AG$4:AG$574)</f>
        <v>0</v>
      </c>
      <c r="N45" s="322">
        <f>SUMIF('Pre- and Production'!$T$4:$T$574, CONCATENATE(LEFT('WBS Summary by Year'!N$5,1),'WBS Summary by Year'!$D45,'WBS Summary by Year'!$C$32),'Pre- and Production'!AQ$4:AQ$574)</f>
        <v>0</v>
      </c>
      <c r="O45" s="325">
        <f>SUMIF('Pre- and Production'!$T$4:$T$574, CONCATENATE(LEFT('WBS Summary by Year'!O$5,1),'WBS Summary by Year'!$D45,'WBS Summary by Year'!$C$32),'Pre- and Production'!AH$4:AH$574)</f>
        <v>0</v>
      </c>
      <c r="P45" s="326">
        <f>SUMIF('Pre- and Production'!$T$4:$T$574, CONCATENATE(LEFT('WBS Summary by Year'!P$5,1),'WBS Summary by Year'!$D45,'WBS Summary by Year'!$C$32),'Pre- and Production'!AR$4:AR$574)</f>
        <v>0</v>
      </c>
    </row>
    <row r="46" spans="4:16">
      <c r="D46" s="42" t="s">
        <v>193</v>
      </c>
      <c r="E46" s="24">
        <f>SUMIF('Pre- and Production'!$T$4:$T$574, CONCATENATE(LEFT('WBS Summary by Year'!E$5,1),'WBS Summary by Year'!$D46,$C$32),'Pre- and Production'!AC$4:AC$574)</f>
        <v>0</v>
      </c>
      <c r="F46" s="322">
        <f>SUMIF('Pre- and Production'!$T$4:$T$574, CONCATENATE(LEFT('WBS Summary by Year'!F$5,1),'WBS Summary by Year'!$D46,'WBS Summary by Year'!$C$32),'Pre- and Production'!AM$4:AM$574)</f>
        <v>0</v>
      </c>
      <c r="G46" s="24">
        <f>SUMIF('Pre- and Production'!$T$4:$T$574, CONCATENATE(LEFT('WBS Summary by Year'!G$5,1),'WBS Summary by Year'!$D46,'WBS Summary by Year'!$C$32),'Pre- and Production'!AD$4:AD$574)</f>
        <v>0</v>
      </c>
      <c r="H46" s="323">
        <f>SUMIF('Pre- and Production'!$T$4:$T$574, CONCATENATE(LEFT('WBS Summary by Year'!H$5,1),'WBS Summary by Year'!$D46,'WBS Summary by Year'!$C$32),'Pre- and Production'!AN$4:AN$574)</f>
        <v>0</v>
      </c>
      <c r="I46" s="24">
        <f>SUMIF('Pre- and Production'!$T$4:$T$574, CONCATENATE(LEFT('WBS Summary by Year'!I$5,1),'WBS Summary by Year'!$D46,'WBS Summary by Year'!$C$32),'Pre- and Production'!AE$4:AE$574)</f>
        <v>0</v>
      </c>
      <c r="J46" s="323">
        <f>SUMIF('Pre- and Production'!$T$4:$T$574, CONCATENATE(LEFT('WBS Summary by Year'!J$5,1),'WBS Summary by Year'!$D46,'WBS Summary by Year'!$C$32),'Pre- and Production'!AO$4:AO$574)</f>
        <v>0</v>
      </c>
      <c r="K46" s="324">
        <f>SUMIF('Pre- and Production'!$T$4:$T$574, CONCATENATE(LEFT('WBS Summary by Year'!K$5,1),'WBS Summary by Year'!$D46,'WBS Summary by Year'!$C$32),'Pre- and Production'!AF$4:AF$574)</f>
        <v>0</v>
      </c>
      <c r="L46" s="323">
        <f>SUMIF('Pre- and Production'!$T$4:$T$574, CONCATENATE(LEFT('WBS Summary by Year'!L$5,1),'WBS Summary by Year'!$D46,'WBS Summary by Year'!$C$32),'Pre- and Production'!AP$4:AP$574)</f>
        <v>0</v>
      </c>
      <c r="M46" s="324">
        <f>SUMIF('Pre- and Production'!$T$4:$T$574, CONCATENATE(LEFT('WBS Summary by Year'!M$5,1),'WBS Summary by Year'!$D46,'WBS Summary by Year'!$C$32),'Pre- and Production'!AG$4:AG$574)</f>
        <v>0</v>
      </c>
      <c r="N46" s="322">
        <f>SUMIF('Pre- and Production'!$T$4:$T$574, CONCATENATE(LEFT('WBS Summary by Year'!N$5,1),'WBS Summary by Year'!$D46,'WBS Summary by Year'!$C$32),'Pre- and Production'!AQ$4:AQ$574)</f>
        <v>0</v>
      </c>
      <c r="O46" s="325">
        <f>SUMIF('Pre- and Production'!$T$4:$T$574, CONCATENATE(LEFT('WBS Summary by Year'!O$5,1),'WBS Summary by Year'!$D46,'WBS Summary by Year'!$C$32),'Pre- and Production'!AH$4:AH$574)</f>
        <v>0</v>
      </c>
      <c r="P46" s="326">
        <f>SUMIF('Pre- and Production'!$T$4:$T$574, CONCATENATE(LEFT('WBS Summary by Year'!P$5,1),'WBS Summary by Year'!$D46,'WBS Summary by Year'!$C$32),'Pre- and Production'!AR$4:AR$574)</f>
        <v>0</v>
      </c>
    </row>
    <row r="47" spans="4:16">
      <c r="D47" s="42" t="s">
        <v>195</v>
      </c>
      <c r="E47" s="24">
        <f>SUMIF('Pre- and Production'!$T$4:$T$574, CONCATENATE(LEFT('WBS Summary by Year'!E$5,1),'WBS Summary by Year'!$D47,$C$32),'Pre- and Production'!AC$4:AC$574)</f>
        <v>0</v>
      </c>
      <c r="F47" s="322">
        <f>SUMIF('Pre- and Production'!$T$4:$T$574, CONCATENATE(LEFT('WBS Summary by Year'!F$5,1),'WBS Summary by Year'!$D47,'WBS Summary by Year'!$C$32),'Pre- and Production'!AM$4:AM$574)</f>
        <v>0</v>
      </c>
      <c r="G47" s="24">
        <f>SUMIF('Pre- and Production'!$T$4:$T$574, CONCATENATE(LEFT('WBS Summary by Year'!G$5,1),'WBS Summary by Year'!$D47,'WBS Summary by Year'!$C$32),'Pre- and Production'!AD$4:AD$574)</f>
        <v>0</v>
      </c>
      <c r="H47" s="323">
        <f>SUMIF('Pre- and Production'!$T$4:$T$574, CONCATENATE(LEFT('WBS Summary by Year'!H$5,1),'WBS Summary by Year'!$D47,'WBS Summary by Year'!$C$32),'Pre- and Production'!AN$4:AN$574)</f>
        <v>0</v>
      </c>
      <c r="I47" s="24">
        <f>SUMIF('Pre- and Production'!$T$4:$T$574, CONCATENATE(LEFT('WBS Summary by Year'!I$5,1),'WBS Summary by Year'!$D47,'WBS Summary by Year'!$C$32),'Pre- and Production'!AE$4:AE$574)</f>
        <v>0</v>
      </c>
      <c r="J47" s="323">
        <f>SUMIF('Pre- and Production'!$T$4:$T$574, CONCATENATE(LEFT('WBS Summary by Year'!J$5,1),'WBS Summary by Year'!$D47,'WBS Summary by Year'!$C$32),'Pre- and Production'!AO$4:AO$574)</f>
        <v>0</v>
      </c>
      <c r="K47" s="324">
        <f>SUMIF('Pre- and Production'!$T$4:$T$574, CONCATENATE(LEFT('WBS Summary by Year'!K$5,1),'WBS Summary by Year'!$D47,'WBS Summary by Year'!$C$32),'Pre- and Production'!AF$4:AF$574)</f>
        <v>0</v>
      </c>
      <c r="L47" s="323">
        <f>SUMIF('Pre- and Production'!$T$4:$T$574, CONCATENATE(LEFT('WBS Summary by Year'!L$5,1),'WBS Summary by Year'!$D47,'WBS Summary by Year'!$C$32),'Pre- and Production'!AP$4:AP$574)</f>
        <v>0</v>
      </c>
      <c r="M47" s="324">
        <f>SUMIF('Pre- and Production'!$T$4:$T$574, CONCATENATE(LEFT('WBS Summary by Year'!M$5,1),'WBS Summary by Year'!$D47,'WBS Summary by Year'!$C$32),'Pre- and Production'!AG$4:AG$574)</f>
        <v>0</v>
      </c>
      <c r="N47" s="322">
        <f>SUMIF('Pre- and Production'!$T$4:$T$574, CONCATENATE(LEFT('WBS Summary by Year'!N$5,1),'WBS Summary by Year'!$D47,'WBS Summary by Year'!$C$32),'Pre- and Production'!AQ$4:AQ$574)</f>
        <v>0</v>
      </c>
      <c r="O47" s="325">
        <f>SUMIF('Pre- and Production'!$T$4:$T$574, CONCATENATE(LEFT('WBS Summary by Year'!O$5,1),'WBS Summary by Year'!$D47,'WBS Summary by Year'!$C$32),'Pre- and Production'!AH$4:AH$574)</f>
        <v>0</v>
      </c>
      <c r="P47" s="326">
        <f>SUMIF('Pre- and Production'!$T$4:$T$574, CONCATENATE(LEFT('WBS Summary by Year'!P$5,1),'WBS Summary by Year'!$D47,'WBS Summary by Year'!$C$32),'Pre- and Production'!AR$4:AR$574)</f>
        <v>0</v>
      </c>
    </row>
    <row r="48" spans="4:16">
      <c r="D48" s="123" t="s">
        <v>197</v>
      </c>
      <c r="E48" s="24">
        <f>SUMIF('Pre- and Production'!$T$4:$T$574, CONCATENATE(LEFT('WBS Summary by Year'!E$5,1),'WBS Summary by Year'!$D48,$C$32),'Pre- and Production'!AC$4:AC$574)</f>
        <v>0</v>
      </c>
      <c r="F48" s="322">
        <f>SUMIF('Pre- and Production'!$T$4:$T$574, CONCATENATE(LEFT('WBS Summary by Year'!F$5,1),'WBS Summary by Year'!$D48,'WBS Summary by Year'!$C$32),'Pre- and Production'!AM$4:AM$574)</f>
        <v>0</v>
      </c>
      <c r="G48" s="24">
        <f>SUMIF('Pre- and Production'!$T$4:$T$574, CONCATENATE(LEFT('WBS Summary by Year'!G$5,1),'WBS Summary by Year'!$D48,'WBS Summary by Year'!$C$32),'Pre- and Production'!AD$4:AD$574)</f>
        <v>0</v>
      </c>
      <c r="H48" s="323">
        <f>SUMIF('Pre- and Production'!$T$4:$T$574, CONCATENATE(LEFT('WBS Summary by Year'!H$5,1),'WBS Summary by Year'!$D48,'WBS Summary by Year'!$C$32),'Pre- and Production'!AN$4:AN$574)</f>
        <v>0</v>
      </c>
      <c r="I48" s="24">
        <f>SUMIF('Pre- and Production'!$T$4:$T$574, CONCATENATE(LEFT('WBS Summary by Year'!I$5,1),'WBS Summary by Year'!$D48,'WBS Summary by Year'!$C$32),'Pre- and Production'!AE$4:AE$574)</f>
        <v>0</v>
      </c>
      <c r="J48" s="323">
        <f>SUMIF('Pre- and Production'!$T$4:$T$574, CONCATENATE(LEFT('WBS Summary by Year'!J$5,1),'WBS Summary by Year'!$D48,'WBS Summary by Year'!$C$32),'Pre- and Production'!AO$4:AO$574)</f>
        <v>0</v>
      </c>
      <c r="K48" s="324">
        <f>SUMIF('Pre- and Production'!$T$4:$T$574, CONCATENATE(LEFT('WBS Summary by Year'!K$5,1),'WBS Summary by Year'!$D48,'WBS Summary by Year'!$C$32),'Pre- and Production'!AF$4:AF$574)</f>
        <v>0</v>
      </c>
      <c r="L48" s="323">
        <f>SUMIF('Pre- and Production'!$T$4:$T$574, CONCATENATE(LEFT('WBS Summary by Year'!L$5,1),'WBS Summary by Year'!$D48,'WBS Summary by Year'!$C$32),'Pre- and Production'!AP$4:AP$574)</f>
        <v>0</v>
      </c>
      <c r="M48" s="324">
        <f>SUMIF('Pre- and Production'!$T$4:$T$574, CONCATENATE(LEFT('WBS Summary by Year'!M$5,1),'WBS Summary by Year'!$D48,'WBS Summary by Year'!$C$32),'Pre- and Production'!AG$4:AG$574)</f>
        <v>0</v>
      </c>
      <c r="N48" s="322">
        <f>SUMIF('Pre- and Production'!$T$4:$T$574, CONCATENATE(LEFT('WBS Summary by Year'!N$5,1),'WBS Summary by Year'!$D48,'WBS Summary by Year'!$C$32),'Pre- and Production'!AQ$4:AQ$574)</f>
        <v>0</v>
      </c>
      <c r="O48" s="325">
        <f>SUMIF('Pre- and Production'!$T$4:$T$574, CONCATENATE(LEFT('WBS Summary by Year'!O$5,1),'WBS Summary by Year'!$D48,'WBS Summary by Year'!$C$32),'Pre- and Production'!AH$4:AH$574)</f>
        <v>0</v>
      </c>
      <c r="P48" s="326">
        <f>SUMIF('Pre- and Production'!$T$4:$T$574, CONCATENATE(LEFT('WBS Summary by Year'!P$5,1),'WBS Summary by Year'!$D48,'WBS Summary by Year'!$C$32),'Pre- and Production'!AR$4:AR$574)</f>
        <v>0</v>
      </c>
    </row>
    <row r="49" spans="3:16">
      <c r="D49" s="42" t="s">
        <v>199</v>
      </c>
      <c r="E49" s="24">
        <f>SUMIF('Pre- and Production'!$T$4:$T$574, CONCATENATE(LEFT('WBS Summary by Year'!E$5,1),'WBS Summary by Year'!$D49,$C$32),'Pre- and Production'!AC$4:AC$574)</f>
        <v>0</v>
      </c>
      <c r="F49" s="322">
        <f>SUMIF('Pre- and Production'!$T$4:$T$574, CONCATENATE(LEFT('WBS Summary by Year'!F$5,1),'WBS Summary by Year'!$D49,'WBS Summary by Year'!$C$32),'Pre- and Production'!AM$4:AM$574)</f>
        <v>0</v>
      </c>
      <c r="G49" s="24">
        <f>SUMIF('Pre- and Production'!$T$4:$T$574, CONCATENATE(LEFT('WBS Summary by Year'!G$5,1),'WBS Summary by Year'!$D49,'WBS Summary by Year'!$C$32),'Pre- and Production'!AD$4:AD$574)</f>
        <v>0</v>
      </c>
      <c r="H49" s="323">
        <f>SUMIF('Pre- and Production'!$T$4:$T$574, CONCATENATE(LEFT('WBS Summary by Year'!H$5,1),'WBS Summary by Year'!$D49,'WBS Summary by Year'!$C$32),'Pre- and Production'!AN$4:AN$574)</f>
        <v>0</v>
      </c>
      <c r="I49" s="24">
        <f>SUMIF('Pre- and Production'!$T$4:$T$574, CONCATENATE(LEFT('WBS Summary by Year'!I$5,1),'WBS Summary by Year'!$D49,'WBS Summary by Year'!$C$32),'Pre- and Production'!AE$4:AE$574)</f>
        <v>0</v>
      </c>
      <c r="J49" s="323">
        <f>SUMIF('Pre- and Production'!$T$4:$T$574, CONCATENATE(LEFT('WBS Summary by Year'!J$5,1),'WBS Summary by Year'!$D49,'WBS Summary by Year'!$C$32),'Pre- and Production'!AO$4:AO$574)</f>
        <v>0</v>
      </c>
      <c r="K49" s="324">
        <f>SUMIF('Pre- and Production'!$T$4:$T$574, CONCATENATE(LEFT('WBS Summary by Year'!K$5,1),'WBS Summary by Year'!$D49,'WBS Summary by Year'!$C$32),'Pre- and Production'!AF$4:AF$574)</f>
        <v>0</v>
      </c>
      <c r="L49" s="323">
        <f>SUMIF('Pre- and Production'!$T$4:$T$574, CONCATENATE(LEFT('WBS Summary by Year'!L$5,1),'WBS Summary by Year'!$D49,'WBS Summary by Year'!$C$32),'Pre- and Production'!AP$4:AP$574)</f>
        <v>0</v>
      </c>
      <c r="M49" s="324">
        <f>SUMIF('Pre- and Production'!$T$4:$T$574, CONCATENATE(LEFT('WBS Summary by Year'!M$5,1),'WBS Summary by Year'!$D49,'WBS Summary by Year'!$C$32),'Pre- and Production'!AG$4:AG$574)</f>
        <v>0</v>
      </c>
      <c r="N49" s="322">
        <f>SUMIF('Pre- and Production'!$T$4:$T$574, CONCATENATE(LEFT('WBS Summary by Year'!N$5,1),'WBS Summary by Year'!$D49,'WBS Summary by Year'!$C$32),'Pre- and Production'!AQ$4:AQ$574)</f>
        <v>0</v>
      </c>
      <c r="O49" s="325">
        <f>SUMIF('Pre- and Production'!$T$4:$T$574, CONCATENATE(LEFT('WBS Summary by Year'!O$5,1),'WBS Summary by Year'!$D49,'WBS Summary by Year'!$C$32),'Pre- and Production'!AH$4:AH$574)</f>
        <v>0</v>
      </c>
      <c r="P49" s="326">
        <f>SUMIF('Pre- and Production'!$T$4:$T$574, CONCATENATE(LEFT('WBS Summary by Year'!P$5,1),'WBS Summary by Year'!$D49,'WBS Summary by Year'!$C$32),'Pre- and Production'!AR$4:AR$574)</f>
        <v>0</v>
      </c>
    </row>
    <row r="50" spans="3:16">
      <c r="D50" s="123" t="s">
        <v>202</v>
      </c>
      <c r="E50" s="24">
        <f>SUMIF('Pre- and Production'!$T$4:$T$574, CONCATENATE(LEFT('WBS Summary by Year'!E$5,1),'WBS Summary by Year'!$D50,$C$32),'Pre- and Production'!AC$4:AC$574)</f>
        <v>0</v>
      </c>
      <c r="F50" s="322">
        <f>SUMIF('Pre- and Production'!$T$4:$T$574, CONCATENATE(LEFT('WBS Summary by Year'!F$5,1),'WBS Summary by Year'!$D50,'WBS Summary by Year'!$C$32),'Pre- and Production'!AM$4:AM$574)</f>
        <v>0</v>
      </c>
      <c r="G50" s="24">
        <f>SUMIF('Pre- and Production'!$T$4:$T$574, CONCATENATE(LEFT('WBS Summary by Year'!G$5,1),'WBS Summary by Year'!$D50,'WBS Summary by Year'!$C$32),'Pre- and Production'!AD$4:AD$574)</f>
        <v>0</v>
      </c>
      <c r="H50" s="323">
        <f>SUMIF('Pre- and Production'!$T$4:$T$574, CONCATENATE(LEFT('WBS Summary by Year'!H$5,1),'WBS Summary by Year'!$D50,'WBS Summary by Year'!$C$32),'Pre- and Production'!AN$4:AN$574)</f>
        <v>0</v>
      </c>
      <c r="I50" s="24">
        <f>SUMIF('Pre- and Production'!$T$4:$T$574, CONCATENATE(LEFT('WBS Summary by Year'!I$5,1),'WBS Summary by Year'!$D50,'WBS Summary by Year'!$C$32),'Pre- and Production'!AE$4:AE$574)</f>
        <v>0</v>
      </c>
      <c r="J50" s="323">
        <f>SUMIF('Pre- and Production'!$T$4:$T$574, CONCATENATE(LEFT('WBS Summary by Year'!J$5,1),'WBS Summary by Year'!$D50,'WBS Summary by Year'!$C$32),'Pre- and Production'!AO$4:AO$574)</f>
        <v>0</v>
      </c>
      <c r="K50" s="324">
        <f>SUMIF('Pre- and Production'!$T$4:$T$574, CONCATENATE(LEFT('WBS Summary by Year'!K$5,1),'WBS Summary by Year'!$D50,'WBS Summary by Year'!$C$32),'Pre- and Production'!AF$4:AF$574)</f>
        <v>0</v>
      </c>
      <c r="L50" s="323">
        <f>SUMIF('Pre- and Production'!$T$4:$T$574, CONCATENATE(LEFT('WBS Summary by Year'!L$5,1),'WBS Summary by Year'!$D50,'WBS Summary by Year'!$C$32),'Pre- and Production'!AP$4:AP$574)</f>
        <v>0</v>
      </c>
      <c r="M50" s="324">
        <f>SUMIF('Pre- and Production'!$T$4:$T$574, CONCATENATE(LEFT('WBS Summary by Year'!M$5,1),'WBS Summary by Year'!$D50,'WBS Summary by Year'!$C$32),'Pre- and Production'!AG$4:AG$574)</f>
        <v>0</v>
      </c>
      <c r="N50" s="322">
        <f>SUMIF('Pre- and Production'!$T$4:$T$574, CONCATENATE(LEFT('WBS Summary by Year'!N$5,1),'WBS Summary by Year'!$D50,'WBS Summary by Year'!$C$32),'Pre- and Production'!AQ$4:AQ$574)</f>
        <v>0</v>
      </c>
      <c r="O50" s="325">
        <f>SUMIF('Pre- and Production'!$T$4:$T$574, CONCATENATE(LEFT('WBS Summary by Year'!O$5,1),'WBS Summary by Year'!$D50,'WBS Summary by Year'!$C$32),'Pre- and Production'!AH$4:AH$574)</f>
        <v>0</v>
      </c>
      <c r="P50" s="326">
        <f>SUMIF('Pre- and Production'!$T$4:$T$574, CONCATENATE(LEFT('WBS Summary by Year'!P$5,1),'WBS Summary by Year'!$D50,'WBS Summary by Year'!$C$32),'Pre- and Production'!AR$4:AR$574)</f>
        <v>0</v>
      </c>
    </row>
    <row r="51" spans="3:16">
      <c r="D51" s="42" t="s">
        <v>204</v>
      </c>
      <c r="E51" s="24">
        <f>SUMIF('Pre- and Production'!$T$4:$T$574, CONCATENATE(LEFT('WBS Summary by Year'!E$5,1),'WBS Summary by Year'!$D51,$C$32),'Pre- and Production'!AC$4:AC$574)</f>
        <v>0</v>
      </c>
      <c r="F51" s="322">
        <f>SUMIF('Pre- and Production'!$T$4:$T$574, CONCATENATE(LEFT('WBS Summary by Year'!F$5,1),'WBS Summary by Year'!$D51,'WBS Summary by Year'!$C$32),'Pre- and Production'!AM$4:AM$574)</f>
        <v>0</v>
      </c>
      <c r="G51" s="24">
        <f>SUMIF('Pre- and Production'!$T$4:$T$574, CONCATENATE(LEFT('WBS Summary by Year'!G$5,1),'WBS Summary by Year'!$D51,'WBS Summary by Year'!$C$32),'Pre- and Production'!AD$4:AD$574)</f>
        <v>0</v>
      </c>
      <c r="H51" s="323">
        <f>SUMIF('Pre- and Production'!$T$4:$T$574, CONCATENATE(LEFT('WBS Summary by Year'!H$5,1),'WBS Summary by Year'!$D51,'WBS Summary by Year'!$C$32),'Pre- and Production'!AN$4:AN$574)</f>
        <v>0</v>
      </c>
      <c r="I51" s="24">
        <f>SUMIF('Pre- and Production'!$T$4:$T$574, CONCATENATE(LEFT('WBS Summary by Year'!I$5,1),'WBS Summary by Year'!$D51,'WBS Summary by Year'!$C$32),'Pre- and Production'!AE$4:AE$574)</f>
        <v>640</v>
      </c>
      <c r="J51" s="323">
        <f>SUMIF('Pre- and Production'!$T$4:$T$574, CONCATENATE(LEFT('WBS Summary by Year'!J$5,1),'WBS Summary by Year'!$D51,'WBS Summary by Year'!$C$32),'Pre- and Production'!AO$4:AO$574)</f>
        <v>0</v>
      </c>
      <c r="K51" s="324">
        <f>SUMIF('Pre- and Production'!$T$4:$T$574, CONCATENATE(LEFT('WBS Summary by Year'!K$5,1),'WBS Summary by Year'!$D51,'WBS Summary by Year'!$C$32),'Pre- and Production'!AF$4:AF$574)</f>
        <v>80</v>
      </c>
      <c r="L51" s="323">
        <f>SUMIF('Pre- and Production'!$T$4:$T$574, CONCATENATE(LEFT('WBS Summary by Year'!L$5,1),'WBS Summary by Year'!$D51,'WBS Summary by Year'!$C$32),'Pre- and Production'!AP$4:AP$574)</f>
        <v>0</v>
      </c>
      <c r="M51" s="324">
        <f>SUMIF('Pre- and Production'!$T$4:$T$574, CONCATENATE(LEFT('WBS Summary by Year'!M$5,1),'WBS Summary by Year'!$D51,'WBS Summary by Year'!$C$32),'Pre- and Production'!AG$4:AG$574)</f>
        <v>460</v>
      </c>
      <c r="N51" s="322">
        <f>SUMIF('Pre- and Production'!$T$4:$T$574, CONCATENATE(LEFT('WBS Summary by Year'!N$5,1),'WBS Summary by Year'!$D51,'WBS Summary by Year'!$C$32),'Pre- and Production'!AQ$4:AQ$574)</f>
        <v>0</v>
      </c>
      <c r="O51" s="325">
        <f>SUMIF('Pre- and Production'!$T$4:$T$574, CONCATENATE(LEFT('WBS Summary by Year'!O$5,1),'WBS Summary by Year'!$D51,'WBS Summary by Year'!$C$32),'Pre- and Production'!AH$4:AH$574)</f>
        <v>0</v>
      </c>
      <c r="P51" s="326">
        <f>SUMIF('Pre- and Production'!$T$4:$T$574, CONCATENATE(LEFT('WBS Summary by Year'!P$5,1),'WBS Summary by Year'!$D51,'WBS Summary by Year'!$C$32),'Pre- and Production'!AR$4:AR$574)</f>
        <v>0</v>
      </c>
    </row>
    <row r="52" spans="3:16">
      <c r="D52" s="42" t="s">
        <v>206</v>
      </c>
      <c r="E52" s="24">
        <f>SUMIF('Pre- and Production'!$T$4:$T$574, CONCATENATE(LEFT('WBS Summary by Year'!E$5,1),'WBS Summary by Year'!$D52,$C$32),'Pre- and Production'!AC$4:AC$574)</f>
        <v>0</v>
      </c>
      <c r="F52" s="322">
        <f>SUMIF('Pre- and Production'!$T$4:$T$574, CONCATENATE(LEFT('WBS Summary by Year'!F$5,1),'WBS Summary by Year'!$D52,'WBS Summary by Year'!$C$32),'Pre- and Production'!AM$4:AM$574)</f>
        <v>0</v>
      </c>
      <c r="G52" s="24">
        <f>SUMIF('Pre- and Production'!$T$4:$T$574, CONCATENATE(LEFT('WBS Summary by Year'!G$5,1),'WBS Summary by Year'!$D52,'WBS Summary by Year'!$C$32),'Pre- and Production'!AD$4:AD$574)</f>
        <v>0</v>
      </c>
      <c r="H52" s="323">
        <f>SUMIF('Pre- and Production'!$T$4:$T$574, CONCATENATE(LEFT('WBS Summary by Year'!H$5,1),'WBS Summary by Year'!$D52,'WBS Summary by Year'!$C$32),'Pre- and Production'!AN$4:AN$574)</f>
        <v>0</v>
      </c>
      <c r="I52" s="24">
        <f>SUMIF('Pre- and Production'!$T$4:$T$574, CONCATENATE(LEFT('WBS Summary by Year'!I$5,1),'WBS Summary by Year'!$D52,'WBS Summary by Year'!$C$32),'Pre- and Production'!AE$4:AE$574)</f>
        <v>0</v>
      </c>
      <c r="J52" s="323">
        <f>SUMIF('Pre- and Production'!$T$4:$T$574, CONCATENATE(LEFT('WBS Summary by Year'!J$5,1),'WBS Summary by Year'!$D52,'WBS Summary by Year'!$C$32),'Pre- and Production'!AO$4:AO$574)</f>
        <v>0</v>
      </c>
      <c r="K52" s="324">
        <f>SUMIF('Pre- and Production'!$T$4:$T$574, CONCATENATE(LEFT('WBS Summary by Year'!K$5,1),'WBS Summary by Year'!$D52,'WBS Summary by Year'!$C$32),'Pre- and Production'!AF$4:AF$574)</f>
        <v>0</v>
      </c>
      <c r="L52" s="323">
        <f>SUMIF('Pre- and Production'!$T$4:$T$574, CONCATENATE(LEFT('WBS Summary by Year'!L$5,1),'WBS Summary by Year'!$D52,'WBS Summary by Year'!$C$32),'Pre- and Production'!AP$4:AP$574)</f>
        <v>0</v>
      </c>
      <c r="M52" s="324">
        <f>SUMIF('Pre- and Production'!$T$4:$T$574, CONCATENATE(LEFT('WBS Summary by Year'!M$5,1),'WBS Summary by Year'!$D52,'WBS Summary by Year'!$C$32),'Pre- and Production'!AG$4:AG$574)</f>
        <v>0</v>
      </c>
      <c r="N52" s="322">
        <f>SUMIF('Pre- and Production'!$T$4:$T$574, CONCATENATE(LEFT('WBS Summary by Year'!N$5,1),'WBS Summary by Year'!$D52,'WBS Summary by Year'!$C$32),'Pre- and Production'!AQ$4:AQ$574)</f>
        <v>0</v>
      </c>
      <c r="O52" s="325">
        <f>SUMIF('Pre- and Production'!$T$4:$T$574, CONCATENATE(LEFT('WBS Summary by Year'!O$5,1),'WBS Summary by Year'!$D52,'WBS Summary by Year'!$C$32),'Pre- and Production'!AH$4:AH$574)</f>
        <v>0</v>
      </c>
      <c r="P52" s="326">
        <f>SUMIF('Pre- and Production'!$T$4:$T$574, CONCATENATE(LEFT('WBS Summary by Year'!P$5,1),'WBS Summary by Year'!$D52,'WBS Summary by Year'!$C$32),'Pre- and Production'!AR$4:AR$574)</f>
        <v>0</v>
      </c>
    </row>
    <row r="53" spans="3:16">
      <c r="D53" s="42" t="s">
        <v>208</v>
      </c>
      <c r="E53" s="24">
        <f>SUMIF('Pre- and Production'!$T$4:$T$574, CONCATENATE(LEFT('WBS Summary by Year'!E$5,1),'WBS Summary by Year'!$D53,$C$32),'Pre- and Production'!AC$4:AC$574)</f>
        <v>0</v>
      </c>
      <c r="F53" s="322">
        <f>SUMIF('Pre- and Production'!$T$4:$T$574, CONCATENATE(LEFT('WBS Summary by Year'!F$5,1),'WBS Summary by Year'!$D53,'WBS Summary by Year'!$C$32),'Pre- and Production'!AM$4:AM$574)</f>
        <v>0</v>
      </c>
      <c r="G53" s="24">
        <f>SUMIF('Pre- and Production'!$T$4:$T$574, CONCATENATE(LEFT('WBS Summary by Year'!G$5,1),'WBS Summary by Year'!$D53,'WBS Summary by Year'!$C$32),'Pre- and Production'!AD$4:AD$574)</f>
        <v>0</v>
      </c>
      <c r="H53" s="323">
        <f>SUMIF('Pre- and Production'!$T$4:$T$574, CONCATENATE(LEFT('WBS Summary by Year'!H$5,1),'WBS Summary by Year'!$D53,'WBS Summary by Year'!$C$32),'Pre- and Production'!AN$4:AN$574)</f>
        <v>0</v>
      </c>
      <c r="I53" s="24">
        <f>SUMIF('Pre- and Production'!$T$4:$T$574, CONCATENATE(LEFT('WBS Summary by Year'!I$5,1),'WBS Summary by Year'!$D53,'WBS Summary by Year'!$C$32),'Pre- and Production'!AE$4:AE$574)</f>
        <v>0</v>
      </c>
      <c r="J53" s="323">
        <f>SUMIF('Pre- and Production'!$T$4:$T$574, CONCATENATE(LEFT('WBS Summary by Year'!J$5,1),'WBS Summary by Year'!$D53,'WBS Summary by Year'!$C$32),'Pre- and Production'!AO$4:AO$574)</f>
        <v>0</v>
      </c>
      <c r="K53" s="324">
        <f>SUMIF('Pre- and Production'!$T$4:$T$574, CONCATENATE(LEFT('WBS Summary by Year'!K$5,1),'WBS Summary by Year'!$D53,'WBS Summary by Year'!$C$32),'Pre- and Production'!AF$4:AF$574)</f>
        <v>0</v>
      </c>
      <c r="L53" s="323">
        <f>SUMIF('Pre- and Production'!$T$4:$T$574, CONCATENATE(LEFT('WBS Summary by Year'!L$5,1),'WBS Summary by Year'!$D53,'WBS Summary by Year'!$C$32),'Pre- and Production'!AP$4:AP$574)</f>
        <v>0</v>
      </c>
      <c r="M53" s="324">
        <f>SUMIF('Pre- and Production'!$T$4:$T$574, CONCATENATE(LEFT('WBS Summary by Year'!M$5,1),'WBS Summary by Year'!$D53,'WBS Summary by Year'!$C$32),'Pre- and Production'!AG$4:AG$574)</f>
        <v>0</v>
      </c>
      <c r="N53" s="322">
        <f>SUMIF('Pre- and Production'!$T$4:$T$574, CONCATENATE(LEFT('WBS Summary by Year'!N$5,1),'WBS Summary by Year'!$D53,'WBS Summary by Year'!$C$32),'Pre- and Production'!AQ$4:AQ$574)</f>
        <v>0</v>
      </c>
      <c r="O53" s="325">
        <f>SUMIF('Pre- and Production'!$T$4:$T$574, CONCATENATE(LEFT('WBS Summary by Year'!O$5,1),'WBS Summary by Year'!$D53,'WBS Summary by Year'!$C$32),'Pre- and Production'!AH$4:AH$574)</f>
        <v>0</v>
      </c>
      <c r="P53" s="326">
        <f>SUMIF('Pre- and Production'!$T$4:$T$574, CONCATENATE(LEFT('WBS Summary by Year'!P$5,1),'WBS Summary by Year'!$D53,'WBS Summary by Year'!$C$32),'Pre- and Production'!AR$4:AR$574)</f>
        <v>0</v>
      </c>
    </row>
    <row r="54" spans="3:16">
      <c r="D54" s="42" t="s">
        <v>210</v>
      </c>
      <c r="E54" s="24">
        <f>SUMIF('Pre- and Production'!$T$4:$T$574, CONCATENATE(LEFT('WBS Summary by Year'!E$5,1),'WBS Summary by Year'!$D54,$C$32),'Pre- and Production'!AC$4:AC$574)</f>
        <v>0</v>
      </c>
      <c r="F54" s="322">
        <f>SUMIF('Pre- and Production'!$T$4:$T$574, CONCATENATE(LEFT('WBS Summary by Year'!F$5,1),'WBS Summary by Year'!$D54,'WBS Summary by Year'!$C$32),'Pre- and Production'!AM$4:AM$574)</f>
        <v>0</v>
      </c>
      <c r="G54" s="24">
        <f>SUMIF('Pre- and Production'!$T$4:$T$574, CONCATENATE(LEFT('WBS Summary by Year'!G$5,1),'WBS Summary by Year'!$D54,'WBS Summary by Year'!$C$32),'Pre- and Production'!AD$4:AD$574)</f>
        <v>0</v>
      </c>
      <c r="H54" s="323">
        <f>SUMIF('Pre- and Production'!$T$4:$T$574, CONCATENATE(LEFT('WBS Summary by Year'!H$5,1),'WBS Summary by Year'!$D54,'WBS Summary by Year'!$C$32),'Pre- and Production'!AN$4:AN$574)</f>
        <v>0</v>
      </c>
      <c r="I54" s="24">
        <f>SUMIF('Pre- and Production'!$T$4:$T$574, CONCATENATE(LEFT('WBS Summary by Year'!I$5,1),'WBS Summary by Year'!$D54,'WBS Summary by Year'!$C$32),'Pre- and Production'!AE$4:AE$574)</f>
        <v>0</v>
      </c>
      <c r="J54" s="323">
        <f>SUMIF('Pre- and Production'!$T$4:$T$574, CONCATENATE(LEFT('WBS Summary by Year'!J$5,1),'WBS Summary by Year'!$D54,'WBS Summary by Year'!$C$32),'Pre- and Production'!AO$4:AO$574)</f>
        <v>0</v>
      </c>
      <c r="K54" s="324">
        <f>SUMIF('Pre- and Production'!$T$4:$T$574, CONCATENATE(LEFT('WBS Summary by Year'!K$5,1),'WBS Summary by Year'!$D54,'WBS Summary by Year'!$C$32),'Pre- and Production'!AF$4:AF$574)</f>
        <v>0</v>
      </c>
      <c r="L54" s="323">
        <f>SUMIF('Pre- and Production'!$T$4:$T$574, CONCATENATE(LEFT('WBS Summary by Year'!L$5,1),'WBS Summary by Year'!$D54,'WBS Summary by Year'!$C$32),'Pre- and Production'!AP$4:AP$574)</f>
        <v>0</v>
      </c>
      <c r="M54" s="324">
        <f>SUMIF('Pre- and Production'!$T$4:$T$574, CONCATENATE(LEFT('WBS Summary by Year'!M$5,1),'WBS Summary by Year'!$D54,'WBS Summary by Year'!$C$32),'Pre- and Production'!AG$4:AG$574)</f>
        <v>0</v>
      </c>
      <c r="N54" s="322">
        <f>SUMIF('Pre- and Production'!$T$4:$T$574, CONCATENATE(LEFT('WBS Summary by Year'!N$5,1),'WBS Summary by Year'!$D54,'WBS Summary by Year'!$C$32),'Pre- and Production'!AQ$4:AQ$574)</f>
        <v>0</v>
      </c>
      <c r="O54" s="325">
        <f>SUMIF('Pre- and Production'!$T$4:$T$574, CONCATENATE(LEFT('WBS Summary by Year'!O$5,1),'WBS Summary by Year'!$D54,'WBS Summary by Year'!$C$32),'Pre- and Production'!AH$4:AH$574)</f>
        <v>0</v>
      </c>
      <c r="P54" s="326">
        <f>SUMIF('Pre- and Production'!$T$4:$T$574, CONCATENATE(LEFT('WBS Summary by Year'!P$5,1),'WBS Summary by Year'!$D54,'WBS Summary by Year'!$C$32),'Pre- and Production'!AR$4:AR$574)</f>
        <v>0</v>
      </c>
    </row>
    <row r="55" spans="3:16" ht="13.5" thickBot="1">
      <c r="D55" s="123" t="s">
        <v>212</v>
      </c>
      <c r="E55" s="327">
        <f>SUMIF('Pre- and Production'!$T$4:$T$574, CONCATENATE(LEFT('WBS Summary by Year'!E$5,1),'WBS Summary by Year'!$D55,$C$32),'Pre- and Production'!AC$4:AC$574)</f>
        <v>0</v>
      </c>
      <c r="F55" s="328">
        <f>SUMIF('Pre- and Production'!$T$4:$T$574, CONCATENATE(LEFT('WBS Summary by Year'!F$5,1),'WBS Summary by Year'!$D55,'WBS Summary by Year'!$C$32),'Pre- and Production'!AM$4:AM$574)</f>
        <v>0</v>
      </c>
      <c r="G55" s="327">
        <f>SUMIF('Pre- and Production'!$T$4:$T$574, CONCATENATE(LEFT('WBS Summary by Year'!G$5,1),'WBS Summary by Year'!$D55,'WBS Summary by Year'!$C$32),'Pre- and Production'!AD$4:AD$574)</f>
        <v>0</v>
      </c>
      <c r="H55" s="329">
        <f>SUMIF('Pre- and Production'!$T$4:$T$574, CONCATENATE(LEFT('WBS Summary by Year'!H$5,1),'WBS Summary by Year'!$D55,'WBS Summary by Year'!$C$32),'Pre- and Production'!AN$4:AN$574)</f>
        <v>0</v>
      </c>
      <c r="I55" s="327">
        <f>SUMIF('Pre- and Production'!$T$4:$T$574, CONCATENATE(LEFT('WBS Summary by Year'!I$5,1),'WBS Summary by Year'!$D55,'WBS Summary by Year'!$C$32),'Pre- and Production'!AE$4:AE$574)</f>
        <v>0</v>
      </c>
      <c r="J55" s="329">
        <f>SUMIF('Pre- and Production'!$T$4:$T$574, CONCATENATE(LEFT('WBS Summary by Year'!J$5,1),'WBS Summary by Year'!$D55,'WBS Summary by Year'!$C$32),'Pre- and Production'!AO$4:AO$574)</f>
        <v>0</v>
      </c>
      <c r="K55" s="330">
        <f>SUMIF('Pre- and Production'!$T$4:$T$574, CONCATENATE(LEFT('WBS Summary by Year'!K$5,1),'WBS Summary by Year'!$D55,'WBS Summary by Year'!$C$32),'Pre- and Production'!AF$4:AF$574)</f>
        <v>0</v>
      </c>
      <c r="L55" s="329">
        <f>SUMIF('Pre- and Production'!$T$4:$T$574, CONCATENATE(LEFT('WBS Summary by Year'!L$5,1),'WBS Summary by Year'!$D55,'WBS Summary by Year'!$C$32),'Pre- and Production'!AP$4:AP$574)</f>
        <v>0</v>
      </c>
      <c r="M55" s="330">
        <f>SUMIF('Pre- and Production'!$T$4:$T$574, CONCATENATE(LEFT('WBS Summary by Year'!M$5,1),'WBS Summary by Year'!$D55,'WBS Summary by Year'!$C$32),'Pre- and Production'!AG$4:AG$574)</f>
        <v>0</v>
      </c>
      <c r="N55" s="328">
        <f>SUMIF('Pre- and Production'!$T$4:$T$574, CONCATENATE(LEFT('WBS Summary by Year'!N$5,1),'WBS Summary by Year'!$D55,'WBS Summary by Year'!$C$32),'Pre- and Production'!AQ$4:AQ$574)</f>
        <v>0</v>
      </c>
      <c r="O55" s="331">
        <f>SUMIF('Pre- and Production'!$T$4:$T$574, CONCATENATE(LEFT('WBS Summary by Year'!O$5,1),'WBS Summary by Year'!$D55,'WBS Summary by Year'!$C$32),'Pre- and Production'!AH$4:AH$574)</f>
        <v>0</v>
      </c>
      <c r="P55" s="332">
        <f>SUMIF('Pre- and Production'!$T$4:$T$574, CONCATENATE(LEFT('WBS Summary by Year'!P$5,1),'WBS Summary by Year'!$D55,'WBS Summary by Year'!$C$32),'Pre- and Production'!AR$4:AR$574)</f>
        <v>0</v>
      </c>
    </row>
    <row r="56" spans="3:16" ht="13.5" thickTop="1"/>
    <row r="57" spans="3:16">
      <c r="D57" s="333" t="s">
        <v>7</v>
      </c>
      <c r="E57">
        <f>SUM(E35:E55)</f>
        <v>128</v>
      </c>
      <c r="F57">
        <f t="shared" ref="F57:P57" si="2">SUM(F35:F55)</f>
        <v>0</v>
      </c>
      <c r="G57">
        <f t="shared" si="2"/>
        <v>464</v>
      </c>
      <c r="H57">
        <f t="shared" si="2"/>
        <v>208</v>
      </c>
      <c r="I57">
        <f t="shared" si="2"/>
        <v>2756</v>
      </c>
      <c r="J57">
        <f t="shared" si="2"/>
        <v>16</v>
      </c>
      <c r="K57">
        <f t="shared" si="2"/>
        <v>336</v>
      </c>
      <c r="L57">
        <f t="shared" si="2"/>
        <v>16</v>
      </c>
      <c r="M57">
        <f t="shared" si="2"/>
        <v>2644</v>
      </c>
      <c r="N57">
        <f t="shared" si="2"/>
        <v>48</v>
      </c>
      <c r="O57" s="306">
        <f t="shared" si="2"/>
        <v>87108</v>
      </c>
      <c r="P57" s="306">
        <f t="shared" si="2"/>
        <v>7500</v>
      </c>
    </row>
    <row r="58" spans="3:16">
      <c r="D58" s="333" t="s">
        <v>384</v>
      </c>
      <c r="E58" s="305">
        <f t="shared" ref="E58:N58" si="3">E57/1720</f>
        <v>7.441860465116279E-2</v>
      </c>
      <c r="F58" s="305">
        <f t="shared" si="3"/>
        <v>0</v>
      </c>
      <c r="G58" s="305">
        <f t="shared" si="3"/>
        <v>0.26976744186046514</v>
      </c>
      <c r="H58" s="305">
        <f t="shared" si="3"/>
        <v>0.12093023255813953</v>
      </c>
      <c r="I58" s="305">
        <f t="shared" si="3"/>
        <v>1.6023255813953488</v>
      </c>
      <c r="J58" s="305">
        <f t="shared" si="3"/>
        <v>9.3023255813953487E-3</v>
      </c>
      <c r="K58" s="305">
        <f t="shared" si="3"/>
        <v>0.19534883720930232</v>
      </c>
      <c r="L58" s="305">
        <f t="shared" si="3"/>
        <v>9.3023255813953487E-3</v>
      </c>
      <c r="M58" s="305">
        <f t="shared" si="3"/>
        <v>1.5372093023255815</v>
      </c>
      <c r="N58" s="305">
        <f t="shared" si="3"/>
        <v>2.7906976744186046E-2</v>
      </c>
    </row>
    <row r="61" spans="3:16" ht="18.75" thickBot="1">
      <c r="C61" s="308">
        <v>2011</v>
      </c>
      <c r="O61" s="309"/>
      <c r="P61" s="309"/>
    </row>
    <row r="62" spans="3:16" ht="13.5" thickTop="1">
      <c r="E62" s="354" t="s">
        <v>27</v>
      </c>
      <c r="F62" s="355"/>
      <c r="G62" s="354" t="s">
        <v>386</v>
      </c>
      <c r="H62" s="356"/>
      <c r="I62" s="354" t="s">
        <v>381</v>
      </c>
      <c r="J62" s="356"/>
      <c r="K62" s="357" t="s">
        <v>376</v>
      </c>
      <c r="L62" s="356"/>
      <c r="M62" s="357" t="s">
        <v>387</v>
      </c>
      <c r="N62" s="355"/>
      <c r="O62" s="352" t="s">
        <v>377</v>
      </c>
      <c r="P62" s="353"/>
    </row>
    <row r="63" spans="3:16" ht="13.5" thickBot="1">
      <c r="E63" s="310" t="s">
        <v>378</v>
      </c>
      <c r="F63" s="311" t="s">
        <v>379</v>
      </c>
      <c r="G63" s="310" t="s">
        <v>378</v>
      </c>
      <c r="H63" s="312" t="s">
        <v>379</v>
      </c>
      <c r="I63" s="310" t="s">
        <v>378</v>
      </c>
      <c r="J63" s="312" t="s">
        <v>379</v>
      </c>
      <c r="K63" s="313" t="s">
        <v>378</v>
      </c>
      <c r="L63" s="312" t="s">
        <v>379</v>
      </c>
      <c r="M63" s="313" t="s">
        <v>378</v>
      </c>
      <c r="N63" s="311" t="s">
        <v>379</v>
      </c>
      <c r="O63" s="314" t="s">
        <v>378</v>
      </c>
      <c r="P63" s="315" t="s">
        <v>379</v>
      </c>
    </row>
    <row r="64" spans="3:16" ht="13.5" thickTop="1">
      <c r="D64" s="18" t="s">
        <v>172</v>
      </c>
      <c r="E64" s="316">
        <f>SUMIF('Pre- and Production'!$T$4:$T$574, CONCATENATE(LEFT('WBS Summary by Year'!E$5,1),'WBS Summary by Year'!$D64,$C$61),'Pre- and Production'!AC$4:AC$574)</f>
        <v>0</v>
      </c>
      <c r="F64" s="317">
        <f>SUMIF('Pre- and Production'!$T$4:$T$574, CONCATENATE(LEFT('WBS Summary by Year'!F$5,1),'WBS Summary by Year'!$D64,'WBS Summary by Year'!$C$61),'Pre- and Production'!AM$4:AM$574)</f>
        <v>0</v>
      </c>
      <c r="G64" s="316">
        <f>SUMIF('Pre- and Production'!$T$4:$T$574, CONCATENATE(LEFT('WBS Summary by Year'!G$5,1),'WBS Summary by Year'!$D64,'WBS Summary by Year'!$C$61),'Pre- and Production'!AD$4:AD$574)</f>
        <v>0</v>
      </c>
      <c r="H64" s="318">
        <f>SUMIF('Pre- and Production'!$T$4:$T$574, CONCATENATE(LEFT('WBS Summary by Year'!H$5,1),'WBS Summary by Year'!$D64,'WBS Summary by Year'!$C$61),'Pre- and Production'!AN$4:AN$574)</f>
        <v>0</v>
      </c>
      <c r="I64" s="316">
        <f>SUMIF('Pre- and Production'!$T$4:$T$574, CONCATENATE(LEFT('WBS Summary by Year'!I$5,1),'WBS Summary by Year'!$D64,'WBS Summary by Year'!$C$61),'Pre- and Production'!AE$4:AE$574)</f>
        <v>0</v>
      </c>
      <c r="J64" s="318">
        <f>SUMIF('Pre- and Production'!$T$4:$T$574, CONCATENATE(LEFT('WBS Summary by Year'!J$5,1),'WBS Summary by Year'!$D64,'WBS Summary by Year'!$C$61),'Pre- and Production'!AO$4:AO$574)</f>
        <v>0</v>
      </c>
      <c r="K64" s="319">
        <f>SUMIF('Pre- and Production'!$T$4:$T$574, CONCATENATE(LEFT('WBS Summary by Year'!K$5,1),'WBS Summary by Year'!$D64,'WBS Summary by Year'!$C$61),'Pre- and Production'!AF$4:AF$574)</f>
        <v>0</v>
      </c>
      <c r="L64" s="318">
        <f>SUMIF('Pre- and Production'!$T$4:$T$574, CONCATENATE(LEFT('WBS Summary by Year'!L$5,1),'WBS Summary by Year'!$D64,'WBS Summary by Year'!$C$61),'Pre- and Production'!AP$4:AP$574)</f>
        <v>0</v>
      </c>
      <c r="M64" s="319">
        <f>SUMIF('Pre- and Production'!$T$4:$T$574, CONCATENATE(LEFT('WBS Summary by Year'!M$5,1),'WBS Summary by Year'!$D64,'WBS Summary by Year'!$C$61),'Pre- and Production'!AG$4:AG$574)</f>
        <v>0</v>
      </c>
      <c r="N64" s="317">
        <f>SUMIF('Pre- and Production'!$T$4:$T$574, CONCATENATE(LEFT('WBS Summary by Year'!N$5,1),'WBS Summary by Year'!$D64,'WBS Summary by Year'!$C$61),'Pre- and Production'!AQ$4:AQ$574)</f>
        <v>0</v>
      </c>
      <c r="O64" s="320">
        <f>SUMIF('Pre- and Production'!$T$4:$T$574, CONCATENATE(LEFT('WBS Summary by Year'!O$5,1),'WBS Summary by Year'!$D64,'WBS Summary by Year'!$C$61),'Pre- and Production'!AH$4:AH$574)</f>
        <v>0</v>
      </c>
      <c r="P64" s="321">
        <f>SUMIF('Pre- and Production'!$T$4:$T$574, CONCATENATE(LEFT('WBS Summary by Year'!P$5,1),'WBS Summary by Year'!$D64,'WBS Summary by Year'!$C$61),'Pre- and Production'!AR$4:AR$574)</f>
        <v>0</v>
      </c>
    </row>
    <row r="65" spans="4:16">
      <c r="D65" s="123" t="s">
        <v>173</v>
      </c>
      <c r="E65" s="24">
        <f>SUMIF('Pre- and Production'!$T$4:$T$574, CONCATENATE(LEFT('WBS Summary by Year'!E$5,1),'WBS Summary by Year'!$D65,$C$61),'Pre- and Production'!AC$4:AC$574)</f>
        <v>0</v>
      </c>
      <c r="F65" s="322">
        <f>SUMIF('Pre- and Production'!$T$4:$T$574, CONCATENATE(LEFT('WBS Summary by Year'!F$5,1),'WBS Summary by Year'!$D65,'WBS Summary by Year'!$C$61),'Pre- and Production'!AM$4:AM$574)</f>
        <v>0</v>
      </c>
      <c r="G65" s="24">
        <f>SUMIF('Pre- and Production'!$T$4:$T$574, CONCATENATE(LEFT('WBS Summary by Year'!G$5,1),'WBS Summary by Year'!$D65,'WBS Summary by Year'!$C$61),'Pre- and Production'!AD$4:AD$574)</f>
        <v>0</v>
      </c>
      <c r="H65" s="323">
        <f>SUMIF('Pre- and Production'!$T$4:$T$574, CONCATENATE(LEFT('WBS Summary by Year'!H$5,1),'WBS Summary by Year'!$D65,'WBS Summary by Year'!$C$61),'Pre- and Production'!AN$4:AN$574)</f>
        <v>0</v>
      </c>
      <c r="I65" s="24">
        <f>SUMIF('Pre- and Production'!$T$4:$T$574, CONCATENATE(LEFT('WBS Summary by Year'!I$5,1),'WBS Summary by Year'!$D65,'WBS Summary by Year'!$C$61),'Pre- and Production'!AE$4:AE$574)</f>
        <v>0</v>
      </c>
      <c r="J65" s="323">
        <f>SUMIF('Pre- and Production'!$T$4:$T$574, CONCATENATE(LEFT('WBS Summary by Year'!J$5,1),'WBS Summary by Year'!$D65,'WBS Summary by Year'!$C$61),'Pre- and Production'!AO$4:AO$574)</f>
        <v>0</v>
      </c>
      <c r="K65" s="324">
        <f>SUMIF('Pre- and Production'!$T$4:$T$574, CONCATENATE(LEFT('WBS Summary by Year'!K$5,1),'WBS Summary by Year'!$D65,'WBS Summary by Year'!$C$61),'Pre- and Production'!AF$4:AF$574)</f>
        <v>0</v>
      </c>
      <c r="L65" s="323">
        <f>SUMIF('Pre- and Production'!$T$4:$T$574, CONCATENATE(LEFT('WBS Summary by Year'!L$5,1),'WBS Summary by Year'!$D65,'WBS Summary by Year'!$C$61),'Pre- and Production'!AP$4:AP$574)</f>
        <v>0</v>
      </c>
      <c r="M65" s="324">
        <f>SUMIF('Pre- and Production'!$T$4:$T$574, CONCATENATE(LEFT('WBS Summary by Year'!M$5,1),'WBS Summary by Year'!$D65,'WBS Summary by Year'!$C$61),'Pre- and Production'!AG$4:AG$574)</f>
        <v>0</v>
      </c>
      <c r="N65" s="322">
        <f>SUMIF('Pre- and Production'!$T$4:$T$574, CONCATENATE(LEFT('WBS Summary by Year'!N$5,1),'WBS Summary by Year'!$D65,'WBS Summary by Year'!$C$61),'Pre- and Production'!AQ$4:AQ$574)</f>
        <v>0</v>
      </c>
      <c r="O65" s="325">
        <f>SUMIF('Pre- and Production'!$T$4:$T$574, CONCATENATE(LEFT('WBS Summary by Year'!O$5,1),'WBS Summary by Year'!$D65,'WBS Summary by Year'!$C$61),'Pre- and Production'!AH$4:AH$574)</f>
        <v>0</v>
      </c>
      <c r="P65" s="326">
        <f>SUMIF('Pre- and Production'!$T$4:$T$574, CONCATENATE(LEFT('WBS Summary by Year'!P$5,1),'WBS Summary by Year'!$D65,'WBS Summary by Year'!$C$61),'Pre- and Production'!AR$4:AR$574)</f>
        <v>0</v>
      </c>
    </row>
    <row r="66" spans="4:16">
      <c r="D66" s="42" t="s">
        <v>175</v>
      </c>
      <c r="E66" s="24">
        <f>SUMIF('Pre- and Production'!$T$4:$T$574, CONCATENATE(LEFT('WBS Summary by Year'!E$5,1),'WBS Summary by Year'!$D66,$C$61),'Pre- and Production'!AC$4:AC$574)</f>
        <v>0</v>
      </c>
      <c r="F66" s="322">
        <f>SUMIF('Pre- and Production'!$T$4:$T$574, CONCATENATE(LEFT('WBS Summary by Year'!F$5,1),'WBS Summary by Year'!$D66,'WBS Summary by Year'!$C$61),'Pre- and Production'!AM$4:AM$574)</f>
        <v>0</v>
      </c>
      <c r="G66" s="24">
        <f>SUMIF('Pre- and Production'!$T$4:$T$574, CONCATENATE(LEFT('WBS Summary by Year'!G$5,1),'WBS Summary by Year'!$D66,'WBS Summary by Year'!$C$61),'Pre- and Production'!AD$4:AD$574)</f>
        <v>0</v>
      </c>
      <c r="H66" s="323">
        <f>SUMIF('Pre- and Production'!$T$4:$T$574, CONCATENATE(LEFT('WBS Summary by Year'!H$5,1),'WBS Summary by Year'!$D66,'WBS Summary by Year'!$C$61),'Pre- and Production'!AN$4:AN$574)</f>
        <v>0</v>
      </c>
      <c r="I66" s="24">
        <f>SUMIF('Pre- and Production'!$T$4:$T$574, CONCATENATE(LEFT('WBS Summary by Year'!I$5,1),'WBS Summary by Year'!$D66,'WBS Summary by Year'!$C$61),'Pre- and Production'!AE$4:AE$574)</f>
        <v>0</v>
      </c>
      <c r="J66" s="323">
        <f>SUMIF('Pre- and Production'!$T$4:$T$574, CONCATENATE(LEFT('WBS Summary by Year'!J$5,1),'WBS Summary by Year'!$D66,'WBS Summary by Year'!$C$61),'Pre- and Production'!AO$4:AO$574)</f>
        <v>0</v>
      </c>
      <c r="K66" s="324">
        <f>SUMIF('Pre- and Production'!$T$4:$T$574, CONCATENATE(LEFT('WBS Summary by Year'!K$5,1),'WBS Summary by Year'!$D66,'WBS Summary by Year'!$C$61),'Pre- and Production'!AF$4:AF$574)</f>
        <v>0</v>
      </c>
      <c r="L66" s="323">
        <f>SUMIF('Pre- and Production'!$T$4:$T$574, CONCATENATE(LEFT('WBS Summary by Year'!L$5,1),'WBS Summary by Year'!$D66,'WBS Summary by Year'!$C$61),'Pre- and Production'!AP$4:AP$574)</f>
        <v>0</v>
      </c>
      <c r="M66" s="324">
        <f>SUMIF('Pre- and Production'!$T$4:$T$574, CONCATENATE(LEFT('WBS Summary by Year'!M$5,1),'WBS Summary by Year'!$D66,'WBS Summary by Year'!$C$61),'Pre- and Production'!AG$4:AG$574)</f>
        <v>0</v>
      </c>
      <c r="N66" s="322">
        <f>SUMIF('Pre- and Production'!$T$4:$T$574, CONCATENATE(LEFT('WBS Summary by Year'!N$5,1),'WBS Summary by Year'!$D66,'WBS Summary by Year'!$C$61),'Pre- and Production'!AQ$4:AQ$574)</f>
        <v>0</v>
      </c>
      <c r="O66" s="325">
        <f>SUMIF('Pre- and Production'!$T$4:$T$574, CONCATENATE(LEFT('WBS Summary by Year'!O$5,1),'WBS Summary by Year'!$D66,'WBS Summary by Year'!$C$61),'Pre- and Production'!AH$4:AH$574)</f>
        <v>0</v>
      </c>
      <c r="P66" s="326">
        <f>SUMIF('Pre- and Production'!$T$4:$T$574, CONCATENATE(LEFT('WBS Summary by Year'!P$5,1),'WBS Summary by Year'!$D66,'WBS Summary by Year'!$C$61),'Pre- and Production'!AR$4:AR$574)</f>
        <v>0</v>
      </c>
    </row>
    <row r="67" spans="4:16">
      <c r="D67" s="42" t="s">
        <v>177</v>
      </c>
      <c r="E67" s="24">
        <f>SUMIF('Pre- and Production'!$T$4:$T$574, CONCATENATE(LEFT('WBS Summary by Year'!E$5,1),'WBS Summary by Year'!$D67,$C$61),'Pre- and Production'!AC$4:AC$574)</f>
        <v>0</v>
      </c>
      <c r="F67" s="322">
        <f>SUMIF('Pre- and Production'!$T$4:$T$574, CONCATENATE(LEFT('WBS Summary by Year'!F$5,1),'WBS Summary by Year'!$D67,'WBS Summary by Year'!$C$61),'Pre- and Production'!AM$4:AM$574)</f>
        <v>20</v>
      </c>
      <c r="G67" s="24">
        <f>SUMIF('Pre- and Production'!$T$4:$T$574, CONCATENATE(LEFT('WBS Summary by Year'!G$5,1),'WBS Summary by Year'!$D67,'WBS Summary by Year'!$C$61),'Pre- and Production'!AD$4:AD$574)</f>
        <v>0</v>
      </c>
      <c r="H67" s="323">
        <f>SUMIF('Pre- and Production'!$T$4:$T$574, CONCATENATE(LEFT('WBS Summary by Year'!H$5,1),'WBS Summary by Year'!$D67,'WBS Summary by Year'!$C$61),'Pre- and Production'!AN$4:AN$574)</f>
        <v>112</v>
      </c>
      <c r="I67" s="24">
        <f>SUMIF('Pre- and Production'!$T$4:$T$574, CONCATENATE(LEFT('WBS Summary by Year'!I$5,1),'WBS Summary by Year'!$D67,'WBS Summary by Year'!$C$61),'Pre- and Production'!AE$4:AE$574)</f>
        <v>0</v>
      </c>
      <c r="J67" s="323">
        <f>SUMIF('Pre- and Production'!$T$4:$T$574, CONCATENATE(LEFT('WBS Summary by Year'!J$5,1),'WBS Summary by Year'!$D67,'WBS Summary by Year'!$C$61),'Pre- and Production'!AO$4:AO$574)</f>
        <v>88</v>
      </c>
      <c r="K67" s="324">
        <f>SUMIF('Pre- and Production'!$T$4:$T$574, CONCATENATE(LEFT('WBS Summary by Year'!K$5,1),'WBS Summary by Year'!$D67,'WBS Summary by Year'!$C$61),'Pre- and Production'!AF$4:AF$574)</f>
        <v>0</v>
      </c>
      <c r="L67" s="323">
        <f>SUMIF('Pre- and Production'!$T$4:$T$574, CONCATENATE(LEFT('WBS Summary by Year'!L$5,1),'WBS Summary by Year'!$D67,'WBS Summary by Year'!$C$61),'Pre- and Production'!AP$4:AP$574)</f>
        <v>40</v>
      </c>
      <c r="M67" s="324">
        <f>SUMIF('Pre- and Production'!$T$4:$T$574, CONCATENATE(LEFT('WBS Summary by Year'!M$5,1),'WBS Summary by Year'!$D67,'WBS Summary by Year'!$C$61),'Pre- and Production'!AG$4:AG$574)</f>
        <v>0</v>
      </c>
      <c r="N67" s="322">
        <f>SUMIF('Pre- and Production'!$T$4:$T$574, CONCATENATE(LEFT('WBS Summary by Year'!N$5,1),'WBS Summary by Year'!$D67,'WBS Summary by Year'!$C$61),'Pre- and Production'!AQ$4:AQ$574)</f>
        <v>136</v>
      </c>
      <c r="O67" s="325">
        <f>SUMIF('Pre- and Production'!$T$4:$T$574, CONCATENATE(LEFT('WBS Summary by Year'!O$5,1),'WBS Summary by Year'!$D67,'WBS Summary by Year'!$C$61),'Pre- and Production'!AH$4:AH$574)</f>
        <v>0</v>
      </c>
      <c r="P67" s="326">
        <f>SUMIF('Pre- and Production'!$T$4:$T$574, CONCATENATE(LEFT('WBS Summary by Year'!P$5,1),'WBS Summary by Year'!$D67,'WBS Summary by Year'!$C$61),'Pre- and Production'!AR$4:AR$574)</f>
        <v>14750</v>
      </c>
    </row>
    <row r="68" spans="4:16">
      <c r="D68" s="123" t="s">
        <v>179</v>
      </c>
      <c r="E68" s="24">
        <f>SUMIF('Pre- and Production'!$T$4:$T$574, CONCATENATE(LEFT('WBS Summary by Year'!E$5,1),'WBS Summary by Year'!$D68,$C$61),'Pre- and Production'!AC$4:AC$574)</f>
        <v>0</v>
      </c>
      <c r="F68" s="322">
        <f>SUMIF('Pre- and Production'!$T$4:$T$574, CONCATENATE(LEFT('WBS Summary by Year'!F$5,1),'WBS Summary by Year'!$D68,'WBS Summary by Year'!$C$61),'Pre- and Production'!AM$4:AM$574)</f>
        <v>0</v>
      </c>
      <c r="G68" s="24">
        <f>SUMIF('Pre- and Production'!$T$4:$T$574, CONCATENATE(LEFT('WBS Summary by Year'!G$5,1),'WBS Summary by Year'!$D68,'WBS Summary by Year'!$C$61),'Pre- and Production'!AD$4:AD$574)</f>
        <v>0</v>
      </c>
      <c r="H68" s="323">
        <f>SUMIF('Pre- and Production'!$T$4:$T$574, CONCATENATE(LEFT('WBS Summary by Year'!H$5,1),'WBS Summary by Year'!$D68,'WBS Summary by Year'!$C$61),'Pre- and Production'!AN$4:AN$574)</f>
        <v>0</v>
      </c>
      <c r="I68" s="24">
        <f>SUMIF('Pre- and Production'!$T$4:$T$574, CONCATENATE(LEFT('WBS Summary by Year'!I$5,1),'WBS Summary by Year'!$D68,'WBS Summary by Year'!$C$61),'Pre- and Production'!AE$4:AE$574)</f>
        <v>0</v>
      </c>
      <c r="J68" s="323">
        <f>SUMIF('Pre- and Production'!$T$4:$T$574, CONCATENATE(LEFT('WBS Summary by Year'!J$5,1),'WBS Summary by Year'!$D68,'WBS Summary by Year'!$C$61),'Pre- and Production'!AO$4:AO$574)</f>
        <v>0</v>
      </c>
      <c r="K68" s="324">
        <f>SUMIF('Pre- and Production'!$T$4:$T$574, CONCATENATE(LEFT('WBS Summary by Year'!K$5,1),'WBS Summary by Year'!$D68,'WBS Summary by Year'!$C$61),'Pre- and Production'!AF$4:AF$574)</f>
        <v>0</v>
      </c>
      <c r="L68" s="323">
        <f>SUMIF('Pre- and Production'!$T$4:$T$574, CONCATENATE(LEFT('WBS Summary by Year'!L$5,1),'WBS Summary by Year'!$D68,'WBS Summary by Year'!$C$61),'Pre- and Production'!AP$4:AP$574)</f>
        <v>0</v>
      </c>
      <c r="M68" s="324">
        <f>SUMIF('Pre- and Production'!$T$4:$T$574, CONCATENATE(LEFT('WBS Summary by Year'!M$5,1),'WBS Summary by Year'!$D68,'WBS Summary by Year'!$C$61),'Pre- and Production'!AG$4:AG$574)</f>
        <v>0</v>
      </c>
      <c r="N68" s="322">
        <f>SUMIF('Pre- and Production'!$T$4:$T$574, CONCATENATE(LEFT('WBS Summary by Year'!N$5,1),'WBS Summary by Year'!$D68,'WBS Summary by Year'!$C$61),'Pre- and Production'!AQ$4:AQ$574)</f>
        <v>0</v>
      </c>
      <c r="O68" s="325">
        <f>SUMIF('Pre- and Production'!$T$4:$T$574, CONCATENATE(LEFT('WBS Summary by Year'!O$5,1),'WBS Summary by Year'!$D68,'WBS Summary by Year'!$C$61),'Pre- and Production'!AH$4:AH$574)</f>
        <v>0</v>
      </c>
      <c r="P68" s="326">
        <f>SUMIF('Pre- and Production'!$T$4:$T$574, CONCATENATE(LEFT('WBS Summary by Year'!P$5,1),'WBS Summary by Year'!$D68,'WBS Summary by Year'!$C$61),'Pre- and Production'!AR$4:AR$574)</f>
        <v>0</v>
      </c>
    </row>
    <row r="69" spans="4:16">
      <c r="D69" s="42" t="s">
        <v>181</v>
      </c>
      <c r="E69" s="24">
        <f>SUMIF('Pre- and Production'!$T$4:$T$574, CONCATENATE(LEFT('WBS Summary by Year'!E$5,1),'WBS Summary by Year'!$D69,$C$61),'Pre- and Production'!AC$4:AC$574)</f>
        <v>72</v>
      </c>
      <c r="F69" s="322">
        <f>SUMIF('Pre- and Production'!$T$4:$T$574, CONCATENATE(LEFT('WBS Summary by Year'!F$5,1),'WBS Summary by Year'!$D69,'WBS Summary by Year'!$C$61),'Pre- and Production'!AM$4:AM$574)</f>
        <v>20</v>
      </c>
      <c r="G69" s="24">
        <f>SUMIF('Pre- and Production'!$T$4:$T$574, CONCATENATE(LEFT('WBS Summary by Year'!G$5,1),'WBS Summary by Year'!$D69,'WBS Summary by Year'!$C$61),'Pre- and Production'!AD$4:AD$574)</f>
        <v>292</v>
      </c>
      <c r="H69" s="323">
        <f>SUMIF('Pre- and Production'!$T$4:$T$574, CONCATENATE(LEFT('WBS Summary by Year'!H$5,1),'WBS Summary by Year'!$D69,'WBS Summary by Year'!$C$61),'Pre- and Production'!AN$4:AN$574)</f>
        <v>16</v>
      </c>
      <c r="I69" s="24">
        <f>SUMIF('Pre- and Production'!$T$4:$T$574, CONCATENATE(LEFT('WBS Summary by Year'!I$5,1),'WBS Summary by Year'!$D69,'WBS Summary by Year'!$C$61),'Pre- and Production'!AE$4:AE$574)</f>
        <v>636</v>
      </c>
      <c r="J69" s="323">
        <f>SUMIF('Pre- and Production'!$T$4:$T$574, CONCATENATE(LEFT('WBS Summary by Year'!J$5,1),'WBS Summary by Year'!$D69,'WBS Summary by Year'!$C$61),'Pre- and Production'!AO$4:AO$574)</f>
        <v>0</v>
      </c>
      <c r="K69" s="324">
        <f>SUMIF('Pre- and Production'!$T$4:$T$574, CONCATENATE(LEFT('WBS Summary by Year'!K$5,1),'WBS Summary by Year'!$D69,'WBS Summary by Year'!$C$61),'Pre- and Production'!AF$4:AF$574)</f>
        <v>76</v>
      </c>
      <c r="L69" s="323">
        <f>SUMIF('Pre- and Production'!$T$4:$T$574, CONCATENATE(LEFT('WBS Summary by Year'!L$5,1),'WBS Summary by Year'!$D69,'WBS Summary by Year'!$C$61),'Pre- and Production'!AP$4:AP$574)</f>
        <v>24</v>
      </c>
      <c r="M69" s="324">
        <f>SUMIF('Pre- and Production'!$T$4:$T$574, CONCATENATE(LEFT('WBS Summary by Year'!M$5,1),'WBS Summary by Year'!$D69,'WBS Summary by Year'!$C$61),'Pre- and Production'!AG$4:AG$574)</f>
        <v>720</v>
      </c>
      <c r="N69" s="322">
        <f>SUMIF('Pre- and Production'!$T$4:$T$574, CONCATENATE(LEFT('WBS Summary by Year'!N$5,1),'WBS Summary by Year'!$D69,'WBS Summary by Year'!$C$61),'Pre- and Production'!AQ$4:AQ$574)</f>
        <v>0</v>
      </c>
      <c r="O69" s="325">
        <f>SUMIF('Pre- and Production'!$T$4:$T$574, CONCATENATE(LEFT('WBS Summary by Year'!O$5,1),'WBS Summary by Year'!$D69,'WBS Summary by Year'!$C$61),'Pre- and Production'!AH$4:AH$574)</f>
        <v>182350</v>
      </c>
      <c r="P69" s="326">
        <f>SUMIF('Pre- and Production'!$T$4:$T$574, CONCATENATE(LEFT('WBS Summary by Year'!P$5,1),'WBS Summary by Year'!$D69,'WBS Summary by Year'!$C$61),'Pre- and Production'!AR$4:AR$574)</f>
        <v>6500</v>
      </c>
    </row>
    <row r="70" spans="4:16">
      <c r="D70" s="42" t="s">
        <v>183</v>
      </c>
      <c r="E70" s="24">
        <f>SUMIF('Pre- and Production'!$T$4:$T$574, CONCATENATE(LEFT('WBS Summary by Year'!E$5,1),'WBS Summary by Year'!$D70,$C$61),'Pre- and Production'!AC$4:AC$574)</f>
        <v>64</v>
      </c>
      <c r="F70" s="322">
        <f>SUMIF('Pre- and Production'!$T$4:$T$574, CONCATENATE(LEFT('WBS Summary by Year'!F$5,1),'WBS Summary by Year'!$D70,'WBS Summary by Year'!$C$61),'Pre- and Production'!AM$4:AM$574)</f>
        <v>0</v>
      </c>
      <c r="G70" s="24">
        <f>SUMIF('Pre- and Production'!$T$4:$T$574, CONCATENATE(LEFT('WBS Summary by Year'!G$5,1),'WBS Summary by Year'!$D70,'WBS Summary by Year'!$C$61),'Pre- and Production'!AD$4:AD$574)</f>
        <v>296</v>
      </c>
      <c r="H70" s="323">
        <f>SUMIF('Pre- and Production'!$T$4:$T$574, CONCATENATE(LEFT('WBS Summary by Year'!H$5,1),'WBS Summary by Year'!$D70,'WBS Summary by Year'!$C$61),'Pre- and Production'!AN$4:AN$574)</f>
        <v>0</v>
      </c>
      <c r="I70" s="24">
        <f>SUMIF('Pre- and Production'!$T$4:$T$574, CONCATENATE(LEFT('WBS Summary by Year'!I$5,1),'WBS Summary by Year'!$D70,'WBS Summary by Year'!$C$61),'Pre- and Production'!AE$4:AE$574)</f>
        <v>232</v>
      </c>
      <c r="J70" s="323">
        <f>SUMIF('Pre- and Production'!$T$4:$T$574, CONCATENATE(LEFT('WBS Summary by Year'!J$5,1),'WBS Summary by Year'!$D70,'WBS Summary by Year'!$C$61),'Pre- and Production'!AO$4:AO$574)</f>
        <v>0</v>
      </c>
      <c r="K70" s="324">
        <f>SUMIF('Pre- and Production'!$T$4:$T$574, CONCATENATE(LEFT('WBS Summary by Year'!K$5,1),'WBS Summary by Year'!$D70,'WBS Summary by Year'!$C$61),'Pre- and Production'!AF$4:AF$574)</f>
        <v>180</v>
      </c>
      <c r="L70" s="323">
        <f>SUMIF('Pre- and Production'!$T$4:$T$574, CONCATENATE(LEFT('WBS Summary by Year'!L$5,1),'WBS Summary by Year'!$D70,'WBS Summary by Year'!$C$61),'Pre- and Production'!AP$4:AP$574)</f>
        <v>0</v>
      </c>
      <c r="M70" s="324">
        <f>SUMIF('Pre- and Production'!$T$4:$T$574, CONCATENATE(LEFT('WBS Summary by Year'!M$5,1),'WBS Summary by Year'!$D70,'WBS Summary by Year'!$C$61),'Pre- and Production'!AG$4:AG$574)</f>
        <v>208</v>
      </c>
      <c r="N70" s="322">
        <f>SUMIF('Pre- and Production'!$T$4:$T$574, CONCATENATE(LEFT('WBS Summary by Year'!N$5,1),'WBS Summary by Year'!$D70,'WBS Summary by Year'!$C$61),'Pre- and Production'!AQ$4:AQ$574)</f>
        <v>0</v>
      </c>
      <c r="O70" s="325">
        <f>SUMIF('Pre- and Production'!$T$4:$T$574, CONCATENATE(LEFT('WBS Summary by Year'!O$5,1),'WBS Summary by Year'!$D70,'WBS Summary by Year'!$C$61),'Pre- and Production'!AH$4:AH$574)</f>
        <v>7650</v>
      </c>
      <c r="P70" s="326">
        <f>SUMIF('Pre- and Production'!$T$4:$T$574, CONCATENATE(LEFT('WBS Summary by Year'!P$5,1),'WBS Summary by Year'!$D70,'WBS Summary by Year'!$C$61),'Pre- and Production'!AR$4:AR$574)</f>
        <v>0</v>
      </c>
    </row>
    <row r="71" spans="4:16">
      <c r="D71" s="123" t="s">
        <v>185</v>
      </c>
      <c r="E71" s="24">
        <f>SUMIF('Pre- and Production'!$T$4:$T$574, CONCATENATE(LEFT('WBS Summary by Year'!E$5,1),'WBS Summary by Year'!$D71,$C$61),'Pre- and Production'!AC$4:AC$574)</f>
        <v>0</v>
      </c>
      <c r="F71" s="322">
        <f>SUMIF('Pre- and Production'!$T$4:$T$574, CONCATENATE(LEFT('WBS Summary by Year'!F$5,1),'WBS Summary by Year'!$D71,'WBS Summary by Year'!$C$61),'Pre- and Production'!AM$4:AM$574)</f>
        <v>0</v>
      </c>
      <c r="G71" s="24">
        <f>SUMIF('Pre- and Production'!$T$4:$T$574, CONCATENATE(LEFT('WBS Summary by Year'!G$5,1),'WBS Summary by Year'!$D71,'WBS Summary by Year'!$C$61),'Pre- and Production'!AD$4:AD$574)</f>
        <v>0</v>
      </c>
      <c r="H71" s="323">
        <f>SUMIF('Pre- and Production'!$T$4:$T$574, CONCATENATE(LEFT('WBS Summary by Year'!H$5,1),'WBS Summary by Year'!$D71,'WBS Summary by Year'!$C$61),'Pre- and Production'!AN$4:AN$574)</f>
        <v>0</v>
      </c>
      <c r="I71" s="24">
        <f>SUMIF('Pre- and Production'!$T$4:$T$574, CONCATENATE(LEFT('WBS Summary by Year'!I$5,1),'WBS Summary by Year'!$D71,'WBS Summary by Year'!$C$61),'Pre- and Production'!AE$4:AE$574)</f>
        <v>0</v>
      </c>
      <c r="J71" s="323">
        <f>SUMIF('Pre- and Production'!$T$4:$T$574, CONCATENATE(LEFT('WBS Summary by Year'!J$5,1),'WBS Summary by Year'!$D71,'WBS Summary by Year'!$C$61),'Pre- and Production'!AO$4:AO$574)</f>
        <v>0</v>
      </c>
      <c r="K71" s="324">
        <f>SUMIF('Pre- and Production'!$T$4:$T$574, CONCATENATE(LEFT('WBS Summary by Year'!K$5,1),'WBS Summary by Year'!$D71,'WBS Summary by Year'!$C$61),'Pre- and Production'!AF$4:AF$574)</f>
        <v>0</v>
      </c>
      <c r="L71" s="323">
        <f>SUMIF('Pre- and Production'!$T$4:$T$574, CONCATENATE(LEFT('WBS Summary by Year'!L$5,1),'WBS Summary by Year'!$D71,'WBS Summary by Year'!$C$61),'Pre- and Production'!AP$4:AP$574)</f>
        <v>0</v>
      </c>
      <c r="M71" s="324">
        <f>SUMIF('Pre- and Production'!$T$4:$T$574, CONCATENATE(LEFT('WBS Summary by Year'!M$5,1),'WBS Summary by Year'!$D71,'WBS Summary by Year'!$C$61),'Pre- and Production'!AG$4:AG$574)</f>
        <v>0</v>
      </c>
      <c r="N71" s="322">
        <f>SUMIF('Pre- and Production'!$T$4:$T$574, CONCATENATE(LEFT('WBS Summary by Year'!N$5,1),'WBS Summary by Year'!$D71,'WBS Summary by Year'!$C$61),'Pre- and Production'!AQ$4:AQ$574)</f>
        <v>0</v>
      </c>
      <c r="O71" s="325">
        <f>SUMIF('Pre- and Production'!$T$4:$T$574, CONCATENATE(LEFT('WBS Summary by Year'!O$5,1),'WBS Summary by Year'!$D71,'WBS Summary by Year'!$C$61),'Pre- and Production'!AH$4:AH$574)</f>
        <v>0</v>
      </c>
      <c r="P71" s="326">
        <f>SUMIF('Pre- and Production'!$T$4:$T$574, CONCATENATE(LEFT('WBS Summary by Year'!P$5,1),'WBS Summary by Year'!$D71,'WBS Summary by Year'!$C$61),'Pre- and Production'!AR$4:AR$574)</f>
        <v>0</v>
      </c>
    </row>
    <row r="72" spans="4:16">
      <c r="D72" s="42" t="s">
        <v>187</v>
      </c>
      <c r="E72" s="24">
        <f>SUMIF('Pre- and Production'!$T$4:$T$574, CONCATENATE(LEFT('WBS Summary by Year'!E$5,1),'WBS Summary by Year'!$D72,$C$61),'Pre- and Production'!AC$4:AC$574)</f>
        <v>0</v>
      </c>
      <c r="F72" s="322">
        <f>SUMIF('Pre- and Production'!$T$4:$T$574, CONCATENATE(LEFT('WBS Summary by Year'!F$5,1),'WBS Summary by Year'!$D72,'WBS Summary by Year'!$C$61),'Pre- and Production'!AM$4:AM$574)</f>
        <v>0</v>
      </c>
      <c r="G72" s="24">
        <f>SUMIF('Pre- and Production'!$T$4:$T$574, CONCATENATE(LEFT('WBS Summary by Year'!G$5,1),'WBS Summary by Year'!$D72,'WBS Summary by Year'!$C$61),'Pre- and Production'!AD$4:AD$574)</f>
        <v>0</v>
      </c>
      <c r="H72" s="323">
        <f>SUMIF('Pre- and Production'!$T$4:$T$574, CONCATENATE(LEFT('WBS Summary by Year'!H$5,1),'WBS Summary by Year'!$D72,'WBS Summary by Year'!$C$61),'Pre- and Production'!AN$4:AN$574)</f>
        <v>0</v>
      </c>
      <c r="I72" s="24">
        <f>SUMIF('Pre- and Production'!$T$4:$T$574, CONCATENATE(LEFT('WBS Summary by Year'!I$5,1),'WBS Summary by Year'!$D72,'WBS Summary by Year'!$C$61),'Pre- and Production'!AE$4:AE$574)</f>
        <v>0</v>
      </c>
      <c r="J72" s="323">
        <f>SUMIF('Pre- and Production'!$T$4:$T$574, CONCATENATE(LEFT('WBS Summary by Year'!J$5,1),'WBS Summary by Year'!$D72,'WBS Summary by Year'!$C$61),'Pre- and Production'!AO$4:AO$574)</f>
        <v>0</v>
      </c>
      <c r="K72" s="324">
        <f>SUMIF('Pre- and Production'!$T$4:$T$574, CONCATENATE(LEFT('WBS Summary by Year'!K$5,1),'WBS Summary by Year'!$D72,'WBS Summary by Year'!$C$61),'Pre- and Production'!AF$4:AF$574)</f>
        <v>0</v>
      </c>
      <c r="L72" s="323">
        <f>SUMIF('Pre- and Production'!$T$4:$T$574, CONCATENATE(LEFT('WBS Summary by Year'!L$5,1),'WBS Summary by Year'!$D72,'WBS Summary by Year'!$C$61),'Pre- and Production'!AP$4:AP$574)</f>
        <v>0</v>
      </c>
      <c r="M72" s="324">
        <f>SUMIF('Pre- and Production'!$T$4:$T$574, CONCATENATE(LEFT('WBS Summary by Year'!M$5,1),'WBS Summary by Year'!$D72,'WBS Summary by Year'!$C$61),'Pre- and Production'!AG$4:AG$574)</f>
        <v>0</v>
      </c>
      <c r="N72" s="322">
        <f>SUMIF('Pre- and Production'!$T$4:$T$574, CONCATENATE(LEFT('WBS Summary by Year'!N$5,1),'WBS Summary by Year'!$D72,'WBS Summary by Year'!$C$61),'Pre- and Production'!AQ$4:AQ$574)</f>
        <v>0</v>
      </c>
      <c r="O72" s="325">
        <f>SUMIF('Pre- and Production'!$T$4:$T$574, CONCATENATE(LEFT('WBS Summary by Year'!O$5,1),'WBS Summary by Year'!$D72,'WBS Summary by Year'!$C$61),'Pre- and Production'!AH$4:AH$574)</f>
        <v>0</v>
      </c>
      <c r="P72" s="326">
        <f>SUMIF('Pre- and Production'!$T$4:$T$574, CONCATENATE(LEFT('WBS Summary by Year'!P$5,1),'WBS Summary by Year'!$D72,'WBS Summary by Year'!$C$61),'Pre- and Production'!AR$4:AR$574)</f>
        <v>0</v>
      </c>
    </row>
    <row r="73" spans="4:16">
      <c r="D73" s="42" t="s">
        <v>189</v>
      </c>
      <c r="E73" s="24">
        <f>SUMIF('Pre- and Production'!$T$4:$T$574, CONCATENATE(LEFT('WBS Summary by Year'!E$5,1),'WBS Summary by Year'!$D73,$C$61),'Pre- and Production'!AC$4:AC$574)</f>
        <v>0</v>
      </c>
      <c r="F73" s="322">
        <f>SUMIF('Pre- and Production'!$T$4:$T$574, CONCATENATE(LEFT('WBS Summary by Year'!F$5,1),'WBS Summary by Year'!$D73,'WBS Summary by Year'!$C$61),'Pre- and Production'!AM$4:AM$574)</f>
        <v>0</v>
      </c>
      <c r="G73" s="24">
        <f>SUMIF('Pre- and Production'!$T$4:$T$574, CONCATENATE(LEFT('WBS Summary by Year'!G$5,1),'WBS Summary by Year'!$D73,'WBS Summary by Year'!$C$61),'Pre- and Production'!AD$4:AD$574)</f>
        <v>0</v>
      </c>
      <c r="H73" s="323">
        <f>SUMIF('Pre- and Production'!$T$4:$T$574, CONCATENATE(LEFT('WBS Summary by Year'!H$5,1),'WBS Summary by Year'!$D73,'WBS Summary by Year'!$C$61),'Pre- and Production'!AN$4:AN$574)</f>
        <v>0</v>
      </c>
      <c r="I73" s="24">
        <f>SUMIF('Pre- and Production'!$T$4:$T$574, CONCATENATE(LEFT('WBS Summary by Year'!I$5,1),'WBS Summary by Year'!$D73,'WBS Summary by Year'!$C$61),'Pre- and Production'!AE$4:AE$574)</f>
        <v>0</v>
      </c>
      <c r="J73" s="323">
        <f>SUMIF('Pre- and Production'!$T$4:$T$574, CONCATENATE(LEFT('WBS Summary by Year'!J$5,1),'WBS Summary by Year'!$D73,'WBS Summary by Year'!$C$61),'Pre- and Production'!AO$4:AO$574)</f>
        <v>0</v>
      </c>
      <c r="K73" s="324">
        <f>SUMIF('Pre- and Production'!$T$4:$T$574, CONCATENATE(LEFT('WBS Summary by Year'!K$5,1),'WBS Summary by Year'!$D73,'WBS Summary by Year'!$C$61),'Pre- and Production'!AF$4:AF$574)</f>
        <v>0</v>
      </c>
      <c r="L73" s="323">
        <f>SUMIF('Pre- and Production'!$T$4:$T$574, CONCATENATE(LEFT('WBS Summary by Year'!L$5,1),'WBS Summary by Year'!$D73,'WBS Summary by Year'!$C$61),'Pre- and Production'!AP$4:AP$574)</f>
        <v>0</v>
      </c>
      <c r="M73" s="324">
        <f>SUMIF('Pre- and Production'!$T$4:$T$574, CONCATENATE(LEFT('WBS Summary by Year'!M$5,1),'WBS Summary by Year'!$D73,'WBS Summary by Year'!$C$61),'Pre- and Production'!AG$4:AG$574)</f>
        <v>0</v>
      </c>
      <c r="N73" s="322">
        <f>SUMIF('Pre- and Production'!$T$4:$T$574, CONCATENATE(LEFT('WBS Summary by Year'!N$5,1),'WBS Summary by Year'!$D73,'WBS Summary by Year'!$C$61),'Pre- and Production'!AQ$4:AQ$574)</f>
        <v>0</v>
      </c>
      <c r="O73" s="325">
        <f>SUMIF('Pre- and Production'!$T$4:$T$574, CONCATENATE(LEFT('WBS Summary by Year'!O$5,1),'WBS Summary by Year'!$D73,'WBS Summary by Year'!$C$61),'Pre- and Production'!AH$4:AH$574)</f>
        <v>0</v>
      </c>
      <c r="P73" s="326">
        <f>SUMIF('Pre- and Production'!$T$4:$T$574, CONCATENATE(LEFT('WBS Summary by Year'!P$5,1),'WBS Summary by Year'!$D73,'WBS Summary by Year'!$C$61),'Pre- and Production'!AR$4:AR$574)</f>
        <v>0</v>
      </c>
    </row>
    <row r="74" spans="4:16">
      <c r="D74" s="42" t="s">
        <v>191</v>
      </c>
      <c r="E74" s="24">
        <f>SUMIF('Pre- and Production'!$T$4:$T$574, CONCATENATE(LEFT('WBS Summary by Year'!E$5,1),'WBS Summary by Year'!$D74,$C$61),'Pre- and Production'!AC$4:AC$574)</f>
        <v>0</v>
      </c>
      <c r="F74" s="322">
        <f>SUMIF('Pre- and Production'!$T$4:$T$574, CONCATENATE(LEFT('WBS Summary by Year'!F$5,1),'WBS Summary by Year'!$D74,'WBS Summary by Year'!$C$61),'Pre- and Production'!AM$4:AM$574)</f>
        <v>0</v>
      </c>
      <c r="G74" s="24">
        <f>SUMIF('Pre- and Production'!$T$4:$T$574, CONCATENATE(LEFT('WBS Summary by Year'!G$5,1),'WBS Summary by Year'!$D74,'WBS Summary by Year'!$C$61),'Pre- and Production'!AD$4:AD$574)</f>
        <v>136</v>
      </c>
      <c r="H74" s="323">
        <f>SUMIF('Pre- and Production'!$T$4:$T$574, CONCATENATE(LEFT('WBS Summary by Year'!H$5,1),'WBS Summary by Year'!$D74,'WBS Summary by Year'!$C$61),'Pre- and Production'!AN$4:AN$574)</f>
        <v>40</v>
      </c>
      <c r="I74" s="24">
        <f>SUMIF('Pre- and Production'!$T$4:$T$574, CONCATENATE(LEFT('WBS Summary by Year'!I$5,1),'WBS Summary by Year'!$D74,'WBS Summary by Year'!$C$61),'Pre- and Production'!AE$4:AE$574)</f>
        <v>264</v>
      </c>
      <c r="J74" s="323">
        <f>SUMIF('Pre- and Production'!$T$4:$T$574, CONCATENATE(LEFT('WBS Summary by Year'!J$5,1),'WBS Summary by Year'!$D74,'WBS Summary by Year'!$C$61),'Pre- and Production'!AO$4:AO$574)</f>
        <v>0</v>
      </c>
      <c r="K74" s="324">
        <f>SUMIF('Pre- and Production'!$T$4:$T$574, CONCATENATE(LEFT('WBS Summary by Year'!K$5,1),'WBS Summary by Year'!$D74,'WBS Summary by Year'!$C$61),'Pre- and Production'!AF$4:AF$574)</f>
        <v>64</v>
      </c>
      <c r="L74" s="323">
        <f>SUMIF('Pre- and Production'!$T$4:$T$574, CONCATENATE(LEFT('WBS Summary by Year'!L$5,1),'WBS Summary by Year'!$D74,'WBS Summary by Year'!$C$61),'Pre- and Production'!AP$4:AP$574)</f>
        <v>0</v>
      </c>
      <c r="M74" s="324">
        <f>SUMIF('Pre- and Production'!$T$4:$T$574, CONCATENATE(LEFT('WBS Summary by Year'!M$5,1),'WBS Summary by Year'!$D74,'WBS Summary by Year'!$C$61),'Pre- and Production'!AG$4:AG$574)</f>
        <v>444</v>
      </c>
      <c r="N74" s="322">
        <f>SUMIF('Pre- and Production'!$T$4:$T$574, CONCATENATE(LEFT('WBS Summary by Year'!N$5,1),'WBS Summary by Year'!$D74,'WBS Summary by Year'!$C$61),'Pre- and Production'!AQ$4:AQ$574)</f>
        <v>0</v>
      </c>
      <c r="O74" s="325">
        <f>SUMIF('Pre- and Production'!$T$4:$T$574, CONCATENATE(LEFT('WBS Summary by Year'!O$5,1),'WBS Summary by Year'!$D74,'WBS Summary by Year'!$C$61),'Pre- and Production'!AH$4:AH$574)</f>
        <v>8700</v>
      </c>
      <c r="P74" s="326">
        <f>SUMIF('Pre- and Production'!$T$4:$T$574, CONCATENATE(LEFT('WBS Summary by Year'!P$5,1),'WBS Summary by Year'!$D74,'WBS Summary by Year'!$C$61),'Pre- and Production'!AR$4:AR$574)</f>
        <v>1000</v>
      </c>
    </row>
    <row r="75" spans="4:16">
      <c r="D75" s="42" t="s">
        <v>193</v>
      </c>
      <c r="E75" s="24">
        <f>SUMIF('Pre- and Production'!$T$4:$T$574, CONCATENATE(LEFT('WBS Summary by Year'!E$5,1),'WBS Summary by Year'!$D75,$C$61),'Pre- and Production'!AC$4:AC$574)</f>
        <v>0</v>
      </c>
      <c r="F75" s="322">
        <f>SUMIF('Pre- and Production'!$T$4:$T$574, CONCATENATE(LEFT('WBS Summary by Year'!F$5,1),'WBS Summary by Year'!$D75,'WBS Summary by Year'!$C$61),'Pre- and Production'!AM$4:AM$574)</f>
        <v>0</v>
      </c>
      <c r="G75" s="24">
        <f>SUMIF('Pre- and Production'!$T$4:$T$574, CONCATENATE(LEFT('WBS Summary by Year'!G$5,1),'WBS Summary by Year'!$D75,'WBS Summary by Year'!$C$61),'Pre- and Production'!AD$4:AD$574)</f>
        <v>0</v>
      </c>
      <c r="H75" s="323">
        <f>SUMIF('Pre- and Production'!$T$4:$T$574, CONCATENATE(LEFT('WBS Summary by Year'!H$5,1),'WBS Summary by Year'!$D75,'WBS Summary by Year'!$C$61),'Pre- and Production'!AN$4:AN$574)</f>
        <v>0</v>
      </c>
      <c r="I75" s="24">
        <f>SUMIF('Pre- and Production'!$T$4:$T$574, CONCATENATE(LEFT('WBS Summary by Year'!I$5,1),'WBS Summary by Year'!$D75,'WBS Summary by Year'!$C$61),'Pre- and Production'!AE$4:AE$574)</f>
        <v>0</v>
      </c>
      <c r="J75" s="323">
        <f>SUMIF('Pre- and Production'!$T$4:$T$574, CONCATENATE(LEFT('WBS Summary by Year'!J$5,1),'WBS Summary by Year'!$D75,'WBS Summary by Year'!$C$61),'Pre- and Production'!AO$4:AO$574)</f>
        <v>0</v>
      </c>
      <c r="K75" s="324">
        <f>SUMIF('Pre- and Production'!$T$4:$T$574, CONCATENATE(LEFT('WBS Summary by Year'!K$5,1),'WBS Summary by Year'!$D75,'WBS Summary by Year'!$C$61),'Pre- and Production'!AF$4:AF$574)</f>
        <v>0</v>
      </c>
      <c r="L75" s="323">
        <f>SUMIF('Pre- and Production'!$T$4:$T$574, CONCATENATE(LEFT('WBS Summary by Year'!L$5,1),'WBS Summary by Year'!$D75,'WBS Summary by Year'!$C$61),'Pre- and Production'!AP$4:AP$574)</f>
        <v>0</v>
      </c>
      <c r="M75" s="324">
        <f>SUMIF('Pre- and Production'!$T$4:$T$574, CONCATENATE(LEFT('WBS Summary by Year'!M$5,1),'WBS Summary by Year'!$D75,'WBS Summary by Year'!$C$61),'Pre- and Production'!AG$4:AG$574)</f>
        <v>0</v>
      </c>
      <c r="N75" s="322">
        <f>SUMIF('Pre- and Production'!$T$4:$T$574, CONCATENATE(LEFT('WBS Summary by Year'!N$5,1),'WBS Summary by Year'!$D75,'WBS Summary by Year'!$C$61),'Pre- and Production'!AQ$4:AQ$574)</f>
        <v>0</v>
      </c>
      <c r="O75" s="325">
        <f>SUMIF('Pre- and Production'!$T$4:$T$574, CONCATENATE(LEFT('WBS Summary by Year'!O$5,1),'WBS Summary by Year'!$D75,'WBS Summary by Year'!$C$61),'Pre- and Production'!AH$4:AH$574)</f>
        <v>0</v>
      </c>
      <c r="P75" s="326">
        <f>SUMIF('Pre- and Production'!$T$4:$T$574, CONCATENATE(LEFT('WBS Summary by Year'!P$5,1),'WBS Summary by Year'!$D75,'WBS Summary by Year'!$C$61),'Pre- and Production'!AR$4:AR$574)</f>
        <v>0</v>
      </c>
    </row>
    <row r="76" spans="4:16">
      <c r="D76" s="42" t="s">
        <v>195</v>
      </c>
      <c r="E76" s="24">
        <f>SUMIF('Pre- and Production'!$T$4:$T$574, CONCATENATE(LEFT('WBS Summary by Year'!E$5,1),'WBS Summary by Year'!$D76,$C$61),'Pre- and Production'!AC$4:AC$574)</f>
        <v>0</v>
      </c>
      <c r="F76" s="322">
        <f>SUMIF('Pre- and Production'!$T$4:$T$574, CONCATENATE(LEFT('WBS Summary by Year'!F$5,1),'WBS Summary by Year'!$D76,'WBS Summary by Year'!$C$61),'Pre- and Production'!AM$4:AM$574)</f>
        <v>0</v>
      </c>
      <c r="G76" s="24">
        <f>SUMIF('Pre- and Production'!$T$4:$T$574, CONCATENATE(LEFT('WBS Summary by Year'!G$5,1),'WBS Summary by Year'!$D76,'WBS Summary by Year'!$C$61),'Pre- and Production'!AD$4:AD$574)</f>
        <v>0</v>
      </c>
      <c r="H76" s="323">
        <f>SUMIF('Pre- and Production'!$T$4:$T$574, CONCATENATE(LEFT('WBS Summary by Year'!H$5,1),'WBS Summary by Year'!$D76,'WBS Summary by Year'!$C$61),'Pre- and Production'!AN$4:AN$574)</f>
        <v>0</v>
      </c>
      <c r="I76" s="24">
        <f>SUMIF('Pre- and Production'!$T$4:$T$574, CONCATENATE(LEFT('WBS Summary by Year'!I$5,1),'WBS Summary by Year'!$D76,'WBS Summary by Year'!$C$61),'Pre- and Production'!AE$4:AE$574)</f>
        <v>0</v>
      </c>
      <c r="J76" s="323">
        <f>SUMIF('Pre- and Production'!$T$4:$T$574, CONCATENATE(LEFT('WBS Summary by Year'!J$5,1),'WBS Summary by Year'!$D76,'WBS Summary by Year'!$C$61),'Pre- and Production'!AO$4:AO$574)</f>
        <v>0</v>
      </c>
      <c r="K76" s="324">
        <f>SUMIF('Pre- and Production'!$T$4:$T$574, CONCATENATE(LEFT('WBS Summary by Year'!K$5,1),'WBS Summary by Year'!$D76,'WBS Summary by Year'!$C$61),'Pre- and Production'!AF$4:AF$574)</f>
        <v>0</v>
      </c>
      <c r="L76" s="323">
        <f>SUMIF('Pre- and Production'!$T$4:$T$574, CONCATENATE(LEFT('WBS Summary by Year'!L$5,1),'WBS Summary by Year'!$D76,'WBS Summary by Year'!$C$61),'Pre- and Production'!AP$4:AP$574)</f>
        <v>0</v>
      </c>
      <c r="M76" s="324">
        <f>SUMIF('Pre- and Production'!$T$4:$T$574, CONCATENATE(LEFT('WBS Summary by Year'!M$5,1),'WBS Summary by Year'!$D76,'WBS Summary by Year'!$C$61),'Pre- and Production'!AG$4:AG$574)</f>
        <v>0</v>
      </c>
      <c r="N76" s="322">
        <f>SUMIF('Pre- and Production'!$T$4:$T$574, CONCATENATE(LEFT('WBS Summary by Year'!N$5,1),'WBS Summary by Year'!$D76,'WBS Summary by Year'!$C$61),'Pre- and Production'!AQ$4:AQ$574)</f>
        <v>0</v>
      </c>
      <c r="O76" s="325">
        <f>SUMIF('Pre- and Production'!$T$4:$T$574, CONCATENATE(LEFT('WBS Summary by Year'!O$5,1),'WBS Summary by Year'!$D76,'WBS Summary by Year'!$C$61),'Pre- and Production'!AH$4:AH$574)</f>
        <v>0</v>
      </c>
      <c r="P76" s="326">
        <f>SUMIF('Pre- and Production'!$T$4:$T$574, CONCATENATE(LEFT('WBS Summary by Year'!P$5,1),'WBS Summary by Year'!$D76,'WBS Summary by Year'!$C$61),'Pre- and Production'!AR$4:AR$574)</f>
        <v>0</v>
      </c>
    </row>
    <row r="77" spans="4:16">
      <c r="D77" s="123" t="s">
        <v>197</v>
      </c>
      <c r="E77" s="24">
        <f>SUMIF('Pre- and Production'!$T$4:$T$574, CONCATENATE(LEFT('WBS Summary by Year'!E$5,1),'WBS Summary by Year'!$D77,$C$61),'Pre- and Production'!AC$4:AC$574)</f>
        <v>0</v>
      </c>
      <c r="F77" s="322">
        <f>SUMIF('Pre- and Production'!$T$4:$T$574, CONCATENATE(LEFT('WBS Summary by Year'!F$5,1),'WBS Summary by Year'!$D77,'WBS Summary by Year'!$C$61),'Pre- and Production'!AM$4:AM$574)</f>
        <v>0</v>
      </c>
      <c r="G77" s="24">
        <f>SUMIF('Pre- and Production'!$T$4:$T$574, CONCATENATE(LEFT('WBS Summary by Year'!G$5,1),'WBS Summary by Year'!$D77,'WBS Summary by Year'!$C$61),'Pre- and Production'!AD$4:AD$574)</f>
        <v>0</v>
      </c>
      <c r="H77" s="323">
        <f>SUMIF('Pre- and Production'!$T$4:$T$574, CONCATENATE(LEFT('WBS Summary by Year'!H$5,1),'WBS Summary by Year'!$D77,'WBS Summary by Year'!$C$61),'Pre- and Production'!AN$4:AN$574)</f>
        <v>0</v>
      </c>
      <c r="I77" s="24">
        <f>SUMIF('Pre- and Production'!$T$4:$T$574, CONCATENATE(LEFT('WBS Summary by Year'!I$5,1),'WBS Summary by Year'!$D77,'WBS Summary by Year'!$C$61),'Pre- and Production'!AE$4:AE$574)</f>
        <v>0</v>
      </c>
      <c r="J77" s="323">
        <f>SUMIF('Pre- and Production'!$T$4:$T$574, CONCATENATE(LEFT('WBS Summary by Year'!J$5,1),'WBS Summary by Year'!$D77,'WBS Summary by Year'!$C$61),'Pre- and Production'!AO$4:AO$574)</f>
        <v>0</v>
      </c>
      <c r="K77" s="324">
        <f>SUMIF('Pre- and Production'!$T$4:$T$574, CONCATENATE(LEFT('WBS Summary by Year'!K$5,1),'WBS Summary by Year'!$D77,'WBS Summary by Year'!$C$61),'Pre- and Production'!AF$4:AF$574)</f>
        <v>0</v>
      </c>
      <c r="L77" s="323">
        <f>SUMIF('Pre- and Production'!$T$4:$T$574, CONCATENATE(LEFT('WBS Summary by Year'!L$5,1),'WBS Summary by Year'!$D77,'WBS Summary by Year'!$C$61),'Pre- and Production'!AP$4:AP$574)</f>
        <v>0</v>
      </c>
      <c r="M77" s="324">
        <f>SUMIF('Pre- and Production'!$T$4:$T$574, CONCATENATE(LEFT('WBS Summary by Year'!M$5,1),'WBS Summary by Year'!$D77,'WBS Summary by Year'!$C$61),'Pre- and Production'!AG$4:AG$574)</f>
        <v>0</v>
      </c>
      <c r="N77" s="322">
        <f>SUMIF('Pre- and Production'!$T$4:$T$574, CONCATENATE(LEFT('WBS Summary by Year'!N$5,1),'WBS Summary by Year'!$D77,'WBS Summary by Year'!$C$61),'Pre- and Production'!AQ$4:AQ$574)</f>
        <v>0</v>
      </c>
      <c r="O77" s="325">
        <f>SUMIF('Pre- and Production'!$T$4:$T$574, CONCATENATE(LEFT('WBS Summary by Year'!O$5,1),'WBS Summary by Year'!$D77,'WBS Summary by Year'!$C$61),'Pre- and Production'!AH$4:AH$574)</f>
        <v>0</v>
      </c>
      <c r="P77" s="326">
        <f>SUMIF('Pre- and Production'!$T$4:$T$574, CONCATENATE(LEFT('WBS Summary by Year'!P$5,1),'WBS Summary by Year'!$D77,'WBS Summary by Year'!$C$61),'Pre- and Production'!AR$4:AR$574)</f>
        <v>0</v>
      </c>
    </row>
    <row r="78" spans="4:16">
      <c r="D78" s="42" t="s">
        <v>199</v>
      </c>
      <c r="E78" s="24">
        <f>SUMIF('Pre- and Production'!$T$4:$T$574, CONCATENATE(LEFT('WBS Summary by Year'!E$5,1),'WBS Summary by Year'!$D78,$C$61),'Pre- and Production'!AC$4:AC$574)</f>
        <v>0</v>
      </c>
      <c r="F78" s="322">
        <f>SUMIF('Pre- and Production'!$T$4:$T$574, CONCATENATE(LEFT('WBS Summary by Year'!F$5,1),'WBS Summary by Year'!$D78,'WBS Summary by Year'!$C$61),'Pre- and Production'!AM$4:AM$574)</f>
        <v>0</v>
      </c>
      <c r="G78" s="24">
        <f>SUMIF('Pre- and Production'!$T$4:$T$574, CONCATENATE(LEFT('WBS Summary by Year'!G$5,1),'WBS Summary by Year'!$D78,'WBS Summary by Year'!$C$61),'Pre- and Production'!AD$4:AD$574)</f>
        <v>0</v>
      </c>
      <c r="H78" s="323">
        <f>SUMIF('Pre- and Production'!$T$4:$T$574, CONCATENATE(LEFT('WBS Summary by Year'!H$5,1),'WBS Summary by Year'!$D78,'WBS Summary by Year'!$C$61),'Pre- and Production'!AN$4:AN$574)</f>
        <v>0</v>
      </c>
      <c r="I78" s="24">
        <f>SUMIF('Pre- and Production'!$T$4:$T$574, CONCATENATE(LEFT('WBS Summary by Year'!I$5,1),'WBS Summary by Year'!$D78,'WBS Summary by Year'!$C$61),'Pre- and Production'!AE$4:AE$574)</f>
        <v>0</v>
      </c>
      <c r="J78" s="323">
        <f>SUMIF('Pre- and Production'!$T$4:$T$574, CONCATENATE(LEFT('WBS Summary by Year'!J$5,1),'WBS Summary by Year'!$D78,'WBS Summary by Year'!$C$61),'Pre- and Production'!AO$4:AO$574)</f>
        <v>0</v>
      </c>
      <c r="K78" s="324">
        <f>SUMIF('Pre- and Production'!$T$4:$T$574, CONCATENATE(LEFT('WBS Summary by Year'!K$5,1),'WBS Summary by Year'!$D78,'WBS Summary by Year'!$C$61),'Pre- and Production'!AF$4:AF$574)</f>
        <v>0</v>
      </c>
      <c r="L78" s="323">
        <f>SUMIF('Pre- and Production'!$T$4:$T$574, CONCATENATE(LEFT('WBS Summary by Year'!L$5,1),'WBS Summary by Year'!$D78,'WBS Summary by Year'!$C$61),'Pre- and Production'!AP$4:AP$574)</f>
        <v>0</v>
      </c>
      <c r="M78" s="324">
        <f>SUMIF('Pre- and Production'!$T$4:$T$574, CONCATENATE(LEFT('WBS Summary by Year'!M$5,1),'WBS Summary by Year'!$D78,'WBS Summary by Year'!$C$61),'Pre- and Production'!AG$4:AG$574)</f>
        <v>0</v>
      </c>
      <c r="N78" s="322">
        <f>SUMIF('Pre- and Production'!$T$4:$T$574, CONCATENATE(LEFT('WBS Summary by Year'!N$5,1),'WBS Summary by Year'!$D78,'WBS Summary by Year'!$C$61),'Pre- and Production'!AQ$4:AQ$574)</f>
        <v>0</v>
      </c>
      <c r="O78" s="325">
        <f>SUMIF('Pre- and Production'!$T$4:$T$574, CONCATENATE(LEFT('WBS Summary by Year'!O$5,1),'WBS Summary by Year'!$D78,'WBS Summary by Year'!$C$61),'Pre- and Production'!AH$4:AH$574)</f>
        <v>0</v>
      </c>
      <c r="P78" s="326">
        <f>SUMIF('Pre- and Production'!$T$4:$T$574, CONCATENATE(LEFT('WBS Summary by Year'!P$5,1),'WBS Summary by Year'!$D78,'WBS Summary by Year'!$C$61),'Pre- and Production'!AR$4:AR$574)</f>
        <v>0</v>
      </c>
    </row>
    <row r="79" spans="4:16">
      <c r="D79" s="123" t="s">
        <v>202</v>
      </c>
      <c r="E79" s="24">
        <f>SUMIF('Pre- and Production'!$T$4:$T$574, CONCATENATE(LEFT('WBS Summary by Year'!E$5,1),'WBS Summary by Year'!$D79,$C$61),'Pre- and Production'!AC$4:AC$574)</f>
        <v>0</v>
      </c>
      <c r="F79" s="322">
        <f>SUMIF('Pre- and Production'!$T$4:$T$574, CONCATENATE(LEFT('WBS Summary by Year'!F$5,1),'WBS Summary by Year'!$D79,'WBS Summary by Year'!$C$61),'Pre- and Production'!AM$4:AM$574)</f>
        <v>0</v>
      </c>
      <c r="G79" s="24">
        <f>SUMIF('Pre- and Production'!$T$4:$T$574, CONCATENATE(LEFT('WBS Summary by Year'!G$5,1),'WBS Summary by Year'!$D79,'WBS Summary by Year'!$C$61),'Pre- and Production'!AD$4:AD$574)</f>
        <v>0</v>
      </c>
      <c r="H79" s="323">
        <f>SUMIF('Pre- and Production'!$T$4:$T$574, CONCATENATE(LEFT('WBS Summary by Year'!H$5,1),'WBS Summary by Year'!$D79,'WBS Summary by Year'!$C$61),'Pre- and Production'!AN$4:AN$574)</f>
        <v>0</v>
      </c>
      <c r="I79" s="24">
        <f>SUMIF('Pre- and Production'!$T$4:$T$574, CONCATENATE(LEFT('WBS Summary by Year'!I$5,1),'WBS Summary by Year'!$D79,'WBS Summary by Year'!$C$61),'Pre- and Production'!AE$4:AE$574)</f>
        <v>0</v>
      </c>
      <c r="J79" s="323">
        <f>SUMIF('Pre- and Production'!$T$4:$T$574, CONCATENATE(LEFT('WBS Summary by Year'!J$5,1),'WBS Summary by Year'!$D79,'WBS Summary by Year'!$C$61),'Pre- and Production'!AO$4:AO$574)</f>
        <v>0</v>
      </c>
      <c r="K79" s="324">
        <f>SUMIF('Pre- and Production'!$T$4:$T$574, CONCATENATE(LEFT('WBS Summary by Year'!K$5,1),'WBS Summary by Year'!$D79,'WBS Summary by Year'!$C$61),'Pre- and Production'!AF$4:AF$574)</f>
        <v>0</v>
      </c>
      <c r="L79" s="323">
        <f>SUMIF('Pre- and Production'!$T$4:$T$574, CONCATENATE(LEFT('WBS Summary by Year'!L$5,1),'WBS Summary by Year'!$D79,'WBS Summary by Year'!$C$61),'Pre- and Production'!AP$4:AP$574)</f>
        <v>0</v>
      </c>
      <c r="M79" s="324">
        <f>SUMIF('Pre- and Production'!$T$4:$T$574, CONCATENATE(LEFT('WBS Summary by Year'!M$5,1),'WBS Summary by Year'!$D79,'WBS Summary by Year'!$C$61),'Pre- and Production'!AG$4:AG$574)</f>
        <v>0</v>
      </c>
      <c r="N79" s="322">
        <f>SUMIF('Pre- and Production'!$T$4:$T$574, CONCATENATE(LEFT('WBS Summary by Year'!N$5,1),'WBS Summary by Year'!$D79,'WBS Summary by Year'!$C$61),'Pre- and Production'!AQ$4:AQ$574)</f>
        <v>0</v>
      </c>
      <c r="O79" s="325">
        <f>SUMIF('Pre- and Production'!$T$4:$T$574, CONCATENATE(LEFT('WBS Summary by Year'!O$5,1),'WBS Summary by Year'!$D79,'WBS Summary by Year'!$C$61),'Pre- and Production'!AH$4:AH$574)</f>
        <v>0</v>
      </c>
      <c r="P79" s="326">
        <f>SUMIF('Pre- and Production'!$T$4:$T$574, CONCATENATE(LEFT('WBS Summary by Year'!P$5,1),'WBS Summary by Year'!$D79,'WBS Summary by Year'!$C$61),'Pre- and Production'!AR$4:AR$574)</f>
        <v>0</v>
      </c>
    </row>
    <row r="80" spans="4:16">
      <c r="D80" s="42" t="s">
        <v>204</v>
      </c>
      <c r="E80" s="24">
        <f>SUMIF('Pre- and Production'!$T$4:$T$574, CONCATENATE(LEFT('WBS Summary by Year'!E$5,1),'WBS Summary by Year'!$D80,$C$61),'Pre- and Production'!AC$4:AC$574)</f>
        <v>0</v>
      </c>
      <c r="F80" s="322">
        <f>SUMIF('Pre- and Production'!$T$4:$T$574, CONCATENATE(LEFT('WBS Summary by Year'!F$5,1),'WBS Summary by Year'!$D80,'WBS Summary by Year'!$C$61),'Pre- and Production'!AM$4:AM$574)</f>
        <v>0</v>
      </c>
      <c r="G80" s="24">
        <f>SUMIF('Pre- and Production'!$T$4:$T$574, CONCATENATE(LEFT('WBS Summary by Year'!G$5,1),'WBS Summary by Year'!$D80,'WBS Summary by Year'!$C$61),'Pre- and Production'!AD$4:AD$574)</f>
        <v>80</v>
      </c>
      <c r="H80" s="323">
        <f>SUMIF('Pre- and Production'!$T$4:$T$574, CONCATENATE(LEFT('WBS Summary by Year'!H$5,1),'WBS Summary by Year'!$D80,'WBS Summary by Year'!$C$61),'Pre- and Production'!AN$4:AN$574)</f>
        <v>0</v>
      </c>
      <c r="I80" s="24">
        <f>SUMIF('Pre- and Production'!$T$4:$T$574, CONCATENATE(LEFT('WBS Summary by Year'!I$5,1),'WBS Summary by Year'!$D80,'WBS Summary by Year'!$C$61),'Pre- and Production'!AE$4:AE$574)</f>
        <v>920</v>
      </c>
      <c r="J80" s="323">
        <f>SUMIF('Pre- and Production'!$T$4:$T$574, CONCATENATE(LEFT('WBS Summary by Year'!J$5,1),'WBS Summary by Year'!$D80,'WBS Summary by Year'!$C$61),'Pre- and Production'!AO$4:AO$574)</f>
        <v>0</v>
      </c>
      <c r="K80" s="324">
        <f>SUMIF('Pre- and Production'!$T$4:$T$574, CONCATENATE(LEFT('WBS Summary by Year'!K$5,1),'WBS Summary by Year'!$D80,'WBS Summary by Year'!$C$61),'Pre- and Production'!AF$4:AF$574)</f>
        <v>356</v>
      </c>
      <c r="L80" s="323">
        <f>SUMIF('Pre- and Production'!$T$4:$T$574, CONCATENATE(LEFT('WBS Summary by Year'!L$5,1),'WBS Summary by Year'!$D80,'WBS Summary by Year'!$C$61),'Pre- and Production'!AP$4:AP$574)</f>
        <v>0</v>
      </c>
      <c r="M80" s="324">
        <f>SUMIF('Pre- and Production'!$T$4:$T$574, CONCATENATE(LEFT('WBS Summary by Year'!M$5,1),'WBS Summary by Year'!$D80,'WBS Summary by Year'!$C$61),'Pre- and Production'!AG$4:AG$574)</f>
        <v>884</v>
      </c>
      <c r="N80" s="322">
        <f>SUMIF('Pre- and Production'!$T$4:$T$574, CONCATENATE(LEFT('WBS Summary by Year'!N$5,1),'WBS Summary by Year'!$D80,'WBS Summary by Year'!$C$61),'Pre- and Production'!AQ$4:AQ$574)</f>
        <v>0</v>
      </c>
      <c r="O80" s="325">
        <f>SUMIF('Pre- and Production'!$T$4:$T$574, CONCATENATE(LEFT('WBS Summary by Year'!O$5,1),'WBS Summary by Year'!$D80,'WBS Summary by Year'!$C$61),'Pre- and Production'!AH$4:AH$574)</f>
        <v>9550</v>
      </c>
      <c r="P80" s="326">
        <f>SUMIF('Pre- and Production'!$T$4:$T$574, CONCATENATE(LEFT('WBS Summary by Year'!P$5,1),'WBS Summary by Year'!$D80,'WBS Summary by Year'!$C$61),'Pre- and Production'!AR$4:AR$574)</f>
        <v>0</v>
      </c>
    </row>
    <row r="81" spans="3:16">
      <c r="D81" s="42" t="s">
        <v>206</v>
      </c>
      <c r="E81" s="24">
        <f>SUMIF('Pre- and Production'!$T$4:$T$574, CONCATENATE(LEFT('WBS Summary by Year'!E$5,1),'WBS Summary by Year'!$D81,$C$61),'Pre- and Production'!AC$4:AC$574)</f>
        <v>0</v>
      </c>
      <c r="F81" s="322">
        <f>SUMIF('Pre- and Production'!$T$4:$T$574, CONCATENATE(LEFT('WBS Summary by Year'!F$5,1),'WBS Summary by Year'!$D81,'WBS Summary by Year'!$C$61),'Pre- and Production'!AM$4:AM$574)</f>
        <v>0</v>
      </c>
      <c r="G81" s="24">
        <f>SUMIF('Pre- and Production'!$T$4:$T$574, CONCATENATE(LEFT('WBS Summary by Year'!G$5,1),'WBS Summary by Year'!$D81,'WBS Summary by Year'!$C$61),'Pre- and Production'!AD$4:AD$574)</f>
        <v>0</v>
      </c>
      <c r="H81" s="323">
        <f>SUMIF('Pre- and Production'!$T$4:$T$574, CONCATENATE(LEFT('WBS Summary by Year'!H$5,1),'WBS Summary by Year'!$D81,'WBS Summary by Year'!$C$61),'Pre- and Production'!AN$4:AN$574)</f>
        <v>0</v>
      </c>
      <c r="I81" s="24">
        <f>SUMIF('Pre- and Production'!$T$4:$T$574, CONCATENATE(LEFT('WBS Summary by Year'!I$5,1),'WBS Summary by Year'!$D81,'WBS Summary by Year'!$C$61),'Pre- and Production'!AE$4:AE$574)</f>
        <v>0</v>
      </c>
      <c r="J81" s="323">
        <f>SUMIF('Pre- and Production'!$T$4:$T$574, CONCATENATE(LEFT('WBS Summary by Year'!J$5,1),'WBS Summary by Year'!$D81,'WBS Summary by Year'!$C$61),'Pre- and Production'!AO$4:AO$574)</f>
        <v>0</v>
      </c>
      <c r="K81" s="324">
        <f>SUMIF('Pre- and Production'!$T$4:$T$574, CONCATENATE(LEFT('WBS Summary by Year'!K$5,1),'WBS Summary by Year'!$D81,'WBS Summary by Year'!$C$61),'Pre- and Production'!AF$4:AF$574)</f>
        <v>0</v>
      </c>
      <c r="L81" s="323">
        <f>SUMIF('Pre- and Production'!$T$4:$T$574, CONCATENATE(LEFT('WBS Summary by Year'!L$5,1),'WBS Summary by Year'!$D81,'WBS Summary by Year'!$C$61),'Pre- and Production'!AP$4:AP$574)</f>
        <v>0</v>
      </c>
      <c r="M81" s="324">
        <f>SUMIF('Pre- and Production'!$T$4:$T$574, CONCATENATE(LEFT('WBS Summary by Year'!M$5,1),'WBS Summary by Year'!$D81,'WBS Summary by Year'!$C$61),'Pre- and Production'!AG$4:AG$574)</f>
        <v>0</v>
      </c>
      <c r="N81" s="322">
        <f>SUMIF('Pre- and Production'!$T$4:$T$574, CONCATENATE(LEFT('WBS Summary by Year'!N$5,1),'WBS Summary by Year'!$D81,'WBS Summary by Year'!$C$61),'Pre- and Production'!AQ$4:AQ$574)</f>
        <v>0</v>
      </c>
      <c r="O81" s="325">
        <f>SUMIF('Pre- and Production'!$T$4:$T$574, CONCATENATE(LEFT('WBS Summary by Year'!O$5,1),'WBS Summary by Year'!$D81,'WBS Summary by Year'!$C$61),'Pre- and Production'!AH$4:AH$574)</f>
        <v>0</v>
      </c>
      <c r="P81" s="326">
        <f>SUMIF('Pre- and Production'!$T$4:$T$574, CONCATENATE(LEFT('WBS Summary by Year'!P$5,1),'WBS Summary by Year'!$D81,'WBS Summary by Year'!$C$61),'Pre- and Production'!AR$4:AR$574)</f>
        <v>0</v>
      </c>
    </row>
    <row r="82" spans="3:16">
      <c r="D82" s="42" t="s">
        <v>208</v>
      </c>
      <c r="E82" s="24">
        <f>SUMIF('Pre- and Production'!$T$4:$T$574, CONCATENATE(LEFT('WBS Summary by Year'!E$5,1),'WBS Summary by Year'!$D82,$C$61),'Pre- and Production'!AC$4:AC$574)</f>
        <v>0</v>
      </c>
      <c r="F82" s="322">
        <f>SUMIF('Pre- and Production'!$T$4:$T$574, CONCATENATE(LEFT('WBS Summary by Year'!F$5,1),'WBS Summary by Year'!$D82,'WBS Summary by Year'!$C$61),'Pre- and Production'!AM$4:AM$574)</f>
        <v>0</v>
      </c>
      <c r="G82" s="24">
        <f>SUMIF('Pre- and Production'!$T$4:$T$574, CONCATENATE(LEFT('WBS Summary by Year'!G$5,1),'WBS Summary by Year'!$D82,'WBS Summary by Year'!$C$61),'Pre- and Production'!AD$4:AD$574)</f>
        <v>0</v>
      </c>
      <c r="H82" s="323">
        <f>SUMIF('Pre- and Production'!$T$4:$T$574, CONCATENATE(LEFT('WBS Summary by Year'!H$5,1),'WBS Summary by Year'!$D82,'WBS Summary by Year'!$C$61),'Pre- and Production'!AN$4:AN$574)</f>
        <v>0</v>
      </c>
      <c r="I82" s="24">
        <f>SUMIF('Pre- and Production'!$T$4:$T$574, CONCATENATE(LEFT('WBS Summary by Year'!I$5,1),'WBS Summary by Year'!$D82,'WBS Summary by Year'!$C$61),'Pre- and Production'!AE$4:AE$574)</f>
        <v>0</v>
      </c>
      <c r="J82" s="323">
        <f>SUMIF('Pre- and Production'!$T$4:$T$574, CONCATENATE(LEFT('WBS Summary by Year'!J$5,1),'WBS Summary by Year'!$D82,'WBS Summary by Year'!$C$61),'Pre- and Production'!AO$4:AO$574)</f>
        <v>0</v>
      </c>
      <c r="K82" s="324">
        <f>SUMIF('Pre- and Production'!$T$4:$T$574, CONCATENATE(LEFT('WBS Summary by Year'!K$5,1),'WBS Summary by Year'!$D82,'WBS Summary by Year'!$C$61),'Pre- and Production'!AF$4:AF$574)</f>
        <v>0</v>
      </c>
      <c r="L82" s="323">
        <f>SUMIF('Pre- and Production'!$T$4:$T$574, CONCATENATE(LEFT('WBS Summary by Year'!L$5,1),'WBS Summary by Year'!$D82,'WBS Summary by Year'!$C$61),'Pre- and Production'!AP$4:AP$574)</f>
        <v>0</v>
      </c>
      <c r="M82" s="324">
        <f>SUMIF('Pre- and Production'!$T$4:$T$574, CONCATENATE(LEFT('WBS Summary by Year'!M$5,1),'WBS Summary by Year'!$D82,'WBS Summary by Year'!$C$61),'Pre- and Production'!AG$4:AG$574)</f>
        <v>0</v>
      </c>
      <c r="N82" s="322">
        <f>SUMIF('Pre- and Production'!$T$4:$T$574, CONCATENATE(LEFT('WBS Summary by Year'!N$5,1),'WBS Summary by Year'!$D82,'WBS Summary by Year'!$C$61),'Pre- and Production'!AQ$4:AQ$574)</f>
        <v>0</v>
      </c>
      <c r="O82" s="325">
        <f>SUMIF('Pre- and Production'!$T$4:$T$574, CONCATENATE(LEFT('WBS Summary by Year'!O$5,1),'WBS Summary by Year'!$D82,'WBS Summary by Year'!$C$61),'Pre- and Production'!AH$4:AH$574)</f>
        <v>6500</v>
      </c>
      <c r="P82" s="326">
        <f>SUMIF('Pre- and Production'!$T$4:$T$574, CONCATENATE(LEFT('WBS Summary by Year'!P$5,1),'WBS Summary by Year'!$D82,'WBS Summary by Year'!$C$61),'Pre- and Production'!AR$4:AR$574)</f>
        <v>0</v>
      </c>
    </row>
    <row r="83" spans="3:16">
      <c r="D83" s="42" t="s">
        <v>210</v>
      </c>
      <c r="E83" s="24">
        <f>SUMIF('Pre- and Production'!$T$4:$T$574, CONCATENATE(LEFT('WBS Summary by Year'!E$5,1),'WBS Summary by Year'!$D83,$C$61),'Pre- and Production'!AC$4:AC$574)</f>
        <v>0</v>
      </c>
      <c r="F83" s="322">
        <f>SUMIF('Pre- and Production'!$T$4:$T$574, CONCATENATE(LEFT('WBS Summary by Year'!F$5,1),'WBS Summary by Year'!$D83,'WBS Summary by Year'!$C$61),'Pre- and Production'!AM$4:AM$574)</f>
        <v>0</v>
      </c>
      <c r="G83" s="24">
        <f>SUMIF('Pre- and Production'!$T$4:$T$574, CONCATENATE(LEFT('WBS Summary by Year'!G$5,1),'WBS Summary by Year'!$D83,'WBS Summary by Year'!$C$61),'Pre- and Production'!AD$4:AD$574)</f>
        <v>0</v>
      </c>
      <c r="H83" s="323">
        <f>SUMIF('Pre- and Production'!$T$4:$T$574, CONCATENATE(LEFT('WBS Summary by Year'!H$5,1),'WBS Summary by Year'!$D83,'WBS Summary by Year'!$C$61),'Pre- and Production'!AN$4:AN$574)</f>
        <v>0</v>
      </c>
      <c r="I83" s="24">
        <f>SUMIF('Pre- and Production'!$T$4:$T$574, CONCATENATE(LEFT('WBS Summary by Year'!I$5,1),'WBS Summary by Year'!$D83,'WBS Summary by Year'!$C$61),'Pre- and Production'!AE$4:AE$574)</f>
        <v>0</v>
      </c>
      <c r="J83" s="323">
        <f>SUMIF('Pre- and Production'!$T$4:$T$574, CONCATENATE(LEFT('WBS Summary by Year'!J$5,1),'WBS Summary by Year'!$D83,'WBS Summary by Year'!$C$61),'Pre- and Production'!AO$4:AO$574)</f>
        <v>0</v>
      </c>
      <c r="K83" s="324">
        <f>SUMIF('Pre- and Production'!$T$4:$T$574, CONCATENATE(LEFT('WBS Summary by Year'!K$5,1),'WBS Summary by Year'!$D83,'WBS Summary by Year'!$C$61),'Pre- and Production'!AF$4:AF$574)</f>
        <v>0</v>
      </c>
      <c r="L83" s="323">
        <f>SUMIF('Pre- and Production'!$T$4:$T$574, CONCATENATE(LEFT('WBS Summary by Year'!L$5,1),'WBS Summary by Year'!$D83,'WBS Summary by Year'!$C$61),'Pre- and Production'!AP$4:AP$574)</f>
        <v>0</v>
      </c>
      <c r="M83" s="324">
        <f>SUMIF('Pre- and Production'!$T$4:$T$574, CONCATENATE(LEFT('WBS Summary by Year'!M$5,1),'WBS Summary by Year'!$D83,'WBS Summary by Year'!$C$61),'Pre- and Production'!AG$4:AG$574)</f>
        <v>0</v>
      </c>
      <c r="N83" s="322">
        <f>SUMIF('Pre- and Production'!$T$4:$T$574, CONCATENATE(LEFT('WBS Summary by Year'!N$5,1),'WBS Summary by Year'!$D83,'WBS Summary by Year'!$C$61),'Pre- and Production'!AQ$4:AQ$574)</f>
        <v>0</v>
      </c>
      <c r="O83" s="325">
        <f>SUMIF('Pre- and Production'!$T$4:$T$574, CONCATENATE(LEFT('WBS Summary by Year'!O$5,1),'WBS Summary by Year'!$D83,'WBS Summary by Year'!$C$61),'Pre- and Production'!AH$4:AH$574)</f>
        <v>0</v>
      </c>
      <c r="P83" s="326">
        <f>SUMIF('Pre- and Production'!$T$4:$T$574, CONCATENATE(LEFT('WBS Summary by Year'!P$5,1),'WBS Summary by Year'!$D83,'WBS Summary by Year'!$C$61),'Pre- and Production'!AR$4:AR$574)</f>
        <v>0</v>
      </c>
    </row>
    <row r="84" spans="3:16" ht="13.5" thickBot="1">
      <c r="D84" s="123" t="s">
        <v>212</v>
      </c>
      <c r="E84" s="327">
        <f>SUMIF('Pre- and Production'!$T$4:$T$574, CONCATENATE(LEFT('WBS Summary by Year'!E$5,1),'WBS Summary by Year'!$D84,$C$61),'Pre- and Production'!AC$4:AC$574)</f>
        <v>0</v>
      </c>
      <c r="F84" s="328">
        <f>SUMIF('Pre- and Production'!$T$4:$T$574, CONCATENATE(LEFT('WBS Summary by Year'!F$5,1),'WBS Summary by Year'!$D84,'WBS Summary by Year'!$C$61),'Pre- and Production'!AM$4:AM$574)</f>
        <v>0</v>
      </c>
      <c r="G84" s="327">
        <f>SUMIF('Pre- and Production'!$T$4:$T$574, CONCATENATE(LEFT('WBS Summary by Year'!G$5,1),'WBS Summary by Year'!$D84,'WBS Summary by Year'!$C$61),'Pre- and Production'!AD$4:AD$574)</f>
        <v>0</v>
      </c>
      <c r="H84" s="329">
        <f>SUMIF('Pre- and Production'!$T$4:$T$574, CONCATENATE(LEFT('WBS Summary by Year'!H$5,1),'WBS Summary by Year'!$D84,'WBS Summary by Year'!$C$61),'Pre- and Production'!AN$4:AN$574)</f>
        <v>0</v>
      </c>
      <c r="I84" s="327">
        <f>SUMIF('Pre- and Production'!$T$4:$T$574, CONCATENATE(LEFT('WBS Summary by Year'!I$5,1),'WBS Summary by Year'!$D84,'WBS Summary by Year'!$C$61),'Pre- and Production'!AE$4:AE$574)</f>
        <v>0</v>
      </c>
      <c r="J84" s="329">
        <f>SUMIF('Pre- and Production'!$T$4:$T$574, CONCATENATE(LEFT('WBS Summary by Year'!J$5,1),'WBS Summary by Year'!$D84,'WBS Summary by Year'!$C$61),'Pre- and Production'!AO$4:AO$574)</f>
        <v>0</v>
      </c>
      <c r="K84" s="330">
        <f>SUMIF('Pre- and Production'!$T$4:$T$574, CONCATENATE(LEFT('WBS Summary by Year'!K$5,1),'WBS Summary by Year'!$D84,'WBS Summary by Year'!$C$61),'Pre- and Production'!AF$4:AF$574)</f>
        <v>0</v>
      </c>
      <c r="L84" s="329">
        <f>SUMIF('Pre- and Production'!$T$4:$T$574, CONCATENATE(LEFT('WBS Summary by Year'!L$5,1),'WBS Summary by Year'!$D84,'WBS Summary by Year'!$C$61),'Pre- and Production'!AP$4:AP$574)</f>
        <v>0</v>
      </c>
      <c r="M84" s="330">
        <f>SUMIF('Pre- and Production'!$T$4:$T$574, CONCATENATE(LEFT('WBS Summary by Year'!M$5,1),'WBS Summary by Year'!$D84,'WBS Summary by Year'!$C$61),'Pre- and Production'!AG$4:AG$574)</f>
        <v>0</v>
      </c>
      <c r="N84" s="328">
        <f>SUMIF('Pre- and Production'!$T$4:$T$574, CONCATENATE(LEFT('WBS Summary by Year'!N$5,1),'WBS Summary by Year'!$D84,'WBS Summary by Year'!$C$61),'Pre- and Production'!AQ$4:AQ$574)</f>
        <v>0</v>
      </c>
      <c r="O84" s="331">
        <f>SUMIF('Pre- and Production'!$T$4:$T$574, CONCATENATE(LEFT('WBS Summary by Year'!O$5,1),'WBS Summary by Year'!$D84,'WBS Summary by Year'!$C$61),'Pre- and Production'!AH$4:AH$574)</f>
        <v>0</v>
      </c>
      <c r="P84" s="332">
        <f>SUMIF('Pre- and Production'!$T$4:$T$574, CONCATENATE(LEFT('WBS Summary by Year'!P$5,1),'WBS Summary by Year'!$D84,'WBS Summary by Year'!$C$61),'Pre- and Production'!AR$4:AR$574)</f>
        <v>0</v>
      </c>
    </row>
    <row r="85" spans="3:16" ht="13.5" thickTop="1"/>
    <row r="86" spans="3:16">
      <c r="D86" s="333" t="s">
        <v>7</v>
      </c>
      <c r="E86">
        <f>SUM(E64:E84)</f>
        <v>136</v>
      </c>
      <c r="F86">
        <f t="shared" ref="F86:P86" si="4">SUM(F64:F84)</f>
        <v>40</v>
      </c>
      <c r="G86">
        <f t="shared" si="4"/>
        <v>804</v>
      </c>
      <c r="H86">
        <f t="shared" si="4"/>
        <v>168</v>
      </c>
      <c r="I86">
        <f t="shared" si="4"/>
        <v>2052</v>
      </c>
      <c r="J86">
        <f t="shared" si="4"/>
        <v>88</v>
      </c>
      <c r="K86">
        <f t="shared" si="4"/>
        <v>676</v>
      </c>
      <c r="L86">
        <f t="shared" si="4"/>
        <v>64</v>
      </c>
      <c r="M86">
        <f t="shared" si="4"/>
        <v>2256</v>
      </c>
      <c r="N86">
        <f t="shared" si="4"/>
        <v>136</v>
      </c>
      <c r="O86" s="306">
        <f t="shared" si="4"/>
        <v>214750</v>
      </c>
      <c r="P86" s="306">
        <f t="shared" si="4"/>
        <v>22250</v>
      </c>
    </row>
    <row r="87" spans="3:16">
      <c r="D87" s="333" t="s">
        <v>384</v>
      </c>
      <c r="E87" s="305">
        <f t="shared" ref="E87:N87" si="5">E86/1720</f>
        <v>7.9069767441860464E-2</v>
      </c>
      <c r="F87" s="305">
        <f t="shared" si="5"/>
        <v>2.3255813953488372E-2</v>
      </c>
      <c r="G87" s="305">
        <f t="shared" si="5"/>
        <v>0.46744186046511627</v>
      </c>
      <c r="H87" s="305">
        <f t="shared" si="5"/>
        <v>9.7674418604651161E-2</v>
      </c>
      <c r="I87" s="305">
        <f t="shared" si="5"/>
        <v>1.1930232558139535</v>
      </c>
      <c r="J87" s="305">
        <f t="shared" si="5"/>
        <v>5.1162790697674418E-2</v>
      </c>
      <c r="K87" s="305">
        <f t="shared" si="5"/>
        <v>0.39302325581395348</v>
      </c>
      <c r="L87" s="305">
        <f t="shared" si="5"/>
        <v>3.7209302325581395E-2</v>
      </c>
      <c r="M87" s="305">
        <f t="shared" si="5"/>
        <v>1.3116279069767443</v>
      </c>
      <c r="N87" s="305">
        <f t="shared" si="5"/>
        <v>7.9069767441860464E-2</v>
      </c>
    </row>
    <row r="90" spans="3:16" ht="18.75" thickBot="1">
      <c r="C90" s="308">
        <v>2012</v>
      </c>
      <c r="O90" s="309"/>
      <c r="P90" s="309"/>
    </row>
    <row r="91" spans="3:16" ht="13.5" thickTop="1">
      <c r="E91" s="354" t="s">
        <v>27</v>
      </c>
      <c r="F91" s="355"/>
      <c r="G91" s="354" t="s">
        <v>386</v>
      </c>
      <c r="H91" s="356"/>
      <c r="I91" s="354" t="s">
        <v>381</v>
      </c>
      <c r="J91" s="356"/>
      <c r="K91" s="357" t="s">
        <v>376</v>
      </c>
      <c r="L91" s="356"/>
      <c r="M91" s="357" t="s">
        <v>387</v>
      </c>
      <c r="N91" s="355"/>
      <c r="O91" s="352" t="s">
        <v>377</v>
      </c>
      <c r="P91" s="353"/>
    </row>
    <row r="92" spans="3:16" ht="13.5" thickBot="1">
      <c r="E92" s="310" t="s">
        <v>378</v>
      </c>
      <c r="F92" s="311" t="s">
        <v>379</v>
      </c>
      <c r="G92" s="310" t="s">
        <v>378</v>
      </c>
      <c r="H92" s="312" t="s">
        <v>379</v>
      </c>
      <c r="I92" s="310" t="s">
        <v>378</v>
      </c>
      <c r="J92" s="312" t="s">
        <v>379</v>
      </c>
      <c r="K92" s="313" t="s">
        <v>378</v>
      </c>
      <c r="L92" s="312" t="s">
        <v>379</v>
      </c>
      <c r="M92" s="313" t="s">
        <v>378</v>
      </c>
      <c r="N92" s="311" t="s">
        <v>379</v>
      </c>
      <c r="O92" s="314" t="s">
        <v>378</v>
      </c>
      <c r="P92" s="315" t="s">
        <v>379</v>
      </c>
    </row>
    <row r="93" spans="3:16" ht="13.5" thickTop="1">
      <c r="D93" s="18" t="s">
        <v>172</v>
      </c>
      <c r="E93" s="316">
        <f>SUMIF('Pre- and Production'!$T$4:$T$574, CONCATENATE(LEFT('WBS Summary by Year'!E$5,1),'WBS Summary by Year'!$D93,$C$90),'Pre- and Production'!AC$4:AC$574)</f>
        <v>0</v>
      </c>
      <c r="F93" s="317">
        <f>SUMIF('Pre- and Production'!$T$4:$T$574, CONCATENATE(LEFT('WBS Summary by Year'!F$5,1),'WBS Summary by Year'!$D93,'WBS Summary by Year'!$C$90),'Pre- and Production'!AM$4:AM$574)</f>
        <v>0</v>
      </c>
      <c r="G93" s="316">
        <f>SUMIF('Pre- and Production'!$T$4:$T$574, CONCATENATE(LEFT('WBS Summary by Year'!G$5,1),'WBS Summary by Year'!$D93,'WBS Summary by Year'!$C$90),'Pre- and Production'!AD$4:AD$574)</f>
        <v>0</v>
      </c>
      <c r="H93" s="318">
        <f>SUMIF('Pre- and Production'!$T$4:$T$574, CONCATENATE(LEFT('WBS Summary by Year'!H$5,1),'WBS Summary by Year'!$D93,'WBS Summary by Year'!$C$90),'Pre- and Production'!AN$4:AN$574)</f>
        <v>0</v>
      </c>
      <c r="I93" s="316">
        <f>SUMIF('Pre- and Production'!$T$4:$T$574, CONCATENATE(LEFT('WBS Summary by Year'!I$5,1),'WBS Summary by Year'!$D93,'WBS Summary by Year'!$C$90),'Pre- and Production'!AE$4:AE$574)</f>
        <v>0</v>
      </c>
      <c r="J93" s="318">
        <f>SUMIF('Pre- and Production'!$T$4:$T$574, CONCATENATE(LEFT('WBS Summary by Year'!J$5,1),'WBS Summary by Year'!$D93,'WBS Summary by Year'!$C$90),'Pre- and Production'!AO$4:AO$574)</f>
        <v>0</v>
      </c>
      <c r="K93" s="319">
        <f>SUMIF('Pre- and Production'!$T$4:$T$574, CONCATENATE(LEFT('WBS Summary by Year'!K$5,1),'WBS Summary by Year'!$D93,'WBS Summary by Year'!$C$90),'Pre- and Production'!AF$4:AF$574)</f>
        <v>0</v>
      </c>
      <c r="L93" s="318">
        <f>SUMIF('Pre- and Production'!$T$4:$T$574, CONCATENATE(LEFT('WBS Summary by Year'!L$5,1),'WBS Summary by Year'!$D93,'WBS Summary by Year'!$C$90),'Pre- and Production'!AP$4:AP$574)</f>
        <v>0</v>
      </c>
      <c r="M93" s="319">
        <f>SUMIF('Pre- and Production'!$T$4:$T$574, CONCATENATE(LEFT('WBS Summary by Year'!M$5,1),'WBS Summary by Year'!$D93,'WBS Summary by Year'!$C$90),'Pre- and Production'!AG$4:AG$574)</f>
        <v>0</v>
      </c>
      <c r="N93" s="317">
        <f>SUMIF('Pre- and Production'!$T$4:$T$574, CONCATENATE(LEFT('WBS Summary by Year'!N$5,1),'WBS Summary by Year'!$D93,'WBS Summary by Year'!$C$90),'Pre- and Production'!AQ$4:AQ$574)</f>
        <v>0</v>
      </c>
      <c r="O93" s="320">
        <f>SUMIF('Pre- and Production'!$T$4:$T$574, CONCATENATE(LEFT('WBS Summary by Year'!O$5,1),'WBS Summary by Year'!$D93,'WBS Summary by Year'!$C$90),'Pre- and Production'!AH$4:AH$574)</f>
        <v>0</v>
      </c>
      <c r="P93" s="321">
        <f>SUMIF('Pre- and Production'!$T$4:$T$574, CONCATENATE(LEFT('WBS Summary by Year'!P$5,1),'WBS Summary by Year'!$D93,'WBS Summary by Year'!$C$90),'Pre- and Production'!AR$4:AR$574)</f>
        <v>0</v>
      </c>
    </row>
    <row r="94" spans="3:16">
      <c r="D94" s="123" t="s">
        <v>173</v>
      </c>
      <c r="E94" s="24">
        <f>SUMIF('Pre- and Production'!$T$4:$T$574, CONCATENATE(LEFT('WBS Summary by Year'!E$5,1),'WBS Summary by Year'!$D94,$C$90),'Pre- and Production'!AC$4:AC$574)</f>
        <v>0</v>
      </c>
      <c r="F94" s="322">
        <f>SUMIF('Pre- and Production'!$T$4:$T$574, CONCATENATE(LEFT('WBS Summary by Year'!F$5,1),'WBS Summary by Year'!$D94,'WBS Summary by Year'!$C$90),'Pre- and Production'!AM$4:AM$574)</f>
        <v>0</v>
      </c>
      <c r="G94" s="24">
        <f>SUMIF('Pre- and Production'!$T$4:$T$574, CONCATENATE(LEFT('WBS Summary by Year'!G$5,1),'WBS Summary by Year'!$D94,'WBS Summary by Year'!$C$90),'Pre- and Production'!AD$4:AD$574)</f>
        <v>0</v>
      </c>
      <c r="H94" s="323">
        <f>SUMIF('Pre- and Production'!$T$4:$T$574, CONCATENATE(LEFT('WBS Summary by Year'!H$5,1),'WBS Summary by Year'!$D94,'WBS Summary by Year'!$C$90),'Pre- and Production'!AN$4:AN$574)</f>
        <v>0</v>
      </c>
      <c r="I94" s="24">
        <f>SUMIF('Pre- and Production'!$T$4:$T$574, CONCATENATE(LEFT('WBS Summary by Year'!I$5,1),'WBS Summary by Year'!$D94,'WBS Summary by Year'!$C$90),'Pre- and Production'!AE$4:AE$574)</f>
        <v>0</v>
      </c>
      <c r="J94" s="323">
        <f>SUMIF('Pre- and Production'!$T$4:$T$574, CONCATENATE(LEFT('WBS Summary by Year'!J$5,1),'WBS Summary by Year'!$D94,'WBS Summary by Year'!$C$90),'Pre- and Production'!AO$4:AO$574)</f>
        <v>0</v>
      </c>
      <c r="K94" s="324">
        <f>SUMIF('Pre- and Production'!$T$4:$T$574, CONCATENATE(LEFT('WBS Summary by Year'!K$5,1),'WBS Summary by Year'!$D94,'WBS Summary by Year'!$C$90),'Pre- and Production'!AF$4:AF$574)</f>
        <v>0</v>
      </c>
      <c r="L94" s="323">
        <f>SUMIF('Pre- and Production'!$T$4:$T$574, CONCATENATE(LEFT('WBS Summary by Year'!L$5,1),'WBS Summary by Year'!$D94,'WBS Summary by Year'!$C$90),'Pre- and Production'!AP$4:AP$574)</f>
        <v>0</v>
      </c>
      <c r="M94" s="324">
        <f>SUMIF('Pre- and Production'!$T$4:$T$574, CONCATENATE(LEFT('WBS Summary by Year'!M$5,1),'WBS Summary by Year'!$D94,'WBS Summary by Year'!$C$90),'Pre- and Production'!AG$4:AG$574)</f>
        <v>0</v>
      </c>
      <c r="N94" s="322">
        <f>SUMIF('Pre- and Production'!$T$4:$T$574, CONCATENATE(LEFT('WBS Summary by Year'!N$5,1),'WBS Summary by Year'!$D94,'WBS Summary by Year'!$C$90),'Pre- and Production'!AQ$4:AQ$574)</f>
        <v>0</v>
      </c>
      <c r="O94" s="325">
        <f>SUMIF('Pre- and Production'!$T$4:$T$574, CONCATENATE(LEFT('WBS Summary by Year'!O$5,1),'WBS Summary by Year'!$D94,'WBS Summary by Year'!$C$90),'Pre- and Production'!AH$4:AH$574)</f>
        <v>0</v>
      </c>
      <c r="P94" s="326">
        <f>SUMIF('Pre- and Production'!$T$4:$T$574, CONCATENATE(LEFT('WBS Summary by Year'!P$5,1),'WBS Summary by Year'!$D94,'WBS Summary by Year'!$C$90),'Pre- and Production'!AR$4:AR$574)</f>
        <v>0</v>
      </c>
    </row>
    <row r="95" spans="3:16">
      <c r="D95" s="42" t="s">
        <v>175</v>
      </c>
      <c r="E95" s="24">
        <f>SUMIF('Pre- and Production'!$T$4:$T$574, CONCATENATE(LEFT('WBS Summary by Year'!E$5,1),'WBS Summary by Year'!$D95,$C$90),'Pre- and Production'!AC$4:AC$574)</f>
        <v>0</v>
      </c>
      <c r="F95" s="322">
        <f>SUMIF('Pre- and Production'!$T$4:$T$574, CONCATENATE(LEFT('WBS Summary by Year'!F$5,1),'WBS Summary by Year'!$D95,'WBS Summary by Year'!$C$90),'Pre- and Production'!AM$4:AM$574)</f>
        <v>0</v>
      </c>
      <c r="G95" s="24">
        <f>SUMIF('Pre- and Production'!$T$4:$T$574, CONCATENATE(LEFT('WBS Summary by Year'!G$5,1),'WBS Summary by Year'!$D95,'WBS Summary by Year'!$C$90),'Pre- and Production'!AD$4:AD$574)</f>
        <v>0</v>
      </c>
      <c r="H95" s="323">
        <f>SUMIF('Pre- and Production'!$T$4:$T$574, CONCATENATE(LEFT('WBS Summary by Year'!H$5,1),'WBS Summary by Year'!$D95,'WBS Summary by Year'!$C$90),'Pre- and Production'!AN$4:AN$574)</f>
        <v>0</v>
      </c>
      <c r="I95" s="24">
        <f>SUMIF('Pre- and Production'!$T$4:$T$574, CONCATENATE(LEFT('WBS Summary by Year'!I$5,1),'WBS Summary by Year'!$D95,'WBS Summary by Year'!$C$90),'Pre- and Production'!AE$4:AE$574)</f>
        <v>0</v>
      </c>
      <c r="J95" s="323">
        <f>SUMIF('Pre- and Production'!$T$4:$T$574, CONCATENATE(LEFT('WBS Summary by Year'!J$5,1),'WBS Summary by Year'!$D95,'WBS Summary by Year'!$C$90),'Pre- and Production'!AO$4:AO$574)</f>
        <v>0</v>
      </c>
      <c r="K95" s="324">
        <f>SUMIF('Pre- and Production'!$T$4:$T$574, CONCATENATE(LEFT('WBS Summary by Year'!K$5,1),'WBS Summary by Year'!$D95,'WBS Summary by Year'!$C$90),'Pre- and Production'!AF$4:AF$574)</f>
        <v>0</v>
      </c>
      <c r="L95" s="323">
        <f>SUMIF('Pre- and Production'!$T$4:$T$574, CONCATENATE(LEFT('WBS Summary by Year'!L$5,1),'WBS Summary by Year'!$D95,'WBS Summary by Year'!$C$90),'Pre- and Production'!AP$4:AP$574)</f>
        <v>0</v>
      </c>
      <c r="M95" s="324">
        <f>SUMIF('Pre- and Production'!$T$4:$T$574, CONCATENATE(LEFT('WBS Summary by Year'!M$5,1),'WBS Summary by Year'!$D95,'WBS Summary by Year'!$C$90),'Pre- and Production'!AG$4:AG$574)</f>
        <v>0</v>
      </c>
      <c r="N95" s="322">
        <f>SUMIF('Pre- and Production'!$T$4:$T$574, CONCATENATE(LEFT('WBS Summary by Year'!N$5,1),'WBS Summary by Year'!$D95,'WBS Summary by Year'!$C$90),'Pre- and Production'!AQ$4:AQ$574)</f>
        <v>0</v>
      </c>
      <c r="O95" s="325">
        <f>SUMIF('Pre- and Production'!$T$4:$T$574, CONCATENATE(LEFT('WBS Summary by Year'!O$5,1),'WBS Summary by Year'!$D95,'WBS Summary by Year'!$C$90),'Pre- and Production'!AH$4:AH$574)</f>
        <v>0</v>
      </c>
      <c r="P95" s="326">
        <f>SUMIF('Pre- and Production'!$T$4:$T$574, CONCATENATE(LEFT('WBS Summary by Year'!P$5,1),'WBS Summary by Year'!$D95,'WBS Summary by Year'!$C$90),'Pre- and Production'!AR$4:AR$574)</f>
        <v>0</v>
      </c>
    </row>
    <row r="96" spans="3:16">
      <c r="D96" s="42" t="s">
        <v>177</v>
      </c>
      <c r="E96" s="24">
        <f>SUMIF('Pre- and Production'!$T$4:$T$574, CONCATENATE(LEFT('WBS Summary by Year'!E$5,1),'WBS Summary by Year'!$D96,$C$90),'Pre- and Production'!AC$4:AC$574)</f>
        <v>0</v>
      </c>
      <c r="F96" s="322">
        <f>SUMIF('Pre- and Production'!$T$4:$T$574, CONCATENATE(LEFT('WBS Summary by Year'!F$5,1),'WBS Summary by Year'!$D96,'WBS Summary by Year'!$C$90),'Pre- and Production'!AM$4:AM$574)</f>
        <v>0</v>
      </c>
      <c r="G96" s="24">
        <f>SUMIF('Pre- and Production'!$T$4:$T$574, CONCATENATE(LEFT('WBS Summary by Year'!G$5,1),'WBS Summary by Year'!$D96,'WBS Summary by Year'!$C$90),'Pre- and Production'!AD$4:AD$574)</f>
        <v>0</v>
      </c>
      <c r="H96" s="323">
        <f>SUMIF('Pre- and Production'!$T$4:$T$574, CONCATENATE(LEFT('WBS Summary by Year'!H$5,1),'WBS Summary by Year'!$D96,'WBS Summary by Year'!$C$90),'Pre- and Production'!AN$4:AN$574)</f>
        <v>0</v>
      </c>
      <c r="I96" s="24">
        <f>SUMIF('Pre- and Production'!$T$4:$T$574, CONCATENATE(LEFT('WBS Summary by Year'!I$5,1),'WBS Summary by Year'!$D96,'WBS Summary by Year'!$C$90),'Pre- and Production'!AE$4:AE$574)</f>
        <v>0</v>
      </c>
      <c r="J96" s="323">
        <f>SUMIF('Pre- and Production'!$T$4:$T$574, CONCATENATE(LEFT('WBS Summary by Year'!J$5,1),'WBS Summary by Year'!$D96,'WBS Summary by Year'!$C$90),'Pre- and Production'!AO$4:AO$574)</f>
        <v>0</v>
      </c>
      <c r="K96" s="324">
        <f>SUMIF('Pre- and Production'!$T$4:$T$574, CONCATENATE(LEFT('WBS Summary by Year'!K$5,1),'WBS Summary by Year'!$D96,'WBS Summary by Year'!$C$90),'Pre- and Production'!AF$4:AF$574)</f>
        <v>0</v>
      </c>
      <c r="L96" s="323">
        <f>SUMIF('Pre- and Production'!$T$4:$T$574, CONCATENATE(LEFT('WBS Summary by Year'!L$5,1),'WBS Summary by Year'!$D96,'WBS Summary by Year'!$C$90),'Pre- and Production'!AP$4:AP$574)</f>
        <v>0</v>
      </c>
      <c r="M96" s="324">
        <f>SUMIF('Pre- and Production'!$T$4:$T$574, CONCATENATE(LEFT('WBS Summary by Year'!M$5,1),'WBS Summary by Year'!$D96,'WBS Summary by Year'!$C$90),'Pre- and Production'!AG$4:AG$574)</f>
        <v>0</v>
      </c>
      <c r="N96" s="322">
        <f>SUMIF('Pre- and Production'!$T$4:$T$574, CONCATENATE(LEFT('WBS Summary by Year'!N$5,1),'WBS Summary by Year'!$D96,'WBS Summary by Year'!$C$90),'Pre- and Production'!AQ$4:AQ$574)</f>
        <v>0</v>
      </c>
      <c r="O96" s="325">
        <f>SUMIF('Pre- and Production'!$T$4:$T$574, CONCATENATE(LEFT('WBS Summary by Year'!O$5,1),'WBS Summary by Year'!$D96,'WBS Summary by Year'!$C$90),'Pre- and Production'!AH$4:AH$574)</f>
        <v>0</v>
      </c>
      <c r="P96" s="326">
        <f>SUMIF('Pre- and Production'!$T$4:$T$574, CONCATENATE(LEFT('WBS Summary by Year'!P$5,1),'WBS Summary by Year'!$D96,'WBS Summary by Year'!$C$90),'Pre- and Production'!AR$4:AR$574)</f>
        <v>0</v>
      </c>
    </row>
    <row r="97" spans="4:16">
      <c r="D97" s="123" t="s">
        <v>179</v>
      </c>
      <c r="E97" s="24">
        <f>SUMIF('Pre- and Production'!$T$4:$T$574, CONCATENATE(LEFT('WBS Summary by Year'!E$5,1),'WBS Summary by Year'!$D97,$C$90),'Pre- and Production'!AC$4:AC$574)</f>
        <v>0</v>
      </c>
      <c r="F97" s="322">
        <f>SUMIF('Pre- and Production'!$T$4:$T$574, CONCATENATE(LEFT('WBS Summary by Year'!F$5,1),'WBS Summary by Year'!$D97,'WBS Summary by Year'!$C$90),'Pre- and Production'!AM$4:AM$574)</f>
        <v>0</v>
      </c>
      <c r="G97" s="24">
        <f>SUMIF('Pre- and Production'!$T$4:$T$574, CONCATENATE(LEFT('WBS Summary by Year'!G$5,1),'WBS Summary by Year'!$D97,'WBS Summary by Year'!$C$90),'Pre- and Production'!AD$4:AD$574)</f>
        <v>0</v>
      </c>
      <c r="H97" s="323">
        <f>SUMIF('Pre- and Production'!$T$4:$T$574, CONCATENATE(LEFT('WBS Summary by Year'!H$5,1),'WBS Summary by Year'!$D97,'WBS Summary by Year'!$C$90),'Pre- and Production'!AN$4:AN$574)</f>
        <v>0</v>
      </c>
      <c r="I97" s="24">
        <f>SUMIF('Pre- and Production'!$T$4:$T$574, CONCATENATE(LEFT('WBS Summary by Year'!I$5,1),'WBS Summary by Year'!$D97,'WBS Summary by Year'!$C$90),'Pre- and Production'!AE$4:AE$574)</f>
        <v>0</v>
      </c>
      <c r="J97" s="323">
        <f>SUMIF('Pre- and Production'!$T$4:$T$574, CONCATENATE(LEFT('WBS Summary by Year'!J$5,1),'WBS Summary by Year'!$D97,'WBS Summary by Year'!$C$90),'Pre- and Production'!AO$4:AO$574)</f>
        <v>0</v>
      </c>
      <c r="K97" s="324">
        <f>SUMIF('Pre- and Production'!$T$4:$T$574, CONCATENATE(LEFT('WBS Summary by Year'!K$5,1),'WBS Summary by Year'!$D97,'WBS Summary by Year'!$C$90),'Pre- and Production'!AF$4:AF$574)</f>
        <v>0</v>
      </c>
      <c r="L97" s="323">
        <f>SUMIF('Pre- and Production'!$T$4:$T$574, CONCATENATE(LEFT('WBS Summary by Year'!L$5,1),'WBS Summary by Year'!$D97,'WBS Summary by Year'!$C$90),'Pre- and Production'!AP$4:AP$574)</f>
        <v>0</v>
      </c>
      <c r="M97" s="324">
        <f>SUMIF('Pre- and Production'!$T$4:$T$574, CONCATENATE(LEFT('WBS Summary by Year'!M$5,1),'WBS Summary by Year'!$D97,'WBS Summary by Year'!$C$90),'Pre- and Production'!AG$4:AG$574)</f>
        <v>0</v>
      </c>
      <c r="N97" s="322">
        <f>SUMIF('Pre- and Production'!$T$4:$T$574, CONCATENATE(LEFT('WBS Summary by Year'!N$5,1),'WBS Summary by Year'!$D97,'WBS Summary by Year'!$C$90),'Pre- and Production'!AQ$4:AQ$574)</f>
        <v>0</v>
      </c>
      <c r="O97" s="325">
        <f>SUMIF('Pre- and Production'!$T$4:$T$574, CONCATENATE(LEFT('WBS Summary by Year'!O$5,1),'WBS Summary by Year'!$D97,'WBS Summary by Year'!$C$90),'Pre- and Production'!AH$4:AH$574)</f>
        <v>0</v>
      </c>
      <c r="P97" s="326">
        <f>SUMIF('Pre- and Production'!$T$4:$T$574, CONCATENATE(LEFT('WBS Summary by Year'!P$5,1),'WBS Summary by Year'!$D97,'WBS Summary by Year'!$C$90),'Pre- and Production'!AR$4:AR$574)</f>
        <v>0</v>
      </c>
    </row>
    <row r="98" spans="4:16">
      <c r="D98" s="42" t="s">
        <v>181</v>
      </c>
      <c r="E98" s="24">
        <f>SUMIF('Pre- and Production'!$T$4:$T$574, CONCATENATE(LEFT('WBS Summary by Year'!E$5,1),'WBS Summary by Year'!$D98,$C$90),'Pre- and Production'!AC$4:AC$574)</f>
        <v>0</v>
      </c>
      <c r="F98" s="322">
        <f>SUMIF('Pre- and Production'!$T$4:$T$574, CONCATENATE(LEFT('WBS Summary by Year'!F$5,1),'WBS Summary by Year'!$D98,'WBS Summary by Year'!$C$90),'Pre- and Production'!AM$4:AM$574)</f>
        <v>0</v>
      </c>
      <c r="G98" s="24">
        <f>SUMIF('Pre- and Production'!$T$4:$T$574, CONCATENATE(LEFT('WBS Summary by Year'!G$5,1),'WBS Summary by Year'!$D98,'WBS Summary by Year'!$C$90),'Pre- and Production'!AD$4:AD$574)</f>
        <v>0</v>
      </c>
      <c r="H98" s="323">
        <f>SUMIF('Pre- and Production'!$T$4:$T$574, CONCATENATE(LEFT('WBS Summary by Year'!H$5,1),'WBS Summary by Year'!$D98,'WBS Summary by Year'!$C$90),'Pre- and Production'!AN$4:AN$574)</f>
        <v>0</v>
      </c>
      <c r="I98" s="24">
        <f>SUMIF('Pre- and Production'!$T$4:$T$574, CONCATENATE(LEFT('WBS Summary by Year'!I$5,1),'WBS Summary by Year'!$D98,'WBS Summary by Year'!$C$90),'Pre- and Production'!AE$4:AE$574)</f>
        <v>0</v>
      </c>
      <c r="J98" s="323">
        <f>SUMIF('Pre- and Production'!$T$4:$T$574, CONCATENATE(LEFT('WBS Summary by Year'!J$5,1),'WBS Summary by Year'!$D98,'WBS Summary by Year'!$C$90),'Pre- and Production'!AO$4:AO$574)</f>
        <v>8</v>
      </c>
      <c r="K98" s="324">
        <f>SUMIF('Pre- and Production'!$T$4:$T$574, CONCATENATE(LEFT('WBS Summary by Year'!K$5,1),'WBS Summary by Year'!$D98,'WBS Summary by Year'!$C$90),'Pre- and Production'!AF$4:AF$574)</f>
        <v>0</v>
      </c>
      <c r="L98" s="323">
        <f>SUMIF('Pre- and Production'!$T$4:$T$574, CONCATENATE(LEFT('WBS Summary by Year'!L$5,1),'WBS Summary by Year'!$D98,'WBS Summary by Year'!$C$90),'Pre- and Production'!AP$4:AP$574)</f>
        <v>0</v>
      </c>
      <c r="M98" s="324">
        <f>SUMIF('Pre- and Production'!$T$4:$T$574, CONCATENATE(LEFT('WBS Summary by Year'!M$5,1),'WBS Summary by Year'!$D98,'WBS Summary by Year'!$C$90),'Pre- and Production'!AG$4:AG$574)</f>
        <v>32</v>
      </c>
      <c r="N98" s="322">
        <f>SUMIF('Pre- and Production'!$T$4:$T$574, CONCATENATE(LEFT('WBS Summary by Year'!N$5,1),'WBS Summary by Year'!$D98,'WBS Summary by Year'!$C$90),'Pre- and Production'!AQ$4:AQ$574)</f>
        <v>40</v>
      </c>
      <c r="O98" s="325">
        <f>SUMIF('Pre- and Production'!$T$4:$T$574, CONCATENATE(LEFT('WBS Summary by Year'!O$5,1),'WBS Summary by Year'!$D98,'WBS Summary by Year'!$C$90),'Pre- and Production'!AH$4:AH$574)</f>
        <v>155000</v>
      </c>
      <c r="P98" s="326">
        <f>SUMIF('Pre- and Production'!$T$4:$T$574, CONCATENATE(LEFT('WBS Summary by Year'!P$5,1),'WBS Summary by Year'!$D98,'WBS Summary by Year'!$C$90),'Pre- and Production'!AR$4:AR$574)</f>
        <v>183400</v>
      </c>
    </row>
    <row r="99" spans="4:16">
      <c r="D99" s="42" t="s">
        <v>183</v>
      </c>
      <c r="E99" s="24">
        <f>SUMIF('Pre- and Production'!$T$4:$T$574, CONCATENATE(LEFT('WBS Summary by Year'!E$5,1),'WBS Summary by Year'!$D99,$C$90),'Pre- and Production'!AC$4:AC$574)</f>
        <v>0</v>
      </c>
      <c r="F99" s="322">
        <f>SUMIF('Pre- and Production'!$T$4:$T$574, CONCATENATE(LEFT('WBS Summary by Year'!F$5,1),'WBS Summary by Year'!$D99,'WBS Summary by Year'!$C$90),'Pre- and Production'!AM$4:AM$574)</f>
        <v>0</v>
      </c>
      <c r="G99" s="24">
        <f>SUMIF('Pre- and Production'!$T$4:$T$574, CONCATENATE(LEFT('WBS Summary by Year'!G$5,1),'WBS Summary by Year'!$D99,'WBS Summary by Year'!$C$90),'Pre- and Production'!AD$4:AD$574)</f>
        <v>156</v>
      </c>
      <c r="H99" s="323">
        <f>SUMIF('Pre- and Production'!$T$4:$T$574, CONCATENATE(LEFT('WBS Summary by Year'!H$5,1),'WBS Summary by Year'!$D99,'WBS Summary by Year'!$C$90),'Pre- and Production'!AN$4:AN$574)</f>
        <v>8</v>
      </c>
      <c r="I99" s="24">
        <f>SUMIF('Pre- and Production'!$T$4:$T$574, CONCATENATE(LEFT('WBS Summary by Year'!I$5,1),'WBS Summary by Year'!$D99,'WBS Summary by Year'!$C$90),'Pre- and Production'!AE$4:AE$574)</f>
        <v>228</v>
      </c>
      <c r="J99" s="323">
        <f>SUMIF('Pre- and Production'!$T$4:$T$574, CONCATENATE(LEFT('WBS Summary by Year'!J$5,1),'WBS Summary by Year'!$D99,'WBS Summary by Year'!$C$90),'Pre- and Production'!AO$4:AO$574)</f>
        <v>0</v>
      </c>
      <c r="K99" s="324">
        <f>SUMIF('Pre- and Production'!$T$4:$T$574, CONCATENATE(LEFT('WBS Summary by Year'!K$5,1),'WBS Summary by Year'!$D99,'WBS Summary by Year'!$C$90),'Pre- and Production'!AF$4:AF$574)</f>
        <v>160</v>
      </c>
      <c r="L99" s="323">
        <f>SUMIF('Pre- and Production'!$T$4:$T$574, CONCATENATE(LEFT('WBS Summary by Year'!L$5,1),'WBS Summary by Year'!$D99,'WBS Summary by Year'!$C$90),'Pre- and Production'!AP$4:AP$574)</f>
        <v>8</v>
      </c>
      <c r="M99" s="324">
        <f>SUMIF('Pre- and Production'!$T$4:$T$574, CONCATENATE(LEFT('WBS Summary by Year'!M$5,1),'WBS Summary by Year'!$D99,'WBS Summary by Year'!$C$90),'Pre- and Production'!AG$4:AG$574)</f>
        <v>224</v>
      </c>
      <c r="N99" s="322">
        <f>SUMIF('Pre- and Production'!$T$4:$T$574, CONCATENATE(LEFT('WBS Summary by Year'!N$5,1),'WBS Summary by Year'!$D99,'WBS Summary by Year'!$C$90),'Pre- and Production'!AQ$4:AQ$574)</f>
        <v>0</v>
      </c>
      <c r="O99" s="325">
        <f>SUMIF('Pre- and Production'!$T$4:$T$574, CONCATENATE(LEFT('WBS Summary by Year'!O$5,1),'WBS Summary by Year'!$D99,'WBS Summary by Year'!$C$90),'Pre- and Production'!AH$4:AH$574)</f>
        <v>76710</v>
      </c>
      <c r="P99" s="326">
        <f>SUMIF('Pre- and Production'!$T$4:$T$574, CONCATENATE(LEFT('WBS Summary by Year'!P$5,1),'WBS Summary by Year'!$D99,'WBS Summary by Year'!$C$90),'Pre- and Production'!AR$4:AR$574)</f>
        <v>10000</v>
      </c>
    </row>
    <row r="100" spans="4:16">
      <c r="D100" s="123" t="s">
        <v>185</v>
      </c>
      <c r="E100" s="24">
        <f>SUMIF('Pre- and Production'!$T$4:$T$574, CONCATENATE(LEFT('WBS Summary by Year'!E$5,1),'WBS Summary by Year'!$D100,$C$90),'Pre- and Production'!AC$4:AC$574)</f>
        <v>0</v>
      </c>
      <c r="F100" s="322">
        <f>SUMIF('Pre- and Production'!$T$4:$T$574, CONCATENATE(LEFT('WBS Summary by Year'!F$5,1),'WBS Summary by Year'!$D100,'WBS Summary by Year'!$C$90),'Pre- and Production'!AM$4:AM$574)</f>
        <v>0</v>
      </c>
      <c r="G100" s="24">
        <f>SUMIF('Pre- and Production'!$T$4:$T$574, CONCATENATE(LEFT('WBS Summary by Year'!G$5,1),'WBS Summary by Year'!$D100,'WBS Summary by Year'!$C$90),'Pre- and Production'!AD$4:AD$574)</f>
        <v>0</v>
      </c>
      <c r="H100" s="323">
        <f>SUMIF('Pre- and Production'!$T$4:$T$574, CONCATENATE(LEFT('WBS Summary by Year'!H$5,1),'WBS Summary by Year'!$D100,'WBS Summary by Year'!$C$90),'Pre- and Production'!AN$4:AN$574)</f>
        <v>0</v>
      </c>
      <c r="I100" s="24">
        <f>SUMIF('Pre- and Production'!$T$4:$T$574, CONCATENATE(LEFT('WBS Summary by Year'!I$5,1),'WBS Summary by Year'!$D100,'WBS Summary by Year'!$C$90),'Pre- and Production'!AE$4:AE$574)</f>
        <v>0</v>
      </c>
      <c r="J100" s="323">
        <f>SUMIF('Pre- and Production'!$T$4:$T$574, CONCATENATE(LEFT('WBS Summary by Year'!J$5,1),'WBS Summary by Year'!$D100,'WBS Summary by Year'!$C$90),'Pre- and Production'!AO$4:AO$574)</f>
        <v>0</v>
      </c>
      <c r="K100" s="324">
        <f>SUMIF('Pre- and Production'!$T$4:$T$574, CONCATENATE(LEFT('WBS Summary by Year'!K$5,1),'WBS Summary by Year'!$D100,'WBS Summary by Year'!$C$90),'Pre- and Production'!AF$4:AF$574)</f>
        <v>0</v>
      </c>
      <c r="L100" s="323">
        <f>SUMIF('Pre- and Production'!$T$4:$T$574, CONCATENATE(LEFT('WBS Summary by Year'!L$5,1),'WBS Summary by Year'!$D100,'WBS Summary by Year'!$C$90),'Pre- and Production'!AP$4:AP$574)</f>
        <v>0</v>
      </c>
      <c r="M100" s="324">
        <f>SUMIF('Pre- and Production'!$T$4:$T$574, CONCATENATE(LEFT('WBS Summary by Year'!M$5,1),'WBS Summary by Year'!$D100,'WBS Summary by Year'!$C$90),'Pre- and Production'!AG$4:AG$574)</f>
        <v>0</v>
      </c>
      <c r="N100" s="322">
        <f>SUMIF('Pre- and Production'!$T$4:$T$574, CONCATENATE(LEFT('WBS Summary by Year'!N$5,1),'WBS Summary by Year'!$D100,'WBS Summary by Year'!$C$90),'Pre- and Production'!AQ$4:AQ$574)</f>
        <v>0</v>
      </c>
      <c r="O100" s="325">
        <f>SUMIF('Pre- and Production'!$T$4:$T$574, CONCATENATE(LEFT('WBS Summary by Year'!O$5,1),'WBS Summary by Year'!$D100,'WBS Summary by Year'!$C$90),'Pre- and Production'!AH$4:AH$574)</f>
        <v>0</v>
      </c>
      <c r="P100" s="326">
        <f>SUMIF('Pre- and Production'!$T$4:$T$574, CONCATENATE(LEFT('WBS Summary by Year'!P$5,1),'WBS Summary by Year'!$D100,'WBS Summary by Year'!$C$90),'Pre- and Production'!AR$4:AR$574)</f>
        <v>0</v>
      </c>
    </row>
    <row r="101" spans="4:16">
      <c r="D101" s="42" t="s">
        <v>187</v>
      </c>
      <c r="E101" s="24">
        <f>SUMIF('Pre- and Production'!$T$4:$T$574, CONCATENATE(LEFT('WBS Summary by Year'!E$5,1),'WBS Summary by Year'!$D101,$C$90),'Pre- and Production'!AC$4:AC$574)</f>
        <v>0</v>
      </c>
      <c r="F101" s="322">
        <f>SUMIF('Pre- and Production'!$T$4:$T$574, CONCATENATE(LEFT('WBS Summary by Year'!F$5,1),'WBS Summary by Year'!$D101,'WBS Summary by Year'!$C$90),'Pre- and Production'!AM$4:AM$574)</f>
        <v>0</v>
      </c>
      <c r="G101" s="24">
        <f>SUMIF('Pre- and Production'!$T$4:$T$574, CONCATENATE(LEFT('WBS Summary by Year'!G$5,1),'WBS Summary by Year'!$D101,'WBS Summary by Year'!$C$90),'Pre- and Production'!AD$4:AD$574)</f>
        <v>0</v>
      </c>
      <c r="H101" s="323">
        <f>SUMIF('Pre- and Production'!$T$4:$T$574, CONCATENATE(LEFT('WBS Summary by Year'!H$5,1),'WBS Summary by Year'!$D101,'WBS Summary by Year'!$C$90),'Pre- and Production'!AN$4:AN$574)</f>
        <v>0</v>
      </c>
      <c r="I101" s="24">
        <f>SUMIF('Pre- and Production'!$T$4:$T$574, CONCATENATE(LEFT('WBS Summary by Year'!I$5,1),'WBS Summary by Year'!$D101,'WBS Summary by Year'!$C$90),'Pre- and Production'!AE$4:AE$574)</f>
        <v>0</v>
      </c>
      <c r="J101" s="323">
        <f>SUMIF('Pre- and Production'!$T$4:$T$574, CONCATENATE(LEFT('WBS Summary by Year'!J$5,1),'WBS Summary by Year'!$D101,'WBS Summary by Year'!$C$90),'Pre- and Production'!AO$4:AO$574)</f>
        <v>0</v>
      </c>
      <c r="K101" s="324">
        <f>SUMIF('Pre- and Production'!$T$4:$T$574, CONCATENATE(LEFT('WBS Summary by Year'!K$5,1),'WBS Summary by Year'!$D101,'WBS Summary by Year'!$C$90),'Pre- and Production'!AF$4:AF$574)</f>
        <v>0</v>
      </c>
      <c r="L101" s="323">
        <f>SUMIF('Pre- and Production'!$T$4:$T$574, CONCATENATE(LEFT('WBS Summary by Year'!L$5,1),'WBS Summary by Year'!$D101,'WBS Summary by Year'!$C$90),'Pre- and Production'!AP$4:AP$574)</f>
        <v>0</v>
      </c>
      <c r="M101" s="324">
        <f>SUMIF('Pre- and Production'!$T$4:$T$574, CONCATENATE(LEFT('WBS Summary by Year'!M$5,1),'WBS Summary by Year'!$D101,'WBS Summary by Year'!$C$90),'Pre- and Production'!AG$4:AG$574)</f>
        <v>0</v>
      </c>
      <c r="N101" s="322">
        <f>SUMIF('Pre- and Production'!$T$4:$T$574, CONCATENATE(LEFT('WBS Summary by Year'!N$5,1),'WBS Summary by Year'!$D101,'WBS Summary by Year'!$C$90),'Pre- and Production'!AQ$4:AQ$574)</f>
        <v>0</v>
      </c>
      <c r="O101" s="325">
        <f>SUMIF('Pre- and Production'!$T$4:$T$574, CONCATENATE(LEFT('WBS Summary by Year'!O$5,1),'WBS Summary by Year'!$D101,'WBS Summary by Year'!$C$90),'Pre- and Production'!AH$4:AH$574)</f>
        <v>0</v>
      </c>
      <c r="P101" s="326">
        <f>SUMIF('Pre- and Production'!$T$4:$T$574, CONCATENATE(LEFT('WBS Summary by Year'!P$5,1),'WBS Summary by Year'!$D101,'WBS Summary by Year'!$C$90),'Pre- and Production'!AR$4:AR$574)</f>
        <v>0</v>
      </c>
    </row>
    <row r="102" spans="4:16">
      <c r="D102" s="42" t="s">
        <v>189</v>
      </c>
      <c r="E102" s="24">
        <f>SUMIF('Pre- and Production'!$T$4:$T$574, CONCATENATE(LEFT('WBS Summary by Year'!E$5,1),'WBS Summary by Year'!$D102,$C$90),'Pre- and Production'!AC$4:AC$574)</f>
        <v>0</v>
      </c>
      <c r="F102" s="322">
        <f>SUMIF('Pre- and Production'!$T$4:$T$574, CONCATENATE(LEFT('WBS Summary by Year'!F$5,1),'WBS Summary by Year'!$D102,'WBS Summary by Year'!$C$90),'Pre- and Production'!AM$4:AM$574)</f>
        <v>0</v>
      </c>
      <c r="G102" s="24">
        <f>SUMIF('Pre- and Production'!$T$4:$T$574, CONCATENATE(LEFT('WBS Summary by Year'!G$5,1),'WBS Summary by Year'!$D102,'WBS Summary by Year'!$C$90),'Pre- and Production'!AD$4:AD$574)</f>
        <v>0</v>
      </c>
      <c r="H102" s="323">
        <f>SUMIF('Pre- and Production'!$T$4:$T$574, CONCATENATE(LEFT('WBS Summary by Year'!H$5,1),'WBS Summary by Year'!$D102,'WBS Summary by Year'!$C$90),'Pre- and Production'!AN$4:AN$574)</f>
        <v>0</v>
      </c>
      <c r="I102" s="24">
        <f>SUMIF('Pre- and Production'!$T$4:$T$574, CONCATENATE(LEFT('WBS Summary by Year'!I$5,1),'WBS Summary by Year'!$D102,'WBS Summary by Year'!$C$90),'Pre- and Production'!AE$4:AE$574)</f>
        <v>0</v>
      </c>
      <c r="J102" s="323">
        <f>SUMIF('Pre- and Production'!$T$4:$T$574, CONCATENATE(LEFT('WBS Summary by Year'!J$5,1),'WBS Summary by Year'!$D102,'WBS Summary by Year'!$C$90),'Pre- and Production'!AO$4:AO$574)</f>
        <v>0</v>
      </c>
      <c r="K102" s="324">
        <f>SUMIF('Pre- and Production'!$T$4:$T$574, CONCATENATE(LEFT('WBS Summary by Year'!K$5,1),'WBS Summary by Year'!$D102,'WBS Summary by Year'!$C$90),'Pre- and Production'!AF$4:AF$574)</f>
        <v>0</v>
      </c>
      <c r="L102" s="323">
        <f>SUMIF('Pre- and Production'!$T$4:$T$574, CONCATENATE(LEFT('WBS Summary by Year'!L$5,1),'WBS Summary by Year'!$D102,'WBS Summary by Year'!$C$90),'Pre- and Production'!AP$4:AP$574)</f>
        <v>0</v>
      </c>
      <c r="M102" s="324">
        <f>SUMIF('Pre- and Production'!$T$4:$T$574, CONCATENATE(LEFT('WBS Summary by Year'!M$5,1),'WBS Summary by Year'!$D102,'WBS Summary by Year'!$C$90),'Pre- and Production'!AG$4:AG$574)</f>
        <v>0</v>
      </c>
      <c r="N102" s="322">
        <f>SUMIF('Pre- and Production'!$T$4:$T$574, CONCATENATE(LEFT('WBS Summary by Year'!N$5,1),'WBS Summary by Year'!$D102,'WBS Summary by Year'!$C$90),'Pre- and Production'!AQ$4:AQ$574)</f>
        <v>0</v>
      </c>
      <c r="O102" s="325">
        <f>SUMIF('Pre- and Production'!$T$4:$T$574, CONCATENATE(LEFT('WBS Summary by Year'!O$5,1),'WBS Summary by Year'!$D102,'WBS Summary by Year'!$C$90),'Pre- and Production'!AH$4:AH$574)</f>
        <v>0</v>
      </c>
      <c r="P102" s="326">
        <f>SUMIF('Pre- and Production'!$T$4:$T$574, CONCATENATE(LEFT('WBS Summary by Year'!P$5,1),'WBS Summary by Year'!$D102,'WBS Summary by Year'!$C$90),'Pre- and Production'!AR$4:AR$574)</f>
        <v>0</v>
      </c>
    </row>
    <row r="103" spans="4:16">
      <c r="D103" s="42" t="s">
        <v>191</v>
      </c>
      <c r="E103" s="24">
        <f>SUMIF('Pre- and Production'!$T$4:$T$574, CONCATENATE(LEFT('WBS Summary by Year'!E$5,1),'WBS Summary by Year'!$D103,$C$90),'Pre- and Production'!AC$4:AC$574)</f>
        <v>0</v>
      </c>
      <c r="F103" s="322">
        <f>SUMIF('Pre- and Production'!$T$4:$T$574, CONCATENATE(LEFT('WBS Summary by Year'!F$5,1),'WBS Summary by Year'!$D103,'WBS Summary by Year'!$C$90),'Pre- and Production'!AM$4:AM$574)</f>
        <v>0</v>
      </c>
      <c r="G103" s="24">
        <f>SUMIF('Pre- and Production'!$T$4:$T$574, CONCATENATE(LEFT('WBS Summary by Year'!G$5,1),'WBS Summary by Year'!$D103,'WBS Summary by Year'!$C$90),'Pre- and Production'!AD$4:AD$574)</f>
        <v>0</v>
      </c>
      <c r="H103" s="323">
        <f>SUMIF('Pre- and Production'!$T$4:$T$574, CONCATENATE(LEFT('WBS Summary by Year'!H$5,1),'WBS Summary by Year'!$D103,'WBS Summary by Year'!$C$90),'Pre- and Production'!AN$4:AN$574)</f>
        <v>0</v>
      </c>
      <c r="I103" s="24">
        <f>SUMIF('Pre- and Production'!$T$4:$T$574, CONCATENATE(LEFT('WBS Summary by Year'!I$5,1),'WBS Summary by Year'!$D103,'WBS Summary by Year'!$C$90),'Pre- and Production'!AE$4:AE$574)</f>
        <v>0</v>
      </c>
      <c r="J103" s="323">
        <f>SUMIF('Pre- and Production'!$T$4:$T$574, CONCATENATE(LEFT('WBS Summary by Year'!J$5,1),'WBS Summary by Year'!$D103,'WBS Summary by Year'!$C$90),'Pre- and Production'!AO$4:AO$574)</f>
        <v>0</v>
      </c>
      <c r="K103" s="324">
        <f>SUMIF('Pre- and Production'!$T$4:$T$574, CONCATENATE(LEFT('WBS Summary by Year'!K$5,1),'WBS Summary by Year'!$D103,'WBS Summary by Year'!$C$90),'Pre- and Production'!AF$4:AF$574)</f>
        <v>0</v>
      </c>
      <c r="L103" s="323">
        <f>SUMIF('Pre- and Production'!$T$4:$T$574, CONCATENATE(LEFT('WBS Summary by Year'!L$5,1),'WBS Summary by Year'!$D103,'WBS Summary by Year'!$C$90),'Pre- and Production'!AP$4:AP$574)</f>
        <v>0</v>
      </c>
      <c r="M103" s="324">
        <f>SUMIF('Pre- and Production'!$T$4:$T$574, CONCATENATE(LEFT('WBS Summary by Year'!M$5,1),'WBS Summary by Year'!$D103,'WBS Summary by Year'!$C$90),'Pre- and Production'!AG$4:AG$574)</f>
        <v>0</v>
      </c>
      <c r="N103" s="322">
        <f>SUMIF('Pre- and Production'!$T$4:$T$574, CONCATENATE(LEFT('WBS Summary by Year'!N$5,1),'WBS Summary by Year'!$D103,'WBS Summary by Year'!$C$90),'Pre- and Production'!AQ$4:AQ$574)</f>
        <v>0</v>
      </c>
      <c r="O103" s="325">
        <f>SUMIF('Pre- and Production'!$T$4:$T$574, CONCATENATE(LEFT('WBS Summary by Year'!O$5,1),'WBS Summary by Year'!$D103,'WBS Summary by Year'!$C$90),'Pre- and Production'!AH$4:AH$574)</f>
        <v>0</v>
      </c>
      <c r="P103" s="326">
        <f>SUMIF('Pre- and Production'!$T$4:$T$574, CONCATENATE(LEFT('WBS Summary by Year'!P$5,1),'WBS Summary by Year'!$D103,'WBS Summary by Year'!$C$90),'Pre- and Production'!AR$4:AR$574)</f>
        <v>0</v>
      </c>
    </row>
    <row r="104" spans="4:16">
      <c r="D104" s="42" t="s">
        <v>193</v>
      </c>
      <c r="E104" s="24">
        <f>SUMIF('Pre- and Production'!$T$4:$T$574, CONCATENATE(LEFT('WBS Summary by Year'!E$5,1),'WBS Summary by Year'!$D104,$C$90),'Pre- and Production'!AC$4:AC$574)</f>
        <v>0</v>
      </c>
      <c r="F104" s="322">
        <f>SUMIF('Pre- and Production'!$T$4:$T$574, CONCATENATE(LEFT('WBS Summary by Year'!F$5,1),'WBS Summary by Year'!$D104,'WBS Summary by Year'!$C$90),'Pre- and Production'!AM$4:AM$574)</f>
        <v>0</v>
      </c>
      <c r="G104" s="24">
        <f>SUMIF('Pre- and Production'!$T$4:$T$574, CONCATENATE(LEFT('WBS Summary by Year'!G$5,1),'WBS Summary by Year'!$D104,'WBS Summary by Year'!$C$90),'Pre- and Production'!AD$4:AD$574)</f>
        <v>0</v>
      </c>
      <c r="H104" s="323">
        <f>SUMIF('Pre- and Production'!$T$4:$T$574, CONCATENATE(LEFT('WBS Summary by Year'!H$5,1),'WBS Summary by Year'!$D104,'WBS Summary by Year'!$C$90),'Pre- and Production'!AN$4:AN$574)</f>
        <v>0</v>
      </c>
      <c r="I104" s="24">
        <f>SUMIF('Pre- and Production'!$T$4:$T$574, CONCATENATE(LEFT('WBS Summary by Year'!I$5,1),'WBS Summary by Year'!$D104,'WBS Summary by Year'!$C$90),'Pre- and Production'!AE$4:AE$574)</f>
        <v>0</v>
      </c>
      <c r="J104" s="323">
        <f>SUMIF('Pre- and Production'!$T$4:$T$574, CONCATENATE(LEFT('WBS Summary by Year'!J$5,1),'WBS Summary by Year'!$D104,'WBS Summary by Year'!$C$90),'Pre- and Production'!AO$4:AO$574)</f>
        <v>0</v>
      </c>
      <c r="K104" s="324">
        <f>SUMIF('Pre- and Production'!$T$4:$T$574, CONCATENATE(LEFT('WBS Summary by Year'!K$5,1),'WBS Summary by Year'!$D104,'WBS Summary by Year'!$C$90),'Pre- and Production'!AF$4:AF$574)</f>
        <v>0</v>
      </c>
      <c r="L104" s="323">
        <f>SUMIF('Pre- and Production'!$T$4:$T$574, CONCATENATE(LEFT('WBS Summary by Year'!L$5,1),'WBS Summary by Year'!$D104,'WBS Summary by Year'!$C$90),'Pre- and Production'!AP$4:AP$574)</f>
        <v>0</v>
      </c>
      <c r="M104" s="324">
        <f>SUMIF('Pre- and Production'!$T$4:$T$574, CONCATENATE(LEFT('WBS Summary by Year'!M$5,1),'WBS Summary by Year'!$D104,'WBS Summary by Year'!$C$90),'Pre- and Production'!AG$4:AG$574)</f>
        <v>0</v>
      </c>
      <c r="N104" s="322">
        <f>SUMIF('Pre- and Production'!$T$4:$T$574, CONCATENATE(LEFT('WBS Summary by Year'!N$5,1),'WBS Summary by Year'!$D104,'WBS Summary by Year'!$C$90),'Pre- and Production'!AQ$4:AQ$574)</f>
        <v>0</v>
      </c>
      <c r="O104" s="325">
        <f>SUMIF('Pre- and Production'!$T$4:$T$574, CONCATENATE(LEFT('WBS Summary by Year'!O$5,1),'WBS Summary by Year'!$D104,'WBS Summary by Year'!$C$90),'Pre- and Production'!AH$4:AH$574)</f>
        <v>0</v>
      </c>
      <c r="P104" s="326">
        <f>SUMIF('Pre- and Production'!$T$4:$T$574, CONCATENATE(LEFT('WBS Summary by Year'!P$5,1),'WBS Summary by Year'!$D104,'WBS Summary by Year'!$C$90),'Pre- and Production'!AR$4:AR$574)</f>
        <v>0</v>
      </c>
    </row>
    <row r="105" spans="4:16">
      <c r="D105" s="42" t="s">
        <v>195</v>
      </c>
      <c r="E105" s="24">
        <f>SUMIF('Pre- and Production'!$T$4:$T$574, CONCATENATE(LEFT('WBS Summary by Year'!E$5,1),'WBS Summary by Year'!$D105,$C$90),'Pre- and Production'!AC$4:AC$574)</f>
        <v>0</v>
      </c>
      <c r="F105" s="322">
        <f>SUMIF('Pre- and Production'!$T$4:$T$574, CONCATENATE(LEFT('WBS Summary by Year'!F$5,1),'WBS Summary by Year'!$D105,'WBS Summary by Year'!$C$90),'Pre- and Production'!AM$4:AM$574)</f>
        <v>0</v>
      </c>
      <c r="G105" s="24">
        <f>SUMIF('Pre- and Production'!$T$4:$T$574, CONCATENATE(LEFT('WBS Summary by Year'!G$5,1),'WBS Summary by Year'!$D105,'WBS Summary by Year'!$C$90),'Pre- and Production'!AD$4:AD$574)</f>
        <v>176</v>
      </c>
      <c r="H105" s="323">
        <f>SUMIF('Pre- and Production'!$T$4:$T$574, CONCATENATE(LEFT('WBS Summary by Year'!H$5,1),'WBS Summary by Year'!$D105,'WBS Summary by Year'!$C$90),'Pre- and Production'!AN$4:AN$574)</f>
        <v>40</v>
      </c>
      <c r="I105" s="24">
        <f>SUMIF('Pre- and Production'!$T$4:$T$574, CONCATENATE(LEFT('WBS Summary by Year'!I$5,1),'WBS Summary by Year'!$D105,'WBS Summary by Year'!$C$90),'Pre- and Production'!AE$4:AE$574)</f>
        <v>496</v>
      </c>
      <c r="J105" s="323">
        <f>SUMIF('Pre- and Production'!$T$4:$T$574, CONCATENATE(LEFT('WBS Summary by Year'!J$5,1),'WBS Summary by Year'!$D105,'WBS Summary by Year'!$C$90),'Pre- and Production'!AO$4:AO$574)</f>
        <v>0</v>
      </c>
      <c r="K105" s="324">
        <f>SUMIF('Pre- and Production'!$T$4:$T$574, CONCATENATE(LEFT('WBS Summary by Year'!K$5,1),'WBS Summary by Year'!$D105,'WBS Summary by Year'!$C$90),'Pre- and Production'!AF$4:AF$574)</f>
        <v>320</v>
      </c>
      <c r="L105" s="323">
        <f>SUMIF('Pre- and Production'!$T$4:$T$574, CONCATENATE(LEFT('WBS Summary by Year'!L$5,1),'WBS Summary by Year'!$D105,'WBS Summary by Year'!$C$90),'Pre- and Production'!AP$4:AP$574)</f>
        <v>40</v>
      </c>
      <c r="M105" s="324">
        <f>SUMIF('Pre- and Production'!$T$4:$T$574, CONCATENATE(LEFT('WBS Summary by Year'!M$5,1),'WBS Summary by Year'!$D105,'WBS Summary by Year'!$C$90),'Pre- and Production'!AG$4:AG$574)</f>
        <v>760</v>
      </c>
      <c r="N105" s="322">
        <f>SUMIF('Pre- and Production'!$T$4:$T$574, CONCATENATE(LEFT('WBS Summary by Year'!N$5,1),'WBS Summary by Year'!$D105,'WBS Summary by Year'!$C$90),'Pre- and Production'!AQ$4:AQ$574)</f>
        <v>0</v>
      </c>
      <c r="O105" s="325">
        <f>SUMIF('Pre- and Production'!$T$4:$T$574, CONCATENATE(LEFT('WBS Summary by Year'!O$5,1),'WBS Summary by Year'!$D105,'WBS Summary by Year'!$C$90),'Pre- and Production'!AH$4:AH$574)</f>
        <v>19000</v>
      </c>
      <c r="P105" s="326">
        <f>SUMIF('Pre- and Production'!$T$4:$T$574, CONCATENATE(LEFT('WBS Summary by Year'!P$5,1),'WBS Summary by Year'!$D105,'WBS Summary by Year'!$C$90),'Pre- and Production'!AR$4:AR$574)</f>
        <v>4000</v>
      </c>
    </row>
    <row r="106" spans="4:16">
      <c r="D106" s="123" t="s">
        <v>197</v>
      </c>
      <c r="E106" s="24">
        <f>SUMIF('Pre- and Production'!$T$4:$T$574, CONCATENATE(LEFT('WBS Summary by Year'!E$5,1),'WBS Summary by Year'!$D106,$C$90),'Pre- and Production'!AC$4:AC$574)</f>
        <v>8</v>
      </c>
      <c r="F106" s="322">
        <f>SUMIF('Pre- and Production'!$T$4:$T$574, CONCATENATE(LEFT('WBS Summary by Year'!F$5,1),'WBS Summary by Year'!$D106,'WBS Summary by Year'!$C$90),'Pre- and Production'!AM$4:AM$574)</f>
        <v>0</v>
      </c>
      <c r="G106" s="24">
        <f>SUMIF('Pre- and Production'!$T$4:$T$574, CONCATENATE(LEFT('WBS Summary by Year'!G$5,1),'WBS Summary by Year'!$D106,'WBS Summary by Year'!$C$90),'Pre- and Production'!AD$4:AD$574)</f>
        <v>652</v>
      </c>
      <c r="H106" s="323">
        <f>SUMIF('Pre- and Production'!$T$4:$T$574, CONCATENATE(LEFT('WBS Summary by Year'!H$5,1),'WBS Summary by Year'!$D106,'WBS Summary by Year'!$C$90),'Pre- and Production'!AN$4:AN$574)</f>
        <v>376</v>
      </c>
      <c r="I106" s="24">
        <f>SUMIF('Pre- and Production'!$T$4:$T$574, CONCATENATE(LEFT('WBS Summary by Year'!I$5,1),'WBS Summary by Year'!$D106,'WBS Summary by Year'!$C$90),'Pre- and Production'!AE$4:AE$574)</f>
        <v>62</v>
      </c>
      <c r="J106" s="323">
        <f>SUMIF('Pre- and Production'!$T$4:$T$574, CONCATENATE(LEFT('WBS Summary by Year'!J$5,1),'WBS Summary by Year'!$D106,'WBS Summary by Year'!$C$90),'Pre- and Production'!AO$4:AO$574)</f>
        <v>4</v>
      </c>
      <c r="K106" s="324">
        <f>SUMIF('Pre- and Production'!$T$4:$T$574, CONCATENATE(LEFT('WBS Summary by Year'!K$5,1),'WBS Summary by Year'!$D106,'WBS Summary by Year'!$C$90),'Pre- and Production'!AF$4:AF$574)</f>
        <v>18</v>
      </c>
      <c r="L106" s="323">
        <f>SUMIF('Pre- and Production'!$T$4:$T$574, CONCATENATE(LEFT('WBS Summary by Year'!L$5,1),'WBS Summary by Year'!$D106,'WBS Summary by Year'!$C$90),'Pre- and Production'!AP$4:AP$574)</f>
        <v>8</v>
      </c>
      <c r="M106" s="324">
        <f>SUMIF('Pre- and Production'!$T$4:$T$574, CONCATENATE(LEFT('WBS Summary by Year'!M$5,1),'WBS Summary by Year'!$D106,'WBS Summary by Year'!$C$90),'Pre- and Production'!AG$4:AG$574)</f>
        <v>152</v>
      </c>
      <c r="N106" s="322">
        <f>SUMIF('Pre- and Production'!$T$4:$T$574, CONCATENATE(LEFT('WBS Summary by Year'!N$5,1),'WBS Summary by Year'!$D106,'WBS Summary by Year'!$C$90),'Pre- and Production'!AQ$4:AQ$574)</f>
        <v>0</v>
      </c>
      <c r="O106" s="325">
        <f>SUMIF('Pre- and Production'!$T$4:$T$574, CONCATENATE(LEFT('WBS Summary by Year'!O$5,1),'WBS Summary by Year'!$D106,'WBS Summary by Year'!$C$90),'Pre- and Production'!AH$4:AH$574)</f>
        <v>25300</v>
      </c>
      <c r="P106" s="326">
        <f>SUMIF('Pre- and Production'!$T$4:$T$574, CONCATENATE(LEFT('WBS Summary by Year'!P$5,1),'WBS Summary by Year'!$D106,'WBS Summary by Year'!$C$90),'Pre- and Production'!AR$4:AR$574)</f>
        <v>32600</v>
      </c>
    </row>
    <row r="107" spans="4:16">
      <c r="D107" s="42" t="s">
        <v>199</v>
      </c>
      <c r="E107" s="24">
        <f>SUMIF('Pre- and Production'!$T$4:$T$574, CONCATENATE(LEFT('WBS Summary by Year'!E$5,1),'WBS Summary by Year'!$D107,$C$90),'Pre- and Production'!AC$4:AC$574)</f>
        <v>64</v>
      </c>
      <c r="F107" s="322">
        <f>SUMIF('Pre- and Production'!$T$4:$T$574, CONCATENATE(LEFT('WBS Summary by Year'!F$5,1),'WBS Summary by Year'!$D107,'WBS Summary by Year'!$C$90),'Pre- and Production'!AM$4:AM$574)</f>
        <v>120</v>
      </c>
      <c r="G107" s="24">
        <f>SUMIF('Pre- and Production'!$T$4:$T$574, CONCATENATE(LEFT('WBS Summary by Year'!G$5,1),'WBS Summary by Year'!$D107,'WBS Summary by Year'!$C$90),'Pre- and Production'!AD$4:AD$574)</f>
        <v>80</v>
      </c>
      <c r="H107" s="323">
        <f>SUMIF('Pre- and Production'!$T$4:$T$574, CONCATENATE(LEFT('WBS Summary by Year'!H$5,1),'WBS Summary by Year'!$D107,'WBS Summary by Year'!$C$90),'Pre- and Production'!AN$4:AN$574)</f>
        <v>120</v>
      </c>
      <c r="I107" s="24">
        <f>SUMIF('Pre- and Production'!$T$4:$T$574, CONCATENATE(LEFT('WBS Summary by Year'!I$5,1),'WBS Summary by Year'!$D107,'WBS Summary by Year'!$C$90),'Pre- and Production'!AE$4:AE$574)</f>
        <v>80</v>
      </c>
      <c r="J107" s="323">
        <f>SUMIF('Pre- and Production'!$T$4:$T$574, CONCATENATE(LEFT('WBS Summary by Year'!J$5,1),'WBS Summary by Year'!$D107,'WBS Summary by Year'!$C$90),'Pre- and Production'!AO$4:AO$574)</f>
        <v>0</v>
      </c>
      <c r="K107" s="324">
        <f>SUMIF('Pre- and Production'!$T$4:$T$574, CONCATENATE(LEFT('WBS Summary by Year'!K$5,1),'WBS Summary by Year'!$D107,'WBS Summary by Year'!$C$90),'Pre- and Production'!AF$4:AF$574)</f>
        <v>24</v>
      </c>
      <c r="L107" s="323">
        <f>SUMIF('Pre- and Production'!$T$4:$T$574, CONCATENATE(LEFT('WBS Summary by Year'!L$5,1),'WBS Summary by Year'!$D107,'WBS Summary by Year'!$C$90),'Pre- and Production'!AP$4:AP$574)</f>
        <v>16</v>
      </c>
      <c r="M107" s="324">
        <f>SUMIF('Pre- and Production'!$T$4:$T$574, CONCATENATE(LEFT('WBS Summary by Year'!M$5,1),'WBS Summary by Year'!$D107,'WBS Summary by Year'!$C$90),'Pre- and Production'!AG$4:AG$574)</f>
        <v>80</v>
      </c>
      <c r="N107" s="322">
        <f>SUMIF('Pre- and Production'!$T$4:$T$574, CONCATENATE(LEFT('WBS Summary by Year'!N$5,1),'WBS Summary by Year'!$D107,'WBS Summary by Year'!$C$90),'Pre- and Production'!AQ$4:AQ$574)</f>
        <v>0</v>
      </c>
      <c r="O107" s="325">
        <f>SUMIF('Pre- and Production'!$T$4:$T$574, CONCATENATE(LEFT('WBS Summary by Year'!O$5,1),'WBS Summary by Year'!$D107,'WBS Summary by Year'!$C$90),'Pre- and Production'!AH$4:AH$574)</f>
        <v>3500</v>
      </c>
      <c r="P107" s="326">
        <f>SUMIF('Pre- and Production'!$T$4:$T$574, CONCATENATE(LEFT('WBS Summary by Year'!P$5,1),'WBS Summary by Year'!$D107,'WBS Summary by Year'!$C$90),'Pre- and Production'!AR$4:AR$574)</f>
        <v>4500</v>
      </c>
    </row>
    <row r="108" spans="4:16">
      <c r="D108" s="123" t="s">
        <v>202</v>
      </c>
      <c r="E108" s="24">
        <f>SUMIF('Pre- and Production'!$T$4:$T$574, CONCATENATE(LEFT('WBS Summary by Year'!E$5,1),'WBS Summary by Year'!$D108,$C$90),'Pre- and Production'!AC$4:AC$574)</f>
        <v>0</v>
      </c>
      <c r="F108" s="322">
        <f>SUMIF('Pre- and Production'!$T$4:$T$574, CONCATENATE(LEFT('WBS Summary by Year'!F$5,1),'WBS Summary by Year'!$D108,'WBS Summary by Year'!$C$90),'Pre- and Production'!AM$4:AM$574)</f>
        <v>0</v>
      </c>
      <c r="G108" s="24">
        <f>SUMIF('Pre- and Production'!$T$4:$T$574, CONCATENATE(LEFT('WBS Summary by Year'!G$5,1),'WBS Summary by Year'!$D108,'WBS Summary by Year'!$C$90),'Pre- and Production'!AD$4:AD$574)</f>
        <v>0</v>
      </c>
      <c r="H108" s="323">
        <f>SUMIF('Pre- and Production'!$T$4:$T$574, CONCATENATE(LEFT('WBS Summary by Year'!H$5,1),'WBS Summary by Year'!$D108,'WBS Summary by Year'!$C$90),'Pre- and Production'!AN$4:AN$574)</f>
        <v>0</v>
      </c>
      <c r="I108" s="24">
        <f>SUMIF('Pre- and Production'!$T$4:$T$574, CONCATENATE(LEFT('WBS Summary by Year'!I$5,1),'WBS Summary by Year'!$D108,'WBS Summary by Year'!$C$90),'Pre- and Production'!AE$4:AE$574)</f>
        <v>0</v>
      </c>
      <c r="J108" s="323">
        <f>SUMIF('Pre- and Production'!$T$4:$T$574, CONCATENATE(LEFT('WBS Summary by Year'!J$5,1),'WBS Summary by Year'!$D108,'WBS Summary by Year'!$C$90),'Pre- and Production'!AO$4:AO$574)</f>
        <v>0</v>
      </c>
      <c r="K108" s="324">
        <f>SUMIF('Pre- and Production'!$T$4:$T$574, CONCATENATE(LEFT('WBS Summary by Year'!K$5,1),'WBS Summary by Year'!$D108,'WBS Summary by Year'!$C$90),'Pre- and Production'!AF$4:AF$574)</f>
        <v>0</v>
      </c>
      <c r="L108" s="323">
        <f>SUMIF('Pre- and Production'!$T$4:$T$574, CONCATENATE(LEFT('WBS Summary by Year'!L$5,1),'WBS Summary by Year'!$D108,'WBS Summary by Year'!$C$90),'Pre- and Production'!AP$4:AP$574)</f>
        <v>0</v>
      </c>
      <c r="M108" s="324">
        <f>SUMIF('Pre- and Production'!$T$4:$T$574, CONCATENATE(LEFT('WBS Summary by Year'!M$5,1),'WBS Summary by Year'!$D108,'WBS Summary by Year'!$C$90),'Pre- and Production'!AG$4:AG$574)</f>
        <v>0</v>
      </c>
      <c r="N108" s="322">
        <f>SUMIF('Pre- and Production'!$T$4:$T$574, CONCATENATE(LEFT('WBS Summary by Year'!N$5,1),'WBS Summary by Year'!$D108,'WBS Summary by Year'!$C$90),'Pre- and Production'!AQ$4:AQ$574)</f>
        <v>0</v>
      </c>
      <c r="O108" s="325">
        <f>SUMIF('Pre- and Production'!$T$4:$T$574, CONCATENATE(LEFT('WBS Summary by Year'!O$5,1),'WBS Summary by Year'!$D108,'WBS Summary by Year'!$C$90),'Pre- and Production'!AH$4:AH$574)</f>
        <v>0</v>
      </c>
      <c r="P108" s="326">
        <f>SUMIF('Pre- and Production'!$T$4:$T$574, CONCATENATE(LEFT('WBS Summary by Year'!P$5,1),'WBS Summary by Year'!$D108,'WBS Summary by Year'!$C$90),'Pre- and Production'!AR$4:AR$574)</f>
        <v>0</v>
      </c>
    </row>
    <row r="109" spans="4:16">
      <c r="D109" s="42" t="s">
        <v>204</v>
      </c>
      <c r="E109" s="24">
        <f>SUMIF('Pre- and Production'!$T$4:$T$574, CONCATENATE(LEFT('WBS Summary by Year'!E$5,1),'WBS Summary by Year'!$D109,$C$90),'Pre- and Production'!AC$4:AC$574)</f>
        <v>0</v>
      </c>
      <c r="F109" s="322">
        <f>SUMIF('Pre- and Production'!$T$4:$T$574, CONCATENATE(LEFT('WBS Summary by Year'!F$5,1),'WBS Summary by Year'!$D109,'WBS Summary by Year'!$C$90),'Pre- and Production'!AM$4:AM$574)</f>
        <v>0</v>
      </c>
      <c r="G109" s="24">
        <f>SUMIF('Pre- and Production'!$T$4:$T$574, CONCATENATE(LEFT('WBS Summary by Year'!G$5,1),'WBS Summary by Year'!$D109,'WBS Summary by Year'!$C$90),'Pre- and Production'!AD$4:AD$574)</f>
        <v>200</v>
      </c>
      <c r="H109" s="323">
        <f>SUMIF('Pre- and Production'!$T$4:$T$574, CONCATENATE(LEFT('WBS Summary by Year'!H$5,1),'WBS Summary by Year'!$D109,'WBS Summary by Year'!$C$90),'Pre- and Production'!AN$4:AN$574)</f>
        <v>125</v>
      </c>
      <c r="I109" s="24">
        <f>SUMIF('Pre- and Production'!$T$4:$T$574, CONCATENATE(LEFT('WBS Summary by Year'!I$5,1),'WBS Summary by Year'!$D109,'WBS Summary by Year'!$C$90),'Pre- and Production'!AE$4:AE$574)</f>
        <v>680</v>
      </c>
      <c r="J109" s="323">
        <f>SUMIF('Pre- and Production'!$T$4:$T$574, CONCATENATE(LEFT('WBS Summary by Year'!J$5,1),'WBS Summary by Year'!$D109,'WBS Summary by Year'!$C$90),'Pre- and Production'!AO$4:AO$574)</f>
        <v>0</v>
      </c>
      <c r="K109" s="324">
        <f>SUMIF('Pre- and Production'!$T$4:$T$574, CONCATENATE(LEFT('WBS Summary by Year'!K$5,1),'WBS Summary by Year'!$D109,'WBS Summary by Year'!$C$90),'Pre- and Production'!AF$4:AF$574)</f>
        <v>220</v>
      </c>
      <c r="L109" s="323">
        <f>SUMIF('Pre- and Production'!$T$4:$T$574, CONCATENATE(LEFT('WBS Summary by Year'!L$5,1),'WBS Summary by Year'!$D109,'WBS Summary by Year'!$C$90),'Pre- and Production'!AP$4:AP$574)</f>
        <v>188</v>
      </c>
      <c r="M109" s="324">
        <f>SUMIF('Pre- and Production'!$T$4:$T$574, CONCATENATE(LEFT('WBS Summary by Year'!M$5,1),'WBS Summary by Year'!$D109,'WBS Summary by Year'!$C$90),'Pre- and Production'!AG$4:AG$574)</f>
        <v>604</v>
      </c>
      <c r="N109" s="322">
        <f>SUMIF('Pre- and Production'!$T$4:$T$574, CONCATENATE(LEFT('WBS Summary by Year'!N$5,1),'WBS Summary by Year'!$D109,'WBS Summary by Year'!$C$90),'Pre- and Production'!AQ$4:AQ$574)</f>
        <v>0</v>
      </c>
      <c r="O109" s="325">
        <f>SUMIF('Pre- and Production'!$T$4:$T$574, CONCATENATE(LEFT('WBS Summary by Year'!O$5,1),'WBS Summary by Year'!$D109,'WBS Summary by Year'!$C$90),'Pre- and Production'!AH$4:AH$574)</f>
        <v>85200</v>
      </c>
      <c r="P109" s="326">
        <f>SUMIF('Pre- and Production'!$T$4:$T$574, CONCATENATE(LEFT('WBS Summary by Year'!P$5,1),'WBS Summary by Year'!$D109,'WBS Summary by Year'!$C$90),'Pre- and Production'!AR$4:AR$574)</f>
        <v>12750</v>
      </c>
    </row>
    <row r="110" spans="4:16">
      <c r="D110" s="42" t="s">
        <v>206</v>
      </c>
      <c r="E110" s="24">
        <f>SUMIF('Pre- and Production'!$T$4:$T$574, CONCATENATE(LEFT('WBS Summary by Year'!E$5,1),'WBS Summary by Year'!$D110,$C$90),'Pre- and Production'!AC$4:AC$574)</f>
        <v>0</v>
      </c>
      <c r="F110" s="322">
        <f>SUMIF('Pre- and Production'!$T$4:$T$574, CONCATENATE(LEFT('WBS Summary by Year'!F$5,1),'WBS Summary by Year'!$D110,'WBS Summary by Year'!$C$90),'Pre- and Production'!AM$4:AM$574)</f>
        <v>0</v>
      </c>
      <c r="G110" s="24">
        <f>SUMIF('Pre- and Production'!$T$4:$T$574, CONCATENATE(LEFT('WBS Summary by Year'!G$5,1),'WBS Summary by Year'!$D110,'WBS Summary by Year'!$C$90),'Pre- and Production'!AD$4:AD$574)</f>
        <v>210</v>
      </c>
      <c r="H110" s="323">
        <f>SUMIF('Pre- and Production'!$T$4:$T$574, CONCATENATE(LEFT('WBS Summary by Year'!H$5,1),'WBS Summary by Year'!$D110,'WBS Summary by Year'!$C$90),'Pre- and Production'!AN$4:AN$574)</f>
        <v>0</v>
      </c>
      <c r="I110" s="24">
        <f>SUMIF('Pre- and Production'!$T$4:$T$574, CONCATENATE(LEFT('WBS Summary by Year'!I$5,1),'WBS Summary by Year'!$D110,'WBS Summary by Year'!$C$90),'Pre- and Production'!AE$4:AE$574)</f>
        <v>256</v>
      </c>
      <c r="J110" s="323">
        <f>SUMIF('Pre- and Production'!$T$4:$T$574, CONCATENATE(LEFT('WBS Summary by Year'!J$5,1),'WBS Summary by Year'!$D110,'WBS Summary by Year'!$C$90),'Pre- and Production'!AO$4:AO$574)</f>
        <v>0</v>
      </c>
      <c r="K110" s="324">
        <f>SUMIF('Pre- and Production'!$T$4:$T$574, CONCATENATE(LEFT('WBS Summary by Year'!K$5,1),'WBS Summary by Year'!$D110,'WBS Summary by Year'!$C$90),'Pre- and Production'!AF$4:AF$574)</f>
        <v>72</v>
      </c>
      <c r="L110" s="323">
        <f>SUMIF('Pre- and Production'!$T$4:$T$574, CONCATENATE(LEFT('WBS Summary by Year'!L$5,1),'WBS Summary by Year'!$D110,'WBS Summary by Year'!$C$90),'Pre- and Production'!AP$4:AP$574)</f>
        <v>0</v>
      </c>
      <c r="M110" s="324">
        <f>SUMIF('Pre- and Production'!$T$4:$T$574, CONCATENATE(LEFT('WBS Summary by Year'!M$5,1),'WBS Summary by Year'!$D110,'WBS Summary by Year'!$C$90),'Pre- and Production'!AG$4:AG$574)</f>
        <v>320</v>
      </c>
      <c r="N110" s="322">
        <f>SUMIF('Pre- and Production'!$T$4:$T$574, CONCATENATE(LEFT('WBS Summary by Year'!N$5,1),'WBS Summary by Year'!$D110,'WBS Summary by Year'!$C$90),'Pre- and Production'!AQ$4:AQ$574)</f>
        <v>0</v>
      </c>
      <c r="O110" s="325">
        <f>SUMIF('Pre- and Production'!$T$4:$T$574, CONCATENATE(LEFT('WBS Summary by Year'!O$5,1),'WBS Summary by Year'!$D110,'WBS Summary by Year'!$C$90),'Pre- and Production'!AH$4:AH$574)</f>
        <v>17550</v>
      </c>
      <c r="P110" s="326">
        <f>SUMIF('Pre- and Production'!$T$4:$T$574, CONCATENATE(LEFT('WBS Summary by Year'!P$5,1),'WBS Summary by Year'!$D110,'WBS Summary by Year'!$C$90),'Pre- and Production'!AR$4:AR$574)</f>
        <v>0</v>
      </c>
    </row>
    <row r="111" spans="4:16">
      <c r="D111" s="42" t="s">
        <v>208</v>
      </c>
      <c r="E111" s="24">
        <f>SUMIF('Pre- and Production'!$T$4:$T$574, CONCATENATE(LEFT('WBS Summary by Year'!E$5,1),'WBS Summary by Year'!$D111,$C$90),'Pre- and Production'!AC$4:AC$574)</f>
        <v>0</v>
      </c>
      <c r="F111" s="322">
        <f>SUMIF('Pre- and Production'!$T$4:$T$574, CONCATENATE(LEFT('WBS Summary by Year'!F$5,1),'WBS Summary by Year'!$D111,'WBS Summary by Year'!$C$90),'Pre- and Production'!AM$4:AM$574)</f>
        <v>0</v>
      </c>
      <c r="G111" s="24">
        <f>SUMIF('Pre- and Production'!$T$4:$T$574, CONCATENATE(LEFT('WBS Summary by Year'!G$5,1),'WBS Summary by Year'!$D111,'WBS Summary by Year'!$C$90),'Pre- and Production'!AD$4:AD$574)</f>
        <v>0</v>
      </c>
      <c r="H111" s="323">
        <f>SUMIF('Pre- and Production'!$T$4:$T$574, CONCATENATE(LEFT('WBS Summary by Year'!H$5,1),'WBS Summary by Year'!$D111,'WBS Summary by Year'!$C$90),'Pre- and Production'!AN$4:AN$574)</f>
        <v>0</v>
      </c>
      <c r="I111" s="24">
        <f>SUMIF('Pre- and Production'!$T$4:$T$574, CONCATENATE(LEFT('WBS Summary by Year'!I$5,1),'WBS Summary by Year'!$D111,'WBS Summary by Year'!$C$90),'Pre- and Production'!AE$4:AE$574)</f>
        <v>80</v>
      </c>
      <c r="J111" s="323">
        <f>SUMIF('Pre- and Production'!$T$4:$T$574, CONCATENATE(LEFT('WBS Summary by Year'!J$5,1),'WBS Summary by Year'!$D111,'WBS Summary by Year'!$C$90),'Pre- and Production'!AO$4:AO$574)</f>
        <v>0</v>
      </c>
      <c r="K111" s="324">
        <f>SUMIF('Pre- and Production'!$T$4:$T$574, CONCATENATE(LEFT('WBS Summary by Year'!K$5,1),'WBS Summary by Year'!$D111,'WBS Summary by Year'!$C$90),'Pre- and Production'!AF$4:AF$574)</f>
        <v>32</v>
      </c>
      <c r="L111" s="323">
        <f>SUMIF('Pre- and Production'!$T$4:$T$574, CONCATENATE(LEFT('WBS Summary by Year'!L$5,1),'WBS Summary by Year'!$D111,'WBS Summary by Year'!$C$90),'Pre- and Production'!AP$4:AP$574)</f>
        <v>8</v>
      </c>
      <c r="M111" s="324">
        <f>SUMIF('Pre- and Production'!$T$4:$T$574, CONCATENATE(LEFT('WBS Summary by Year'!M$5,1),'WBS Summary by Year'!$D111,'WBS Summary by Year'!$C$90),'Pre- and Production'!AG$4:AG$574)</f>
        <v>80</v>
      </c>
      <c r="N111" s="322">
        <f>SUMIF('Pre- and Production'!$T$4:$T$574, CONCATENATE(LEFT('WBS Summary by Year'!N$5,1),'WBS Summary by Year'!$D111,'WBS Summary by Year'!$C$90),'Pre- and Production'!AQ$4:AQ$574)</f>
        <v>0</v>
      </c>
      <c r="O111" s="325">
        <f>SUMIF('Pre- and Production'!$T$4:$T$574, CONCATENATE(LEFT('WBS Summary by Year'!O$5,1),'WBS Summary by Year'!$D111,'WBS Summary by Year'!$C$90),'Pre- and Production'!AH$4:AH$574)</f>
        <v>39500</v>
      </c>
      <c r="P111" s="326">
        <f>SUMIF('Pre- and Production'!$T$4:$T$574, CONCATENATE(LEFT('WBS Summary by Year'!P$5,1),'WBS Summary by Year'!$D111,'WBS Summary by Year'!$C$90),'Pre- and Production'!AR$4:AR$574)</f>
        <v>4000</v>
      </c>
    </row>
    <row r="112" spans="4:16">
      <c r="D112" s="42" t="s">
        <v>210</v>
      </c>
      <c r="E112" s="24">
        <f>SUMIF('Pre- and Production'!$T$4:$T$574, CONCATENATE(LEFT('WBS Summary by Year'!E$5,1),'WBS Summary by Year'!$D112,$C$90),'Pre- and Production'!AC$4:AC$574)</f>
        <v>0</v>
      </c>
      <c r="F112" s="322">
        <f>SUMIF('Pre- and Production'!$T$4:$T$574, CONCATENATE(LEFT('WBS Summary by Year'!F$5,1),'WBS Summary by Year'!$D112,'WBS Summary by Year'!$C$90),'Pre- and Production'!AM$4:AM$574)</f>
        <v>0</v>
      </c>
      <c r="G112" s="24">
        <f>SUMIF('Pre- and Production'!$T$4:$T$574, CONCATENATE(LEFT('WBS Summary by Year'!G$5,1),'WBS Summary by Year'!$D112,'WBS Summary by Year'!$C$90),'Pre- and Production'!AD$4:AD$574)</f>
        <v>0</v>
      </c>
      <c r="H112" s="323">
        <f>SUMIF('Pre- and Production'!$T$4:$T$574, CONCATENATE(LEFT('WBS Summary by Year'!H$5,1),'WBS Summary by Year'!$D112,'WBS Summary by Year'!$C$90),'Pre- and Production'!AN$4:AN$574)</f>
        <v>0</v>
      </c>
      <c r="I112" s="24">
        <f>SUMIF('Pre- and Production'!$T$4:$T$574, CONCATENATE(LEFT('WBS Summary by Year'!I$5,1),'WBS Summary by Year'!$D112,'WBS Summary by Year'!$C$90),'Pre- and Production'!AE$4:AE$574)</f>
        <v>120</v>
      </c>
      <c r="J112" s="323">
        <f>SUMIF('Pre- and Production'!$T$4:$T$574, CONCATENATE(LEFT('WBS Summary by Year'!J$5,1),'WBS Summary by Year'!$D112,'WBS Summary by Year'!$C$90),'Pre- and Production'!AO$4:AO$574)</f>
        <v>0</v>
      </c>
      <c r="K112" s="324">
        <f>SUMIF('Pre- and Production'!$T$4:$T$574, CONCATENATE(LEFT('WBS Summary by Year'!K$5,1),'WBS Summary by Year'!$D112,'WBS Summary by Year'!$C$90),'Pre- and Production'!AF$4:AF$574)</f>
        <v>16</v>
      </c>
      <c r="L112" s="323">
        <f>SUMIF('Pre- and Production'!$T$4:$T$574, CONCATENATE(LEFT('WBS Summary by Year'!L$5,1),'WBS Summary by Year'!$D112,'WBS Summary by Year'!$C$90),'Pre- and Production'!AP$4:AP$574)</f>
        <v>0</v>
      </c>
      <c r="M112" s="324">
        <f>SUMIF('Pre- and Production'!$T$4:$T$574, CONCATENATE(LEFT('WBS Summary by Year'!M$5,1),'WBS Summary by Year'!$D112,'WBS Summary by Year'!$C$90),'Pre- and Production'!AG$4:AG$574)</f>
        <v>120</v>
      </c>
      <c r="N112" s="322">
        <f>SUMIF('Pre- and Production'!$T$4:$T$574, CONCATENATE(LEFT('WBS Summary by Year'!N$5,1),'WBS Summary by Year'!$D112,'WBS Summary by Year'!$C$90),'Pre- and Production'!AQ$4:AQ$574)</f>
        <v>0</v>
      </c>
      <c r="O112" s="325">
        <f>SUMIF('Pre- and Production'!$T$4:$T$574, CONCATENATE(LEFT('WBS Summary by Year'!O$5,1),'WBS Summary by Year'!$D112,'WBS Summary by Year'!$C$90),'Pre- and Production'!AH$4:AH$574)</f>
        <v>0</v>
      </c>
      <c r="P112" s="326">
        <f>SUMIF('Pre- and Production'!$T$4:$T$574, CONCATENATE(LEFT('WBS Summary by Year'!P$5,1),'WBS Summary by Year'!$D112,'WBS Summary by Year'!$C$90),'Pre- and Production'!AR$4:AR$574)</f>
        <v>0</v>
      </c>
    </row>
    <row r="113" spans="3:16" ht="13.5" thickBot="1">
      <c r="D113" s="123" t="s">
        <v>212</v>
      </c>
      <c r="E113" s="327">
        <f>SUMIF('Pre- and Production'!$T$4:$T$574, CONCATENATE(LEFT('WBS Summary by Year'!E$5,1),'WBS Summary by Year'!$D113,$C$90),'Pre- and Production'!AC$4:AC$574)</f>
        <v>80</v>
      </c>
      <c r="F113" s="328">
        <f>SUMIF('Pre- and Production'!$T$4:$T$574, CONCATENATE(LEFT('WBS Summary by Year'!F$5,1),'WBS Summary by Year'!$D113,'WBS Summary by Year'!$C$90),'Pre- and Production'!AM$4:AM$574)</f>
        <v>132</v>
      </c>
      <c r="G113" s="327">
        <f>SUMIF('Pre- and Production'!$T$4:$T$574, CONCATENATE(LEFT('WBS Summary by Year'!G$5,1),'WBS Summary by Year'!$D113,'WBS Summary by Year'!$C$90),'Pre- and Production'!AD$4:AD$574)</f>
        <v>160</v>
      </c>
      <c r="H113" s="329">
        <f>SUMIF('Pre- and Production'!$T$4:$T$574, CONCATENATE(LEFT('WBS Summary by Year'!H$5,1),'WBS Summary by Year'!$D113,'WBS Summary by Year'!$C$90),'Pre- and Production'!AN$4:AN$574)</f>
        <v>180</v>
      </c>
      <c r="I113" s="327">
        <f>SUMIF('Pre- and Production'!$T$4:$T$574, CONCATENATE(LEFT('WBS Summary by Year'!I$5,1),'WBS Summary by Year'!$D113,'WBS Summary by Year'!$C$90),'Pre- and Production'!AE$4:AE$574)</f>
        <v>120</v>
      </c>
      <c r="J113" s="329">
        <f>SUMIF('Pre- and Production'!$T$4:$T$574, CONCATENATE(LEFT('WBS Summary by Year'!J$5,1),'WBS Summary by Year'!$D113,'WBS Summary by Year'!$C$90),'Pre- and Production'!AO$4:AO$574)</f>
        <v>40</v>
      </c>
      <c r="K113" s="330">
        <f>SUMIF('Pre- and Production'!$T$4:$T$574, CONCATENATE(LEFT('WBS Summary by Year'!K$5,1),'WBS Summary by Year'!$D113,'WBS Summary by Year'!$C$90),'Pre- and Production'!AF$4:AF$574)</f>
        <v>64</v>
      </c>
      <c r="L113" s="329">
        <f>SUMIF('Pre- and Production'!$T$4:$T$574, CONCATENATE(LEFT('WBS Summary by Year'!L$5,1),'WBS Summary by Year'!$D113,'WBS Summary by Year'!$C$90),'Pre- and Production'!AP$4:AP$574)</f>
        <v>48</v>
      </c>
      <c r="M113" s="330">
        <f>SUMIF('Pre- and Production'!$T$4:$T$574, CONCATENATE(LEFT('WBS Summary by Year'!M$5,1),'WBS Summary by Year'!$D113,'WBS Summary by Year'!$C$90),'Pre- and Production'!AG$4:AG$574)</f>
        <v>144</v>
      </c>
      <c r="N113" s="328">
        <f>SUMIF('Pre- and Production'!$T$4:$T$574, CONCATENATE(LEFT('WBS Summary by Year'!N$5,1),'WBS Summary by Year'!$D113,'WBS Summary by Year'!$C$90),'Pre- and Production'!AQ$4:AQ$574)</f>
        <v>40</v>
      </c>
      <c r="O113" s="331">
        <f>SUMIF('Pre- and Production'!$T$4:$T$574, CONCATENATE(LEFT('WBS Summary by Year'!O$5,1),'WBS Summary by Year'!$D113,'WBS Summary by Year'!$C$90),'Pre- and Production'!AH$4:AH$574)</f>
        <v>4000</v>
      </c>
      <c r="P113" s="332">
        <f>SUMIF('Pre- and Production'!$T$4:$T$574, CONCATENATE(LEFT('WBS Summary by Year'!P$5,1),'WBS Summary by Year'!$D113,'WBS Summary by Year'!$C$90),'Pre- and Production'!AR$4:AR$574)</f>
        <v>5500</v>
      </c>
    </row>
    <row r="114" spans="3:16" ht="13.5" thickTop="1"/>
    <row r="115" spans="3:16">
      <c r="D115" s="333" t="s">
        <v>7</v>
      </c>
      <c r="E115">
        <f>SUM(E93:E113)</f>
        <v>152</v>
      </c>
      <c r="F115">
        <f t="shared" ref="F115:P115" si="6">SUM(F93:F113)</f>
        <v>252</v>
      </c>
      <c r="G115">
        <f t="shared" si="6"/>
        <v>1634</v>
      </c>
      <c r="H115">
        <f t="shared" si="6"/>
        <v>849</v>
      </c>
      <c r="I115">
        <f t="shared" si="6"/>
        <v>2122</v>
      </c>
      <c r="J115">
        <f t="shared" si="6"/>
        <v>52</v>
      </c>
      <c r="K115">
        <f t="shared" si="6"/>
        <v>926</v>
      </c>
      <c r="L115">
        <f t="shared" si="6"/>
        <v>316</v>
      </c>
      <c r="M115">
        <f t="shared" si="6"/>
        <v>2516</v>
      </c>
      <c r="N115">
        <f t="shared" si="6"/>
        <v>80</v>
      </c>
      <c r="O115" s="306">
        <f t="shared" si="6"/>
        <v>425760</v>
      </c>
      <c r="P115" s="306">
        <f t="shared" si="6"/>
        <v>256750</v>
      </c>
    </row>
    <row r="116" spans="3:16">
      <c r="D116" s="333" t="s">
        <v>384</v>
      </c>
      <c r="E116" s="305">
        <f t="shared" ref="E116:N116" si="7">E115/1720</f>
        <v>8.8372093023255813E-2</v>
      </c>
      <c r="F116" s="305">
        <f t="shared" si="7"/>
        <v>0.14651162790697675</v>
      </c>
      <c r="G116" s="305">
        <f t="shared" si="7"/>
        <v>0.95</v>
      </c>
      <c r="H116" s="305">
        <f t="shared" si="7"/>
        <v>0.49360465116279068</v>
      </c>
      <c r="I116" s="305">
        <f t="shared" si="7"/>
        <v>1.2337209302325582</v>
      </c>
      <c r="J116" s="305">
        <f t="shared" si="7"/>
        <v>3.0232558139534883E-2</v>
      </c>
      <c r="K116" s="305">
        <f t="shared" si="7"/>
        <v>0.53837209302325584</v>
      </c>
      <c r="L116" s="305">
        <f t="shared" si="7"/>
        <v>0.18372093023255814</v>
      </c>
      <c r="M116" s="305">
        <f t="shared" si="7"/>
        <v>1.4627906976744185</v>
      </c>
      <c r="N116" s="305">
        <f t="shared" si="7"/>
        <v>4.6511627906976744E-2</v>
      </c>
    </row>
    <row r="119" spans="3:16" ht="18.75" thickBot="1">
      <c r="C119" s="308">
        <v>2013</v>
      </c>
      <c r="O119" s="309"/>
      <c r="P119" s="309"/>
    </row>
    <row r="120" spans="3:16" ht="13.5" thickTop="1">
      <c r="E120" s="354" t="s">
        <v>27</v>
      </c>
      <c r="F120" s="355"/>
      <c r="G120" s="354" t="s">
        <v>386</v>
      </c>
      <c r="H120" s="356"/>
      <c r="I120" s="354" t="s">
        <v>381</v>
      </c>
      <c r="J120" s="356"/>
      <c r="K120" s="357" t="s">
        <v>376</v>
      </c>
      <c r="L120" s="356"/>
      <c r="M120" s="357" t="s">
        <v>387</v>
      </c>
      <c r="N120" s="355"/>
      <c r="O120" s="352" t="s">
        <v>377</v>
      </c>
      <c r="P120" s="353"/>
    </row>
    <row r="121" spans="3:16" ht="13.5" thickBot="1">
      <c r="E121" s="310" t="s">
        <v>378</v>
      </c>
      <c r="F121" s="311" t="s">
        <v>379</v>
      </c>
      <c r="G121" s="310" t="s">
        <v>378</v>
      </c>
      <c r="H121" s="312" t="s">
        <v>379</v>
      </c>
      <c r="I121" s="310" t="s">
        <v>378</v>
      </c>
      <c r="J121" s="312" t="s">
        <v>379</v>
      </c>
      <c r="K121" s="313" t="s">
        <v>378</v>
      </c>
      <c r="L121" s="312" t="s">
        <v>379</v>
      </c>
      <c r="M121" s="313" t="s">
        <v>378</v>
      </c>
      <c r="N121" s="311" t="s">
        <v>379</v>
      </c>
      <c r="O121" s="314" t="s">
        <v>378</v>
      </c>
      <c r="P121" s="315" t="s">
        <v>379</v>
      </c>
    </row>
    <row r="122" spans="3:16" ht="13.5" thickTop="1">
      <c r="D122" s="18" t="s">
        <v>172</v>
      </c>
      <c r="E122" s="316">
        <f>SUMIF('Pre- and Production'!$T$4:$T$574, CONCATENATE(LEFT('WBS Summary by Year'!E$5,1),'WBS Summary by Year'!$D122,$C$119),'Pre- and Production'!AC$4:AC$574)</f>
        <v>0</v>
      </c>
      <c r="F122" s="317">
        <f>SUMIF('Pre- and Production'!$T$4:$T$574, CONCATENATE(LEFT('WBS Summary by Year'!F$5,1),'WBS Summary by Year'!$D122,'WBS Summary by Year'!$C$119),'Pre- and Production'!AM$4:AM$574)</f>
        <v>0</v>
      </c>
      <c r="G122" s="316">
        <f>SUMIF('Pre- and Production'!$T$4:$T$574, CONCATENATE(LEFT('WBS Summary by Year'!G$5,1),'WBS Summary by Year'!$D122,'WBS Summary by Year'!$C$119),'Pre- and Production'!AD$4:AD$574)</f>
        <v>0</v>
      </c>
      <c r="H122" s="318">
        <f>SUMIF('Pre- and Production'!$T$4:$T$574, CONCATENATE(LEFT('WBS Summary by Year'!H$5,1),'WBS Summary by Year'!$D122,'WBS Summary by Year'!$C$119),'Pre- and Production'!AN$4:AN$574)</f>
        <v>0</v>
      </c>
      <c r="I122" s="316">
        <f>SUMIF('Pre- and Production'!$T$4:$T$574, CONCATENATE(LEFT('WBS Summary by Year'!I$5,1),'WBS Summary by Year'!$D122,'WBS Summary by Year'!$C$119),'Pre- and Production'!AE$4:AE$574)</f>
        <v>0</v>
      </c>
      <c r="J122" s="318">
        <f>SUMIF('Pre- and Production'!$T$4:$T$574, CONCATENATE(LEFT('WBS Summary by Year'!J$5,1),'WBS Summary by Year'!$D122,'WBS Summary by Year'!$C$119),'Pre- and Production'!AO$4:AO$574)</f>
        <v>0</v>
      </c>
      <c r="K122" s="319">
        <f>SUMIF('Pre- and Production'!$T$4:$T$574, CONCATENATE(LEFT('WBS Summary by Year'!K$5,1),'WBS Summary by Year'!$D122,'WBS Summary by Year'!$C$119),'Pre- and Production'!AF$4:AF$574)</f>
        <v>0</v>
      </c>
      <c r="L122" s="318">
        <f>SUMIF('Pre- and Production'!$T$4:$T$574, CONCATENATE(LEFT('WBS Summary by Year'!L$5,1),'WBS Summary by Year'!$D122,'WBS Summary by Year'!$C$119),'Pre- and Production'!AP$4:AP$574)</f>
        <v>0</v>
      </c>
      <c r="M122" s="319">
        <f>SUMIF('Pre- and Production'!$T$4:$T$574, CONCATENATE(LEFT('WBS Summary by Year'!M$5,1),'WBS Summary by Year'!$D122,'WBS Summary by Year'!$C$119),'Pre- and Production'!AG$4:AG$574)</f>
        <v>0</v>
      </c>
      <c r="N122" s="317">
        <f>SUMIF('Pre- and Production'!$T$4:$T$574, CONCATENATE(LEFT('WBS Summary by Year'!N$5,1),'WBS Summary by Year'!$D122,'WBS Summary by Year'!$C$119),'Pre- and Production'!AQ$4:AQ$574)</f>
        <v>0</v>
      </c>
      <c r="O122" s="320">
        <f>SUMIF('Pre- and Production'!$T$4:$T$574, CONCATENATE(LEFT('WBS Summary by Year'!O$5,1),'WBS Summary by Year'!$D122,'WBS Summary by Year'!$C$119),'Pre- and Production'!AH$4:AH$574)</f>
        <v>0</v>
      </c>
      <c r="P122" s="321">
        <f>SUMIF('Pre- and Production'!$T$4:$T$574, CONCATENATE(LEFT('WBS Summary by Year'!P$5,1),'WBS Summary by Year'!$D122,'WBS Summary by Year'!$C$119),'Pre- and Production'!AR$4:AR$574)</f>
        <v>0</v>
      </c>
    </row>
    <row r="123" spans="3:16">
      <c r="D123" s="123" t="s">
        <v>173</v>
      </c>
      <c r="E123" s="24">
        <f>SUMIF('Pre- and Production'!$T$4:$T$574, CONCATENATE(LEFT('WBS Summary by Year'!E$5,1),'WBS Summary by Year'!$D123,$C$119),'Pre- and Production'!AC$4:AC$574)</f>
        <v>0</v>
      </c>
      <c r="F123" s="322">
        <f>SUMIF('Pre- and Production'!$T$4:$T$574, CONCATENATE(LEFT('WBS Summary by Year'!F$5,1),'WBS Summary by Year'!$D123,'WBS Summary by Year'!$C$119),'Pre- and Production'!AM$4:AM$574)</f>
        <v>0</v>
      </c>
      <c r="G123" s="24">
        <f>SUMIF('Pre- and Production'!$T$4:$T$574, CONCATENATE(LEFT('WBS Summary by Year'!G$5,1),'WBS Summary by Year'!$D123,'WBS Summary by Year'!$C$119),'Pre- and Production'!AD$4:AD$574)</f>
        <v>0</v>
      </c>
      <c r="H123" s="323">
        <f>SUMIF('Pre- and Production'!$T$4:$T$574, CONCATENATE(LEFT('WBS Summary by Year'!H$5,1),'WBS Summary by Year'!$D123,'WBS Summary by Year'!$C$119),'Pre- and Production'!AN$4:AN$574)</f>
        <v>0</v>
      </c>
      <c r="I123" s="24">
        <f>SUMIF('Pre- and Production'!$T$4:$T$574, CONCATENATE(LEFT('WBS Summary by Year'!I$5,1),'WBS Summary by Year'!$D123,'WBS Summary by Year'!$C$119),'Pre- and Production'!AE$4:AE$574)</f>
        <v>0</v>
      </c>
      <c r="J123" s="323">
        <f>SUMIF('Pre- and Production'!$T$4:$T$574, CONCATENATE(LEFT('WBS Summary by Year'!J$5,1),'WBS Summary by Year'!$D123,'WBS Summary by Year'!$C$119),'Pre- and Production'!AO$4:AO$574)</f>
        <v>0</v>
      </c>
      <c r="K123" s="324">
        <f>SUMIF('Pre- and Production'!$T$4:$T$574, CONCATENATE(LEFT('WBS Summary by Year'!K$5,1),'WBS Summary by Year'!$D123,'WBS Summary by Year'!$C$119),'Pre- and Production'!AF$4:AF$574)</f>
        <v>0</v>
      </c>
      <c r="L123" s="323">
        <f>SUMIF('Pre- and Production'!$T$4:$T$574, CONCATENATE(LEFT('WBS Summary by Year'!L$5,1),'WBS Summary by Year'!$D123,'WBS Summary by Year'!$C$119),'Pre- and Production'!AP$4:AP$574)</f>
        <v>0</v>
      </c>
      <c r="M123" s="324">
        <f>SUMIF('Pre- and Production'!$T$4:$T$574, CONCATENATE(LEFT('WBS Summary by Year'!M$5,1),'WBS Summary by Year'!$D123,'WBS Summary by Year'!$C$119),'Pre- and Production'!AG$4:AG$574)</f>
        <v>0</v>
      </c>
      <c r="N123" s="322">
        <f>SUMIF('Pre- and Production'!$T$4:$T$574, CONCATENATE(LEFT('WBS Summary by Year'!N$5,1),'WBS Summary by Year'!$D123,'WBS Summary by Year'!$C$119),'Pre- and Production'!AQ$4:AQ$574)</f>
        <v>0</v>
      </c>
      <c r="O123" s="325">
        <f>SUMIF('Pre- and Production'!$T$4:$T$574, CONCATENATE(LEFT('WBS Summary by Year'!O$5,1),'WBS Summary by Year'!$D123,'WBS Summary by Year'!$C$119),'Pre- and Production'!AH$4:AH$574)</f>
        <v>0</v>
      </c>
      <c r="P123" s="326">
        <f>SUMIF('Pre- and Production'!$T$4:$T$574, CONCATENATE(LEFT('WBS Summary by Year'!P$5,1),'WBS Summary by Year'!$D123,'WBS Summary by Year'!$C$119),'Pre- and Production'!AR$4:AR$574)</f>
        <v>0</v>
      </c>
    </row>
    <row r="124" spans="3:16">
      <c r="D124" s="42" t="s">
        <v>175</v>
      </c>
      <c r="E124" s="24">
        <f>SUMIF('Pre- and Production'!$T$4:$T$574, CONCATENATE(LEFT('WBS Summary by Year'!E$5,1),'WBS Summary by Year'!$D124,$C$119),'Pre- and Production'!AC$4:AC$574)</f>
        <v>0</v>
      </c>
      <c r="F124" s="322">
        <f>SUMIF('Pre- and Production'!$T$4:$T$574, CONCATENATE(LEFT('WBS Summary by Year'!F$5,1),'WBS Summary by Year'!$D124,'WBS Summary by Year'!$C$119),'Pre- and Production'!AM$4:AM$574)</f>
        <v>0</v>
      </c>
      <c r="G124" s="24">
        <f>SUMIF('Pre- and Production'!$T$4:$T$574, CONCATENATE(LEFT('WBS Summary by Year'!G$5,1),'WBS Summary by Year'!$D124,'WBS Summary by Year'!$C$119),'Pre- and Production'!AD$4:AD$574)</f>
        <v>0</v>
      </c>
      <c r="H124" s="323">
        <f>SUMIF('Pre- and Production'!$T$4:$T$574, CONCATENATE(LEFT('WBS Summary by Year'!H$5,1),'WBS Summary by Year'!$D124,'WBS Summary by Year'!$C$119),'Pre- and Production'!AN$4:AN$574)</f>
        <v>0</v>
      </c>
      <c r="I124" s="24">
        <f>SUMIF('Pre- and Production'!$T$4:$T$574, CONCATENATE(LEFT('WBS Summary by Year'!I$5,1),'WBS Summary by Year'!$D124,'WBS Summary by Year'!$C$119),'Pre- and Production'!AE$4:AE$574)</f>
        <v>0</v>
      </c>
      <c r="J124" s="323">
        <f>SUMIF('Pre- and Production'!$T$4:$T$574, CONCATENATE(LEFT('WBS Summary by Year'!J$5,1),'WBS Summary by Year'!$D124,'WBS Summary by Year'!$C$119),'Pre- and Production'!AO$4:AO$574)</f>
        <v>0</v>
      </c>
      <c r="K124" s="324">
        <f>SUMIF('Pre- and Production'!$T$4:$T$574, CONCATENATE(LEFT('WBS Summary by Year'!K$5,1),'WBS Summary by Year'!$D124,'WBS Summary by Year'!$C$119),'Pre- and Production'!AF$4:AF$574)</f>
        <v>0</v>
      </c>
      <c r="L124" s="323">
        <f>SUMIF('Pre- and Production'!$T$4:$T$574, CONCATENATE(LEFT('WBS Summary by Year'!L$5,1),'WBS Summary by Year'!$D124,'WBS Summary by Year'!$C$119),'Pre- and Production'!AP$4:AP$574)</f>
        <v>0</v>
      </c>
      <c r="M124" s="324">
        <f>SUMIF('Pre- and Production'!$T$4:$T$574, CONCATENATE(LEFT('WBS Summary by Year'!M$5,1),'WBS Summary by Year'!$D124,'WBS Summary by Year'!$C$119),'Pre- and Production'!AG$4:AG$574)</f>
        <v>0</v>
      </c>
      <c r="N124" s="322">
        <f>SUMIF('Pre- and Production'!$T$4:$T$574, CONCATENATE(LEFT('WBS Summary by Year'!N$5,1),'WBS Summary by Year'!$D124,'WBS Summary by Year'!$C$119),'Pre- and Production'!AQ$4:AQ$574)</f>
        <v>0</v>
      </c>
      <c r="O124" s="325">
        <f>SUMIF('Pre- and Production'!$T$4:$T$574, CONCATENATE(LEFT('WBS Summary by Year'!O$5,1),'WBS Summary by Year'!$D124,'WBS Summary by Year'!$C$119),'Pre- and Production'!AH$4:AH$574)</f>
        <v>0</v>
      </c>
      <c r="P124" s="326">
        <f>SUMIF('Pre- and Production'!$T$4:$T$574, CONCATENATE(LEFT('WBS Summary by Year'!P$5,1),'WBS Summary by Year'!$D124,'WBS Summary by Year'!$C$119),'Pre- and Production'!AR$4:AR$574)</f>
        <v>0</v>
      </c>
    </row>
    <row r="125" spans="3:16">
      <c r="D125" s="42" t="s">
        <v>177</v>
      </c>
      <c r="E125" s="24">
        <f>SUMIF('Pre- and Production'!$T$4:$T$574, CONCATENATE(LEFT('WBS Summary by Year'!E$5,1),'WBS Summary by Year'!$D125,$C$119),'Pre- and Production'!AC$4:AC$574)</f>
        <v>0</v>
      </c>
      <c r="F125" s="322">
        <f>SUMIF('Pre- and Production'!$T$4:$T$574, CONCATENATE(LEFT('WBS Summary by Year'!F$5,1),'WBS Summary by Year'!$D125,'WBS Summary by Year'!$C$119),'Pre- and Production'!AM$4:AM$574)</f>
        <v>0</v>
      </c>
      <c r="G125" s="24">
        <f>SUMIF('Pre- and Production'!$T$4:$T$574, CONCATENATE(LEFT('WBS Summary by Year'!G$5,1),'WBS Summary by Year'!$D125,'WBS Summary by Year'!$C$119),'Pre- and Production'!AD$4:AD$574)</f>
        <v>0</v>
      </c>
      <c r="H125" s="323">
        <f>SUMIF('Pre- and Production'!$T$4:$T$574, CONCATENATE(LEFT('WBS Summary by Year'!H$5,1),'WBS Summary by Year'!$D125,'WBS Summary by Year'!$C$119),'Pre- and Production'!AN$4:AN$574)</f>
        <v>0</v>
      </c>
      <c r="I125" s="24">
        <f>SUMIF('Pre- and Production'!$T$4:$T$574, CONCATENATE(LEFT('WBS Summary by Year'!I$5,1),'WBS Summary by Year'!$D125,'WBS Summary by Year'!$C$119),'Pre- and Production'!AE$4:AE$574)</f>
        <v>0</v>
      </c>
      <c r="J125" s="323">
        <f>SUMIF('Pre- and Production'!$T$4:$T$574, CONCATENATE(LEFT('WBS Summary by Year'!J$5,1),'WBS Summary by Year'!$D125,'WBS Summary by Year'!$C$119),'Pre- and Production'!AO$4:AO$574)</f>
        <v>0</v>
      </c>
      <c r="K125" s="324">
        <f>SUMIF('Pre- and Production'!$T$4:$T$574, CONCATENATE(LEFT('WBS Summary by Year'!K$5,1),'WBS Summary by Year'!$D125,'WBS Summary by Year'!$C$119),'Pre- and Production'!AF$4:AF$574)</f>
        <v>0</v>
      </c>
      <c r="L125" s="323">
        <f>SUMIF('Pre- and Production'!$T$4:$T$574, CONCATENATE(LEFT('WBS Summary by Year'!L$5,1),'WBS Summary by Year'!$D125,'WBS Summary by Year'!$C$119),'Pre- and Production'!AP$4:AP$574)</f>
        <v>0</v>
      </c>
      <c r="M125" s="324">
        <f>SUMIF('Pre- and Production'!$T$4:$T$574, CONCATENATE(LEFT('WBS Summary by Year'!M$5,1),'WBS Summary by Year'!$D125,'WBS Summary by Year'!$C$119),'Pre- and Production'!AG$4:AG$574)</f>
        <v>0</v>
      </c>
      <c r="N125" s="322">
        <f>SUMIF('Pre- and Production'!$T$4:$T$574, CONCATENATE(LEFT('WBS Summary by Year'!N$5,1),'WBS Summary by Year'!$D125,'WBS Summary by Year'!$C$119),'Pre- and Production'!AQ$4:AQ$574)</f>
        <v>0</v>
      </c>
      <c r="O125" s="325">
        <f>SUMIF('Pre- and Production'!$T$4:$T$574, CONCATENATE(LEFT('WBS Summary by Year'!O$5,1),'WBS Summary by Year'!$D125,'WBS Summary by Year'!$C$119),'Pre- and Production'!AH$4:AH$574)</f>
        <v>0</v>
      </c>
      <c r="P125" s="326">
        <f>SUMIF('Pre- and Production'!$T$4:$T$574, CONCATENATE(LEFT('WBS Summary by Year'!P$5,1),'WBS Summary by Year'!$D125,'WBS Summary by Year'!$C$119),'Pre- and Production'!AR$4:AR$574)</f>
        <v>0</v>
      </c>
    </row>
    <row r="126" spans="3:16">
      <c r="D126" s="123" t="s">
        <v>179</v>
      </c>
      <c r="E126" s="24">
        <f>SUMIF('Pre- and Production'!$T$4:$T$574, CONCATENATE(LEFT('WBS Summary by Year'!E$5,1),'WBS Summary by Year'!$D126,$C$119),'Pre- and Production'!AC$4:AC$574)</f>
        <v>0</v>
      </c>
      <c r="F126" s="322">
        <f>SUMIF('Pre- and Production'!$T$4:$T$574, CONCATENATE(LEFT('WBS Summary by Year'!F$5,1),'WBS Summary by Year'!$D126,'WBS Summary by Year'!$C$119),'Pre- and Production'!AM$4:AM$574)</f>
        <v>0</v>
      </c>
      <c r="G126" s="24">
        <f>SUMIF('Pre- and Production'!$T$4:$T$574, CONCATENATE(LEFT('WBS Summary by Year'!G$5,1),'WBS Summary by Year'!$D126,'WBS Summary by Year'!$C$119),'Pre- and Production'!AD$4:AD$574)</f>
        <v>0</v>
      </c>
      <c r="H126" s="323">
        <f>SUMIF('Pre- and Production'!$T$4:$T$574, CONCATENATE(LEFT('WBS Summary by Year'!H$5,1),'WBS Summary by Year'!$D126,'WBS Summary by Year'!$C$119),'Pre- and Production'!AN$4:AN$574)</f>
        <v>0</v>
      </c>
      <c r="I126" s="24">
        <f>SUMIF('Pre- and Production'!$T$4:$T$574, CONCATENATE(LEFT('WBS Summary by Year'!I$5,1),'WBS Summary by Year'!$D126,'WBS Summary by Year'!$C$119),'Pre- and Production'!AE$4:AE$574)</f>
        <v>0</v>
      </c>
      <c r="J126" s="323">
        <f>SUMIF('Pre- and Production'!$T$4:$T$574, CONCATENATE(LEFT('WBS Summary by Year'!J$5,1),'WBS Summary by Year'!$D126,'WBS Summary by Year'!$C$119),'Pre- and Production'!AO$4:AO$574)</f>
        <v>0</v>
      </c>
      <c r="K126" s="324">
        <f>SUMIF('Pre- and Production'!$T$4:$T$574, CONCATENATE(LEFT('WBS Summary by Year'!K$5,1),'WBS Summary by Year'!$D126,'WBS Summary by Year'!$C$119),'Pre- and Production'!AF$4:AF$574)</f>
        <v>0</v>
      </c>
      <c r="L126" s="323">
        <f>SUMIF('Pre- and Production'!$T$4:$T$574, CONCATENATE(LEFT('WBS Summary by Year'!L$5,1),'WBS Summary by Year'!$D126,'WBS Summary by Year'!$C$119),'Pre- and Production'!AP$4:AP$574)</f>
        <v>0</v>
      </c>
      <c r="M126" s="324">
        <f>SUMIF('Pre- and Production'!$T$4:$T$574, CONCATENATE(LEFT('WBS Summary by Year'!M$5,1),'WBS Summary by Year'!$D126,'WBS Summary by Year'!$C$119),'Pre- and Production'!AG$4:AG$574)</f>
        <v>0</v>
      </c>
      <c r="N126" s="322">
        <f>SUMIF('Pre- and Production'!$T$4:$T$574, CONCATENATE(LEFT('WBS Summary by Year'!N$5,1),'WBS Summary by Year'!$D126,'WBS Summary by Year'!$C$119),'Pre- and Production'!AQ$4:AQ$574)</f>
        <v>0</v>
      </c>
      <c r="O126" s="325">
        <f>SUMIF('Pre- and Production'!$T$4:$T$574, CONCATENATE(LEFT('WBS Summary by Year'!O$5,1),'WBS Summary by Year'!$D126,'WBS Summary by Year'!$C$119),'Pre- and Production'!AH$4:AH$574)</f>
        <v>0</v>
      </c>
      <c r="P126" s="326">
        <f>SUMIF('Pre- and Production'!$T$4:$T$574, CONCATENATE(LEFT('WBS Summary by Year'!P$5,1),'WBS Summary by Year'!$D126,'WBS Summary by Year'!$C$119),'Pre- and Production'!AR$4:AR$574)</f>
        <v>0</v>
      </c>
    </row>
    <row r="127" spans="3:16">
      <c r="D127" s="42" t="s">
        <v>181</v>
      </c>
      <c r="E127" s="24">
        <f>SUMIF('Pre- and Production'!$T$4:$T$574, CONCATENATE(LEFT('WBS Summary by Year'!E$5,1),'WBS Summary by Year'!$D127,$C$119),'Pre- and Production'!AC$4:AC$574)</f>
        <v>0</v>
      </c>
      <c r="F127" s="322">
        <f>SUMIF('Pre- and Production'!$T$4:$T$574, CONCATENATE(LEFT('WBS Summary by Year'!F$5,1),'WBS Summary by Year'!$D127,'WBS Summary by Year'!$C$119),'Pre- and Production'!AM$4:AM$574)</f>
        <v>0</v>
      </c>
      <c r="G127" s="24">
        <f>SUMIF('Pre- and Production'!$T$4:$T$574, CONCATENATE(LEFT('WBS Summary by Year'!G$5,1),'WBS Summary by Year'!$D127,'WBS Summary by Year'!$C$119),'Pre- and Production'!AD$4:AD$574)</f>
        <v>0</v>
      </c>
      <c r="H127" s="323">
        <f>SUMIF('Pre- and Production'!$T$4:$T$574, CONCATENATE(LEFT('WBS Summary by Year'!H$5,1),'WBS Summary by Year'!$D127,'WBS Summary by Year'!$C$119),'Pre- and Production'!AN$4:AN$574)</f>
        <v>0</v>
      </c>
      <c r="I127" s="24">
        <f>SUMIF('Pre- and Production'!$T$4:$T$574, CONCATENATE(LEFT('WBS Summary by Year'!I$5,1),'WBS Summary by Year'!$D127,'WBS Summary by Year'!$C$119),'Pre- and Production'!AE$4:AE$574)</f>
        <v>0</v>
      </c>
      <c r="J127" s="323">
        <f>SUMIF('Pre- and Production'!$T$4:$T$574, CONCATENATE(LEFT('WBS Summary by Year'!J$5,1),'WBS Summary by Year'!$D127,'WBS Summary by Year'!$C$119),'Pre- and Production'!AO$4:AO$574)</f>
        <v>0</v>
      </c>
      <c r="K127" s="324">
        <f>SUMIF('Pre- and Production'!$T$4:$T$574, CONCATENATE(LEFT('WBS Summary by Year'!K$5,1),'WBS Summary by Year'!$D127,'WBS Summary by Year'!$C$119),'Pre- and Production'!AF$4:AF$574)</f>
        <v>0</v>
      </c>
      <c r="L127" s="323">
        <f>SUMIF('Pre- and Production'!$T$4:$T$574, CONCATENATE(LEFT('WBS Summary by Year'!L$5,1),'WBS Summary by Year'!$D127,'WBS Summary by Year'!$C$119),'Pre- and Production'!AP$4:AP$574)</f>
        <v>0</v>
      </c>
      <c r="M127" s="324">
        <f>SUMIF('Pre- and Production'!$T$4:$T$574, CONCATENATE(LEFT('WBS Summary by Year'!M$5,1),'WBS Summary by Year'!$D127,'WBS Summary by Year'!$C$119),'Pre- and Production'!AG$4:AG$574)</f>
        <v>0</v>
      </c>
      <c r="N127" s="322">
        <f>SUMIF('Pre- and Production'!$T$4:$T$574, CONCATENATE(LEFT('WBS Summary by Year'!N$5,1),'WBS Summary by Year'!$D127,'WBS Summary by Year'!$C$119),'Pre- and Production'!AQ$4:AQ$574)</f>
        <v>0</v>
      </c>
      <c r="O127" s="325">
        <f>SUMIF('Pre- and Production'!$T$4:$T$574, CONCATENATE(LEFT('WBS Summary by Year'!O$5,1),'WBS Summary by Year'!$D127,'WBS Summary by Year'!$C$119),'Pre- and Production'!AH$4:AH$574)</f>
        <v>0</v>
      </c>
      <c r="P127" s="326">
        <f>SUMIF('Pre- and Production'!$T$4:$T$574, CONCATENATE(LEFT('WBS Summary by Year'!P$5,1),'WBS Summary by Year'!$D127,'WBS Summary by Year'!$C$119),'Pre- and Production'!AR$4:AR$574)</f>
        <v>0</v>
      </c>
    </row>
    <row r="128" spans="3:16">
      <c r="D128" s="42" t="s">
        <v>183</v>
      </c>
      <c r="E128" s="24">
        <f>SUMIF('Pre- and Production'!$T$4:$T$574, CONCATENATE(LEFT('WBS Summary by Year'!E$5,1),'WBS Summary by Year'!$D128,$C$119),'Pre- and Production'!AC$4:AC$574)</f>
        <v>0</v>
      </c>
      <c r="F128" s="322">
        <f>SUMIF('Pre- and Production'!$T$4:$T$574, CONCATENATE(LEFT('WBS Summary by Year'!F$5,1),'WBS Summary by Year'!$D128,'WBS Summary by Year'!$C$119),'Pre- and Production'!AM$4:AM$574)</f>
        <v>16</v>
      </c>
      <c r="G128" s="24">
        <f>SUMIF('Pre- and Production'!$T$4:$T$574, CONCATENATE(LEFT('WBS Summary by Year'!G$5,1),'WBS Summary by Year'!$D128,'WBS Summary by Year'!$C$119),'Pre- and Production'!AD$4:AD$574)</f>
        <v>52</v>
      </c>
      <c r="H128" s="323">
        <f>SUMIF('Pre- and Production'!$T$4:$T$574, CONCATENATE(LEFT('WBS Summary by Year'!H$5,1),'WBS Summary by Year'!$D128,'WBS Summary by Year'!$C$119),'Pre- and Production'!AN$4:AN$574)</f>
        <v>88</v>
      </c>
      <c r="I128" s="24">
        <f>SUMIF('Pre- and Production'!$T$4:$T$574, CONCATENATE(LEFT('WBS Summary by Year'!I$5,1),'WBS Summary by Year'!$D128,'WBS Summary by Year'!$C$119),'Pre- and Production'!AE$4:AE$574)</f>
        <v>380</v>
      </c>
      <c r="J128" s="323">
        <f>SUMIF('Pre- and Production'!$T$4:$T$574, CONCATENATE(LEFT('WBS Summary by Year'!J$5,1),'WBS Summary by Year'!$D128,'WBS Summary by Year'!$C$119),'Pre- and Production'!AO$4:AO$574)</f>
        <v>0</v>
      </c>
      <c r="K128" s="324">
        <f>SUMIF('Pre- and Production'!$T$4:$T$574, CONCATENATE(LEFT('WBS Summary by Year'!K$5,1),'WBS Summary by Year'!$D128,'WBS Summary by Year'!$C$119),'Pre- and Production'!AF$4:AF$574)</f>
        <v>56</v>
      </c>
      <c r="L128" s="323">
        <f>SUMIF('Pre- and Production'!$T$4:$T$574, CONCATENATE(LEFT('WBS Summary by Year'!L$5,1),'WBS Summary by Year'!$D128,'WBS Summary by Year'!$C$119),'Pre- and Production'!AP$4:AP$574)</f>
        <v>88</v>
      </c>
      <c r="M128" s="324">
        <f>SUMIF('Pre- and Production'!$T$4:$T$574, CONCATENATE(LEFT('WBS Summary by Year'!M$5,1),'WBS Summary by Year'!$D128,'WBS Summary by Year'!$C$119),'Pre- and Production'!AG$4:AG$574)</f>
        <v>120</v>
      </c>
      <c r="N128" s="322">
        <f>SUMIF('Pre- and Production'!$T$4:$T$574, CONCATENATE(LEFT('WBS Summary by Year'!N$5,1),'WBS Summary by Year'!$D128,'WBS Summary by Year'!$C$119),'Pre- and Production'!AQ$4:AQ$574)</f>
        <v>0</v>
      </c>
      <c r="O128" s="325">
        <f>SUMIF('Pre- and Production'!$T$4:$T$574, CONCATENATE(LEFT('WBS Summary by Year'!O$5,1),'WBS Summary by Year'!$D128,'WBS Summary by Year'!$C$119),'Pre- and Production'!AH$4:AH$574)</f>
        <v>301500</v>
      </c>
      <c r="P128" s="326">
        <f>SUMIF('Pre- and Production'!$T$4:$T$574, CONCATENATE(LEFT('WBS Summary by Year'!P$5,1),'WBS Summary by Year'!$D128,'WBS Summary by Year'!$C$119),'Pre- and Production'!AR$4:AR$574)</f>
        <v>11500</v>
      </c>
    </row>
    <row r="129" spans="4:16">
      <c r="D129" s="123" t="s">
        <v>185</v>
      </c>
      <c r="E129" s="24">
        <f>SUMIF('Pre- and Production'!$T$4:$T$574, CONCATENATE(LEFT('WBS Summary by Year'!E$5,1),'WBS Summary by Year'!$D129,$C$119),'Pre- and Production'!AC$4:AC$574)</f>
        <v>0</v>
      </c>
      <c r="F129" s="322">
        <f>SUMIF('Pre- and Production'!$T$4:$T$574, CONCATENATE(LEFT('WBS Summary by Year'!F$5,1),'WBS Summary by Year'!$D129,'WBS Summary by Year'!$C$119),'Pre- and Production'!AM$4:AM$574)</f>
        <v>0</v>
      </c>
      <c r="G129" s="24">
        <f>SUMIF('Pre- and Production'!$T$4:$T$574, CONCATENATE(LEFT('WBS Summary by Year'!G$5,1),'WBS Summary by Year'!$D129,'WBS Summary by Year'!$C$119),'Pre- and Production'!AD$4:AD$574)</f>
        <v>0</v>
      </c>
      <c r="H129" s="323">
        <f>SUMIF('Pre- and Production'!$T$4:$T$574, CONCATENATE(LEFT('WBS Summary by Year'!H$5,1),'WBS Summary by Year'!$D129,'WBS Summary by Year'!$C$119),'Pre- and Production'!AN$4:AN$574)</f>
        <v>0</v>
      </c>
      <c r="I129" s="24">
        <f>SUMIF('Pre- and Production'!$T$4:$T$574, CONCATENATE(LEFT('WBS Summary by Year'!I$5,1),'WBS Summary by Year'!$D129,'WBS Summary by Year'!$C$119),'Pre- and Production'!AE$4:AE$574)</f>
        <v>0</v>
      </c>
      <c r="J129" s="323">
        <f>SUMIF('Pre- and Production'!$T$4:$T$574, CONCATENATE(LEFT('WBS Summary by Year'!J$5,1),'WBS Summary by Year'!$D129,'WBS Summary by Year'!$C$119),'Pre- and Production'!AO$4:AO$574)</f>
        <v>0</v>
      </c>
      <c r="K129" s="324">
        <f>SUMIF('Pre- and Production'!$T$4:$T$574, CONCATENATE(LEFT('WBS Summary by Year'!K$5,1),'WBS Summary by Year'!$D129,'WBS Summary by Year'!$C$119),'Pre- and Production'!AF$4:AF$574)</f>
        <v>0</v>
      </c>
      <c r="L129" s="323">
        <f>SUMIF('Pre- and Production'!$T$4:$T$574, CONCATENATE(LEFT('WBS Summary by Year'!L$5,1),'WBS Summary by Year'!$D129,'WBS Summary by Year'!$C$119),'Pre- and Production'!AP$4:AP$574)</f>
        <v>0</v>
      </c>
      <c r="M129" s="324">
        <f>SUMIF('Pre- and Production'!$T$4:$T$574, CONCATENATE(LEFT('WBS Summary by Year'!M$5,1),'WBS Summary by Year'!$D129,'WBS Summary by Year'!$C$119),'Pre- and Production'!AG$4:AG$574)</f>
        <v>0</v>
      </c>
      <c r="N129" s="322">
        <f>SUMIF('Pre- and Production'!$T$4:$T$574, CONCATENATE(LEFT('WBS Summary by Year'!N$5,1),'WBS Summary by Year'!$D129,'WBS Summary by Year'!$C$119),'Pre- and Production'!AQ$4:AQ$574)</f>
        <v>0</v>
      </c>
      <c r="O129" s="325">
        <f>SUMIF('Pre- and Production'!$T$4:$T$574, CONCATENATE(LEFT('WBS Summary by Year'!O$5,1),'WBS Summary by Year'!$D129,'WBS Summary by Year'!$C$119),'Pre- and Production'!AH$4:AH$574)</f>
        <v>0</v>
      </c>
      <c r="P129" s="326">
        <f>SUMIF('Pre- and Production'!$T$4:$T$574, CONCATENATE(LEFT('WBS Summary by Year'!P$5,1),'WBS Summary by Year'!$D129,'WBS Summary by Year'!$C$119),'Pre- and Production'!AR$4:AR$574)</f>
        <v>0</v>
      </c>
    </row>
    <row r="130" spans="4:16">
      <c r="D130" s="42" t="s">
        <v>187</v>
      </c>
      <c r="E130" s="24">
        <f>SUMIF('Pre- and Production'!$T$4:$T$574, CONCATENATE(LEFT('WBS Summary by Year'!E$5,1),'WBS Summary by Year'!$D130,$C$119),'Pre- and Production'!AC$4:AC$574)</f>
        <v>0</v>
      </c>
      <c r="F130" s="322">
        <f>SUMIF('Pre- and Production'!$T$4:$T$574, CONCATENATE(LEFT('WBS Summary by Year'!F$5,1),'WBS Summary by Year'!$D130,'WBS Summary by Year'!$C$119),'Pre- and Production'!AM$4:AM$574)</f>
        <v>0</v>
      </c>
      <c r="G130" s="24">
        <f>SUMIF('Pre- and Production'!$T$4:$T$574, CONCATENATE(LEFT('WBS Summary by Year'!G$5,1),'WBS Summary by Year'!$D130,'WBS Summary by Year'!$C$119),'Pre- and Production'!AD$4:AD$574)</f>
        <v>0</v>
      </c>
      <c r="H130" s="323">
        <f>SUMIF('Pre- and Production'!$T$4:$T$574, CONCATENATE(LEFT('WBS Summary by Year'!H$5,1),'WBS Summary by Year'!$D130,'WBS Summary by Year'!$C$119),'Pre- and Production'!AN$4:AN$574)</f>
        <v>0</v>
      </c>
      <c r="I130" s="24">
        <f>SUMIF('Pre- and Production'!$T$4:$T$574, CONCATENATE(LEFT('WBS Summary by Year'!I$5,1),'WBS Summary by Year'!$D130,'WBS Summary by Year'!$C$119),'Pre- and Production'!AE$4:AE$574)</f>
        <v>0</v>
      </c>
      <c r="J130" s="323">
        <f>SUMIF('Pre- and Production'!$T$4:$T$574, CONCATENATE(LEFT('WBS Summary by Year'!J$5,1),'WBS Summary by Year'!$D130,'WBS Summary by Year'!$C$119),'Pre- and Production'!AO$4:AO$574)</f>
        <v>0</v>
      </c>
      <c r="K130" s="324">
        <f>SUMIF('Pre- and Production'!$T$4:$T$574, CONCATENATE(LEFT('WBS Summary by Year'!K$5,1),'WBS Summary by Year'!$D130,'WBS Summary by Year'!$C$119),'Pre- and Production'!AF$4:AF$574)</f>
        <v>0</v>
      </c>
      <c r="L130" s="323">
        <f>SUMIF('Pre- and Production'!$T$4:$T$574, CONCATENATE(LEFT('WBS Summary by Year'!L$5,1),'WBS Summary by Year'!$D130,'WBS Summary by Year'!$C$119),'Pre- and Production'!AP$4:AP$574)</f>
        <v>0</v>
      </c>
      <c r="M130" s="324">
        <f>SUMIF('Pre- and Production'!$T$4:$T$574, CONCATENATE(LEFT('WBS Summary by Year'!M$5,1),'WBS Summary by Year'!$D130,'WBS Summary by Year'!$C$119),'Pre- and Production'!AG$4:AG$574)</f>
        <v>0</v>
      </c>
      <c r="N130" s="322">
        <f>SUMIF('Pre- and Production'!$T$4:$T$574, CONCATENATE(LEFT('WBS Summary by Year'!N$5,1),'WBS Summary by Year'!$D130,'WBS Summary by Year'!$C$119),'Pre- and Production'!AQ$4:AQ$574)</f>
        <v>0</v>
      </c>
      <c r="O130" s="325">
        <f>SUMIF('Pre- and Production'!$T$4:$T$574, CONCATENATE(LEFT('WBS Summary by Year'!O$5,1),'WBS Summary by Year'!$D130,'WBS Summary by Year'!$C$119),'Pre- and Production'!AH$4:AH$574)</f>
        <v>0</v>
      </c>
      <c r="P130" s="326">
        <f>SUMIF('Pre- and Production'!$T$4:$T$574, CONCATENATE(LEFT('WBS Summary by Year'!P$5,1),'WBS Summary by Year'!$D130,'WBS Summary by Year'!$C$119),'Pre- and Production'!AR$4:AR$574)</f>
        <v>0</v>
      </c>
    </row>
    <row r="131" spans="4:16">
      <c r="D131" s="42" t="s">
        <v>189</v>
      </c>
      <c r="E131" s="24">
        <f>SUMIF('Pre- and Production'!$T$4:$T$574, CONCATENATE(LEFT('WBS Summary by Year'!E$5,1),'WBS Summary by Year'!$D131,$C$119),'Pre- and Production'!AC$4:AC$574)</f>
        <v>0</v>
      </c>
      <c r="F131" s="322">
        <f>SUMIF('Pre- and Production'!$T$4:$T$574, CONCATENATE(LEFT('WBS Summary by Year'!F$5,1),'WBS Summary by Year'!$D131,'WBS Summary by Year'!$C$119),'Pre- and Production'!AM$4:AM$574)</f>
        <v>0</v>
      </c>
      <c r="G131" s="24">
        <f>SUMIF('Pre- and Production'!$T$4:$T$574, CONCATENATE(LEFT('WBS Summary by Year'!G$5,1),'WBS Summary by Year'!$D131,'WBS Summary by Year'!$C$119),'Pre- and Production'!AD$4:AD$574)</f>
        <v>0</v>
      </c>
      <c r="H131" s="323">
        <f>SUMIF('Pre- and Production'!$T$4:$T$574, CONCATENATE(LEFT('WBS Summary by Year'!H$5,1),'WBS Summary by Year'!$D131,'WBS Summary by Year'!$C$119),'Pre- and Production'!AN$4:AN$574)</f>
        <v>0</v>
      </c>
      <c r="I131" s="24">
        <f>SUMIF('Pre- and Production'!$T$4:$T$574, CONCATENATE(LEFT('WBS Summary by Year'!I$5,1),'WBS Summary by Year'!$D131,'WBS Summary by Year'!$C$119),'Pre- and Production'!AE$4:AE$574)</f>
        <v>0</v>
      </c>
      <c r="J131" s="323">
        <f>SUMIF('Pre- and Production'!$T$4:$T$574, CONCATENATE(LEFT('WBS Summary by Year'!J$5,1),'WBS Summary by Year'!$D131,'WBS Summary by Year'!$C$119),'Pre- and Production'!AO$4:AO$574)</f>
        <v>0</v>
      </c>
      <c r="K131" s="324">
        <f>SUMIF('Pre- and Production'!$T$4:$T$574, CONCATENATE(LEFT('WBS Summary by Year'!K$5,1),'WBS Summary by Year'!$D131,'WBS Summary by Year'!$C$119),'Pre- and Production'!AF$4:AF$574)</f>
        <v>0</v>
      </c>
      <c r="L131" s="323">
        <f>SUMIF('Pre- and Production'!$T$4:$T$574, CONCATENATE(LEFT('WBS Summary by Year'!L$5,1),'WBS Summary by Year'!$D131,'WBS Summary by Year'!$C$119),'Pre- and Production'!AP$4:AP$574)</f>
        <v>0</v>
      </c>
      <c r="M131" s="324">
        <f>SUMIF('Pre- and Production'!$T$4:$T$574, CONCATENATE(LEFT('WBS Summary by Year'!M$5,1),'WBS Summary by Year'!$D131,'WBS Summary by Year'!$C$119),'Pre- and Production'!AG$4:AG$574)</f>
        <v>0</v>
      </c>
      <c r="N131" s="322">
        <f>SUMIF('Pre- and Production'!$T$4:$T$574, CONCATENATE(LEFT('WBS Summary by Year'!N$5,1),'WBS Summary by Year'!$D131,'WBS Summary by Year'!$C$119),'Pre- and Production'!AQ$4:AQ$574)</f>
        <v>0</v>
      </c>
      <c r="O131" s="325">
        <f>SUMIF('Pre- and Production'!$T$4:$T$574, CONCATENATE(LEFT('WBS Summary by Year'!O$5,1),'WBS Summary by Year'!$D131,'WBS Summary by Year'!$C$119),'Pre- and Production'!AH$4:AH$574)</f>
        <v>0</v>
      </c>
      <c r="P131" s="326">
        <f>SUMIF('Pre- and Production'!$T$4:$T$574, CONCATENATE(LEFT('WBS Summary by Year'!P$5,1),'WBS Summary by Year'!$D131,'WBS Summary by Year'!$C$119),'Pre- and Production'!AR$4:AR$574)</f>
        <v>0</v>
      </c>
    </row>
    <row r="132" spans="4:16">
      <c r="D132" s="42" t="s">
        <v>191</v>
      </c>
      <c r="E132" s="24">
        <f>SUMIF('Pre- and Production'!$T$4:$T$574, CONCATENATE(LEFT('WBS Summary by Year'!E$5,1),'WBS Summary by Year'!$D132,$C$119),'Pre- and Production'!AC$4:AC$574)</f>
        <v>0</v>
      </c>
      <c r="F132" s="322">
        <f>SUMIF('Pre- and Production'!$T$4:$T$574, CONCATENATE(LEFT('WBS Summary by Year'!F$5,1),'WBS Summary by Year'!$D132,'WBS Summary by Year'!$C$119),'Pre- and Production'!AM$4:AM$574)</f>
        <v>0</v>
      </c>
      <c r="G132" s="24">
        <f>SUMIF('Pre- and Production'!$T$4:$T$574, CONCATENATE(LEFT('WBS Summary by Year'!G$5,1),'WBS Summary by Year'!$D132,'WBS Summary by Year'!$C$119),'Pre- and Production'!AD$4:AD$574)</f>
        <v>0</v>
      </c>
      <c r="H132" s="323">
        <f>SUMIF('Pre- and Production'!$T$4:$T$574, CONCATENATE(LEFT('WBS Summary by Year'!H$5,1),'WBS Summary by Year'!$D132,'WBS Summary by Year'!$C$119),'Pre- and Production'!AN$4:AN$574)</f>
        <v>0</v>
      </c>
      <c r="I132" s="24">
        <f>SUMIF('Pre- and Production'!$T$4:$T$574, CONCATENATE(LEFT('WBS Summary by Year'!I$5,1),'WBS Summary by Year'!$D132,'WBS Summary by Year'!$C$119),'Pre- and Production'!AE$4:AE$574)</f>
        <v>0</v>
      </c>
      <c r="J132" s="323">
        <f>SUMIF('Pre- and Production'!$T$4:$T$574, CONCATENATE(LEFT('WBS Summary by Year'!J$5,1),'WBS Summary by Year'!$D132,'WBS Summary by Year'!$C$119),'Pre- and Production'!AO$4:AO$574)</f>
        <v>0</v>
      </c>
      <c r="K132" s="324">
        <f>SUMIF('Pre- and Production'!$T$4:$T$574, CONCATENATE(LEFT('WBS Summary by Year'!K$5,1),'WBS Summary by Year'!$D132,'WBS Summary by Year'!$C$119),'Pre- and Production'!AF$4:AF$574)</f>
        <v>0</v>
      </c>
      <c r="L132" s="323">
        <f>SUMIF('Pre- and Production'!$T$4:$T$574, CONCATENATE(LEFT('WBS Summary by Year'!L$5,1),'WBS Summary by Year'!$D132,'WBS Summary by Year'!$C$119),'Pre- and Production'!AP$4:AP$574)</f>
        <v>0</v>
      </c>
      <c r="M132" s="324">
        <f>SUMIF('Pre- and Production'!$T$4:$T$574, CONCATENATE(LEFT('WBS Summary by Year'!M$5,1),'WBS Summary by Year'!$D132,'WBS Summary by Year'!$C$119),'Pre- and Production'!AG$4:AG$574)</f>
        <v>0</v>
      </c>
      <c r="N132" s="322">
        <f>SUMIF('Pre- and Production'!$T$4:$T$574, CONCATENATE(LEFT('WBS Summary by Year'!N$5,1),'WBS Summary by Year'!$D132,'WBS Summary by Year'!$C$119),'Pre- and Production'!AQ$4:AQ$574)</f>
        <v>0</v>
      </c>
      <c r="O132" s="325">
        <f>SUMIF('Pre- and Production'!$T$4:$T$574, CONCATENATE(LEFT('WBS Summary by Year'!O$5,1),'WBS Summary by Year'!$D132,'WBS Summary by Year'!$C$119),'Pre- and Production'!AH$4:AH$574)</f>
        <v>0</v>
      </c>
      <c r="P132" s="326">
        <f>SUMIF('Pre- and Production'!$T$4:$T$574, CONCATENATE(LEFT('WBS Summary by Year'!P$5,1),'WBS Summary by Year'!$D132,'WBS Summary by Year'!$C$119),'Pre- and Production'!AR$4:AR$574)</f>
        <v>0</v>
      </c>
    </row>
    <row r="133" spans="4:16">
      <c r="D133" s="42" t="s">
        <v>193</v>
      </c>
      <c r="E133" s="24">
        <f>SUMIF('Pre- and Production'!$T$4:$T$574, CONCATENATE(LEFT('WBS Summary by Year'!E$5,1),'WBS Summary by Year'!$D133,$C$119),'Pre- and Production'!AC$4:AC$574)</f>
        <v>0</v>
      </c>
      <c r="F133" s="322">
        <f>SUMIF('Pre- and Production'!$T$4:$T$574, CONCATENATE(LEFT('WBS Summary by Year'!F$5,1),'WBS Summary by Year'!$D133,'WBS Summary by Year'!$C$119),'Pre- and Production'!AM$4:AM$574)</f>
        <v>0</v>
      </c>
      <c r="G133" s="24">
        <f>SUMIF('Pre- and Production'!$T$4:$T$574, CONCATENATE(LEFT('WBS Summary by Year'!G$5,1),'WBS Summary by Year'!$D133,'WBS Summary by Year'!$C$119),'Pre- and Production'!AD$4:AD$574)</f>
        <v>0</v>
      </c>
      <c r="H133" s="323">
        <f>SUMIF('Pre- and Production'!$T$4:$T$574, CONCATENATE(LEFT('WBS Summary by Year'!H$5,1),'WBS Summary by Year'!$D133,'WBS Summary by Year'!$C$119),'Pre- and Production'!AN$4:AN$574)</f>
        <v>0</v>
      </c>
      <c r="I133" s="24">
        <f>SUMIF('Pre- and Production'!$T$4:$T$574, CONCATENATE(LEFT('WBS Summary by Year'!I$5,1),'WBS Summary by Year'!$D133,'WBS Summary by Year'!$C$119),'Pre- and Production'!AE$4:AE$574)</f>
        <v>0</v>
      </c>
      <c r="J133" s="323">
        <f>SUMIF('Pre- and Production'!$T$4:$T$574, CONCATENATE(LEFT('WBS Summary by Year'!J$5,1),'WBS Summary by Year'!$D133,'WBS Summary by Year'!$C$119),'Pre- and Production'!AO$4:AO$574)</f>
        <v>0</v>
      </c>
      <c r="K133" s="324">
        <f>SUMIF('Pre- and Production'!$T$4:$T$574, CONCATENATE(LEFT('WBS Summary by Year'!K$5,1),'WBS Summary by Year'!$D133,'WBS Summary by Year'!$C$119),'Pre- and Production'!AF$4:AF$574)</f>
        <v>0</v>
      </c>
      <c r="L133" s="323">
        <f>SUMIF('Pre- and Production'!$T$4:$T$574, CONCATENATE(LEFT('WBS Summary by Year'!L$5,1),'WBS Summary by Year'!$D133,'WBS Summary by Year'!$C$119),'Pre- and Production'!AP$4:AP$574)</f>
        <v>0</v>
      </c>
      <c r="M133" s="324">
        <f>SUMIF('Pre- and Production'!$T$4:$T$574, CONCATENATE(LEFT('WBS Summary by Year'!M$5,1),'WBS Summary by Year'!$D133,'WBS Summary by Year'!$C$119),'Pre- and Production'!AG$4:AG$574)</f>
        <v>0</v>
      </c>
      <c r="N133" s="322">
        <f>SUMIF('Pre- and Production'!$T$4:$T$574, CONCATENATE(LEFT('WBS Summary by Year'!N$5,1),'WBS Summary by Year'!$D133,'WBS Summary by Year'!$C$119),'Pre- and Production'!AQ$4:AQ$574)</f>
        <v>0</v>
      </c>
      <c r="O133" s="325">
        <f>SUMIF('Pre- and Production'!$T$4:$T$574, CONCATENATE(LEFT('WBS Summary by Year'!O$5,1),'WBS Summary by Year'!$D133,'WBS Summary by Year'!$C$119),'Pre- and Production'!AH$4:AH$574)</f>
        <v>0</v>
      </c>
      <c r="P133" s="326">
        <f>SUMIF('Pre- and Production'!$T$4:$T$574, CONCATENATE(LEFT('WBS Summary by Year'!P$5,1),'WBS Summary by Year'!$D133,'WBS Summary by Year'!$C$119),'Pre- and Production'!AR$4:AR$574)</f>
        <v>0</v>
      </c>
    </row>
    <row r="134" spans="4:16">
      <c r="D134" s="42" t="s">
        <v>195</v>
      </c>
      <c r="E134" s="24">
        <f>SUMIF('Pre- and Production'!$T$4:$T$574, CONCATENATE(LEFT('WBS Summary by Year'!E$5,1),'WBS Summary by Year'!$D134,$C$119),'Pre- and Production'!AC$4:AC$574)</f>
        <v>0</v>
      </c>
      <c r="F134" s="322">
        <f>SUMIF('Pre- and Production'!$T$4:$T$574, CONCATENATE(LEFT('WBS Summary by Year'!F$5,1),'WBS Summary by Year'!$D134,'WBS Summary by Year'!$C$119),'Pre- and Production'!AM$4:AM$574)</f>
        <v>0</v>
      </c>
      <c r="G134" s="24">
        <f>SUMIF('Pre- and Production'!$T$4:$T$574, CONCATENATE(LEFT('WBS Summary by Year'!G$5,1),'WBS Summary by Year'!$D134,'WBS Summary by Year'!$C$119),'Pre- and Production'!AD$4:AD$574)</f>
        <v>0</v>
      </c>
      <c r="H134" s="323">
        <f>SUMIF('Pre- and Production'!$T$4:$T$574, CONCATENATE(LEFT('WBS Summary by Year'!H$5,1),'WBS Summary by Year'!$D134,'WBS Summary by Year'!$C$119),'Pre- and Production'!AN$4:AN$574)</f>
        <v>0</v>
      </c>
      <c r="I134" s="24">
        <f>SUMIF('Pre- and Production'!$T$4:$T$574, CONCATENATE(LEFT('WBS Summary by Year'!I$5,1),'WBS Summary by Year'!$D134,'WBS Summary by Year'!$C$119),'Pre- and Production'!AE$4:AE$574)</f>
        <v>0</v>
      </c>
      <c r="J134" s="323">
        <f>SUMIF('Pre- and Production'!$T$4:$T$574, CONCATENATE(LEFT('WBS Summary by Year'!J$5,1),'WBS Summary by Year'!$D134,'WBS Summary by Year'!$C$119),'Pre- and Production'!AO$4:AO$574)</f>
        <v>0</v>
      </c>
      <c r="K134" s="324">
        <f>SUMIF('Pre- and Production'!$T$4:$T$574, CONCATENATE(LEFT('WBS Summary by Year'!K$5,1),'WBS Summary by Year'!$D134,'WBS Summary by Year'!$C$119),'Pre- and Production'!AF$4:AF$574)</f>
        <v>0</v>
      </c>
      <c r="L134" s="323">
        <f>SUMIF('Pre- and Production'!$T$4:$T$574, CONCATENATE(LEFT('WBS Summary by Year'!L$5,1),'WBS Summary by Year'!$D134,'WBS Summary by Year'!$C$119),'Pre- and Production'!AP$4:AP$574)</f>
        <v>0</v>
      </c>
      <c r="M134" s="324">
        <f>SUMIF('Pre- and Production'!$T$4:$T$574, CONCATENATE(LEFT('WBS Summary by Year'!M$5,1),'WBS Summary by Year'!$D134,'WBS Summary by Year'!$C$119),'Pre- and Production'!AG$4:AG$574)</f>
        <v>0</v>
      </c>
      <c r="N134" s="322">
        <f>SUMIF('Pre- and Production'!$T$4:$T$574, CONCATENATE(LEFT('WBS Summary by Year'!N$5,1),'WBS Summary by Year'!$D134,'WBS Summary by Year'!$C$119),'Pre- and Production'!AQ$4:AQ$574)</f>
        <v>0</v>
      </c>
      <c r="O134" s="325">
        <f>SUMIF('Pre- and Production'!$T$4:$T$574, CONCATENATE(LEFT('WBS Summary by Year'!O$5,1),'WBS Summary by Year'!$D134,'WBS Summary by Year'!$C$119),'Pre- and Production'!AH$4:AH$574)</f>
        <v>0</v>
      </c>
      <c r="P134" s="326">
        <f>SUMIF('Pre- and Production'!$T$4:$T$574, CONCATENATE(LEFT('WBS Summary by Year'!P$5,1),'WBS Summary by Year'!$D134,'WBS Summary by Year'!$C$119),'Pre- and Production'!AR$4:AR$574)</f>
        <v>0</v>
      </c>
    </row>
    <row r="135" spans="4:16">
      <c r="D135" s="123" t="s">
        <v>197</v>
      </c>
      <c r="E135" s="24">
        <f>SUMIF('Pre- and Production'!$T$4:$T$574, CONCATENATE(LEFT('WBS Summary by Year'!E$5,1),'WBS Summary by Year'!$D135,$C$119),'Pre- and Production'!AC$4:AC$574)</f>
        <v>0</v>
      </c>
      <c r="F135" s="322">
        <f>SUMIF('Pre- and Production'!$T$4:$T$574, CONCATENATE(LEFT('WBS Summary by Year'!F$5,1),'WBS Summary by Year'!$D135,'WBS Summary by Year'!$C$119),'Pre- and Production'!AM$4:AM$574)</f>
        <v>16</v>
      </c>
      <c r="G135" s="24">
        <f>SUMIF('Pre- and Production'!$T$4:$T$574, CONCATENATE(LEFT('WBS Summary by Year'!G$5,1),'WBS Summary by Year'!$D135,'WBS Summary by Year'!$C$119),'Pre- and Production'!AD$4:AD$574)</f>
        <v>60</v>
      </c>
      <c r="H135" s="323">
        <f>SUMIF('Pre- and Production'!$T$4:$T$574, CONCATENATE(LEFT('WBS Summary by Year'!H$5,1),'WBS Summary by Year'!$D135,'WBS Summary by Year'!$C$119),'Pre- and Production'!AN$4:AN$574)</f>
        <v>80</v>
      </c>
      <c r="I135" s="24">
        <f>SUMIF('Pre- and Production'!$T$4:$T$574, CONCATENATE(LEFT('WBS Summary by Year'!I$5,1),'WBS Summary by Year'!$D135,'WBS Summary by Year'!$C$119),'Pre- and Production'!AE$4:AE$574)</f>
        <v>480</v>
      </c>
      <c r="J135" s="323">
        <f>SUMIF('Pre- and Production'!$T$4:$T$574, CONCATENATE(LEFT('WBS Summary by Year'!J$5,1),'WBS Summary by Year'!$D135,'WBS Summary by Year'!$C$119),'Pre- and Production'!AO$4:AO$574)</f>
        <v>0</v>
      </c>
      <c r="K135" s="324">
        <f>SUMIF('Pre- and Production'!$T$4:$T$574, CONCATENATE(LEFT('WBS Summary by Year'!K$5,1),'WBS Summary by Year'!$D135,'WBS Summary by Year'!$C$119),'Pre- and Production'!AF$4:AF$574)</f>
        <v>30</v>
      </c>
      <c r="L135" s="323">
        <f>SUMIF('Pre- and Production'!$T$4:$T$574, CONCATENATE(LEFT('WBS Summary by Year'!L$5,1),'WBS Summary by Year'!$D135,'WBS Summary by Year'!$C$119),'Pre- and Production'!AP$4:AP$574)</f>
        <v>8</v>
      </c>
      <c r="M135" s="324">
        <f>SUMIF('Pre- and Production'!$T$4:$T$574, CONCATENATE(LEFT('WBS Summary by Year'!M$5,1),'WBS Summary by Year'!$D135,'WBS Summary by Year'!$C$119),'Pre- and Production'!AG$4:AG$574)</f>
        <v>480</v>
      </c>
      <c r="N135" s="322">
        <f>SUMIF('Pre- and Production'!$T$4:$T$574, CONCATENATE(LEFT('WBS Summary by Year'!N$5,1),'WBS Summary by Year'!$D135,'WBS Summary by Year'!$C$119),'Pre- and Production'!AQ$4:AQ$574)</f>
        <v>0</v>
      </c>
      <c r="O135" s="325">
        <f>SUMIF('Pre- and Production'!$T$4:$T$574, CONCATENATE(LEFT('WBS Summary by Year'!O$5,1),'WBS Summary by Year'!$D135,'WBS Summary by Year'!$C$119),'Pre- and Production'!AH$4:AH$574)</f>
        <v>0</v>
      </c>
      <c r="P135" s="326">
        <f>SUMIF('Pre- and Production'!$T$4:$T$574, CONCATENATE(LEFT('WBS Summary by Year'!P$5,1),'WBS Summary by Year'!$D135,'WBS Summary by Year'!$C$119),'Pre- and Production'!AR$4:AR$574)</f>
        <v>20000</v>
      </c>
    </row>
    <row r="136" spans="4:16">
      <c r="D136" s="42" t="s">
        <v>199</v>
      </c>
      <c r="E136" s="24">
        <f>SUMIF('Pre- and Production'!$T$4:$T$574, CONCATENATE(LEFT('WBS Summary by Year'!E$5,1),'WBS Summary by Year'!$D136,$C$119),'Pre- and Production'!AC$4:AC$574)</f>
        <v>0</v>
      </c>
      <c r="F136" s="322">
        <f>SUMIF('Pre- and Production'!$T$4:$T$574, CONCATENATE(LEFT('WBS Summary by Year'!F$5,1),'WBS Summary by Year'!$D136,'WBS Summary by Year'!$C$119),'Pre- and Production'!AM$4:AM$574)</f>
        <v>0</v>
      </c>
      <c r="G136" s="24">
        <f>SUMIF('Pre- and Production'!$T$4:$T$574, CONCATENATE(LEFT('WBS Summary by Year'!G$5,1),'WBS Summary by Year'!$D136,'WBS Summary by Year'!$C$119),'Pre- and Production'!AD$4:AD$574)</f>
        <v>0</v>
      </c>
      <c r="H136" s="323">
        <f>SUMIF('Pre- and Production'!$T$4:$T$574, CONCATENATE(LEFT('WBS Summary by Year'!H$5,1),'WBS Summary by Year'!$D136,'WBS Summary by Year'!$C$119),'Pre- and Production'!AN$4:AN$574)</f>
        <v>0</v>
      </c>
      <c r="I136" s="24">
        <f>SUMIF('Pre- and Production'!$T$4:$T$574, CONCATENATE(LEFT('WBS Summary by Year'!I$5,1),'WBS Summary by Year'!$D136,'WBS Summary by Year'!$C$119),'Pre- and Production'!AE$4:AE$574)</f>
        <v>0</v>
      </c>
      <c r="J136" s="323">
        <f>SUMIF('Pre- and Production'!$T$4:$T$574, CONCATENATE(LEFT('WBS Summary by Year'!J$5,1),'WBS Summary by Year'!$D136,'WBS Summary by Year'!$C$119),'Pre- and Production'!AO$4:AO$574)</f>
        <v>0</v>
      </c>
      <c r="K136" s="324">
        <f>SUMIF('Pre- and Production'!$T$4:$T$574, CONCATENATE(LEFT('WBS Summary by Year'!K$5,1),'WBS Summary by Year'!$D136,'WBS Summary by Year'!$C$119),'Pre- and Production'!AF$4:AF$574)</f>
        <v>0</v>
      </c>
      <c r="L136" s="323">
        <f>SUMIF('Pre- and Production'!$T$4:$T$574, CONCATENATE(LEFT('WBS Summary by Year'!L$5,1),'WBS Summary by Year'!$D136,'WBS Summary by Year'!$C$119),'Pre- and Production'!AP$4:AP$574)</f>
        <v>0</v>
      </c>
      <c r="M136" s="324">
        <f>SUMIF('Pre- and Production'!$T$4:$T$574, CONCATENATE(LEFT('WBS Summary by Year'!M$5,1),'WBS Summary by Year'!$D136,'WBS Summary by Year'!$C$119),'Pre- and Production'!AG$4:AG$574)</f>
        <v>0</v>
      </c>
      <c r="N136" s="322">
        <f>SUMIF('Pre- and Production'!$T$4:$T$574, CONCATENATE(LEFT('WBS Summary by Year'!N$5,1),'WBS Summary by Year'!$D136,'WBS Summary by Year'!$C$119),'Pre- and Production'!AQ$4:AQ$574)</f>
        <v>0</v>
      </c>
      <c r="O136" s="325">
        <f>SUMIF('Pre- and Production'!$T$4:$T$574, CONCATENATE(LEFT('WBS Summary by Year'!O$5,1),'WBS Summary by Year'!$D136,'WBS Summary by Year'!$C$119),'Pre- and Production'!AH$4:AH$574)</f>
        <v>0</v>
      </c>
      <c r="P136" s="326">
        <f>SUMIF('Pre- and Production'!$T$4:$T$574, CONCATENATE(LEFT('WBS Summary by Year'!P$5,1),'WBS Summary by Year'!$D136,'WBS Summary by Year'!$C$119),'Pre- and Production'!AR$4:AR$574)</f>
        <v>0</v>
      </c>
    </row>
    <row r="137" spans="4:16">
      <c r="D137" s="123" t="s">
        <v>202</v>
      </c>
      <c r="E137" s="24">
        <f>SUMIF('Pre- and Production'!$T$4:$T$574, CONCATENATE(LEFT('WBS Summary by Year'!E$5,1),'WBS Summary by Year'!$D137,$C$119),'Pre- and Production'!AC$4:AC$574)</f>
        <v>0</v>
      </c>
      <c r="F137" s="322">
        <f>SUMIF('Pre- and Production'!$T$4:$T$574, CONCATENATE(LEFT('WBS Summary by Year'!F$5,1),'WBS Summary by Year'!$D137,'WBS Summary by Year'!$C$119),'Pre- and Production'!AM$4:AM$574)</f>
        <v>0</v>
      </c>
      <c r="G137" s="24">
        <f>SUMIF('Pre- and Production'!$T$4:$T$574, CONCATENATE(LEFT('WBS Summary by Year'!G$5,1),'WBS Summary by Year'!$D137,'WBS Summary by Year'!$C$119),'Pre- and Production'!AD$4:AD$574)</f>
        <v>0</v>
      </c>
      <c r="H137" s="323">
        <f>SUMIF('Pre- and Production'!$T$4:$T$574, CONCATENATE(LEFT('WBS Summary by Year'!H$5,1),'WBS Summary by Year'!$D137,'WBS Summary by Year'!$C$119),'Pre- and Production'!AN$4:AN$574)</f>
        <v>0</v>
      </c>
      <c r="I137" s="24">
        <f>SUMIF('Pre- and Production'!$T$4:$T$574, CONCATENATE(LEFT('WBS Summary by Year'!I$5,1),'WBS Summary by Year'!$D137,'WBS Summary by Year'!$C$119),'Pre- and Production'!AE$4:AE$574)</f>
        <v>0</v>
      </c>
      <c r="J137" s="323">
        <f>SUMIF('Pre- and Production'!$T$4:$T$574, CONCATENATE(LEFT('WBS Summary by Year'!J$5,1),'WBS Summary by Year'!$D137,'WBS Summary by Year'!$C$119),'Pre- and Production'!AO$4:AO$574)</f>
        <v>0</v>
      </c>
      <c r="K137" s="324">
        <f>SUMIF('Pre- and Production'!$T$4:$T$574, CONCATENATE(LEFT('WBS Summary by Year'!K$5,1),'WBS Summary by Year'!$D137,'WBS Summary by Year'!$C$119),'Pre- and Production'!AF$4:AF$574)</f>
        <v>0</v>
      </c>
      <c r="L137" s="323">
        <f>SUMIF('Pre- and Production'!$T$4:$T$574, CONCATENATE(LEFT('WBS Summary by Year'!L$5,1),'WBS Summary by Year'!$D137,'WBS Summary by Year'!$C$119),'Pre- and Production'!AP$4:AP$574)</f>
        <v>0</v>
      </c>
      <c r="M137" s="324">
        <f>SUMIF('Pre- and Production'!$T$4:$T$574, CONCATENATE(LEFT('WBS Summary by Year'!M$5,1),'WBS Summary by Year'!$D137,'WBS Summary by Year'!$C$119),'Pre- and Production'!AG$4:AG$574)</f>
        <v>0</v>
      </c>
      <c r="N137" s="322">
        <f>SUMIF('Pre- and Production'!$T$4:$T$574, CONCATENATE(LEFT('WBS Summary by Year'!N$5,1),'WBS Summary by Year'!$D137,'WBS Summary by Year'!$C$119),'Pre- and Production'!AQ$4:AQ$574)</f>
        <v>0</v>
      </c>
      <c r="O137" s="325">
        <f>SUMIF('Pre- and Production'!$T$4:$T$574, CONCATENATE(LEFT('WBS Summary by Year'!O$5,1),'WBS Summary by Year'!$D137,'WBS Summary by Year'!$C$119),'Pre- and Production'!AH$4:AH$574)</f>
        <v>0</v>
      </c>
      <c r="P137" s="326">
        <f>SUMIF('Pre- and Production'!$T$4:$T$574, CONCATENATE(LEFT('WBS Summary by Year'!P$5,1),'WBS Summary by Year'!$D137,'WBS Summary by Year'!$C$119),'Pre- and Production'!AR$4:AR$574)</f>
        <v>0</v>
      </c>
    </row>
    <row r="138" spans="4:16">
      <c r="D138" s="42" t="s">
        <v>204</v>
      </c>
      <c r="E138" s="24">
        <f>SUMIF('Pre- and Production'!$T$4:$T$574, CONCATENATE(LEFT('WBS Summary by Year'!E$5,1),'WBS Summary by Year'!$D138,$C$119),'Pre- and Production'!AC$4:AC$574)</f>
        <v>0</v>
      </c>
      <c r="F138" s="322">
        <f>SUMIF('Pre- and Production'!$T$4:$T$574, CONCATENATE(LEFT('WBS Summary by Year'!F$5,1),'WBS Summary by Year'!$D138,'WBS Summary by Year'!$C$119),'Pre- and Production'!AM$4:AM$574)</f>
        <v>0</v>
      </c>
      <c r="G138" s="24">
        <f>SUMIF('Pre- and Production'!$T$4:$T$574, CONCATENATE(LEFT('WBS Summary by Year'!G$5,1),'WBS Summary by Year'!$D138,'WBS Summary by Year'!$C$119),'Pre- and Production'!AD$4:AD$574)</f>
        <v>240</v>
      </c>
      <c r="H138" s="323">
        <f>SUMIF('Pre- and Production'!$T$4:$T$574, CONCATENATE(LEFT('WBS Summary by Year'!H$5,1),'WBS Summary by Year'!$D138,'WBS Summary by Year'!$C$119),'Pre- and Production'!AN$4:AN$574)</f>
        <v>80</v>
      </c>
      <c r="I138" s="24">
        <f>SUMIF('Pre- and Production'!$T$4:$T$574, CONCATENATE(LEFT('WBS Summary by Year'!I$5,1),'WBS Summary by Year'!$D138,'WBS Summary by Year'!$C$119),'Pre- and Production'!AE$4:AE$574)</f>
        <v>184</v>
      </c>
      <c r="J138" s="323">
        <f>SUMIF('Pre- and Production'!$T$4:$T$574, CONCATENATE(LEFT('WBS Summary by Year'!J$5,1),'WBS Summary by Year'!$D138,'WBS Summary by Year'!$C$119),'Pre- and Production'!AO$4:AO$574)</f>
        <v>0</v>
      </c>
      <c r="K138" s="324">
        <f>SUMIF('Pre- and Production'!$T$4:$T$574, CONCATENATE(LEFT('WBS Summary by Year'!K$5,1),'WBS Summary by Year'!$D138,'WBS Summary by Year'!$C$119),'Pre- and Production'!AF$4:AF$574)</f>
        <v>48</v>
      </c>
      <c r="L138" s="323">
        <f>SUMIF('Pre- and Production'!$T$4:$T$574, CONCATENATE(LEFT('WBS Summary by Year'!L$5,1),'WBS Summary by Year'!$D138,'WBS Summary by Year'!$C$119),'Pre- and Production'!AP$4:AP$574)</f>
        <v>110</v>
      </c>
      <c r="M138" s="324">
        <f>SUMIF('Pre- and Production'!$T$4:$T$574, CONCATENATE(LEFT('WBS Summary by Year'!M$5,1),'WBS Summary by Year'!$D138,'WBS Summary by Year'!$C$119),'Pre- and Production'!AG$4:AG$574)</f>
        <v>304</v>
      </c>
      <c r="N138" s="322">
        <f>SUMIF('Pre- and Production'!$T$4:$T$574, CONCATENATE(LEFT('WBS Summary by Year'!N$5,1),'WBS Summary by Year'!$D138,'WBS Summary by Year'!$C$119),'Pre- and Production'!AQ$4:AQ$574)</f>
        <v>0</v>
      </c>
      <c r="O138" s="325">
        <f>SUMIF('Pre- and Production'!$T$4:$T$574, CONCATENATE(LEFT('WBS Summary by Year'!O$5,1),'WBS Summary by Year'!$D138,'WBS Summary by Year'!$C$119),'Pre- and Production'!AH$4:AH$574)</f>
        <v>86250</v>
      </c>
      <c r="P138" s="326">
        <f>SUMIF('Pre- and Production'!$T$4:$T$574, CONCATENATE(LEFT('WBS Summary by Year'!P$5,1),'WBS Summary by Year'!$D138,'WBS Summary by Year'!$C$119),'Pre- and Production'!AR$4:AR$574)</f>
        <v>12000</v>
      </c>
    </row>
    <row r="139" spans="4:16">
      <c r="D139" s="42" t="s">
        <v>206</v>
      </c>
      <c r="E139" s="24">
        <f>SUMIF('Pre- and Production'!$T$4:$T$574, CONCATENATE(LEFT('WBS Summary by Year'!E$5,1),'WBS Summary by Year'!$D139,$C$119),'Pre- and Production'!AC$4:AC$574)</f>
        <v>0</v>
      </c>
      <c r="F139" s="322">
        <f>SUMIF('Pre- and Production'!$T$4:$T$574, CONCATENATE(LEFT('WBS Summary by Year'!F$5,1),'WBS Summary by Year'!$D139,'WBS Summary by Year'!$C$119),'Pre- and Production'!AM$4:AM$574)</f>
        <v>0</v>
      </c>
      <c r="G139" s="24">
        <f>SUMIF('Pre- and Production'!$T$4:$T$574, CONCATENATE(LEFT('WBS Summary by Year'!G$5,1),'WBS Summary by Year'!$D139,'WBS Summary by Year'!$C$119),'Pre- and Production'!AD$4:AD$574)</f>
        <v>90</v>
      </c>
      <c r="H139" s="323">
        <f>SUMIF('Pre- and Production'!$T$4:$T$574, CONCATENATE(LEFT('WBS Summary by Year'!H$5,1),'WBS Summary by Year'!$D139,'WBS Summary by Year'!$C$119),'Pre- and Production'!AN$4:AN$574)</f>
        <v>40</v>
      </c>
      <c r="I139" s="24">
        <f>SUMIF('Pre- and Production'!$T$4:$T$574, CONCATENATE(LEFT('WBS Summary by Year'!I$5,1),'WBS Summary by Year'!$D139,'WBS Summary by Year'!$C$119),'Pre- and Production'!AE$4:AE$574)</f>
        <v>56</v>
      </c>
      <c r="J139" s="323">
        <f>SUMIF('Pre- and Production'!$T$4:$T$574, CONCATENATE(LEFT('WBS Summary by Year'!J$5,1),'WBS Summary by Year'!$D139,'WBS Summary by Year'!$C$119),'Pre- and Production'!AO$4:AO$574)</f>
        <v>0</v>
      </c>
      <c r="K139" s="324">
        <f>SUMIF('Pre- and Production'!$T$4:$T$574, CONCATENATE(LEFT('WBS Summary by Year'!K$5,1),'WBS Summary by Year'!$D139,'WBS Summary by Year'!$C$119),'Pre- and Production'!AF$4:AF$574)</f>
        <v>8</v>
      </c>
      <c r="L139" s="323">
        <f>SUMIF('Pre- and Production'!$T$4:$T$574, CONCATENATE(LEFT('WBS Summary by Year'!L$5,1),'WBS Summary by Year'!$D139,'WBS Summary by Year'!$C$119),'Pre- and Production'!AP$4:AP$574)</f>
        <v>40</v>
      </c>
      <c r="M139" s="324">
        <f>SUMIF('Pre- and Production'!$T$4:$T$574, CONCATENATE(LEFT('WBS Summary by Year'!M$5,1),'WBS Summary by Year'!$D139,'WBS Summary by Year'!$C$119),'Pre- and Production'!AG$4:AG$574)</f>
        <v>88</v>
      </c>
      <c r="N139" s="322">
        <f>SUMIF('Pre- and Production'!$T$4:$T$574, CONCATENATE(LEFT('WBS Summary by Year'!N$5,1),'WBS Summary by Year'!$D139,'WBS Summary by Year'!$C$119),'Pre- and Production'!AQ$4:AQ$574)</f>
        <v>0</v>
      </c>
      <c r="O139" s="325">
        <f>SUMIF('Pre- and Production'!$T$4:$T$574, CONCATENATE(LEFT('WBS Summary by Year'!O$5,1),'WBS Summary by Year'!$D139,'WBS Summary by Year'!$C$119),'Pre- and Production'!AH$4:AH$574)</f>
        <v>9000</v>
      </c>
      <c r="P139" s="326">
        <f>SUMIF('Pre- and Production'!$T$4:$T$574, CONCATENATE(LEFT('WBS Summary by Year'!P$5,1),'WBS Summary by Year'!$D139,'WBS Summary by Year'!$C$119),'Pre- and Production'!AR$4:AR$574)</f>
        <v>4000</v>
      </c>
    </row>
    <row r="140" spans="4:16">
      <c r="D140" s="42" t="s">
        <v>208</v>
      </c>
      <c r="E140" s="24">
        <f>SUMIF('Pre- and Production'!$T$4:$T$574, CONCATENATE(LEFT('WBS Summary by Year'!E$5,1),'WBS Summary by Year'!$D140,$C$119),'Pre- and Production'!AC$4:AC$574)</f>
        <v>0</v>
      </c>
      <c r="F140" s="322">
        <f>SUMIF('Pre- and Production'!$T$4:$T$574, CONCATENATE(LEFT('WBS Summary by Year'!F$5,1),'WBS Summary by Year'!$D140,'WBS Summary by Year'!$C$119),'Pre- and Production'!AM$4:AM$574)</f>
        <v>0</v>
      </c>
      <c r="G140" s="24">
        <f>SUMIF('Pre- and Production'!$T$4:$T$574, CONCATENATE(LEFT('WBS Summary by Year'!G$5,1),'WBS Summary by Year'!$D140,'WBS Summary by Year'!$C$119),'Pre- and Production'!AD$4:AD$574)</f>
        <v>0</v>
      </c>
      <c r="H140" s="323">
        <f>SUMIF('Pre- and Production'!$T$4:$T$574, CONCATENATE(LEFT('WBS Summary by Year'!H$5,1),'WBS Summary by Year'!$D140,'WBS Summary by Year'!$C$119),'Pre- and Production'!AN$4:AN$574)</f>
        <v>0</v>
      </c>
      <c r="I140" s="24">
        <f>SUMIF('Pre- and Production'!$T$4:$T$574, CONCATENATE(LEFT('WBS Summary by Year'!I$5,1),'WBS Summary by Year'!$D140,'WBS Summary by Year'!$C$119),'Pre- and Production'!AE$4:AE$574)</f>
        <v>0</v>
      </c>
      <c r="J140" s="323">
        <f>SUMIF('Pre- and Production'!$T$4:$T$574, CONCATENATE(LEFT('WBS Summary by Year'!J$5,1),'WBS Summary by Year'!$D140,'WBS Summary by Year'!$C$119),'Pre- and Production'!AO$4:AO$574)</f>
        <v>0</v>
      </c>
      <c r="K140" s="324">
        <f>SUMIF('Pre- and Production'!$T$4:$T$574, CONCATENATE(LEFT('WBS Summary by Year'!K$5,1),'WBS Summary by Year'!$D140,'WBS Summary by Year'!$C$119),'Pre- and Production'!AF$4:AF$574)</f>
        <v>0</v>
      </c>
      <c r="L140" s="323">
        <f>SUMIF('Pre- and Production'!$T$4:$T$574, CONCATENATE(LEFT('WBS Summary by Year'!L$5,1),'WBS Summary by Year'!$D140,'WBS Summary by Year'!$C$119),'Pre- and Production'!AP$4:AP$574)</f>
        <v>8</v>
      </c>
      <c r="M140" s="324">
        <f>SUMIF('Pre- and Production'!$T$4:$T$574, CONCATENATE(LEFT('WBS Summary by Year'!M$5,1),'WBS Summary by Year'!$D140,'WBS Summary by Year'!$C$119),'Pre- and Production'!AG$4:AG$574)</f>
        <v>0</v>
      </c>
      <c r="N140" s="322">
        <f>SUMIF('Pre- and Production'!$T$4:$T$574, CONCATENATE(LEFT('WBS Summary by Year'!N$5,1),'WBS Summary by Year'!$D140,'WBS Summary by Year'!$C$119),'Pre- and Production'!AQ$4:AQ$574)</f>
        <v>0</v>
      </c>
      <c r="O140" s="325">
        <f>SUMIF('Pre- and Production'!$T$4:$T$574, CONCATENATE(LEFT('WBS Summary by Year'!O$5,1),'WBS Summary by Year'!$D140,'WBS Summary by Year'!$C$119),'Pre- and Production'!AH$4:AH$574)</f>
        <v>14500</v>
      </c>
      <c r="P140" s="326">
        <f>SUMIF('Pre- and Production'!$T$4:$T$574, CONCATENATE(LEFT('WBS Summary by Year'!P$5,1),'WBS Summary by Year'!$D140,'WBS Summary by Year'!$C$119),'Pre- and Production'!AR$4:AR$574)</f>
        <v>4000</v>
      </c>
    </row>
    <row r="141" spans="4:16">
      <c r="D141" s="42" t="s">
        <v>210</v>
      </c>
      <c r="E141" s="24">
        <f>SUMIF('Pre- and Production'!$T$4:$T$574, CONCATENATE(LEFT('WBS Summary by Year'!E$5,1),'WBS Summary by Year'!$D141,$C$119),'Pre- and Production'!AC$4:AC$574)</f>
        <v>0</v>
      </c>
      <c r="F141" s="322">
        <f>SUMIF('Pre- and Production'!$T$4:$T$574, CONCATENATE(LEFT('WBS Summary by Year'!F$5,1),'WBS Summary by Year'!$D141,'WBS Summary by Year'!$C$119),'Pre- and Production'!AM$4:AM$574)</f>
        <v>0</v>
      </c>
      <c r="G141" s="24">
        <f>SUMIF('Pre- and Production'!$T$4:$T$574, CONCATENATE(LEFT('WBS Summary by Year'!G$5,1),'WBS Summary by Year'!$D141,'WBS Summary by Year'!$C$119),'Pre- and Production'!AD$4:AD$574)</f>
        <v>0</v>
      </c>
      <c r="H141" s="323">
        <f>SUMIF('Pre- and Production'!$T$4:$T$574, CONCATENATE(LEFT('WBS Summary by Year'!H$5,1),'WBS Summary by Year'!$D141,'WBS Summary by Year'!$C$119),'Pre- and Production'!AN$4:AN$574)</f>
        <v>0</v>
      </c>
      <c r="I141" s="24">
        <f>SUMIF('Pre- and Production'!$T$4:$T$574, CONCATENATE(LEFT('WBS Summary by Year'!I$5,1),'WBS Summary by Year'!$D141,'WBS Summary by Year'!$C$119),'Pre- and Production'!AE$4:AE$574)</f>
        <v>232</v>
      </c>
      <c r="J141" s="323">
        <f>SUMIF('Pre- and Production'!$T$4:$T$574, CONCATENATE(LEFT('WBS Summary by Year'!J$5,1),'WBS Summary by Year'!$D141,'WBS Summary by Year'!$C$119),'Pre- and Production'!AO$4:AO$574)</f>
        <v>0</v>
      </c>
      <c r="K141" s="324">
        <f>SUMIF('Pre- and Production'!$T$4:$T$574, CONCATENATE(LEFT('WBS Summary by Year'!K$5,1),'WBS Summary by Year'!$D141,'WBS Summary by Year'!$C$119),'Pre- and Production'!AF$4:AF$574)</f>
        <v>0</v>
      </c>
      <c r="L141" s="323">
        <f>SUMIF('Pre- and Production'!$T$4:$T$574, CONCATENATE(LEFT('WBS Summary by Year'!L$5,1),'WBS Summary by Year'!$D141,'WBS Summary by Year'!$C$119),'Pre- and Production'!AP$4:AP$574)</f>
        <v>8</v>
      </c>
      <c r="M141" s="324">
        <f>SUMIF('Pre- and Production'!$T$4:$T$574, CONCATENATE(LEFT('WBS Summary by Year'!M$5,1),'WBS Summary by Year'!$D141,'WBS Summary by Year'!$C$119),'Pre- and Production'!AG$4:AG$574)</f>
        <v>232</v>
      </c>
      <c r="N141" s="322">
        <f>SUMIF('Pre- and Production'!$T$4:$T$574, CONCATENATE(LEFT('WBS Summary by Year'!N$5,1),'WBS Summary by Year'!$D141,'WBS Summary by Year'!$C$119),'Pre- and Production'!AQ$4:AQ$574)</f>
        <v>0</v>
      </c>
      <c r="O141" s="325">
        <f>SUMIF('Pre- and Production'!$T$4:$T$574, CONCATENATE(LEFT('WBS Summary by Year'!O$5,1),'WBS Summary by Year'!$D141,'WBS Summary by Year'!$C$119),'Pre- and Production'!AH$4:AH$574)</f>
        <v>6000</v>
      </c>
      <c r="P141" s="326">
        <f>SUMIF('Pre- and Production'!$T$4:$T$574, CONCATENATE(LEFT('WBS Summary by Year'!P$5,1),'WBS Summary by Year'!$D141,'WBS Summary by Year'!$C$119),'Pre- and Production'!AR$4:AR$574)</f>
        <v>1000</v>
      </c>
    </row>
    <row r="142" spans="4:16" ht="13.5" thickBot="1">
      <c r="D142" s="123" t="s">
        <v>212</v>
      </c>
      <c r="E142" s="327">
        <f>SUMIF('Pre- and Production'!$T$4:$T$574, CONCATENATE(LEFT('WBS Summary by Year'!E$5,1),'WBS Summary by Year'!$D142,$C$119),'Pre- and Production'!AC$4:AC$574)</f>
        <v>48</v>
      </c>
      <c r="F142" s="328">
        <f>SUMIF('Pre- and Production'!$T$4:$T$574, CONCATENATE(LEFT('WBS Summary by Year'!F$5,1),'WBS Summary by Year'!$D142,'WBS Summary by Year'!$C$119),'Pre- and Production'!AM$4:AM$574)</f>
        <v>40</v>
      </c>
      <c r="G142" s="327">
        <f>SUMIF('Pre- and Production'!$T$4:$T$574, CONCATENATE(LEFT('WBS Summary by Year'!G$5,1),'WBS Summary by Year'!$D142,'WBS Summary by Year'!$C$119),'Pre- and Production'!AD$4:AD$574)</f>
        <v>2080</v>
      </c>
      <c r="H142" s="329">
        <f>SUMIF('Pre- and Production'!$T$4:$T$574, CONCATENATE(LEFT('WBS Summary by Year'!H$5,1),'WBS Summary by Year'!$D142,'WBS Summary by Year'!$C$119),'Pre- and Production'!AN$4:AN$574)</f>
        <v>200</v>
      </c>
      <c r="I142" s="327">
        <f>SUMIF('Pre- and Production'!$T$4:$T$574, CONCATENATE(LEFT('WBS Summary by Year'!I$5,1),'WBS Summary by Year'!$D142,'WBS Summary by Year'!$C$119),'Pre- and Production'!AE$4:AE$574)</f>
        <v>1214</v>
      </c>
      <c r="J142" s="329">
        <f>SUMIF('Pre- and Production'!$T$4:$T$574, CONCATENATE(LEFT('WBS Summary by Year'!J$5,1),'WBS Summary by Year'!$D142,'WBS Summary by Year'!$C$119),'Pre- and Production'!AO$4:AO$574)</f>
        <v>0</v>
      </c>
      <c r="K142" s="330">
        <f>SUMIF('Pre- and Production'!$T$4:$T$574, CONCATENATE(LEFT('WBS Summary by Year'!K$5,1),'WBS Summary by Year'!$D142,'WBS Summary by Year'!$C$119),'Pre- and Production'!AF$4:AF$574)</f>
        <v>108</v>
      </c>
      <c r="L142" s="329">
        <f>SUMIF('Pre- and Production'!$T$4:$T$574, CONCATENATE(LEFT('WBS Summary by Year'!L$5,1),'WBS Summary by Year'!$D142,'WBS Summary by Year'!$C$119),'Pre- and Production'!AP$4:AP$574)</f>
        <v>40</v>
      </c>
      <c r="M142" s="330">
        <f>SUMIF('Pre- and Production'!$T$4:$T$574, CONCATENATE(LEFT('WBS Summary by Year'!M$5,1),'WBS Summary by Year'!$D142,'WBS Summary by Year'!$C$119),'Pre- and Production'!AG$4:AG$574)</f>
        <v>1370</v>
      </c>
      <c r="N142" s="328">
        <f>SUMIF('Pre- and Production'!$T$4:$T$574, CONCATENATE(LEFT('WBS Summary by Year'!N$5,1),'WBS Summary by Year'!$D142,'WBS Summary by Year'!$C$119),'Pre- and Production'!AQ$4:AQ$574)</f>
        <v>0</v>
      </c>
      <c r="O142" s="331">
        <f>SUMIF('Pre- and Production'!$T$4:$T$574, CONCATENATE(LEFT('WBS Summary by Year'!O$5,1),'WBS Summary by Year'!$D142,'WBS Summary by Year'!$C$119),'Pre- and Production'!AH$4:AH$574)</f>
        <v>229400</v>
      </c>
      <c r="P142" s="332">
        <f>SUMIF('Pre- and Production'!$T$4:$T$574, CONCATENATE(LEFT('WBS Summary by Year'!P$5,1),'WBS Summary by Year'!$D142,'WBS Summary by Year'!$C$119),'Pre- and Production'!AR$4:AR$574)</f>
        <v>3000</v>
      </c>
    </row>
    <row r="143" spans="4:16" ht="13.5" thickTop="1"/>
    <row r="144" spans="4:16">
      <c r="D144" s="333" t="s">
        <v>7</v>
      </c>
      <c r="E144">
        <f>SUM(E122:E142)</f>
        <v>48</v>
      </c>
      <c r="F144">
        <f t="shared" ref="F144:P144" si="8">SUM(F122:F142)</f>
        <v>72</v>
      </c>
      <c r="G144">
        <f t="shared" si="8"/>
        <v>2522</v>
      </c>
      <c r="H144">
        <f t="shared" si="8"/>
        <v>488</v>
      </c>
      <c r="I144">
        <f t="shared" si="8"/>
        <v>2546</v>
      </c>
      <c r="J144">
        <f t="shared" si="8"/>
        <v>0</v>
      </c>
      <c r="K144">
        <f t="shared" si="8"/>
        <v>250</v>
      </c>
      <c r="L144">
        <f t="shared" si="8"/>
        <v>302</v>
      </c>
      <c r="M144">
        <f t="shared" si="8"/>
        <v>2594</v>
      </c>
      <c r="N144">
        <f t="shared" si="8"/>
        <v>0</v>
      </c>
      <c r="O144" s="306">
        <f t="shared" si="8"/>
        <v>646650</v>
      </c>
      <c r="P144" s="306">
        <f t="shared" si="8"/>
        <v>55500</v>
      </c>
    </row>
    <row r="145" spans="3:16">
      <c r="D145" s="333" t="s">
        <v>384</v>
      </c>
      <c r="E145" s="305">
        <f t="shared" ref="E145:N145" si="9">E144/1720</f>
        <v>2.7906976744186046E-2</v>
      </c>
      <c r="F145" s="305">
        <f t="shared" si="9"/>
        <v>4.1860465116279069E-2</v>
      </c>
      <c r="G145" s="305">
        <f t="shared" si="9"/>
        <v>1.4662790697674419</v>
      </c>
      <c r="H145" s="305">
        <f t="shared" si="9"/>
        <v>0.28372093023255812</v>
      </c>
      <c r="I145" s="305">
        <f t="shared" si="9"/>
        <v>1.4802325581395348</v>
      </c>
      <c r="J145" s="305">
        <f t="shared" si="9"/>
        <v>0</v>
      </c>
      <c r="K145" s="305">
        <f t="shared" si="9"/>
        <v>0.14534883720930233</v>
      </c>
      <c r="L145" s="305">
        <f t="shared" si="9"/>
        <v>0.17558139534883721</v>
      </c>
      <c r="M145" s="305">
        <f t="shared" si="9"/>
        <v>1.508139534883721</v>
      </c>
      <c r="N145" s="305">
        <f t="shared" si="9"/>
        <v>0</v>
      </c>
    </row>
    <row r="148" spans="3:16" ht="18.75" thickBot="1">
      <c r="C148" s="308">
        <v>2014</v>
      </c>
      <c r="O148" s="309"/>
      <c r="P148" s="309"/>
    </row>
    <row r="149" spans="3:16" ht="13.5" thickTop="1">
      <c r="E149" s="354" t="s">
        <v>27</v>
      </c>
      <c r="F149" s="355"/>
      <c r="G149" s="354" t="s">
        <v>386</v>
      </c>
      <c r="H149" s="356"/>
      <c r="I149" s="354" t="s">
        <v>381</v>
      </c>
      <c r="J149" s="356"/>
      <c r="K149" s="357" t="s">
        <v>376</v>
      </c>
      <c r="L149" s="356"/>
      <c r="M149" s="357" t="s">
        <v>387</v>
      </c>
      <c r="N149" s="355"/>
      <c r="O149" s="352" t="s">
        <v>377</v>
      </c>
      <c r="P149" s="353"/>
    </row>
    <row r="150" spans="3:16" ht="13.5" thickBot="1">
      <c r="E150" s="310" t="s">
        <v>378</v>
      </c>
      <c r="F150" s="311" t="s">
        <v>379</v>
      </c>
      <c r="G150" s="310" t="s">
        <v>378</v>
      </c>
      <c r="H150" s="312" t="s">
        <v>379</v>
      </c>
      <c r="I150" s="310" t="s">
        <v>378</v>
      </c>
      <c r="J150" s="312" t="s">
        <v>379</v>
      </c>
      <c r="K150" s="313" t="s">
        <v>378</v>
      </c>
      <c r="L150" s="312" t="s">
        <v>379</v>
      </c>
      <c r="M150" s="313" t="s">
        <v>378</v>
      </c>
      <c r="N150" s="311" t="s">
        <v>379</v>
      </c>
      <c r="O150" s="314" t="s">
        <v>378</v>
      </c>
      <c r="P150" s="315" t="s">
        <v>379</v>
      </c>
    </row>
    <row r="151" spans="3:16" ht="13.5" thickTop="1">
      <c r="D151" s="18" t="s">
        <v>172</v>
      </c>
      <c r="E151" s="316">
        <f>SUMIF('Pre- and Production'!$T$4:$T$574, CONCATENATE(LEFT('WBS Summary by Year'!E$5,1),'WBS Summary by Year'!$D151,$C$148),'Pre- and Production'!AC$4:AC$574)</f>
        <v>0</v>
      </c>
      <c r="F151" s="317">
        <f>SUMIF('Pre- and Production'!$T$4:$T$574, CONCATENATE(LEFT('WBS Summary by Year'!F$5,1),'WBS Summary by Year'!$D151,'WBS Summary by Year'!$C$148),'Pre- and Production'!AM$4:AM$574)</f>
        <v>0</v>
      </c>
      <c r="G151" s="316">
        <f>SUMIF('Pre- and Production'!$T$4:$T$574, CONCATENATE(LEFT('WBS Summary by Year'!G$5,1),'WBS Summary by Year'!$D151,'WBS Summary by Year'!$C$148),'Pre- and Production'!AD$4:AD$574)</f>
        <v>0</v>
      </c>
      <c r="H151" s="318">
        <f>SUMIF('Pre- and Production'!$T$4:$T$574, CONCATENATE(LEFT('WBS Summary by Year'!H$5,1),'WBS Summary by Year'!$D151,'WBS Summary by Year'!$C$148),'Pre- and Production'!AN$4:AN$574)</f>
        <v>0</v>
      </c>
      <c r="I151" s="316">
        <f>SUMIF('Pre- and Production'!$T$4:$T$574, CONCATENATE(LEFT('WBS Summary by Year'!I$5,1),'WBS Summary by Year'!$D151,'WBS Summary by Year'!$C$148),'Pre- and Production'!AE$4:AE$574)</f>
        <v>0</v>
      </c>
      <c r="J151" s="318">
        <f>SUMIF('Pre- and Production'!$T$4:$T$574, CONCATENATE(LEFT('WBS Summary by Year'!J$5,1),'WBS Summary by Year'!$D151,'WBS Summary by Year'!$C$148),'Pre- and Production'!AO$4:AO$574)</f>
        <v>0</v>
      </c>
      <c r="K151" s="319">
        <f>SUMIF('Pre- and Production'!$T$4:$T$574, CONCATENATE(LEFT('WBS Summary by Year'!K$5,1),'WBS Summary by Year'!$D151,'WBS Summary by Year'!$C$148),'Pre- and Production'!AF$4:AF$574)</f>
        <v>0</v>
      </c>
      <c r="L151" s="318">
        <f>SUMIF('Pre- and Production'!$T$4:$T$574, CONCATENATE(LEFT('WBS Summary by Year'!L$5,1),'WBS Summary by Year'!$D151,'WBS Summary by Year'!$C$148),'Pre- and Production'!AP$4:AP$574)</f>
        <v>0</v>
      </c>
      <c r="M151" s="319">
        <f>SUMIF('Pre- and Production'!$T$4:$T$574, CONCATENATE(LEFT('WBS Summary by Year'!M$5,1),'WBS Summary by Year'!$D151,'WBS Summary by Year'!$C$148),'Pre- and Production'!AG$4:AG$574)</f>
        <v>0</v>
      </c>
      <c r="N151" s="317">
        <f>SUMIF('Pre- and Production'!$T$4:$T$574, CONCATENATE(LEFT('WBS Summary by Year'!N$5,1),'WBS Summary by Year'!$D151,'WBS Summary by Year'!$C$148),'Pre- and Production'!AQ$4:AQ$574)</f>
        <v>0</v>
      </c>
      <c r="O151" s="320">
        <f>SUMIF('Pre- and Production'!$T$4:$T$574, CONCATENATE(LEFT('WBS Summary by Year'!O$5,1),'WBS Summary by Year'!$D151,'WBS Summary by Year'!$C$148),'Pre- and Production'!AH$4:AH$574)</f>
        <v>0</v>
      </c>
      <c r="P151" s="321">
        <f>SUMIF('Pre- and Production'!$T$4:$T$574, CONCATENATE(LEFT('WBS Summary by Year'!P$5,1),'WBS Summary by Year'!$D151,'WBS Summary by Year'!$C$148),'Pre- and Production'!AR$4:AR$574)</f>
        <v>0</v>
      </c>
    </row>
    <row r="152" spans="3:16">
      <c r="D152" s="123" t="s">
        <v>173</v>
      </c>
      <c r="E152" s="24">
        <f>SUMIF('Pre- and Production'!$T$4:$T$574, CONCATENATE(LEFT('WBS Summary by Year'!E$5,1),'WBS Summary by Year'!$D152,$C$148),'Pre- and Production'!AC$4:AC$574)</f>
        <v>0</v>
      </c>
      <c r="F152" s="322">
        <f>SUMIF('Pre- and Production'!$T$4:$T$574, CONCATENATE(LEFT('WBS Summary by Year'!F$5,1),'WBS Summary by Year'!$D152,'WBS Summary by Year'!$C$148),'Pre- and Production'!AM$4:AM$574)</f>
        <v>0</v>
      </c>
      <c r="G152" s="24">
        <f>SUMIF('Pre- and Production'!$T$4:$T$574, CONCATENATE(LEFT('WBS Summary by Year'!G$5,1),'WBS Summary by Year'!$D152,'WBS Summary by Year'!$C$148),'Pre- and Production'!AD$4:AD$574)</f>
        <v>0</v>
      </c>
      <c r="H152" s="323">
        <f>SUMIF('Pre- and Production'!$T$4:$T$574, CONCATENATE(LEFT('WBS Summary by Year'!H$5,1),'WBS Summary by Year'!$D152,'WBS Summary by Year'!$C$148),'Pre- and Production'!AN$4:AN$574)</f>
        <v>0</v>
      </c>
      <c r="I152" s="24">
        <f>SUMIF('Pre- and Production'!$T$4:$T$574, CONCATENATE(LEFT('WBS Summary by Year'!I$5,1),'WBS Summary by Year'!$D152,'WBS Summary by Year'!$C$148),'Pre- and Production'!AE$4:AE$574)</f>
        <v>0</v>
      </c>
      <c r="J152" s="323">
        <f>SUMIF('Pre- and Production'!$T$4:$T$574, CONCATENATE(LEFT('WBS Summary by Year'!J$5,1),'WBS Summary by Year'!$D152,'WBS Summary by Year'!$C$148),'Pre- and Production'!AO$4:AO$574)</f>
        <v>0</v>
      </c>
      <c r="K152" s="324">
        <f>SUMIF('Pre- and Production'!$T$4:$T$574, CONCATENATE(LEFT('WBS Summary by Year'!K$5,1),'WBS Summary by Year'!$D152,'WBS Summary by Year'!$C$148),'Pre- and Production'!AF$4:AF$574)</f>
        <v>0</v>
      </c>
      <c r="L152" s="323">
        <f>SUMIF('Pre- and Production'!$T$4:$T$574, CONCATENATE(LEFT('WBS Summary by Year'!L$5,1),'WBS Summary by Year'!$D152,'WBS Summary by Year'!$C$148),'Pre- and Production'!AP$4:AP$574)</f>
        <v>0</v>
      </c>
      <c r="M152" s="324">
        <f>SUMIF('Pre- and Production'!$T$4:$T$574, CONCATENATE(LEFT('WBS Summary by Year'!M$5,1),'WBS Summary by Year'!$D152,'WBS Summary by Year'!$C$148),'Pre- and Production'!AG$4:AG$574)</f>
        <v>0</v>
      </c>
      <c r="N152" s="322">
        <f>SUMIF('Pre- and Production'!$T$4:$T$574, CONCATENATE(LEFT('WBS Summary by Year'!N$5,1),'WBS Summary by Year'!$D152,'WBS Summary by Year'!$C$148),'Pre- and Production'!AQ$4:AQ$574)</f>
        <v>0</v>
      </c>
      <c r="O152" s="325">
        <f>SUMIF('Pre- and Production'!$T$4:$T$574, CONCATENATE(LEFT('WBS Summary by Year'!O$5,1),'WBS Summary by Year'!$D152,'WBS Summary by Year'!$C$148),'Pre- and Production'!AH$4:AH$574)</f>
        <v>0</v>
      </c>
      <c r="P152" s="326">
        <f>SUMIF('Pre- and Production'!$T$4:$T$574, CONCATENATE(LEFT('WBS Summary by Year'!P$5,1),'WBS Summary by Year'!$D152,'WBS Summary by Year'!$C$148),'Pre- and Production'!AR$4:AR$574)</f>
        <v>0</v>
      </c>
    </row>
    <row r="153" spans="3:16">
      <c r="D153" s="42" t="s">
        <v>175</v>
      </c>
      <c r="E153" s="24">
        <f>SUMIF('Pre- and Production'!$T$4:$T$574, CONCATENATE(LEFT('WBS Summary by Year'!E$5,1),'WBS Summary by Year'!$D153,$C$148),'Pre- and Production'!AC$4:AC$574)</f>
        <v>0</v>
      </c>
      <c r="F153" s="322">
        <f>SUMIF('Pre- and Production'!$T$4:$T$574, CONCATENATE(LEFT('WBS Summary by Year'!F$5,1),'WBS Summary by Year'!$D153,'WBS Summary by Year'!$C$148),'Pre- and Production'!AM$4:AM$574)</f>
        <v>0</v>
      </c>
      <c r="G153" s="24">
        <f>SUMIF('Pre- and Production'!$T$4:$T$574, CONCATENATE(LEFT('WBS Summary by Year'!G$5,1),'WBS Summary by Year'!$D153,'WBS Summary by Year'!$C$148),'Pre- and Production'!AD$4:AD$574)</f>
        <v>0</v>
      </c>
      <c r="H153" s="323">
        <f>SUMIF('Pre- and Production'!$T$4:$T$574, CONCATENATE(LEFT('WBS Summary by Year'!H$5,1),'WBS Summary by Year'!$D153,'WBS Summary by Year'!$C$148),'Pre- and Production'!AN$4:AN$574)</f>
        <v>0</v>
      </c>
      <c r="I153" s="24">
        <f>SUMIF('Pre- and Production'!$T$4:$T$574, CONCATENATE(LEFT('WBS Summary by Year'!I$5,1),'WBS Summary by Year'!$D153,'WBS Summary by Year'!$C$148),'Pre- and Production'!AE$4:AE$574)</f>
        <v>0</v>
      </c>
      <c r="J153" s="323">
        <f>SUMIF('Pre- and Production'!$T$4:$T$574, CONCATENATE(LEFT('WBS Summary by Year'!J$5,1),'WBS Summary by Year'!$D153,'WBS Summary by Year'!$C$148),'Pre- and Production'!AO$4:AO$574)</f>
        <v>0</v>
      </c>
      <c r="K153" s="324">
        <f>SUMIF('Pre- and Production'!$T$4:$T$574, CONCATENATE(LEFT('WBS Summary by Year'!K$5,1),'WBS Summary by Year'!$D153,'WBS Summary by Year'!$C$148),'Pre- and Production'!AF$4:AF$574)</f>
        <v>0</v>
      </c>
      <c r="L153" s="323">
        <f>SUMIF('Pre- and Production'!$T$4:$T$574, CONCATENATE(LEFT('WBS Summary by Year'!L$5,1),'WBS Summary by Year'!$D153,'WBS Summary by Year'!$C$148),'Pre- and Production'!AP$4:AP$574)</f>
        <v>0</v>
      </c>
      <c r="M153" s="324">
        <f>SUMIF('Pre- and Production'!$T$4:$T$574, CONCATENATE(LEFT('WBS Summary by Year'!M$5,1),'WBS Summary by Year'!$D153,'WBS Summary by Year'!$C$148),'Pre- and Production'!AG$4:AG$574)</f>
        <v>0</v>
      </c>
      <c r="N153" s="322">
        <f>SUMIF('Pre- and Production'!$T$4:$T$574, CONCATENATE(LEFT('WBS Summary by Year'!N$5,1),'WBS Summary by Year'!$D153,'WBS Summary by Year'!$C$148),'Pre- and Production'!AQ$4:AQ$574)</f>
        <v>0</v>
      </c>
      <c r="O153" s="325">
        <f>SUMIF('Pre- and Production'!$T$4:$T$574, CONCATENATE(LEFT('WBS Summary by Year'!O$5,1),'WBS Summary by Year'!$D153,'WBS Summary by Year'!$C$148),'Pre- and Production'!AH$4:AH$574)</f>
        <v>0</v>
      </c>
      <c r="P153" s="326">
        <f>SUMIF('Pre- and Production'!$T$4:$T$574, CONCATENATE(LEFT('WBS Summary by Year'!P$5,1),'WBS Summary by Year'!$D153,'WBS Summary by Year'!$C$148),'Pre- and Production'!AR$4:AR$574)</f>
        <v>0</v>
      </c>
    </row>
    <row r="154" spans="3:16">
      <c r="D154" s="42" t="s">
        <v>177</v>
      </c>
      <c r="E154" s="24">
        <f>SUMIF('Pre- and Production'!$T$4:$T$574, CONCATENATE(LEFT('WBS Summary by Year'!E$5,1),'WBS Summary by Year'!$D154,$C$148),'Pre- and Production'!AC$4:AC$574)</f>
        <v>0</v>
      </c>
      <c r="F154" s="322">
        <f>SUMIF('Pre- and Production'!$T$4:$T$574, CONCATENATE(LEFT('WBS Summary by Year'!F$5,1),'WBS Summary by Year'!$D154,'WBS Summary by Year'!$C$148),'Pre- and Production'!AM$4:AM$574)</f>
        <v>0</v>
      </c>
      <c r="G154" s="24">
        <f>SUMIF('Pre- and Production'!$T$4:$T$574, CONCATENATE(LEFT('WBS Summary by Year'!G$5,1),'WBS Summary by Year'!$D154,'WBS Summary by Year'!$C$148),'Pre- and Production'!AD$4:AD$574)</f>
        <v>0</v>
      </c>
      <c r="H154" s="323">
        <f>SUMIF('Pre- and Production'!$T$4:$T$574, CONCATENATE(LEFT('WBS Summary by Year'!H$5,1),'WBS Summary by Year'!$D154,'WBS Summary by Year'!$C$148),'Pre- and Production'!AN$4:AN$574)</f>
        <v>0</v>
      </c>
      <c r="I154" s="24">
        <f>SUMIF('Pre- and Production'!$T$4:$T$574, CONCATENATE(LEFT('WBS Summary by Year'!I$5,1),'WBS Summary by Year'!$D154,'WBS Summary by Year'!$C$148),'Pre- and Production'!AE$4:AE$574)</f>
        <v>0</v>
      </c>
      <c r="J154" s="323">
        <f>SUMIF('Pre- and Production'!$T$4:$T$574, CONCATENATE(LEFT('WBS Summary by Year'!J$5,1),'WBS Summary by Year'!$D154,'WBS Summary by Year'!$C$148),'Pre- and Production'!AO$4:AO$574)</f>
        <v>0</v>
      </c>
      <c r="K154" s="324">
        <f>SUMIF('Pre- and Production'!$T$4:$T$574, CONCATENATE(LEFT('WBS Summary by Year'!K$5,1),'WBS Summary by Year'!$D154,'WBS Summary by Year'!$C$148),'Pre- and Production'!AF$4:AF$574)</f>
        <v>0</v>
      </c>
      <c r="L154" s="323">
        <f>SUMIF('Pre- and Production'!$T$4:$T$574, CONCATENATE(LEFT('WBS Summary by Year'!L$5,1),'WBS Summary by Year'!$D154,'WBS Summary by Year'!$C$148),'Pre- and Production'!AP$4:AP$574)</f>
        <v>0</v>
      </c>
      <c r="M154" s="324">
        <f>SUMIF('Pre- and Production'!$T$4:$T$574, CONCATENATE(LEFT('WBS Summary by Year'!M$5,1),'WBS Summary by Year'!$D154,'WBS Summary by Year'!$C$148),'Pre- and Production'!AG$4:AG$574)</f>
        <v>0</v>
      </c>
      <c r="N154" s="322">
        <f>SUMIF('Pre- and Production'!$T$4:$T$574, CONCATENATE(LEFT('WBS Summary by Year'!N$5,1),'WBS Summary by Year'!$D154,'WBS Summary by Year'!$C$148),'Pre- and Production'!AQ$4:AQ$574)</f>
        <v>0</v>
      </c>
      <c r="O154" s="325">
        <f>SUMIF('Pre- and Production'!$T$4:$T$574, CONCATENATE(LEFT('WBS Summary by Year'!O$5,1),'WBS Summary by Year'!$D154,'WBS Summary by Year'!$C$148),'Pre- and Production'!AH$4:AH$574)</f>
        <v>0</v>
      </c>
      <c r="P154" s="326">
        <f>SUMIF('Pre- and Production'!$T$4:$T$574, CONCATENATE(LEFT('WBS Summary by Year'!P$5,1),'WBS Summary by Year'!$D154,'WBS Summary by Year'!$C$148),'Pre- and Production'!AR$4:AR$574)</f>
        <v>0</v>
      </c>
    </row>
    <row r="155" spans="3:16">
      <c r="D155" s="123" t="s">
        <v>179</v>
      </c>
      <c r="E155" s="24">
        <f>SUMIF('Pre- and Production'!$T$4:$T$574, CONCATENATE(LEFT('WBS Summary by Year'!E$5,1),'WBS Summary by Year'!$D155,$C$148),'Pre- and Production'!AC$4:AC$574)</f>
        <v>0</v>
      </c>
      <c r="F155" s="322">
        <f>SUMIF('Pre- and Production'!$T$4:$T$574, CONCATENATE(LEFT('WBS Summary by Year'!F$5,1),'WBS Summary by Year'!$D155,'WBS Summary by Year'!$C$148),'Pre- and Production'!AM$4:AM$574)</f>
        <v>0</v>
      </c>
      <c r="G155" s="24">
        <f>SUMIF('Pre- and Production'!$T$4:$T$574, CONCATENATE(LEFT('WBS Summary by Year'!G$5,1),'WBS Summary by Year'!$D155,'WBS Summary by Year'!$C$148),'Pre- and Production'!AD$4:AD$574)</f>
        <v>0</v>
      </c>
      <c r="H155" s="323">
        <f>SUMIF('Pre- and Production'!$T$4:$T$574, CONCATENATE(LEFT('WBS Summary by Year'!H$5,1),'WBS Summary by Year'!$D155,'WBS Summary by Year'!$C$148),'Pre- and Production'!AN$4:AN$574)</f>
        <v>0</v>
      </c>
      <c r="I155" s="24">
        <f>SUMIF('Pre- and Production'!$T$4:$T$574, CONCATENATE(LEFT('WBS Summary by Year'!I$5,1),'WBS Summary by Year'!$D155,'WBS Summary by Year'!$C$148),'Pre- and Production'!AE$4:AE$574)</f>
        <v>0</v>
      </c>
      <c r="J155" s="323">
        <f>SUMIF('Pre- and Production'!$T$4:$T$574, CONCATENATE(LEFT('WBS Summary by Year'!J$5,1),'WBS Summary by Year'!$D155,'WBS Summary by Year'!$C$148),'Pre- and Production'!AO$4:AO$574)</f>
        <v>0</v>
      </c>
      <c r="K155" s="324">
        <f>SUMIF('Pre- and Production'!$T$4:$T$574, CONCATENATE(LEFT('WBS Summary by Year'!K$5,1),'WBS Summary by Year'!$D155,'WBS Summary by Year'!$C$148),'Pre- and Production'!AF$4:AF$574)</f>
        <v>0</v>
      </c>
      <c r="L155" s="323">
        <f>SUMIF('Pre- and Production'!$T$4:$T$574, CONCATENATE(LEFT('WBS Summary by Year'!L$5,1),'WBS Summary by Year'!$D155,'WBS Summary by Year'!$C$148),'Pre- and Production'!AP$4:AP$574)</f>
        <v>0</v>
      </c>
      <c r="M155" s="324">
        <f>SUMIF('Pre- and Production'!$T$4:$T$574, CONCATENATE(LEFT('WBS Summary by Year'!M$5,1),'WBS Summary by Year'!$D155,'WBS Summary by Year'!$C$148),'Pre- and Production'!AG$4:AG$574)</f>
        <v>0</v>
      </c>
      <c r="N155" s="322">
        <f>SUMIF('Pre- and Production'!$T$4:$T$574, CONCATENATE(LEFT('WBS Summary by Year'!N$5,1),'WBS Summary by Year'!$D155,'WBS Summary by Year'!$C$148),'Pre- and Production'!AQ$4:AQ$574)</f>
        <v>0</v>
      </c>
      <c r="O155" s="325">
        <f>SUMIF('Pre- and Production'!$T$4:$T$574, CONCATENATE(LEFT('WBS Summary by Year'!O$5,1),'WBS Summary by Year'!$D155,'WBS Summary by Year'!$C$148),'Pre- and Production'!AH$4:AH$574)</f>
        <v>0</v>
      </c>
      <c r="P155" s="326">
        <f>SUMIF('Pre- and Production'!$T$4:$T$574, CONCATENATE(LEFT('WBS Summary by Year'!P$5,1),'WBS Summary by Year'!$D155,'WBS Summary by Year'!$C$148),'Pre- and Production'!AR$4:AR$574)</f>
        <v>0</v>
      </c>
    </row>
    <row r="156" spans="3:16">
      <c r="D156" s="42" t="s">
        <v>181</v>
      </c>
      <c r="E156" s="24">
        <f>SUMIF('Pre- and Production'!$T$4:$T$574, CONCATENATE(LEFT('WBS Summary by Year'!E$5,1),'WBS Summary by Year'!$D156,$C$148),'Pre- and Production'!AC$4:AC$574)</f>
        <v>0</v>
      </c>
      <c r="F156" s="322">
        <f>SUMIF('Pre- and Production'!$T$4:$T$574, CONCATENATE(LEFT('WBS Summary by Year'!F$5,1),'WBS Summary by Year'!$D156,'WBS Summary by Year'!$C$148),'Pre- and Production'!AM$4:AM$574)</f>
        <v>0</v>
      </c>
      <c r="G156" s="24">
        <f>SUMIF('Pre- and Production'!$T$4:$T$574, CONCATENATE(LEFT('WBS Summary by Year'!G$5,1),'WBS Summary by Year'!$D156,'WBS Summary by Year'!$C$148),'Pre- and Production'!AD$4:AD$574)</f>
        <v>0</v>
      </c>
      <c r="H156" s="323">
        <f>SUMIF('Pre- and Production'!$T$4:$T$574, CONCATENATE(LEFT('WBS Summary by Year'!H$5,1),'WBS Summary by Year'!$D156,'WBS Summary by Year'!$C$148),'Pre- and Production'!AN$4:AN$574)</f>
        <v>0</v>
      </c>
      <c r="I156" s="24">
        <f>SUMIF('Pre- and Production'!$T$4:$T$574, CONCATENATE(LEFT('WBS Summary by Year'!I$5,1),'WBS Summary by Year'!$D156,'WBS Summary by Year'!$C$148),'Pre- and Production'!AE$4:AE$574)</f>
        <v>0</v>
      </c>
      <c r="J156" s="323">
        <f>SUMIF('Pre- and Production'!$T$4:$T$574, CONCATENATE(LEFT('WBS Summary by Year'!J$5,1),'WBS Summary by Year'!$D156,'WBS Summary by Year'!$C$148),'Pre- and Production'!AO$4:AO$574)</f>
        <v>0</v>
      </c>
      <c r="K156" s="324">
        <f>SUMIF('Pre- and Production'!$T$4:$T$574, CONCATENATE(LEFT('WBS Summary by Year'!K$5,1),'WBS Summary by Year'!$D156,'WBS Summary by Year'!$C$148),'Pre- and Production'!AF$4:AF$574)</f>
        <v>0</v>
      </c>
      <c r="L156" s="323">
        <f>SUMIF('Pre- and Production'!$T$4:$T$574, CONCATENATE(LEFT('WBS Summary by Year'!L$5,1),'WBS Summary by Year'!$D156,'WBS Summary by Year'!$C$148),'Pre- and Production'!AP$4:AP$574)</f>
        <v>0</v>
      </c>
      <c r="M156" s="324">
        <f>SUMIF('Pre- and Production'!$T$4:$T$574, CONCATENATE(LEFT('WBS Summary by Year'!M$5,1),'WBS Summary by Year'!$D156,'WBS Summary by Year'!$C$148),'Pre- and Production'!AG$4:AG$574)</f>
        <v>0</v>
      </c>
      <c r="N156" s="322">
        <f>SUMIF('Pre- and Production'!$T$4:$T$574, CONCATENATE(LEFT('WBS Summary by Year'!N$5,1),'WBS Summary by Year'!$D156,'WBS Summary by Year'!$C$148),'Pre- and Production'!AQ$4:AQ$574)</f>
        <v>0</v>
      </c>
      <c r="O156" s="325">
        <f>SUMIF('Pre- and Production'!$T$4:$T$574, CONCATENATE(LEFT('WBS Summary by Year'!O$5,1),'WBS Summary by Year'!$D156,'WBS Summary by Year'!$C$148),'Pre- and Production'!AH$4:AH$574)</f>
        <v>0</v>
      </c>
      <c r="P156" s="326">
        <f>SUMIF('Pre- and Production'!$T$4:$T$574, CONCATENATE(LEFT('WBS Summary by Year'!P$5,1),'WBS Summary by Year'!$D156,'WBS Summary by Year'!$C$148),'Pre- and Production'!AR$4:AR$574)</f>
        <v>0</v>
      </c>
    </row>
    <row r="157" spans="3:16">
      <c r="D157" s="42" t="s">
        <v>183</v>
      </c>
      <c r="E157" s="24">
        <f>SUMIF('Pre- and Production'!$T$4:$T$574, CONCATENATE(LEFT('WBS Summary by Year'!E$5,1),'WBS Summary by Year'!$D157,$C$148),'Pre- and Production'!AC$4:AC$574)</f>
        <v>0</v>
      </c>
      <c r="F157" s="322">
        <f>SUMIF('Pre- and Production'!$T$4:$T$574, CONCATENATE(LEFT('WBS Summary by Year'!F$5,1),'WBS Summary by Year'!$D157,'WBS Summary by Year'!$C$148),'Pre- and Production'!AM$4:AM$574)</f>
        <v>0</v>
      </c>
      <c r="G157" s="24">
        <f>SUMIF('Pre- and Production'!$T$4:$T$574, CONCATENATE(LEFT('WBS Summary by Year'!G$5,1),'WBS Summary by Year'!$D157,'WBS Summary by Year'!$C$148),'Pre- and Production'!AD$4:AD$574)</f>
        <v>0</v>
      </c>
      <c r="H157" s="323">
        <f>SUMIF('Pre- and Production'!$T$4:$T$574, CONCATENATE(LEFT('WBS Summary by Year'!H$5,1),'WBS Summary by Year'!$D157,'WBS Summary by Year'!$C$148),'Pre- and Production'!AN$4:AN$574)</f>
        <v>0</v>
      </c>
      <c r="I157" s="24">
        <f>SUMIF('Pre- and Production'!$T$4:$T$574, CONCATENATE(LEFT('WBS Summary by Year'!I$5,1),'WBS Summary by Year'!$D157,'WBS Summary by Year'!$C$148),'Pre- and Production'!AE$4:AE$574)</f>
        <v>0</v>
      </c>
      <c r="J157" s="323">
        <f>SUMIF('Pre- and Production'!$T$4:$T$574, CONCATENATE(LEFT('WBS Summary by Year'!J$5,1),'WBS Summary by Year'!$D157,'WBS Summary by Year'!$C$148),'Pre- and Production'!AO$4:AO$574)</f>
        <v>0</v>
      </c>
      <c r="K157" s="324">
        <f>SUMIF('Pre- and Production'!$T$4:$T$574, CONCATENATE(LEFT('WBS Summary by Year'!K$5,1),'WBS Summary by Year'!$D157,'WBS Summary by Year'!$C$148),'Pre- and Production'!AF$4:AF$574)</f>
        <v>0</v>
      </c>
      <c r="L157" s="323">
        <f>SUMIF('Pre- and Production'!$T$4:$T$574, CONCATENATE(LEFT('WBS Summary by Year'!L$5,1),'WBS Summary by Year'!$D157,'WBS Summary by Year'!$C$148),'Pre- and Production'!AP$4:AP$574)</f>
        <v>0</v>
      </c>
      <c r="M157" s="324">
        <f>SUMIF('Pre- and Production'!$T$4:$T$574, CONCATENATE(LEFT('WBS Summary by Year'!M$5,1),'WBS Summary by Year'!$D157,'WBS Summary by Year'!$C$148),'Pre- and Production'!AG$4:AG$574)</f>
        <v>0</v>
      </c>
      <c r="N157" s="322">
        <f>SUMIF('Pre- and Production'!$T$4:$T$574, CONCATENATE(LEFT('WBS Summary by Year'!N$5,1),'WBS Summary by Year'!$D157,'WBS Summary by Year'!$C$148),'Pre- and Production'!AQ$4:AQ$574)</f>
        <v>0</v>
      </c>
      <c r="O157" s="325">
        <f>SUMIF('Pre- and Production'!$T$4:$T$574, CONCATENATE(LEFT('WBS Summary by Year'!O$5,1),'WBS Summary by Year'!$D157,'WBS Summary by Year'!$C$148),'Pre- and Production'!AH$4:AH$574)</f>
        <v>0</v>
      </c>
      <c r="P157" s="326">
        <f>SUMIF('Pre- and Production'!$T$4:$T$574, CONCATENATE(LEFT('WBS Summary by Year'!P$5,1),'WBS Summary by Year'!$D157,'WBS Summary by Year'!$C$148),'Pre- and Production'!AR$4:AR$574)</f>
        <v>0</v>
      </c>
    </row>
    <row r="158" spans="3:16">
      <c r="D158" s="123" t="s">
        <v>185</v>
      </c>
      <c r="E158" s="24">
        <f>SUMIF('Pre- and Production'!$T$4:$T$574, CONCATENATE(LEFT('WBS Summary by Year'!E$5,1),'WBS Summary by Year'!$D158,$C$148),'Pre- and Production'!AC$4:AC$574)</f>
        <v>0</v>
      </c>
      <c r="F158" s="322">
        <f>SUMIF('Pre- and Production'!$T$4:$T$574, CONCATENATE(LEFT('WBS Summary by Year'!F$5,1),'WBS Summary by Year'!$D158,'WBS Summary by Year'!$C$148),'Pre- and Production'!AM$4:AM$574)</f>
        <v>0</v>
      </c>
      <c r="G158" s="24">
        <f>SUMIF('Pre- and Production'!$T$4:$T$574, CONCATENATE(LEFT('WBS Summary by Year'!G$5,1),'WBS Summary by Year'!$D158,'WBS Summary by Year'!$C$148),'Pre- and Production'!AD$4:AD$574)</f>
        <v>0</v>
      </c>
      <c r="H158" s="323">
        <f>SUMIF('Pre- and Production'!$T$4:$T$574, CONCATENATE(LEFT('WBS Summary by Year'!H$5,1),'WBS Summary by Year'!$D158,'WBS Summary by Year'!$C$148),'Pre- and Production'!AN$4:AN$574)</f>
        <v>0</v>
      </c>
      <c r="I158" s="24">
        <f>SUMIF('Pre- and Production'!$T$4:$T$574, CONCATENATE(LEFT('WBS Summary by Year'!I$5,1),'WBS Summary by Year'!$D158,'WBS Summary by Year'!$C$148),'Pre- and Production'!AE$4:AE$574)</f>
        <v>0</v>
      </c>
      <c r="J158" s="323">
        <f>SUMIF('Pre- and Production'!$T$4:$T$574, CONCATENATE(LEFT('WBS Summary by Year'!J$5,1),'WBS Summary by Year'!$D158,'WBS Summary by Year'!$C$148),'Pre- and Production'!AO$4:AO$574)</f>
        <v>0</v>
      </c>
      <c r="K158" s="324">
        <f>SUMIF('Pre- and Production'!$T$4:$T$574, CONCATENATE(LEFT('WBS Summary by Year'!K$5,1),'WBS Summary by Year'!$D158,'WBS Summary by Year'!$C$148),'Pre- and Production'!AF$4:AF$574)</f>
        <v>0</v>
      </c>
      <c r="L158" s="323">
        <f>SUMIF('Pre- and Production'!$T$4:$T$574, CONCATENATE(LEFT('WBS Summary by Year'!L$5,1),'WBS Summary by Year'!$D158,'WBS Summary by Year'!$C$148),'Pre- and Production'!AP$4:AP$574)</f>
        <v>0</v>
      </c>
      <c r="M158" s="324">
        <f>SUMIF('Pre- and Production'!$T$4:$T$574, CONCATENATE(LEFT('WBS Summary by Year'!M$5,1),'WBS Summary by Year'!$D158,'WBS Summary by Year'!$C$148),'Pre- and Production'!AG$4:AG$574)</f>
        <v>0</v>
      </c>
      <c r="N158" s="322">
        <f>SUMIF('Pre- and Production'!$T$4:$T$574, CONCATENATE(LEFT('WBS Summary by Year'!N$5,1),'WBS Summary by Year'!$D158,'WBS Summary by Year'!$C$148),'Pre- and Production'!AQ$4:AQ$574)</f>
        <v>0</v>
      </c>
      <c r="O158" s="325">
        <f>SUMIF('Pre- and Production'!$T$4:$T$574, CONCATENATE(LEFT('WBS Summary by Year'!O$5,1),'WBS Summary by Year'!$D158,'WBS Summary by Year'!$C$148),'Pre- and Production'!AH$4:AH$574)</f>
        <v>0</v>
      </c>
      <c r="P158" s="326">
        <f>SUMIF('Pre- and Production'!$T$4:$T$574, CONCATENATE(LEFT('WBS Summary by Year'!P$5,1),'WBS Summary by Year'!$D158,'WBS Summary by Year'!$C$148),'Pre- and Production'!AR$4:AR$574)</f>
        <v>0</v>
      </c>
    </row>
    <row r="159" spans="3:16">
      <c r="D159" s="42" t="s">
        <v>187</v>
      </c>
      <c r="E159" s="24">
        <f>SUMIF('Pre- and Production'!$T$4:$T$574, CONCATENATE(LEFT('WBS Summary by Year'!E$5,1),'WBS Summary by Year'!$D159,$C$148),'Pre- and Production'!AC$4:AC$574)</f>
        <v>0</v>
      </c>
      <c r="F159" s="322">
        <f>SUMIF('Pre- and Production'!$T$4:$T$574, CONCATENATE(LEFT('WBS Summary by Year'!F$5,1),'WBS Summary by Year'!$D159,'WBS Summary by Year'!$C$148),'Pre- and Production'!AM$4:AM$574)</f>
        <v>0</v>
      </c>
      <c r="G159" s="24">
        <f>SUMIF('Pre- and Production'!$T$4:$T$574, CONCATENATE(LEFT('WBS Summary by Year'!G$5,1),'WBS Summary by Year'!$D159,'WBS Summary by Year'!$C$148),'Pre- and Production'!AD$4:AD$574)</f>
        <v>0</v>
      </c>
      <c r="H159" s="323">
        <f>SUMIF('Pre- and Production'!$T$4:$T$574, CONCATENATE(LEFT('WBS Summary by Year'!H$5,1),'WBS Summary by Year'!$D159,'WBS Summary by Year'!$C$148),'Pre- and Production'!AN$4:AN$574)</f>
        <v>0</v>
      </c>
      <c r="I159" s="24">
        <f>SUMIF('Pre- and Production'!$T$4:$T$574, CONCATENATE(LEFT('WBS Summary by Year'!I$5,1),'WBS Summary by Year'!$D159,'WBS Summary by Year'!$C$148),'Pre- and Production'!AE$4:AE$574)</f>
        <v>0</v>
      </c>
      <c r="J159" s="323">
        <f>SUMIF('Pre- and Production'!$T$4:$T$574, CONCATENATE(LEFT('WBS Summary by Year'!J$5,1),'WBS Summary by Year'!$D159,'WBS Summary by Year'!$C$148),'Pre- and Production'!AO$4:AO$574)</f>
        <v>0</v>
      </c>
      <c r="K159" s="324">
        <f>SUMIF('Pre- and Production'!$T$4:$T$574, CONCATENATE(LEFT('WBS Summary by Year'!K$5,1),'WBS Summary by Year'!$D159,'WBS Summary by Year'!$C$148),'Pre- and Production'!AF$4:AF$574)</f>
        <v>0</v>
      </c>
      <c r="L159" s="323">
        <f>SUMIF('Pre- and Production'!$T$4:$T$574, CONCATENATE(LEFT('WBS Summary by Year'!L$5,1),'WBS Summary by Year'!$D159,'WBS Summary by Year'!$C$148),'Pre- and Production'!AP$4:AP$574)</f>
        <v>0</v>
      </c>
      <c r="M159" s="324">
        <f>SUMIF('Pre- and Production'!$T$4:$T$574, CONCATENATE(LEFT('WBS Summary by Year'!M$5,1),'WBS Summary by Year'!$D159,'WBS Summary by Year'!$C$148),'Pre- and Production'!AG$4:AG$574)</f>
        <v>0</v>
      </c>
      <c r="N159" s="322">
        <f>SUMIF('Pre- and Production'!$T$4:$T$574, CONCATENATE(LEFT('WBS Summary by Year'!N$5,1),'WBS Summary by Year'!$D159,'WBS Summary by Year'!$C$148),'Pre- and Production'!AQ$4:AQ$574)</f>
        <v>0</v>
      </c>
      <c r="O159" s="325">
        <f>SUMIF('Pre- and Production'!$T$4:$T$574, CONCATENATE(LEFT('WBS Summary by Year'!O$5,1),'WBS Summary by Year'!$D159,'WBS Summary by Year'!$C$148),'Pre- and Production'!AH$4:AH$574)</f>
        <v>0</v>
      </c>
      <c r="P159" s="326">
        <f>SUMIF('Pre- and Production'!$T$4:$T$574, CONCATENATE(LEFT('WBS Summary by Year'!P$5,1),'WBS Summary by Year'!$D159,'WBS Summary by Year'!$C$148),'Pre- and Production'!AR$4:AR$574)</f>
        <v>0</v>
      </c>
    </row>
    <row r="160" spans="3:16">
      <c r="D160" s="42" t="s">
        <v>189</v>
      </c>
      <c r="E160" s="24">
        <f>SUMIF('Pre- and Production'!$T$4:$T$574, CONCATENATE(LEFT('WBS Summary by Year'!E$5,1),'WBS Summary by Year'!$D160,$C$148),'Pre- and Production'!AC$4:AC$574)</f>
        <v>0</v>
      </c>
      <c r="F160" s="322">
        <f>SUMIF('Pre- and Production'!$T$4:$T$574, CONCATENATE(LEFT('WBS Summary by Year'!F$5,1),'WBS Summary by Year'!$D160,'WBS Summary by Year'!$C$148),'Pre- and Production'!AM$4:AM$574)</f>
        <v>0</v>
      </c>
      <c r="G160" s="24">
        <f>SUMIF('Pre- and Production'!$T$4:$T$574, CONCATENATE(LEFT('WBS Summary by Year'!G$5,1),'WBS Summary by Year'!$D160,'WBS Summary by Year'!$C$148),'Pre- and Production'!AD$4:AD$574)</f>
        <v>0</v>
      </c>
      <c r="H160" s="323">
        <f>SUMIF('Pre- and Production'!$T$4:$T$574, CONCATENATE(LEFT('WBS Summary by Year'!H$5,1),'WBS Summary by Year'!$D160,'WBS Summary by Year'!$C$148),'Pre- and Production'!AN$4:AN$574)</f>
        <v>0</v>
      </c>
      <c r="I160" s="24">
        <f>SUMIF('Pre- and Production'!$T$4:$T$574, CONCATENATE(LEFT('WBS Summary by Year'!I$5,1),'WBS Summary by Year'!$D160,'WBS Summary by Year'!$C$148),'Pre- and Production'!AE$4:AE$574)</f>
        <v>0</v>
      </c>
      <c r="J160" s="323">
        <f>SUMIF('Pre- and Production'!$T$4:$T$574, CONCATENATE(LEFT('WBS Summary by Year'!J$5,1),'WBS Summary by Year'!$D160,'WBS Summary by Year'!$C$148),'Pre- and Production'!AO$4:AO$574)</f>
        <v>0</v>
      </c>
      <c r="K160" s="324">
        <f>SUMIF('Pre- and Production'!$T$4:$T$574, CONCATENATE(LEFT('WBS Summary by Year'!K$5,1),'WBS Summary by Year'!$D160,'WBS Summary by Year'!$C$148),'Pre- and Production'!AF$4:AF$574)</f>
        <v>0</v>
      </c>
      <c r="L160" s="323">
        <f>SUMIF('Pre- and Production'!$T$4:$T$574, CONCATENATE(LEFT('WBS Summary by Year'!L$5,1),'WBS Summary by Year'!$D160,'WBS Summary by Year'!$C$148),'Pre- and Production'!AP$4:AP$574)</f>
        <v>0</v>
      </c>
      <c r="M160" s="324">
        <f>SUMIF('Pre- and Production'!$T$4:$T$574, CONCATENATE(LEFT('WBS Summary by Year'!M$5,1),'WBS Summary by Year'!$D160,'WBS Summary by Year'!$C$148),'Pre- and Production'!AG$4:AG$574)</f>
        <v>0</v>
      </c>
      <c r="N160" s="322">
        <f>SUMIF('Pre- and Production'!$T$4:$T$574, CONCATENATE(LEFT('WBS Summary by Year'!N$5,1),'WBS Summary by Year'!$D160,'WBS Summary by Year'!$C$148),'Pre- and Production'!AQ$4:AQ$574)</f>
        <v>0</v>
      </c>
      <c r="O160" s="325">
        <f>SUMIF('Pre- and Production'!$T$4:$T$574, CONCATENATE(LEFT('WBS Summary by Year'!O$5,1),'WBS Summary by Year'!$D160,'WBS Summary by Year'!$C$148),'Pre- and Production'!AH$4:AH$574)</f>
        <v>0</v>
      </c>
      <c r="P160" s="326">
        <f>SUMIF('Pre- and Production'!$T$4:$T$574, CONCATENATE(LEFT('WBS Summary by Year'!P$5,1),'WBS Summary by Year'!$D160,'WBS Summary by Year'!$C$148),'Pre- and Production'!AR$4:AR$574)</f>
        <v>0</v>
      </c>
    </row>
    <row r="161" spans="4:16">
      <c r="D161" s="42" t="s">
        <v>191</v>
      </c>
      <c r="E161" s="24">
        <f>SUMIF('Pre- and Production'!$T$4:$T$574, CONCATENATE(LEFT('WBS Summary by Year'!E$5,1),'WBS Summary by Year'!$D161,$C$148),'Pre- and Production'!AC$4:AC$574)</f>
        <v>0</v>
      </c>
      <c r="F161" s="322">
        <f>SUMIF('Pre- and Production'!$T$4:$T$574, CONCATENATE(LEFT('WBS Summary by Year'!F$5,1),'WBS Summary by Year'!$D161,'WBS Summary by Year'!$C$148),'Pre- and Production'!AM$4:AM$574)</f>
        <v>0</v>
      </c>
      <c r="G161" s="24">
        <f>SUMIF('Pre- and Production'!$T$4:$T$574, CONCATENATE(LEFT('WBS Summary by Year'!G$5,1),'WBS Summary by Year'!$D161,'WBS Summary by Year'!$C$148),'Pre- and Production'!AD$4:AD$574)</f>
        <v>0</v>
      </c>
      <c r="H161" s="323">
        <f>SUMIF('Pre- and Production'!$T$4:$T$574, CONCATENATE(LEFT('WBS Summary by Year'!H$5,1),'WBS Summary by Year'!$D161,'WBS Summary by Year'!$C$148),'Pre- and Production'!AN$4:AN$574)</f>
        <v>0</v>
      </c>
      <c r="I161" s="24">
        <f>SUMIF('Pre- and Production'!$T$4:$T$574, CONCATENATE(LEFT('WBS Summary by Year'!I$5,1),'WBS Summary by Year'!$D161,'WBS Summary by Year'!$C$148),'Pre- and Production'!AE$4:AE$574)</f>
        <v>0</v>
      </c>
      <c r="J161" s="323">
        <f>SUMIF('Pre- and Production'!$T$4:$T$574, CONCATENATE(LEFT('WBS Summary by Year'!J$5,1),'WBS Summary by Year'!$D161,'WBS Summary by Year'!$C$148),'Pre- and Production'!AO$4:AO$574)</f>
        <v>0</v>
      </c>
      <c r="K161" s="324">
        <f>SUMIF('Pre- and Production'!$T$4:$T$574, CONCATENATE(LEFT('WBS Summary by Year'!K$5,1),'WBS Summary by Year'!$D161,'WBS Summary by Year'!$C$148),'Pre- and Production'!AF$4:AF$574)</f>
        <v>0</v>
      </c>
      <c r="L161" s="323">
        <f>SUMIF('Pre- and Production'!$T$4:$T$574, CONCATENATE(LEFT('WBS Summary by Year'!L$5,1),'WBS Summary by Year'!$D161,'WBS Summary by Year'!$C$148),'Pre- and Production'!AP$4:AP$574)</f>
        <v>0</v>
      </c>
      <c r="M161" s="324">
        <f>SUMIF('Pre- and Production'!$T$4:$T$574, CONCATENATE(LEFT('WBS Summary by Year'!M$5,1),'WBS Summary by Year'!$D161,'WBS Summary by Year'!$C$148),'Pre- and Production'!AG$4:AG$574)</f>
        <v>0</v>
      </c>
      <c r="N161" s="322">
        <f>SUMIF('Pre- and Production'!$T$4:$T$574, CONCATENATE(LEFT('WBS Summary by Year'!N$5,1),'WBS Summary by Year'!$D161,'WBS Summary by Year'!$C$148),'Pre- and Production'!AQ$4:AQ$574)</f>
        <v>0</v>
      </c>
      <c r="O161" s="325">
        <f>SUMIF('Pre- and Production'!$T$4:$T$574, CONCATENATE(LEFT('WBS Summary by Year'!O$5,1),'WBS Summary by Year'!$D161,'WBS Summary by Year'!$C$148),'Pre- and Production'!AH$4:AH$574)</f>
        <v>0</v>
      </c>
      <c r="P161" s="326">
        <f>SUMIF('Pre- and Production'!$T$4:$T$574, CONCATENATE(LEFT('WBS Summary by Year'!P$5,1),'WBS Summary by Year'!$D161,'WBS Summary by Year'!$C$148),'Pre- and Production'!AR$4:AR$574)</f>
        <v>0</v>
      </c>
    </row>
    <row r="162" spans="4:16">
      <c r="D162" s="42" t="s">
        <v>193</v>
      </c>
      <c r="E162" s="24">
        <f>SUMIF('Pre- and Production'!$T$4:$T$574, CONCATENATE(LEFT('WBS Summary by Year'!E$5,1),'WBS Summary by Year'!$D162,$C$148),'Pre- and Production'!AC$4:AC$574)</f>
        <v>0</v>
      </c>
      <c r="F162" s="322">
        <f>SUMIF('Pre- and Production'!$T$4:$T$574, CONCATENATE(LEFT('WBS Summary by Year'!F$5,1),'WBS Summary by Year'!$D162,'WBS Summary by Year'!$C$148),'Pre- and Production'!AM$4:AM$574)</f>
        <v>0</v>
      </c>
      <c r="G162" s="24">
        <f>SUMIF('Pre- and Production'!$T$4:$T$574, CONCATENATE(LEFT('WBS Summary by Year'!G$5,1),'WBS Summary by Year'!$D162,'WBS Summary by Year'!$C$148),'Pre- and Production'!AD$4:AD$574)</f>
        <v>0</v>
      </c>
      <c r="H162" s="323">
        <f>SUMIF('Pre- and Production'!$T$4:$T$574, CONCATENATE(LEFT('WBS Summary by Year'!H$5,1),'WBS Summary by Year'!$D162,'WBS Summary by Year'!$C$148),'Pre- and Production'!AN$4:AN$574)</f>
        <v>0</v>
      </c>
      <c r="I162" s="24">
        <f>SUMIF('Pre- and Production'!$T$4:$T$574, CONCATENATE(LEFT('WBS Summary by Year'!I$5,1),'WBS Summary by Year'!$D162,'WBS Summary by Year'!$C$148),'Pre- and Production'!AE$4:AE$574)</f>
        <v>0</v>
      </c>
      <c r="J162" s="323">
        <f>SUMIF('Pre- and Production'!$T$4:$T$574, CONCATENATE(LEFT('WBS Summary by Year'!J$5,1),'WBS Summary by Year'!$D162,'WBS Summary by Year'!$C$148),'Pre- and Production'!AO$4:AO$574)</f>
        <v>0</v>
      </c>
      <c r="K162" s="324">
        <f>SUMIF('Pre- and Production'!$T$4:$T$574, CONCATENATE(LEFT('WBS Summary by Year'!K$5,1),'WBS Summary by Year'!$D162,'WBS Summary by Year'!$C$148),'Pre- and Production'!AF$4:AF$574)</f>
        <v>0</v>
      </c>
      <c r="L162" s="323">
        <f>SUMIF('Pre- and Production'!$T$4:$T$574, CONCATENATE(LEFT('WBS Summary by Year'!L$5,1),'WBS Summary by Year'!$D162,'WBS Summary by Year'!$C$148),'Pre- and Production'!AP$4:AP$574)</f>
        <v>0</v>
      </c>
      <c r="M162" s="324">
        <f>SUMIF('Pre- and Production'!$T$4:$T$574, CONCATENATE(LEFT('WBS Summary by Year'!M$5,1),'WBS Summary by Year'!$D162,'WBS Summary by Year'!$C$148),'Pre- and Production'!AG$4:AG$574)</f>
        <v>0</v>
      </c>
      <c r="N162" s="322">
        <f>SUMIF('Pre- and Production'!$T$4:$T$574, CONCATENATE(LEFT('WBS Summary by Year'!N$5,1),'WBS Summary by Year'!$D162,'WBS Summary by Year'!$C$148),'Pre- and Production'!AQ$4:AQ$574)</f>
        <v>0</v>
      </c>
      <c r="O162" s="325">
        <f>SUMIF('Pre- and Production'!$T$4:$T$574, CONCATENATE(LEFT('WBS Summary by Year'!O$5,1),'WBS Summary by Year'!$D162,'WBS Summary by Year'!$C$148),'Pre- and Production'!AH$4:AH$574)</f>
        <v>0</v>
      </c>
      <c r="P162" s="326">
        <f>SUMIF('Pre- and Production'!$T$4:$T$574, CONCATENATE(LEFT('WBS Summary by Year'!P$5,1),'WBS Summary by Year'!$D162,'WBS Summary by Year'!$C$148),'Pre- and Production'!AR$4:AR$574)</f>
        <v>0</v>
      </c>
    </row>
    <row r="163" spans="4:16">
      <c r="D163" s="42" t="s">
        <v>195</v>
      </c>
      <c r="E163" s="24">
        <f>SUMIF('Pre- and Production'!$T$4:$T$574, CONCATENATE(LEFT('WBS Summary by Year'!E$5,1),'WBS Summary by Year'!$D163,$C$148),'Pre- and Production'!AC$4:AC$574)</f>
        <v>0</v>
      </c>
      <c r="F163" s="322">
        <f>SUMIF('Pre- and Production'!$T$4:$T$574, CONCATENATE(LEFT('WBS Summary by Year'!F$5,1),'WBS Summary by Year'!$D163,'WBS Summary by Year'!$C$148),'Pre- and Production'!AM$4:AM$574)</f>
        <v>0</v>
      </c>
      <c r="G163" s="24">
        <f>SUMIF('Pre- and Production'!$T$4:$T$574, CONCATENATE(LEFT('WBS Summary by Year'!G$5,1),'WBS Summary by Year'!$D163,'WBS Summary by Year'!$C$148),'Pre- and Production'!AD$4:AD$574)</f>
        <v>0</v>
      </c>
      <c r="H163" s="323">
        <f>SUMIF('Pre- and Production'!$T$4:$T$574, CONCATENATE(LEFT('WBS Summary by Year'!H$5,1),'WBS Summary by Year'!$D163,'WBS Summary by Year'!$C$148),'Pre- and Production'!AN$4:AN$574)</f>
        <v>0</v>
      </c>
      <c r="I163" s="24">
        <f>SUMIF('Pre- and Production'!$T$4:$T$574, CONCATENATE(LEFT('WBS Summary by Year'!I$5,1),'WBS Summary by Year'!$D163,'WBS Summary by Year'!$C$148),'Pre- and Production'!AE$4:AE$574)</f>
        <v>0</v>
      </c>
      <c r="J163" s="323">
        <f>SUMIF('Pre- and Production'!$T$4:$T$574, CONCATENATE(LEFT('WBS Summary by Year'!J$5,1),'WBS Summary by Year'!$D163,'WBS Summary by Year'!$C$148),'Pre- and Production'!AO$4:AO$574)</f>
        <v>0</v>
      </c>
      <c r="K163" s="324">
        <f>SUMIF('Pre- and Production'!$T$4:$T$574, CONCATENATE(LEFT('WBS Summary by Year'!K$5,1),'WBS Summary by Year'!$D163,'WBS Summary by Year'!$C$148),'Pre- and Production'!AF$4:AF$574)</f>
        <v>0</v>
      </c>
      <c r="L163" s="323">
        <f>SUMIF('Pre- and Production'!$T$4:$T$574, CONCATENATE(LEFT('WBS Summary by Year'!L$5,1),'WBS Summary by Year'!$D163,'WBS Summary by Year'!$C$148),'Pre- and Production'!AP$4:AP$574)</f>
        <v>0</v>
      </c>
      <c r="M163" s="324">
        <f>SUMIF('Pre- and Production'!$T$4:$T$574, CONCATENATE(LEFT('WBS Summary by Year'!M$5,1),'WBS Summary by Year'!$D163,'WBS Summary by Year'!$C$148),'Pre- and Production'!AG$4:AG$574)</f>
        <v>0</v>
      </c>
      <c r="N163" s="322">
        <f>SUMIF('Pre- and Production'!$T$4:$T$574, CONCATENATE(LEFT('WBS Summary by Year'!N$5,1),'WBS Summary by Year'!$D163,'WBS Summary by Year'!$C$148),'Pre- and Production'!AQ$4:AQ$574)</f>
        <v>0</v>
      </c>
      <c r="O163" s="325">
        <f>SUMIF('Pre- and Production'!$T$4:$T$574, CONCATENATE(LEFT('WBS Summary by Year'!O$5,1),'WBS Summary by Year'!$D163,'WBS Summary by Year'!$C$148),'Pre- and Production'!AH$4:AH$574)</f>
        <v>0</v>
      </c>
      <c r="P163" s="326">
        <f>SUMIF('Pre- and Production'!$T$4:$T$574, CONCATENATE(LEFT('WBS Summary by Year'!P$5,1),'WBS Summary by Year'!$D163,'WBS Summary by Year'!$C$148),'Pre- and Production'!AR$4:AR$574)</f>
        <v>0</v>
      </c>
    </row>
    <row r="164" spans="4:16">
      <c r="D164" s="123" t="s">
        <v>197</v>
      </c>
      <c r="E164" s="24">
        <f>SUMIF('Pre- and Production'!$T$4:$T$574, CONCATENATE(LEFT('WBS Summary by Year'!E$5,1),'WBS Summary by Year'!$D164,$C$148),'Pre- and Production'!AC$4:AC$574)</f>
        <v>0</v>
      </c>
      <c r="F164" s="322">
        <f>SUMIF('Pre- and Production'!$T$4:$T$574, CONCATENATE(LEFT('WBS Summary by Year'!F$5,1),'WBS Summary by Year'!$D164,'WBS Summary by Year'!$C$148),'Pre- and Production'!AM$4:AM$574)</f>
        <v>0</v>
      </c>
      <c r="G164" s="24">
        <f>SUMIF('Pre- and Production'!$T$4:$T$574, CONCATENATE(LEFT('WBS Summary by Year'!G$5,1),'WBS Summary by Year'!$D164,'WBS Summary by Year'!$C$148),'Pre- and Production'!AD$4:AD$574)</f>
        <v>0</v>
      </c>
      <c r="H164" s="323">
        <f>SUMIF('Pre- and Production'!$T$4:$T$574, CONCATENATE(LEFT('WBS Summary by Year'!H$5,1),'WBS Summary by Year'!$D164,'WBS Summary by Year'!$C$148),'Pre- and Production'!AN$4:AN$574)</f>
        <v>0</v>
      </c>
      <c r="I164" s="24">
        <f>SUMIF('Pre- and Production'!$T$4:$T$574, CONCATENATE(LEFT('WBS Summary by Year'!I$5,1),'WBS Summary by Year'!$D164,'WBS Summary by Year'!$C$148),'Pre- and Production'!AE$4:AE$574)</f>
        <v>0</v>
      </c>
      <c r="J164" s="323">
        <f>SUMIF('Pre- and Production'!$T$4:$T$574, CONCATENATE(LEFT('WBS Summary by Year'!J$5,1),'WBS Summary by Year'!$D164,'WBS Summary by Year'!$C$148),'Pre- and Production'!AO$4:AO$574)</f>
        <v>0</v>
      </c>
      <c r="K164" s="324">
        <f>SUMIF('Pre- and Production'!$T$4:$T$574, CONCATENATE(LEFT('WBS Summary by Year'!K$5,1),'WBS Summary by Year'!$D164,'WBS Summary by Year'!$C$148),'Pre- and Production'!AF$4:AF$574)</f>
        <v>0</v>
      </c>
      <c r="L164" s="323">
        <f>SUMIF('Pre- and Production'!$T$4:$T$574, CONCATENATE(LEFT('WBS Summary by Year'!L$5,1),'WBS Summary by Year'!$D164,'WBS Summary by Year'!$C$148),'Pre- and Production'!AP$4:AP$574)</f>
        <v>0</v>
      </c>
      <c r="M164" s="324">
        <f>SUMIF('Pre- and Production'!$T$4:$T$574, CONCATENATE(LEFT('WBS Summary by Year'!M$5,1),'WBS Summary by Year'!$D164,'WBS Summary by Year'!$C$148),'Pre- and Production'!AG$4:AG$574)</f>
        <v>0</v>
      </c>
      <c r="N164" s="322">
        <f>SUMIF('Pre- and Production'!$T$4:$T$574, CONCATENATE(LEFT('WBS Summary by Year'!N$5,1),'WBS Summary by Year'!$D164,'WBS Summary by Year'!$C$148),'Pre- and Production'!AQ$4:AQ$574)</f>
        <v>0</v>
      </c>
      <c r="O164" s="325">
        <f>SUMIF('Pre- and Production'!$T$4:$T$574, CONCATENATE(LEFT('WBS Summary by Year'!O$5,1),'WBS Summary by Year'!$D164,'WBS Summary by Year'!$C$148),'Pre- and Production'!AH$4:AH$574)</f>
        <v>0</v>
      </c>
      <c r="P164" s="326">
        <f>SUMIF('Pre- and Production'!$T$4:$T$574, CONCATENATE(LEFT('WBS Summary by Year'!P$5,1),'WBS Summary by Year'!$D164,'WBS Summary by Year'!$C$148),'Pre- and Production'!AR$4:AR$574)</f>
        <v>0</v>
      </c>
    </row>
    <row r="165" spans="4:16">
      <c r="D165" s="42" t="s">
        <v>199</v>
      </c>
      <c r="E165" s="24">
        <f>SUMIF('Pre- and Production'!$T$4:$T$574, CONCATENATE(LEFT('WBS Summary by Year'!E$5,1),'WBS Summary by Year'!$D165,$C$148),'Pre- and Production'!AC$4:AC$574)</f>
        <v>0</v>
      </c>
      <c r="F165" s="322">
        <f>SUMIF('Pre- and Production'!$T$4:$T$574, CONCATENATE(LEFT('WBS Summary by Year'!F$5,1),'WBS Summary by Year'!$D165,'WBS Summary by Year'!$C$148),'Pre- and Production'!AM$4:AM$574)</f>
        <v>0</v>
      </c>
      <c r="G165" s="24">
        <f>SUMIF('Pre- and Production'!$T$4:$T$574, CONCATENATE(LEFT('WBS Summary by Year'!G$5,1),'WBS Summary by Year'!$D165,'WBS Summary by Year'!$C$148),'Pre- and Production'!AD$4:AD$574)</f>
        <v>0</v>
      </c>
      <c r="H165" s="323">
        <f>SUMIF('Pre- and Production'!$T$4:$T$574, CONCATENATE(LEFT('WBS Summary by Year'!H$5,1),'WBS Summary by Year'!$D165,'WBS Summary by Year'!$C$148),'Pre- and Production'!AN$4:AN$574)</f>
        <v>0</v>
      </c>
      <c r="I165" s="24">
        <f>SUMIF('Pre- and Production'!$T$4:$T$574, CONCATENATE(LEFT('WBS Summary by Year'!I$5,1),'WBS Summary by Year'!$D165,'WBS Summary by Year'!$C$148),'Pre- and Production'!AE$4:AE$574)</f>
        <v>0</v>
      </c>
      <c r="J165" s="323">
        <f>SUMIF('Pre- and Production'!$T$4:$T$574, CONCATENATE(LEFT('WBS Summary by Year'!J$5,1),'WBS Summary by Year'!$D165,'WBS Summary by Year'!$C$148),'Pre- and Production'!AO$4:AO$574)</f>
        <v>0</v>
      </c>
      <c r="K165" s="324">
        <f>SUMIF('Pre- and Production'!$T$4:$T$574, CONCATENATE(LEFT('WBS Summary by Year'!K$5,1),'WBS Summary by Year'!$D165,'WBS Summary by Year'!$C$148),'Pre- and Production'!AF$4:AF$574)</f>
        <v>0</v>
      </c>
      <c r="L165" s="323">
        <f>SUMIF('Pre- and Production'!$T$4:$T$574, CONCATENATE(LEFT('WBS Summary by Year'!L$5,1),'WBS Summary by Year'!$D165,'WBS Summary by Year'!$C$148),'Pre- and Production'!AP$4:AP$574)</f>
        <v>0</v>
      </c>
      <c r="M165" s="324">
        <f>SUMIF('Pre- and Production'!$T$4:$T$574, CONCATENATE(LEFT('WBS Summary by Year'!M$5,1),'WBS Summary by Year'!$D165,'WBS Summary by Year'!$C$148),'Pre- and Production'!AG$4:AG$574)</f>
        <v>0</v>
      </c>
      <c r="N165" s="322">
        <f>SUMIF('Pre- and Production'!$T$4:$T$574, CONCATENATE(LEFT('WBS Summary by Year'!N$5,1),'WBS Summary by Year'!$D165,'WBS Summary by Year'!$C$148),'Pre- and Production'!AQ$4:AQ$574)</f>
        <v>0</v>
      </c>
      <c r="O165" s="325">
        <f>SUMIF('Pre- and Production'!$T$4:$T$574, CONCATENATE(LEFT('WBS Summary by Year'!O$5,1),'WBS Summary by Year'!$D165,'WBS Summary by Year'!$C$148),'Pre- and Production'!AH$4:AH$574)</f>
        <v>0</v>
      </c>
      <c r="P165" s="326">
        <f>SUMIF('Pre- and Production'!$T$4:$T$574, CONCATENATE(LEFT('WBS Summary by Year'!P$5,1),'WBS Summary by Year'!$D165,'WBS Summary by Year'!$C$148),'Pre- and Production'!AR$4:AR$574)</f>
        <v>0</v>
      </c>
    </row>
    <row r="166" spans="4:16">
      <c r="D166" s="123" t="s">
        <v>202</v>
      </c>
      <c r="E166" s="24">
        <f>SUMIF('Pre- and Production'!$T$4:$T$574, CONCATENATE(LEFT('WBS Summary by Year'!E$5,1),'WBS Summary by Year'!$D166,$C$148),'Pre- and Production'!AC$4:AC$574)</f>
        <v>0</v>
      </c>
      <c r="F166" s="322">
        <f>SUMIF('Pre- and Production'!$T$4:$T$574, CONCATENATE(LEFT('WBS Summary by Year'!F$5,1),'WBS Summary by Year'!$D166,'WBS Summary by Year'!$C$148),'Pre- and Production'!AM$4:AM$574)</f>
        <v>0</v>
      </c>
      <c r="G166" s="24">
        <f>SUMIF('Pre- and Production'!$T$4:$T$574, CONCATENATE(LEFT('WBS Summary by Year'!G$5,1),'WBS Summary by Year'!$D166,'WBS Summary by Year'!$C$148),'Pre- and Production'!AD$4:AD$574)</f>
        <v>0</v>
      </c>
      <c r="H166" s="323">
        <f>SUMIF('Pre- and Production'!$T$4:$T$574, CONCATENATE(LEFT('WBS Summary by Year'!H$5,1),'WBS Summary by Year'!$D166,'WBS Summary by Year'!$C$148),'Pre- and Production'!AN$4:AN$574)</f>
        <v>0</v>
      </c>
      <c r="I166" s="24">
        <f>SUMIF('Pre- and Production'!$T$4:$T$574, CONCATENATE(LEFT('WBS Summary by Year'!I$5,1),'WBS Summary by Year'!$D166,'WBS Summary by Year'!$C$148),'Pre- and Production'!AE$4:AE$574)</f>
        <v>0</v>
      </c>
      <c r="J166" s="323">
        <f>SUMIF('Pre- and Production'!$T$4:$T$574, CONCATENATE(LEFT('WBS Summary by Year'!J$5,1),'WBS Summary by Year'!$D166,'WBS Summary by Year'!$C$148),'Pre- and Production'!AO$4:AO$574)</f>
        <v>0</v>
      </c>
      <c r="K166" s="324">
        <f>SUMIF('Pre- and Production'!$T$4:$T$574, CONCATENATE(LEFT('WBS Summary by Year'!K$5,1),'WBS Summary by Year'!$D166,'WBS Summary by Year'!$C$148),'Pre- and Production'!AF$4:AF$574)</f>
        <v>0</v>
      </c>
      <c r="L166" s="323">
        <f>SUMIF('Pre- and Production'!$T$4:$T$574, CONCATENATE(LEFT('WBS Summary by Year'!L$5,1),'WBS Summary by Year'!$D166,'WBS Summary by Year'!$C$148),'Pre- and Production'!AP$4:AP$574)</f>
        <v>0</v>
      </c>
      <c r="M166" s="324">
        <f>SUMIF('Pre- and Production'!$T$4:$T$574, CONCATENATE(LEFT('WBS Summary by Year'!M$5,1),'WBS Summary by Year'!$D166,'WBS Summary by Year'!$C$148),'Pre- and Production'!AG$4:AG$574)</f>
        <v>0</v>
      </c>
      <c r="N166" s="322">
        <f>SUMIF('Pre- and Production'!$T$4:$T$574, CONCATENATE(LEFT('WBS Summary by Year'!N$5,1),'WBS Summary by Year'!$D166,'WBS Summary by Year'!$C$148),'Pre- and Production'!AQ$4:AQ$574)</f>
        <v>0</v>
      </c>
      <c r="O166" s="325">
        <f>SUMIF('Pre- and Production'!$T$4:$T$574, CONCATENATE(LEFT('WBS Summary by Year'!O$5,1),'WBS Summary by Year'!$D166,'WBS Summary by Year'!$C$148),'Pre- and Production'!AH$4:AH$574)</f>
        <v>0</v>
      </c>
      <c r="P166" s="326">
        <f>SUMIF('Pre- and Production'!$T$4:$T$574, CONCATENATE(LEFT('WBS Summary by Year'!P$5,1),'WBS Summary by Year'!$D166,'WBS Summary by Year'!$C$148),'Pre- and Production'!AR$4:AR$574)</f>
        <v>0</v>
      </c>
    </row>
    <row r="167" spans="4:16">
      <c r="D167" s="42" t="s">
        <v>204</v>
      </c>
      <c r="E167" s="24">
        <f>SUMIF('Pre- and Production'!$T$4:$T$574, CONCATENATE(LEFT('WBS Summary by Year'!E$5,1),'WBS Summary by Year'!$D167,$C$148),'Pre- and Production'!AC$4:AC$574)</f>
        <v>0</v>
      </c>
      <c r="F167" s="322">
        <f>SUMIF('Pre- and Production'!$T$4:$T$574, CONCATENATE(LEFT('WBS Summary by Year'!F$5,1),'WBS Summary by Year'!$D167,'WBS Summary by Year'!$C$148),'Pre- and Production'!AM$4:AM$574)</f>
        <v>0</v>
      </c>
      <c r="G167" s="24">
        <f>SUMIF('Pre- and Production'!$T$4:$T$574, CONCATENATE(LEFT('WBS Summary by Year'!G$5,1),'WBS Summary by Year'!$D167,'WBS Summary by Year'!$C$148),'Pre- and Production'!AD$4:AD$574)</f>
        <v>0</v>
      </c>
      <c r="H167" s="323">
        <f>SUMIF('Pre- and Production'!$T$4:$T$574, CONCATENATE(LEFT('WBS Summary by Year'!H$5,1),'WBS Summary by Year'!$D167,'WBS Summary by Year'!$C$148),'Pre- and Production'!AN$4:AN$574)</f>
        <v>0</v>
      </c>
      <c r="I167" s="24">
        <f>SUMIF('Pre- and Production'!$T$4:$T$574, CONCATENATE(LEFT('WBS Summary by Year'!I$5,1),'WBS Summary by Year'!$D167,'WBS Summary by Year'!$C$148),'Pre- and Production'!AE$4:AE$574)</f>
        <v>0</v>
      </c>
      <c r="J167" s="323">
        <f>SUMIF('Pre- and Production'!$T$4:$T$574, CONCATENATE(LEFT('WBS Summary by Year'!J$5,1),'WBS Summary by Year'!$D167,'WBS Summary by Year'!$C$148),'Pre- and Production'!AO$4:AO$574)</f>
        <v>0</v>
      </c>
      <c r="K167" s="324">
        <f>SUMIF('Pre- and Production'!$T$4:$T$574, CONCATENATE(LEFT('WBS Summary by Year'!K$5,1),'WBS Summary by Year'!$D167,'WBS Summary by Year'!$C$148),'Pre- and Production'!AF$4:AF$574)</f>
        <v>0</v>
      </c>
      <c r="L167" s="323">
        <f>SUMIF('Pre- and Production'!$T$4:$T$574, CONCATENATE(LEFT('WBS Summary by Year'!L$5,1),'WBS Summary by Year'!$D167,'WBS Summary by Year'!$C$148),'Pre- and Production'!AP$4:AP$574)</f>
        <v>0</v>
      </c>
      <c r="M167" s="324">
        <f>SUMIF('Pre- and Production'!$T$4:$T$574, CONCATENATE(LEFT('WBS Summary by Year'!M$5,1),'WBS Summary by Year'!$D167,'WBS Summary by Year'!$C$148),'Pre- and Production'!AG$4:AG$574)</f>
        <v>0</v>
      </c>
      <c r="N167" s="322">
        <f>SUMIF('Pre- and Production'!$T$4:$T$574, CONCATENATE(LEFT('WBS Summary by Year'!N$5,1),'WBS Summary by Year'!$D167,'WBS Summary by Year'!$C$148),'Pre- and Production'!AQ$4:AQ$574)</f>
        <v>0</v>
      </c>
      <c r="O167" s="325">
        <f>SUMIF('Pre- and Production'!$T$4:$T$574, CONCATENATE(LEFT('WBS Summary by Year'!O$5,1),'WBS Summary by Year'!$D167,'WBS Summary by Year'!$C$148),'Pre- and Production'!AH$4:AH$574)</f>
        <v>0</v>
      </c>
      <c r="P167" s="326">
        <f>SUMIF('Pre- and Production'!$T$4:$T$574, CONCATENATE(LEFT('WBS Summary by Year'!P$5,1),'WBS Summary by Year'!$D167,'WBS Summary by Year'!$C$148),'Pre- and Production'!AR$4:AR$574)</f>
        <v>0</v>
      </c>
    </row>
    <row r="168" spans="4:16">
      <c r="D168" s="42" t="s">
        <v>206</v>
      </c>
      <c r="E168" s="24">
        <f>SUMIF('Pre- and Production'!$T$4:$T$574, CONCATENATE(LEFT('WBS Summary by Year'!E$5,1),'WBS Summary by Year'!$D168,$C$148),'Pre- and Production'!AC$4:AC$574)</f>
        <v>0</v>
      </c>
      <c r="F168" s="322">
        <f>SUMIF('Pre- and Production'!$T$4:$T$574, CONCATENATE(LEFT('WBS Summary by Year'!F$5,1),'WBS Summary by Year'!$D168,'WBS Summary by Year'!$C$148),'Pre- and Production'!AM$4:AM$574)</f>
        <v>0</v>
      </c>
      <c r="G168" s="24">
        <f>SUMIF('Pre- and Production'!$T$4:$T$574, CONCATENATE(LEFT('WBS Summary by Year'!G$5,1),'WBS Summary by Year'!$D168,'WBS Summary by Year'!$C$148),'Pre- and Production'!AD$4:AD$574)</f>
        <v>0</v>
      </c>
      <c r="H168" s="323">
        <f>SUMIF('Pre- and Production'!$T$4:$T$574, CONCATENATE(LEFT('WBS Summary by Year'!H$5,1),'WBS Summary by Year'!$D168,'WBS Summary by Year'!$C$148),'Pre- and Production'!AN$4:AN$574)</f>
        <v>0</v>
      </c>
      <c r="I168" s="24">
        <f>SUMIF('Pre- and Production'!$T$4:$T$574, CONCATENATE(LEFT('WBS Summary by Year'!I$5,1),'WBS Summary by Year'!$D168,'WBS Summary by Year'!$C$148),'Pre- and Production'!AE$4:AE$574)</f>
        <v>0</v>
      </c>
      <c r="J168" s="323">
        <f>SUMIF('Pre- and Production'!$T$4:$T$574, CONCATENATE(LEFT('WBS Summary by Year'!J$5,1),'WBS Summary by Year'!$D168,'WBS Summary by Year'!$C$148),'Pre- and Production'!AO$4:AO$574)</f>
        <v>0</v>
      </c>
      <c r="K168" s="324">
        <f>SUMIF('Pre- and Production'!$T$4:$T$574, CONCATENATE(LEFT('WBS Summary by Year'!K$5,1),'WBS Summary by Year'!$D168,'WBS Summary by Year'!$C$148),'Pre- and Production'!AF$4:AF$574)</f>
        <v>0</v>
      </c>
      <c r="L168" s="323">
        <f>SUMIF('Pre- and Production'!$T$4:$T$574, CONCATENATE(LEFT('WBS Summary by Year'!L$5,1),'WBS Summary by Year'!$D168,'WBS Summary by Year'!$C$148),'Pre- and Production'!AP$4:AP$574)</f>
        <v>0</v>
      </c>
      <c r="M168" s="324">
        <f>SUMIF('Pre- and Production'!$T$4:$T$574, CONCATENATE(LEFT('WBS Summary by Year'!M$5,1),'WBS Summary by Year'!$D168,'WBS Summary by Year'!$C$148),'Pre- and Production'!AG$4:AG$574)</f>
        <v>0</v>
      </c>
      <c r="N168" s="322">
        <f>SUMIF('Pre- and Production'!$T$4:$T$574, CONCATENATE(LEFT('WBS Summary by Year'!N$5,1),'WBS Summary by Year'!$D168,'WBS Summary by Year'!$C$148),'Pre- and Production'!AQ$4:AQ$574)</f>
        <v>0</v>
      </c>
      <c r="O168" s="325">
        <f>SUMIF('Pre- and Production'!$T$4:$T$574, CONCATENATE(LEFT('WBS Summary by Year'!O$5,1),'WBS Summary by Year'!$D168,'WBS Summary by Year'!$C$148),'Pre- and Production'!AH$4:AH$574)</f>
        <v>0</v>
      </c>
      <c r="P168" s="326">
        <f>SUMIF('Pre- and Production'!$T$4:$T$574, CONCATENATE(LEFT('WBS Summary by Year'!P$5,1),'WBS Summary by Year'!$D168,'WBS Summary by Year'!$C$148),'Pre- and Production'!AR$4:AR$574)</f>
        <v>0</v>
      </c>
    </row>
    <row r="169" spans="4:16">
      <c r="D169" s="42" t="s">
        <v>208</v>
      </c>
      <c r="E169" s="24">
        <f>SUMIF('Pre- and Production'!$T$4:$T$574, CONCATENATE(LEFT('WBS Summary by Year'!E$5,1),'WBS Summary by Year'!$D169,$C$148),'Pre- and Production'!AC$4:AC$574)</f>
        <v>0</v>
      </c>
      <c r="F169" s="322">
        <f>SUMIF('Pre- and Production'!$T$4:$T$574, CONCATENATE(LEFT('WBS Summary by Year'!F$5,1),'WBS Summary by Year'!$D169,'WBS Summary by Year'!$C$148),'Pre- and Production'!AM$4:AM$574)</f>
        <v>0</v>
      </c>
      <c r="G169" s="24">
        <f>SUMIF('Pre- and Production'!$T$4:$T$574, CONCATENATE(LEFT('WBS Summary by Year'!G$5,1),'WBS Summary by Year'!$D169,'WBS Summary by Year'!$C$148),'Pre- and Production'!AD$4:AD$574)</f>
        <v>0</v>
      </c>
      <c r="H169" s="323">
        <f>SUMIF('Pre- and Production'!$T$4:$T$574, CONCATENATE(LEFT('WBS Summary by Year'!H$5,1),'WBS Summary by Year'!$D169,'WBS Summary by Year'!$C$148),'Pre- and Production'!AN$4:AN$574)</f>
        <v>0</v>
      </c>
      <c r="I169" s="24">
        <f>SUMIF('Pre- and Production'!$T$4:$T$574, CONCATENATE(LEFT('WBS Summary by Year'!I$5,1),'WBS Summary by Year'!$D169,'WBS Summary by Year'!$C$148),'Pre- and Production'!AE$4:AE$574)</f>
        <v>0</v>
      </c>
      <c r="J169" s="323">
        <f>SUMIF('Pre- and Production'!$T$4:$T$574, CONCATENATE(LEFT('WBS Summary by Year'!J$5,1),'WBS Summary by Year'!$D169,'WBS Summary by Year'!$C$148),'Pre- and Production'!AO$4:AO$574)</f>
        <v>0</v>
      </c>
      <c r="K169" s="324">
        <f>SUMIF('Pre- and Production'!$T$4:$T$574, CONCATENATE(LEFT('WBS Summary by Year'!K$5,1),'WBS Summary by Year'!$D169,'WBS Summary by Year'!$C$148),'Pre- and Production'!AF$4:AF$574)</f>
        <v>0</v>
      </c>
      <c r="L169" s="323">
        <f>SUMIF('Pre- and Production'!$T$4:$T$574, CONCATENATE(LEFT('WBS Summary by Year'!L$5,1),'WBS Summary by Year'!$D169,'WBS Summary by Year'!$C$148),'Pre- and Production'!AP$4:AP$574)</f>
        <v>0</v>
      </c>
      <c r="M169" s="324">
        <f>SUMIF('Pre- and Production'!$T$4:$T$574, CONCATENATE(LEFT('WBS Summary by Year'!M$5,1),'WBS Summary by Year'!$D169,'WBS Summary by Year'!$C$148),'Pre- and Production'!AG$4:AG$574)</f>
        <v>0</v>
      </c>
      <c r="N169" s="322">
        <f>SUMIF('Pre- and Production'!$T$4:$T$574, CONCATENATE(LEFT('WBS Summary by Year'!N$5,1),'WBS Summary by Year'!$D169,'WBS Summary by Year'!$C$148),'Pre- and Production'!AQ$4:AQ$574)</f>
        <v>0</v>
      </c>
      <c r="O169" s="325">
        <f>SUMIF('Pre- and Production'!$T$4:$T$574, CONCATENATE(LEFT('WBS Summary by Year'!O$5,1),'WBS Summary by Year'!$D169,'WBS Summary by Year'!$C$148),'Pre- and Production'!AH$4:AH$574)</f>
        <v>0</v>
      </c>
      <c r="P169" s="326">
        <f>SUMIF('Pre- and Production'!$T$4:$T$574, CONCATENATE(LEFT('WBS Summary by Year'!P$5,1),'WBS Summary by Year'!$D169,'WBS Summary by Year'!$C$148),'Pre- and Production'!AR$4:AR$574)</f>
        <v>0</v>
      </c>
    </row>
    <row r="170" spans="4:16">
      <c r="D170" s="42" t="s">
        <v>210</v>
      </c>
      <c r="E170" s="24">
        <f>SUMIF('Pre- and Production'!$T$4:$T$574, CONCATENATE(LEFT('WBS Summary by Year'!E$5,1),'WBS Summary by Year'!$D170,$C$148),'Pre- and Production'!AC$4:AC$574)</f>
        <v>0</v>
      </c>
      <c r="F170" s="322">
        <f>SUMIF('Pre- and Production'!$T$4:$T$574, CONCATENATE(LEFT('WBS Summary by Year'!F$5,1),'WBS Summary by Year'!$D170,'WBS Summary by Year'!$C$148),'Pre- and Production'!AM$4:AM$574)</f>
        <v>0</v>
      </c>
      <c r="G170" s="24">
        <f>SUMIF('Pre- and Production'!$T$4:$T$574, CONCATENATE(LEFT('WBS Summary by Year'!G$5,1),'WBS Summary by Year'!$D170,'WBS Summary by Year'!$C$148),'Pre- and Production'!AD$4:AD$574)</f>
        <v>0</v>
      </c>
      <c r="H170" s="323">
        <f>SUMIF('Pre- and Production'!$T$4:$T$574, CONCATENATE(LEFT('WBS Summary by Year'!H$5,1),'WBS Summary by Year'!$D170,'WBS Summary by Year'!$C$148),'Pre- and Production'!AN$4:AN$574)</f>
        <v>0</v>
      </c>
      <c r="I170" s="24">
        <f>SUMIF('Pre- and Production'!$T$4:$T$574, CONCATENATE(LEFT('WBS Summary by Year'!I$5,1),'WBS Summary by Year'!$D170,'WBS Summary by Year'!$C$148),'Pre- and Production'!AE$4:AE$574)</f>
        <v>0</v>
      </c>
      <c r="J170" s="323">
        <f>SUMIF('Pre- and Production'!$T$4:$T$574, CONCATENATE(LEFT('WBS Summary by Year'!J$5,1),'WBS Summary by Year'!$D170,'WBS Summary by Year'!$C$148),'Pre- and Production'!AO$4:AO$574)</f>
        <v>0</v>
      </c>
      <c r="K170" s="324">
        <f>SUMIF('Pre- and Production'!$T$4:$T$574, CONCATENATE(LEFT('WBS Summary by Year'!K$5,1),'WBS Summary by Year'!$D170,'WBS Summary by Year'!$C$148),'Pre- and Production'!AF$4:AF$574)</f>
        <v>0</v>
      </c>
      <c r="L170" s="323">
        <f>SUMIF('Pre- and Production'!$T$4:$T$574, CONCATENATE(LEFT('WBS Summary by Year'!L$5,1),'WBS Summary by Year'!$D170,'WBS Summary by Year'!$C$148),'Pre- and Production'!AP$4:AP$574)</f>
        <v>0</v>
      </c>
      <c r="M170" s="324">
        <f>SUMIF('Pre- and Production'!$T$4:$T$574, CONCATENATE(LEFT('WBS Summary by Year'!M$5,1),'WBS Summary by Year'!$D170,'WBS Summary by Year'!$C$148),'Pre- and Production'!AG$4:AG$574)</f>
        <v>0</v>
      </c>
      <c r="N170" s="322">
        <f>SUMIF('Pre- and Production'!$T$4:$T$574, CONCATENATE(LEFT('WBS Summary by Year'!N$5,1),'WBS Summary by Year'!$D170,'WBS Summary by Year'!$C$148),'Pre- and Production'!AQ$4:AQ$574)</f>
        <v>0</v>
      </c>
      <c r="O170" s="325">
        <f>SUMIF('Pre- and Production'!$T$4:$T$574, CONCATENATE(LEFT('WBS Summary by Year'!O$5,1),'WBS Summary by Year'!$D170,'WBS Summary by Year'!$C$148),'Pre- and Production'!AH$4:AH$574)</f>
        <v>0</v>
      </c>
      <c r="P170" s="326">
        <f>SUMIF('Pre- and Production'!$T$4:$T$574, CONCATENATE(LEFT('WBS Summary by Year'!P$5,1),'WBS Summary by Year'!$D170,'WBS Summary by Year'!$C$148),'Pre- and Production'!AR$4:AR$574)</f>
        <v>0</v>
      </c>
    </row>
    <row r="171" spans="4:16" ht="13.5" thickBot="1">
      <c r="D171" s="123" t="s">
        <v>212</v>
      </c>
      <c r="E171" s="327">
        <f>SUMIF('Pre- and Production'!$T$4:$T$574, CONCATENATE(LEFT('WBS Summary by Year'!E$5,1),'WBS Summary by Year'!$D171,$C$148),'Pre- and Production'!AC$4:AC$574)</f>
        <v>0</v>
      </c>
      <c r="F171" s="328">
        <f>SUMIF('Pre- and Production'!$T$4:$T$574, CONCATENATE(LEFT('WBS Summary by Year'!F$5,1),'WBS Summary by Year'!$D171,'WBS Summary by Year'!$C$148),'Pre- and Production'!AM$4:AM$574)</f>
        <v>40</v>
      </c>
      <c r="G171" s="327">
        <f>SUMIF('Pre- and Production'!$T$4:$T$574, CONCATENATE(LEFT('WBS Summary by Year'!G$5,1),'WBS Summary by Year'!$D171,'WBS Summary by Year'!$C$148),'Pre- and Production'!AD$4:AD$574)</f>
        <v>296</v>
      </c>
      <c r="H171" s="329">
        <f>SUMIF('Pre- and Production'!$T$4:$T$574, CONCATENATE(LEFT('WBS Summary by Year'!H$5,1),'WBS Summary by Year'!$D171,'WBS Summary by Year'!$C$148),'Pre- and Production'!AN$4:AN$574)</f>
        <v>66</v>
      </c>
      <c r="I171" s="327">
        <f>SUMIF('Pre- and Production'!$T$4:$T$574, CONCATENATE(LEFT('WBS Summary by Year'!I$5,1),'WBS Summary by Year'!$D171,'WBS Summary by Year'!$C$148),'Pre- and Production'!AE$4:AE$574)</f>
        <v>202</v>
      </c>
      <c r="J171" s="329">
        <f>SUMIF('Pre- and Production'!$T$4:$T$574, CONCATENATE(LEFT('WBS Summary by Year'!J$5,1),'WBS Summary by Year'!$D171,'WBS Summary by Year'!$C$148),'Pre- and Production'!AO$4:AO$574)</f>
        <v>40</v>
      </c>
      <c r="K171" s="330">
        <f>SUMIF('Pre- and Production'!$T$4:$T$574, CONCATENATE(LEFT('WBS Summary by Year'!K$5,1),'WBS Summary by Year'!$D171,'WBS Summary by Year'!$C$148),'Pre- and Production'!AF$4:AF$574)</f>
        <v>16</v>
      </c>
      <c r="L171" s="329">
        <f>SUMIF('Pre- and Production'!$T$4:$T$574, CONCATENATE(LEFT('WBS Summary by Year'!L$5,1),'WBS Summary by Year'!$D171,'WBS Summary by Year'!$C$148),'Pre- and Production'!AP$4:AP$574)</f>
        <v>44</v>
      </c>
      <c r="M171" s="330">
        <f>SUMIF('Pre- and Production'!$T$4:$T$574, CONCATENATE(LEFT('WBS Summary by Year'!M$5,1),'WBS Summary by Year'!$D171,'WBS Summary by Year'!$C$148),'Pre- and Production'!AG$4:AG$574)</f>
        <v>222</v>
      </c>
      <c r="N171" s="328">
        <f>SUMIF('Pre- and Production'!$T$4:$T$574, CONCATENATE(LEFT('WBS Summary by Year'!N$5,1),'WBS Summary by Year'!$D171,'WBS Summary by Year'!$C$148),'Pre- and Production'!AQ$4:AQ$574)</f>
        <v>40</v>
      </c>
      <c r="O171" s="331">
        <f>SUMIF('Pre- and Production'!$T$4:$T$574, CONCATENATE(LEFT('WBS Summary by Year'!O$5,1),'WBS Summary by Year'!$D171,'WBS Summary by Year'!$C$148),'Pre- and Production'!AH$4:AH$574)</f>
        <v>32200</v>
      </c>
      <c r="P171" s="332">
        <f>SUMIF('Pre- and Production'!$T$4:$T$574, CONCATENATE(LEFT('WBS Summary by Year'!P$5,1),'WBS Summary by Year'!$D171,'WBS Summary by Year'!$C$148),'Pre- and Production'!AR$4:AR$574)</f>
        <v>63000</v>
      </c>
    </row>
    <row r="172" spans="4:16" ht="13.5" thickTop="1"/>
    <row r="173" spans="4:16">
      <c r="D173" s="333" t="s">
        <v>7</v>
      </c>
      <c r="E173">
        <f>SUM(E151:E171)</f>
        <v>0</v>
      </c>
      <c r="F173">
        <f t="shared" ref="F173:P173" si="10">SUM(F151:F171)</f>
        <v>40</v>
      </c>
      <c r="G173">
        <f t="shared" si="10"/>
        <v>296</v>
      </c>
      <c r="H173">
        <f t="shared" si="10"/>
        <v>66</v>
      </c>
      <c r="I173">
        <f t="shared" si="10"/>
        <v>202</v>
      </c>
      <c r="J173">
        <f t="shared" si="10"/>
        <v>40</v>
      </c>
      <c r="K173">
        <f t="shared" si="10"/>
        <v>16</v>
      </c>
      <c r="L173">
        <f t="shared" si="10"/>
        <v>44</v>
      </c>
      <c r="M173">
        <f t="shared" si="10"/>
        <v>222</v>
      </c>
      <c r="N173">
        <f t="shared" si="10"/>
        <v>40</v>
      </c>
      <c r="O173" s="306">
        <f t="shared" si="10"/>
        <v>32200</v>
      </c>
      <c r="P173" s="306">
        <f t="shared" si="10"/>
        <v>63000</v>
      </c>
    </row>
    <row r="174" spans="4:16">
      <c r="D174" s="333" t="s">
        <v>384</v>
      </c>
      <c r="E174" s="305">
        <f t="shared" ref="E174:N174" si="11">E173/1720</f>
        <v>0</v>
      </c>
      <c r="F174" s="305">
        <f t="shared" si="11"/>
        <v>2.3255813953488372E-2</v>
      </c>
      <c r="G174" s="305">
        <f t="shared" si="11"/>
        <v>0.17209302325581396</v>
      </c>
      <c r="H174" s="305">
        <f t="shared" si="11"/>
        <v>3.8372093023255817E-2</v>
      </c>
      <c r="I174" s="305">
        <f t="shared" si="11"/>
        <v>0.11744186046511627</v>
      </c>
      <c r="J174" s="305">
        <f t="shared" si="11"/>
        <v>2.3255813953488372E-2</v>
      </c>
      <c r="K174" s="305">
        <f t="shared" si="11"/>
        <v>9.3023255813953487E-3</v>
      </c>
      <c r="L174" s="305">
        <f t="shared" si="11"/>
        <v>2.5581395348837209E-2</v>
      </c>
      <c r="M174" s="305">
        <f t="shared" si="11"/>
        <v>0.12906976744186047</v>
      </c>
      <c r="N174" s="305">
        <f t="shared" si="11"/>
        <v>2.3255813953488372E-2</v>
      </c>
    </row>
  </sheetData>
  <mergeCells count="36">
    <mergeCell ref="O62:P62"/>
    <mergeCell ref="O91:P91"/>
    <mergeCell ref="I149:J149"/>
    <mergeCell ref="I91:J91"/>
    <mergeCell ref="I120:J120"/>
    <mergeCell ref="K91:L91"/>
    <mergeCell ref="K149:L149"/>
    <mergeCell ref="I62:J62"/>
    <mergeCell ref="O149:P149"/>
    <mergeCell ref="M120:N120"/>
    <mergeCell ref="M91:N91"/>
    <mergeCell ref="M149:N149"/>
    <mergeCell ref="O120:P120"/>
    <mergeCell ref="E149:F149"/>
    <mergeCell ref="G149:H149"/>
    <mergeCell ref="E120:F120"/>
    <mergeCell ref="M62:N62"/>
    <mergeCell ref="E62:F62"/>
    <mergeCell ref="G62:H62"/>
    <mergeCell ref="G120:H120"/>
    <mergeCell ref="E91:F91"/>
    <mergeCell ref="K62:L62"/>
    <mergeCell ref="G91:H91"/>
    <mergeCell ref="K120:L120"/>
    <mergeCell ref="O33:P33"/>
    <mergeCell ref="O4:P4"/>
    <mergeCell ref="E33:F33"/>
    <mergeCell ref="E4:F4"/>
    <mergeCell ref="G4:H4"/>
    <mergeCell ref="I4:J4"/>
    <mergeCell ref="K4:L4"/>
    <mergeCell ref="M4:N4"/>
    <mergeCell ref="G33:H33"/>
    <mergeCell ref="I33:J33"/>
    <mergeCell ref="K33:L33"/>
    <mergeCell ref="M33:N33"/>
  </mergeCells>
  <phoneticPr fontId="2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AX407"/>
  <sheetViews>
    <sheetView tabSelected="1" topLeftCell="P1" zoomScaleNormal="100" workbookViewId="0">
      <pane ySplit="3705" topLeftCell="A328" activePane="bottomLeft"/>
      <selection activeCell="U1" sqref="U1:U65536"/>
      <selection pane="bottomLeft" activeCell="A329" sqref="A329:XFD332"/>
    </sheetView>
  </sheetViews>
  <sheetFormatPr defaultRowHeight="12.75"/>
  <cols>
    <col min="1" max="1" width="59.28515625" customWidth="1"/>
    <col min="2" max="2" width="16.7109375" bestFit="1" customWidth="1"/>
    <col min="3" max="3" width="8.42578125" style="151" bestFit="1" customWidth="1"/>
    <col min="4" max="4" width="6.5703125" style="78" bestFit="1" customWidth="1"/>
    <col min="5" max="5" width="9" style="107" bestFit="1" customWidth="1"/>
    <col min="6" max="6" width="11.5703125" style="107" customWidth="1"/>
    <col min="7" max="8" width="9" style="151" bestFit="1" customWidth="1"/>
    <col min="9" max="9" width="8.28515625" style="151" bestFit="1" customWidth="1"/>
    <col min="10" max="10" width="8.28515625" style="152" bestFit="1" customWidth="1"/>
    <col min="11" max="11" width="9" style="152" bestFit="1" customWidth="1"/>
    <col min="12" max="12" width="6.28515625" style="78" bestFit="1" customWidth="1"/>
    <col min="13" max="13" width="12.5703125" style="6" customWidth="1"/>
    <col min="14" max="14" width="12.28515625" style="153" customWidth="1"/>
    <col min="15" max="15" width="11.7109375" style="6" customWidth="1"/>
    <col min="16" max="16" width="2.5703125" style="6" customWidth="1"/>
    <col min="17" max="17" width="3.7109375" style="48" bestFit="1" customWidth="1"/>
    <col min="18" max="18" width="3.7109375" style="48" customWidth="1"/>
    <col min="19" max="19" width="9.5703125" style="91" hidden="1" customWidth="1"/>
    <col min="20" max="20" width="10.42578125" style="91" hidden="1" customWidth="1"/>
    <col min="21" max="21" width="9.5703125" style="91" customWidth="1"/>
    <col min="22" max="22" width="25.28515625" style="91" customWidth="1"/>
    <col min="23" max="23" width="14.5703125" style="6" hidden="1" customWidth="1"/>
    <col min="24" max="24" width="12.140625" style="9" hidden="1" customWidth="1"/>
    <col min="25" max="25" width="14.42578125" style="9" hidden="1" customWidth="1"/>
    <col min="26" max="26" width="17.7109375" style="9" hidden="1" customWidth="1"/>
    <col min="27" max="27" width="12.5703125" style="9" hidden="1" customWidth="1"/>
    <col min="28" max="28" width="11.85546875" style="20" bestFit="1" customWidth="1"/>
    <col min="29" max="29" width="11.42578125" style="6" bestFit="1" customWidth="1"/>
    <col min="30" max="30" width="9.85546875" style="6" bestFit="1" customWidth="1"/>
    <col min="31" max="31" width="8.85546875" style="6" bestFit="1" customWidth="1"/>
    <col min="32" max="32" width="12.5703125" style="6" bestFit="1" customWidth="1"/>
    <col min="33" max="33" width="9" style="6" bestFit="1" customWidth="1"/>
    <col min="34" max="34" width="11.7109375" style="6" customWidth="1"/>
    <col min="35" max="35" width="12.7109375" style="6" bestFit="1" customWidth="1"/>
    <col min="36" max="37" width="10.42578125" style="6" customWidth="1"/>
    <col min="38" max="38" width="11.28515625" style="107" bestFit="1" customWidth="1"/>
    <col min="39" max="39" width="11.28515625" style="6" bestFit="1" customWidth="1"/>
    <col min="40" max="40" width="9.7109375" style="6" bestFit="1" customWidth="1"/>
    <col min="41" max="41" width="8.140625" style="6" bestFit="1" customWidth="1"/>
    <col min="42" max="42" width="12.42578125" style="6" bestFit="1" customWidth="1"/>
    <col min="43" max="43" width="8.140625" style="6" bestFit="1" customWidth="1"/>
    <col min="44" max="44" width="13.42578125" style="6" bestFit="1" customWidth="1"/>
    <col min="45" max="45" width="13.5703125" style="6" customWidth="1"/>
  </cols>
  <sheetData>
    <row r="1" spans="1:45" ht="15">
      <c r="S1" s="358" t="s">
        <v>139</v>
      </c>
      <c r="T1" s="358"/>
      <c r="V1" s="132"/>
      <c r="W1" s="358" t="s">
        <v>140</v>
      </c>
      <c r="X1" s="358"/>
      <c r="Y1" s="358"/>
      <c r="Z1" s="358"/>
      <c r="AA1" s="358"/>
    </row>
    <row r="2" spans="1:45" ht="18">
      <c r="A2" s="7" t="s">
        <v>200</v>
      </c>
      <c r="Q2" s="369" t="s">
        <v>51</v>
      </c>
      <c r="R2" s="370"/>
      <c r="S2" s="370"/>
      <c r="T2" s="370"/>
      <c r="U2" s="370"/>
      <c r="V2" s="370"/>
      <c r="W2" s="370"/>
      <c r="X2" s="370"/>
      <c r="Y2" s="370"/>
      <c r="Z2" s="370"/>
      <c r="AA2" s="370"/>
      <c r="AB2" s="371"/>
      <c r="AC2" s="372" t="s">
        <v>33</v>
      </c>
      <c r="AD2" s="373"/>
      <c r="AE2" s="373"/>
      <c r="AF2" s="373"/>
      <c r="AG2" s="373"/>
      <c r="AH2" s="373"/>
      <c r="AI2" s="374"/>
      <c r="AJ2" s="232"/>
      <c r="AK2" s="232"/>
      <c r="AM2" s="372" t="s">
        <v>34</v>
      </c>
      <c r="AN2" s="373"/>
      <c r="AO2" s="373"/>
      <c r="AP2" s="373"/>
      <c r="AQ2" s="373"/>
      <c r="AR2" s="373"/>
      <c r="AS2" s="374"/>
    </row>
    <row r="3" spans="1:45" ht="118.9" customHeight="1">
      <c r="A3" s="1" t="s">
        <v>0</v>
      </c>
      <c r="B3" s="1" t="s">
        <v>5</v>
      </c>
      <c r="C3" s="130" t="s">
        <v>1</v>
      </c>
      <c r="D3" s="225" t="s">
        <v>2</v>
      </c>
      <c r="E3" s="54" t="s">
        <v>4</v>
      </c>
      <c r="F3" s="54" t="s">
        <v>3</v>
      </c>
      <c r="G3" s="130" t="s">
        <v>10</v>
      </c>
      <c r="H3" s="130" t="s">
        <v>9</v>
      </c>
      <c r="I3" s="130" t="s">
        <v>312</v>
      </c>
      <c r="J3" s="154" t="s">
        <v>15</v>
      </c>
      <c r="K3" s="154" t="s">
        <v>314</v>
      </c>
      <c r="L3" s="225" t="s">
        <v>2</v>
      </c>
      <c r="M3" s="155" t="s">
        <v>39</v>
      </c>
      <c r="N3" s="156" t="s">
        <v>25</v>
      </c>
      <c r="O3" s="157" t="s">
        <v>62</v>
      </c>
      <c r="P3" s="5"/>
      <c r="Q3" s="38" t="s">
        <v>26</v>
      </c>
      <c r="R3" s="65" t="s">
        <v>48</v>
      </c>
      <c r="S3" s="72" t="s">
        <v>50</v>
      </c>
      <c r="T3" s="72" t="s">
        <v>50</v>
      </c>
      <c r="U3" s="137" t="s">
        <v>132</v>
      </c>
      <c r="V3" s="138" t="s">
        <v>144</v>
      </c>
      <c r="W3" s="39" t="s">
        <v>133</v>
      </c>
      <c r="X3" s="40" t="s">
        <v>20</v>
      </c>
      <c r="Y3" s="40" t="s">
        <v>47</v>
      </c>
      <c r="Z3" s="40" t="s">
        <v>21</v>
      </c>
      <c r="AA3" s="40" t="s">
        <v>22</v>
      </c>
      <c r="AB3" s="41" t="s">
        <v>30</v>
      </c>
      <c r="AC3" s="233" t="s">
        <v>12</v>
      </c>
      <c r="AD3" s="234" t="s">
        <v>13</v>
      </c>
      <c r="AE3" s="234" t="s">
        <v>312</v>
      </c>
      <c r="AF3" s="234" t="s">
        <v>16</v>
      </c>
      <c r="AG3" s="234" t="s">
        <v>313</v>
      </c>
      <c r="AH3" s="234" t="s">
        <v>40</v>
      </c>
      <c r="AI3" s="235" t="s">
        <v>11</v>
      </c>
      <c r="AJ3" s="11"/>
      <c r="AK3" s="11"/>
      <c r="AM3" s="233" t="s">
        <v>12</v>
      </c>
      <c r="AN3" s="234" t="s">
        <v>13</v>
      </c>
      <c r="AO3" s="234" t="s">
        <v>312</v>
      </c>
      <c r="AP3" s="234" t="s">
        <v>16</v>
      </c>
      <c r="AQ3" s="234" t="s">
        <v>313</v>
      </c>
      <c r="AR3" s="234" t="s">
        <v>40</v>
      </c>
      <c r="AS3" s="235" t="s">
        <v>11</v>
      </c>
    </row>
    <row r="4" spans="1:45" s="18" customFormat="1" ht="15.75">
      <c r="A4" s="44" t="s">
        <v>214</v>
      </c>
      <c r="C4" s="161"/>
      <c r="D4" s="91"/>
      <c r="E4" s="162"/>
      <c r="F4" s="163"/>
      <c r="G4" s="164"/>
      <c r="H4" s="164"/>
      <c r="I4" s="164"/>
      <c r="J4" s="164"/>
      <c r="K4" s="165"/>
      <c r="L4" s="91"/>
      <c r="M4" s="162"/>
      <c r="N4" s="87"/>
      <c r="O4" s="166"/>
      <c r="P4" s="166"/>
      <c r="Q4" s="46"/>
      <c r="R4" s="66"/>
      <c r="S4" s="133"/>
      <c r="T4" s="133"/>
      <c r="U4" s="133"/>
      <c r="V4" s="133"/>
      <c r="AB4" s="30"/>
      <c r="AC4" s="128"/>
      <c r="AD4" s="128"/>
      <c r="AE4" s="128"/>
      <c r="AF4" s="128"/>
      <c r="AG4" s="128"/>
      <c r="AH4" s="236"/>
      <c r="AI4" s="237"/>
      <c r="AJ4" s="128"/>
      <c r="AK4" s="128"/>
      <c r="AL4" s="162"/>
      <c r="AM4" s="127"/>
      <c r="AN4" s="128"/>
      <c r="AO4" s="128"/>
      <c r="AP4" s="128"/>
      <c r="AQ4" s="128"/>
      <c r="AR4" s="128"/>
      <c r="AS4" s="237"/>
    </row>
    <row r="5" spans="1:45" s="18" customFormat="1" ht="14.25" customHeight="1">
      <c r="A5" s="43" t="s">
        <v>176</v>
      </c>
      <c r="C5" s="161"/>
      <c r="D5" s="91"/>
      <c r="E5" s="55"/>
      <c r="F5" s="56"/>
      <c r="G5" s="57"/>
      <c r="H5" s="57"/>
      <c r="I5" s="57"/>
      <c r="J5" s="57"/>
      <c r="K5" s="58"/>
      <c r="L5" s="106"/>
      <c r="M5" s="53"/>
      <c r="N5" s="173">
        <v>1</v>
      </c>
      <c r="O5" s="166"/>
      <c r="P5" s="166"/>
      <c r="Q5" s="46"/>
      <c r="R5" s="66"/>
      <c r="S5" s="133"/>
      <c r="T5" s="133"/>
      <c r="U5" s="133"/>
      <c r="V5" s="133"/>
      <c r="AB5" s="30"/>
      <c r="AC5" s="128"/>
      <c r="AD5" s="128"/>
      <c r="AE5" s="131"/>
      <c r="AF5" s="128"/>
      <c r="AG5" s="128"/>
      <c r="AH5" s="236"/>
      <c r="AI5" s="237"/>
      <c r="AJ5" s="128"/>
      <c r="AK5" s="128"/>
      <c r="AL5" s="162"/>
      <c r="AM5" s="127"/>
      <c r="AN5" s="128"/>
      <c r="AO5" s="128"/>
      <c r="AP5" s="128"/>
      <c r="AQ5" s="128"/>
      <c r="AR5" s="128"/>
      <c r="AS5" s="237"/>
    </row>
    <row r="6" spans="1:45" s="18" customFormat="1" hidden="1">
      <c r="A6" s="42" t="s">
        <v>217</v>
      </c>
      <c r="B6" s="18" t="s">
        <v>215</v>
      </c>
      <c r="C6" s="161">
        <v>2</v>
      </c>
      <c r="D6" s="91" t="s">
        <v>216</v>
      </c>
      <c r="E6" s="162">
        <v>2500</v>
      </c>
      <c r="F6" s="163">
        <f t="shared" ref="F6:F11" si="0">E6*C6</f>
        <v>5000</v>
      </c>
      <c r="G6" s="164">
        <v>0</v>
      </c>
      <c r="H6" s="164">
        <v>0</v>
      </c>
      <c r="I6" s="164">
        <v>0</v>
      </c>
      <c r="J6" s="164">
        <v>8</v>
      </c>
      <c r="K6" s="165">
        <v>16</v>
      </c>
      <c r="L6" s="91" t="s">
        <v>7</v>
      </c>
      <c r="M6" s="162">
        <f t="shared" ref="M6:M11" si="1">IF(R6="PD",((Shop*G6)+(M_Tech*H6)+(CMM*I6)+(ENG*J6)+(DES*K6))*N6,((Shop_RD*G6)+(MTECH_RD*H6)+(CMM_RD*I6)+(ENG_RD*J6)+(DES_RD*K6))*N6)</f>
        <v>0</v>
      </c>
      <c r="N6" s="87">
        <v>0</v>
      </c>
      <c r="O6" s="166">
        <f t="shared" ref="O6:O11" si="2">M6+(F6*N6)</f>
        <v>0</v>
      </c>
      <c r="P6" s="166"/>
      <c r="Q6" s="46" t="s">
        <v>31</v>
      </c>
      <c r="R6" s="66" t="s">
        <v>154</v>
      </c>
      <c r="S6" s="133" t="str">
        <f t="shared" ref="S6:S11" si="3">CONCATENATE(Q6,R6,AB6)</f>
        <v>BPT2009</v>
      </c>
      <c r="T6" s="133" t="str">
        <f t="shared" ref="T6:T11" si="4">CONCATENATE(Q6,U6,AB6)</f>
        <v>B1.2.2.1.12009</v>
      </c>
      <c r="U6" s="133" t="s">
        <v>175</v>
      </c>
      <c r="V6" s="133" t="str">
        <f t="shared" ref="V6:V11" si="5">LOOKUP(U6,$B$345:$B$367,$A$345:$A$367)</f>
        <v>Phase-1 Prototype</v>
      </c>
      <c r="AB6" s="30">
        <v>2009</v>
      </c>
      <c r="AC6" s="128">
        <f t="shared" ref="AC6:AG8" si="6">IF($Q6="B", (G6*$N6),0)</f>
        <v>0</v>
      </c>
      <c r="AD6" s="128">
        <f t="shared" si="6"/>
        <v>0</v>
      </c>
      <c r="AE6" s="128">
        <f t="shared" si="6"/>
        <v>0</v>
      </c>
      <c r="AF6" s="128">
        <f t="shared" si="6"/>
        <v>0</v>
      </c>
      <c r="AG6" s="128">
        <f t="shared" si="6"/>
        <v>0</v>
      </c>
      <c r="AH6" s="236">
        <f t="shared" ref="AH6:AH11" si="7">IF($Q6="B", (F6*$N6),0)</f>
        <v>0</v>
      </c>
      <c r="AI6" s="237"/>
      <c r="AJ6" s="128"/>
      <c r="AK6" s="128"/>
      <c r="AL6" s="162"/>
      <c r="AM6" s="127">
        <f t="shared" ref="AM6:AQ8" si="8">IF($Q6="C", (G6*$N6),0)</f>
        <v>0</v>
      </c>
      <c r="AN6" s="128">
        <f t="shared" si="8"/>
        <v>0</v>
      </c>
      <c r="AO6" s="128">
        <f t="shared" si="8"/>
        <v>0</v>
      </c>
      <c r="AP6" s="128">
        <f t="shared" si="8"/>
        <v>0</v>
      </c>
      <c r="AQ6" s="128">
        <f t="shared" si="8"/>
        <v>0</v>
      </c>
      <c r="AR6" s="128">
        <f t="shared" ref="AR6:AR11" si="9">IF($Q6="C", (F6*$N6),0)</f>
        <v>0</v>
      </c>
      <c r="AS6" s="237"/>
    </row>
    <row r="7" spans="1:45" s="18" customFormat="1" hidden="1">
      <c r="A7" s="42" t="s">
        <v>218</v>
      </c>
      <c r="B7" s="18" t="s">
        <v>8</v>
      </c>
      <c r="C7" s="161">
        <v>1</v>
      </c>
      <c r="D7" s="91" t="s">
        <v>8</v>
      </c>
      <c r="E7" s="162">
        <v>150000</v>
      </c>
      <c r="F7" s="163">
        <f t="shared" si="0"/>
        <v>150000</v>
      </c>
      <c r="G7" s="164">
        <v>0</v>
      </c>
      <c r="H7" s="164">
        <v>0</v>
      </c>
      <c r="I7" s="164">
        <v>0</v>
      </c>
      <c r="J7" s="164">
        <v>0</v>
      </c>
      <c r="K7" s="165">
        <v>32</v>
      </c>
      <c r="L7" s="91" t="s">
        <v>7</v>
      </c>
      <c r="M7" s="162">
        <f t="shared" si="1"/>
        <v>0</v>
      </c>
      <c r="N7" s="87">
        <v>0</v>
      </c>
      <c r="O7" s="166">
        <f t="shared" si="2"/>
        <v>0</v>
      </c>
      <c r="P7" s="166"/>
      <c r="Q7" s="46" t="s">
        <v>31</v>
      </c>
      <c r="R7" s="66" t="s">
        <v>154</v>
      </c>
      <c r="S7" s="133" t="str">
        <f t="shared" si="3"/>
        <v>BPT2009</v>
      </c>
      <c r="T7" s="133" t="str">
        <f t="shared" si="4"/>
        <v>B1.2.2.1.12009</v>
      </c>
      <c r="U7" s="133" t="s">
        <v>175</v>
      </c>
      <c r="V7" s="133" t="str">
        <f t="shared" si="5"/>
        <v>Phase-1 Prototype</v>
      </c>
      <c r="AB7" s="30">
        <v>2009</v>
      </c>
      <c r="AC7" s="128">
        <f t="shared" si="6"/>
        <v>0</v>
      </c>
      <c r="AD7" s="128">
        <f t="shared" si="6"/>
        <v>0</v>
      </c>
      <c r="AE7" s="128">
        <f t="shared" si="6"/>
        <v>0</v>
      </c>
      <c r="AF7" s="128">
        <f t="shared" si="6"/>
        <v>0</v>
      </c>
      <c r="AG7" s="128">
        <f t="shared" si="6"/>
        <v>0</v>
      </c>
      <c r="AH7" s="236">
        <f t="shared" si="7"/>
        <v>0</v>
      </c>
      <c r="AI7" s="237"/>
      <c r="AJ7" s="128"/>
      <c r="AK7" s="128"/>
      <c r="AL7" s="162"/>
      <c r="AM7" s="127">
        <f t="shared" si="8"/>
        <v>0</v>
      </c>
      <c r="AN7" s="128">
        <f t="shared" si="8"/>
        <v>0</v>
      </c>
      <c r="AO7" s="128">
        <f t="shared" si="8"/>
        <v>0</v>
      </c>
      <c r="AP7" s="128">
        <f t="shared" si="8"/>
        <v>0</v>
      </c>
      <c r="AQ7" s="128">
        <f t="shared" si="8"/>
        <v>0</v>
      </c>
      <c r="AR7" s="128">
        <f t="shared" si="9"/>
        <v>0</v>
      </c>
      <c r="AS7" s="237"/>
    </row>
    <row r="8" spans="1:45" s="18" customFormat="1" hidden="1">
      <c r="A8" s="42" t="s">
        <v>219</v>
      </c>
      <c r="B8" s="18" t="s">
        <v>8</v>
      </c>
      <c r="C8" s="161">
        <v>1</v>
      </c>
      <c r="D8" s="91" t="s">
        <v>8</v>
      </c>
      <c r="E8" s="162">
        <v>0</v>
      </c>
      <c r="F8" s="163">
        <f t="shared" si="0"/>
        <v>0</v>
      </c>
      <c r="G8" s="164">
        <v>0</v>
      </c>
      <c r="H8" s="164">
        <v>0</v>
      </c>
      <c r="I8" s="164">
        <v>0</v>
      </c>
      <c r="J8" s="164">
        <v>0</v>
      </c>
      <c r="K8" s="165">
        <v>0</v>
      </c>
      <c r="L8" s="91" t="s">
        <v>7</v>
      </c>
      <c r="M8" s="162">
        <f t="shared" si="1"/>
        <v>0</v>
      </c>
      <c r="N8" s="87">
        <v>0</v>
      </c>
      <c r="O8" s="166">
        <f t="shared" si="2"/>
        <v>0</v>
      </c>
      <c r="P8" s="166"/>
      <c r="Q8" s="46" t="s">
        <v>32</v>
      </c>
      <c r="R8" s="66" t="s">
        <v>154</v>
      </c>
      <c r="S8" s="133" t="str">
        <f t="shared" si="3"/>
        <v>CPT2010</v>
      </c>
      <c r="T8" s="133" t="str">
        <f t="shared" si="4"/>
        <v>C1.2.2.1.12010</v>
      </c>
      <c r="U8" s="133" t="s">
        <v>175</v>
      </c>
      <c r="V8" s="133" t="str">
        <f t="shared" si="5"/>
        <v>Phase-1 Prototype</v>
      </c>
      <c r="AB8" s="30">
        <v>2010</v>
      </c>
      <c r="AC8" s="128">
        <f t="shared" si="6"/>
        <v>0</v>
      </c>
      <c r="AD8" s="128">
        <f t="shared" si="6"/>
        <v>0</v>
      </c>
      <c r="AE8" s="128">
        <f t="shared" si="6"/>
        <v>0</v>
      </c>
      <c r="AF8" s="128">
        <f t="shared" si="6"/>
        <v>0</v>
      </c>
      <c r="AG8" s="128">
        <f t="shared" si="6"/>
        <v>0</v>
      </c>
      <c r="AH8" s="236">
        <f t="shared" si="7"/>
        <v>0</v>
      </c>
      <c r="AI8" s="237"/>
      <c r="AJ8" s="128"/>
      <c r="AK8" s="128"/>
      <c r="AL8" s="162"/>
      <c r="AM8" s="127">
        <f t="shared" si="8"/>
        <v>0</v>
      </c>
      <c r="AN8" s="128">
        <f t="shared" si="8"/>
        <v>0</v>
      </c>
      <c r="AO8" s="128">
        <f t="shared" si="8"/>
        <v>0</v>
      </c>
      <c r="AP8" s="128">
        <f t="shared" si="8"/>
        <v>0</v>
      </c>
      <c r="AQ8" s="128">
        <f t="shared" si="8"/>
        <v>0</v>
      </c>
      <c r="AR8" s="128">
        <f t="shared" si="9"/>
        <v>0</v>
      </c>
      <c r="AS8" s="237"/>
    </row>
    <row r="9" spans="1:45" s="18" customFormat="1" hidden="1">
      <c r="A9" s="42" t="s">
        <v>220</v>
      </c>
      <c r="B9" s="18" t="s">
        <v>215</v>
      </c>
      <c r="C9" s="161">
        <v>1</v>
      </c>
      <c r="D9" s="91" t="s">
        <v>216</v>
      </c>
      <c r="E9" s="162">
        <v>0</v>
      </c>
      <c r="F9" s="163">
        <f t="shared" si="0"/>
        <v>0</v>
      </c>
      <c r="G9" s="164">
        <v>0</v>
      </c>
      <c r="H9" s="164">
        <v>0</v>
      </c>
      <c r="I9" s="164">
        <v>0</v>
      </c>
      <c r="J9" s="164">
        <v>0</v>
      </c>
      <c r="K9" s="165">
        <v>0</v>
      </c>
      <c r="L9" s="91" t="s">
        <v>7</v>
      </c>
      <c r="M9" s="162">
        <f t="shared" si="1"/>
        <v>0</v>
      </c>
      <c r="N9" s="87">
        <v>0</v>
      </c>
      <c r="O9" s="166">
        <f t="shared" si="2"/>
        <v>0</v>
      </c>
      <c r="P9" s="166"/>
      <c r="Q9" s="46" t="s">
        <v>32</v>
      </c>
      <c r="R9" s="66" t="s">
        <v>154</v>
      </c>
      <c r="S9" s="133" t="str">
        <f t="shared" si="3"/>
        <v>CPT2010</v>
      </c>
      <c r="T9" s="133" t="str">
        <f t="shared" si="4"/>
        <v>C1.2.2.1.12010</v>
      </c>
      <c r="U9" s="133" t="s">
        <v>175</v>
      </c>
      <c r="V9" s="133" t="str">
        <f t="shared" si="5"/>
        <v>Phase-1 Prototype</v>
      </c>
      <c r="AB9" s="30">
        <v>2010</v>
      </c>
      <c r="AC9" s="128">
        <f t="shared" ref="AC9:AG11" si="10">IF($Q9="B", (G9*$N9),0)</f>
        <v>0</v>
      </c>
      <c r="AD9" s="128">
        <f t="shared" si="10"/>
        <v>0</v>
      </c>
      <c r="AE9" s="128">
        <f t="shared" si="10"/>
        <v>0</v>
      </c>
      <c r="AF9" s="128">
        <f t="shared" si="10"/>
        <v>0</v>
      </c>
      <c r="AG9" s="128">
        <f t="shared" si="10"/>
        <v>0</v>
      </c>
      <c r="AH9" s="236">
        <f t="shared" si="7"/>
        <v>0</v>
      </c>
      <c r="AI9" s="237"/>
      <c r="AJ9" s="128"/>
      <c r="AK9" s="128"/>
      <c r="AL9" s="162"/>
      <c r="AM9" s="127">
        <f t="shared" ref="AM9:AQ11" si="11">IF($Q9="C", (G9*$N9),0)</f>
        <v>0</v>
      </c>
      <c r="AN9" s="128">
        <f t="shared" si="11"/>
        <v>0</v>
      </c>
      <c r="AO9" s="128">
        <f t="shared" si="11"/>
        <v>0</v>
      </c>
      <c r="AP9" s="128">
        <f t="shared" si="11"/>
        <v>0</v>
      </c>
      <c r="AQ9" s="128">
        <f t="shared" si="11"/>
        <v>0</v>
      </c>
      <c r="AR9" s="128">
        <f t="shared" si="9"/>
        <v>0</v>
      </c>
      <c r="AS9" s="237"/>
    </row>
    <row r="10" spans="1:45" s="18" customFormat="1">
      <c r="A10" s="42" t="s">
        <v>254</v>
      </c>
      <c r="B10" s="18" t="s">
        <v>215</v>
      </c>
      <c r="C10" s="161">
        <v>2</v>
      </c>
      <c r="D10" s="91" t="s">
        <v>216</v>
      </c>
      <c r="E10" s="162">
        <v>1700</v>
      </c>
      <c r="F10" s="163">
        <f t="shared" si="0"/>
        <v>3400</v>
      </c>
      <c r="G10" s="164">
        <v>0</v>
      </c>
      <c r="H10" s="164">
        <v>0</v>
      </c>
      <c r="I10" s="164">
        <v>8</v>
      </c>
      <c r="J10" s="164">
        <v>0</v>
      </c>
      <c r="K10" s="165">
        <v>8</v>
      </c>
      <c r="L10" s="91" t="s">
        <v>7</v>
      </c>
      <c r="M10" s="162">
        <f t="shared" si="1"/>
        <v>0</v>
      </c>
      <c r="N10" s="87">
        <v>1</v>
      </c>
      <c r="O10" s="166">
        <f t="shared" si="2"/>
        <v>3400</v>
      </c>
      <c r="P10" s="166"/>
      <c r="Q10" s="46" t="s">
        <v>31</v>
      </c>
      <c r="R10" s="66" t="s">
        <v>154</v>
      </c>
      <c r="S10" s="133" t="str">
        <f t="shared" si="3"/>
        <v>BPT2010</v>
      </c>
      <c r="T10" s="133" t="str">
        <f t="shared" si="4"/>
        <v>B1.2.2.1.12010</v>
      </c>
      <c r="U10" s="133" t="s">
        <v>175</v>
      </c>
      <c r="V10" s="133" t="str">
        <f t="shared" si="5"/>
        <v>Phase-1 Prototype</v>
      </c>
      <c r="AB10" s="30">
        <v>2010</v>
      </c>
      <c r="AC10" s="128">
        <f t="shared" si="10"/>
        <v>0</v>
      </c>
      <c r="AD10" s="128">
        <f t="shared" si="10"/>
        <v>0</v>
      </c>
      <c r="AE10" s="128">
        <f t="shared" si="10"/>
        <v>8</v>
      </c>
      <c r="AF10" s="128">
        <f t="shared" si="10"/>
        <v>0</v>
      </c>
      <c r="AG10" s="128">
        <f t="shared" si="10"/>
        <v>8</v>
      </c>
      <c r="AH10" s="236">
        <f t="shared" si="7"/>
        <v>3400</v>
      </c>
      <c r="AI10" s="237"/>
      <c r="AJ10" s="128"/>
      <c r="AK10" s="128"/>
      <c r="AL10" s="162"/>
      <c r="AM10" s="127">
        <f t="shared" si="11"/>
        <v>0</v>
      </c>
      <c r="AN10" s="128">
        <f t="shared" si="11"/>
        <v>0</v>
      </c>
      <c r="AO10" s="128">
        <f t="shared" si="11"/>
        <v>0</v>
      </c>
      <c r="AP10" s="128">
        <f t="shared" si="11"/>
        <v>0</v>
      </c>
      <c r="AQ10" s="128">
        <f t="shared" si="11"/>
        <v>0</v>
      </c>
      <c r="AR10" s="128">
        <f t="shared" si="9"/>
        <v>0</v>
      </c>
      <c r="AS10" s="237"/>
    </row>
    <row r="11" spans="1:45" s="18" customFormat="1" hidden="1">
      <c r="A11" s="42" t="s">
        <v>315</v>
      </c>
      <c r="B11" s="18" t="s">
        <v>8</v>
      </c>
      <c r="C11" s="161">
        <v>2</v>
      </c>
      <c r="D11" s="91" t="s">
        <v>8</v>
      </c>
      <c r="E11" s="162">
        <v>5000</v>
      </c>
      <c r="F11" s="163">
        <f t="shared" si="0"/>
        <v>10000</v>
      </c>
      <c r="G11" s="164">
        <v>0</v>
      </c>
      <c r="H11" s="164">
        <v>0</v>
      </c>
      <c r="I11" s="164">
        <v>0</v>
      </c>
      <c r="J11" s="164">
        <v>0</v>
      </c>
      <c r="K11" s="165">
        <v>32</v>
      </c>
      <c r="L11" s="91" t="s">
        <v>7</v>
      </c>
      <c r="M11" s="162">
        <f t="shared" si="1"/>
        <v>0</v>
      </c>
      <c r="N11" s="87">
        <v>0</v>
      </c>
      <c r="O11" s="166">
        <f t="shared" si="2"/>
        <v>0</v>
      </c>
      <c r="P11" s="166"/>
      <c r="Q11" s="46" t="s">
        <v>32</v>
      </c>
      <c r="R11" s="66" t="s">
        <v>154</v>
      </c>
      <c r="S11" s="133" t="str">
        <f t="shared" si="3"/>
        <v>CPT2010</v>
      </c>
      <c r="T11" s="133" t="str">
        <f t="shared" si="4"/>
        <v>C1.2.2.1.12010</v>
      </c>
      <c r="U11" s="133" t="s">
        <v>175</v>
      </c>
      <c r="V11" s="133" t="str">
        <f t="shared" si="5"/>
        <v>Phase-1 Prototype</v>
      </c>
      <c r="AB11" s="30">
        <v>2010</v>
      </c>
      <c r="AC11" s="128">
        <f t="shared" si="10"/>
        <v>0</v>
      </c>
      <c r="AD11" s="128">
        <f t="shared" si="10"/>
        <v>0</v>
      </c>
      <c r="AE11" s="128">
        <f t="shared" si="10"/>
        <v>0</v>
      </c>
      <c r="AF11" s="128">
        <f t="shared" si="10"/>
        <v>0</v>
      </c>
      <c r="AG11" s="128">
        <f t="shared" si="10"/>
        <v>0</v>
      </c>
      <c r="AH11" s="236">
        <f t="shared" si="7"/>
        <v>0</v>
      </c>
      <c r="AI11" s="237"/>
      <c r="AJ11" s="128"/>
      <c r="AK11" s="128"/>
      <c r="AL11" s="162"/>
      <c r="AM11" s="127">
        <f t="shared" si="11"/>
        <v>0</v>
      </c>
      <c r="AN11" s="128">
        <f t="shared" si="11"/>
        <v>0</v>
      </c>
      <c r="AO11" s="128">
        <f t="shared" si="11"/>
        <v>0</v>
      </c>
      <c r="AP11" s="128">
        <f t="shared" si="11"/>
        <v>0</v>
      </c>
      <c r="AQ11" s="128">
        <f t="shared" si="11"/>
        <v>0</v>
      </c>
      <c r="AR11" s="128">
        <f t="shared" si="9"/>
        <v>0</v>
      </c>
      <c r="AS11" s="237"/>
    </row>
    <row r="12" spans="1:45" s="18" customFormat="1">
      <c r="A12" s="43" t="s">
        <v>226</v>
      </c>
      <c r="C12" s="161"/>
      <c r="D12" s="91"/>
      <c r="E12" s="55"/>
      <c r="F12" s="56"/>
      <c r="G12" s="57"/>
      <c r="H12" s="57"/>
      <c r="I12" s="57"/>
      <c r="J12" s="57"/>
      <c r="K12" s="58"/>
      <c r="L12" s="222" t="s">
        <v>43</v>
      </c>
      <c r="M12" s="174">
        <f>SUMIF(Q6:Q11,"B",M6:M11)</f>
        <v>0</v>
      </c>
      <c r="N12" s="62" t="s">
        <v>42</v>
      </c>
      <c r="O12" s="166"/>
      <c r="P12" s="166"/>
      <c r="Q12" s="46"/>
      <c r="R12" s="66"/>
      <c r="S12" s="133"/>
      <c r="T12" s="133"/>
      <c r="U12" s="133"/>
      <c r="V12" s="133"/>
      <c r="AB12" s="30"/>
      <c r="AC12" s="128"/>
      <c r="AD12" s="128"/>
      <c r="AE12" s="131"/>
      <c r="AF12" s="128"/>
      <c r="AG12" s="128"/>
      <c r="AH12" s="236"/>
      <c r="AI12" s="237"/>
      <c r="AJ12" s="128"/>
      <c r="AK12" s="128"/>
      <c r="AL12" s="162"/>
      <c r="AM12" s="127"/>
      <c r="AN12" s="128"/>
      <c r="AO12" s="128"/>
      <c r="AP12" s="128"/>
      <c r="AQ12" s="128"/>
      <c r="AR12" s="128"/>
      <c r="AS12" s="237"/>
    </row>
    <row r="13" spans="1:45" s="18" customFormat="1" hidden="1">
      <c r="A13" s="42" t="s">
        <v>221</v>
      </c>
      <c r="B13" s="18" t="s">
        <v>19</v>
      </c>
      <c r="C13" s="161">
        <v>1</v>
      </c>
      <c r="D13" s="91" t="s">
        <v>8</v>
      </c>
      <c r="E13" s="162">
        <v>0</v>
      </c>
      <c r="F13" s="163">
        <f t="shared" ref="F13:F21" si="12">E13*C13</f>
        <v>0</v>
      </c>
      <c r="G13" s="164">
        <v>0</v>
      </c>
      <c r="H13" s="164">
        <v>0</v>
      </c>
      <c r="I13" s="164">
        <v>0</v>
      </c>
      <c r="J13" s="164">
        <v>2</v>
      </c>
      <c r="K13" s="165">
        <v>160</v>
      </c>
      <c r="L13" s="91" t="s">
        <v>7</v>
      </c>
      <c r="M13" s="162">
        <f t="shared" ref="M13:M21" si="13">IF(R13="PD",((Shop*G13)+(M_Tech*H13)+(CMM*I13)+(ENG*J13)+(DES*K13))*N13,((Shop_RD*G13)+(MTECH_RD*H13)+(CMM_RD*I13)+(ENG_RD*J13)+(DES_RD*K13))*N13)</f>
        <v>0</v>
      </c>
      <c r="N13" s="87">
        <v>0</v>
      </c>
      <c r="O13" s="166">
        <f t="shared" ref="O13:O21" si="14">M13+(F13*N13)</f>
        <v>0</v>
      </c>
      <c r="P13" s="166"/>
      <c r="Q13" s="46" t="s">
        <v>31</v>
      </c>
      <c r="R13" s="66" t="s">
        <v>154</v>
      </c>
      <c r="S13" s="133" t="str">
        <f t="shared" ref="S13:S21" si="15">CONCATENATE(Q13,R13,AB13)</f>
        <v>BPT2009</v>
      </c>
      <c r="T13" s="133" t="str">
        <f t="shared" ref="T13:T21" si="16">CONCATENATE(Q13,U13,AB13)</f>
        <v>B1.2.2.1.12009</v>
      </c>
      <c r="U13" s="133" t="s">
        <v>175</v>
      </c>
      <c r="V13" s="133" t="str">
        <f t="shared" ref="V13:V21" si="17">LOOKUP(U13,$B$345:$B$367,$A$345:$A$367)</f>
        <v>Phase-1 Prototype</v>
      </c>
      <c r="AB13" s="30">
        <v>2009</v>
      </c>
      <c r="AC13" s="128">
        <f t="shared" ref="AC13:AG21" si="18">IF($Q13="B", (G13*$N13),0)</f>
        <v>0</v>
      </c>
      <c r="AD13" s="128">
        <f t="shared" si="18"/>
        <v>0</v>
      </c>
      <c r="AE13" s="128">
        <f t="shared" si="18"/>
        <v>0</v>
      </c>
      <c r="AF13" s="128">
        <f t="shared" si="18"/>
        <v>0</v>
      </c>
      <c r="AG13" s="128">
        <f t="shared" si="18"/>
        <v>0</v>
      </c>
      <c r="AH13" s="236">
        <f t="shared" ref="AH13:AH21" si="19">IF($Q13="B", (F13*$N13),0)</f>
        <v>0</v>
      </c>
      <c r="AI13" s="237"/>
      <c r="AJ13" s="128"/>
      <c r="AK13" s="128"/>
      <c r="AL13" s="162"/>
      <c r="AM13" s="127">
        <f t="shared" ref="AM13:AQ21" si="20">IF($Q13="C", (G13*$N13),0)</f>
        <v>0</v>
      </c>
      <c r="AN13" s="128">
        <f t="shared" si="20"/>
        <v>0</v>
      </c>
      <c r="AO13" s="128">
        <f t="shared" si="20"/>
        <v>0</v>
      </c>
      <c r="AP13" s="128">
        <f t="shared" si="20"/>
        <v>0</v>
      </c>
      <c r="AQ13" s="128">
        <f t="shared" si="20"/>
        <v>0</v>
      </c>
      <c r="AR13" s="128">
        <f t="shared" ref="AR13:AR21" si="21">IF($Q13="C", (F13*$N13),0)</f>
        <v>0</v>
      </c>
      <c r="AS13" s="237"/>
    </row>
    <row r="14" spans="1:45" s="18" customFormat="1" hidden="1">
      <c r="A14" s="42" t="s">
        <v>222</v>
      </c>
      <c r="B14" s="18" t="s">
        <v>223</v>
      </c>
      <c r="C14" s="161">
        <v>10</v>
      </c>
      <c r="D14" s="91" t="s">
        <v>223</v>
      </c>
      <c r="E14" s="162">
        <v>150</v>
      </c>
      <c r="F14" s="163">
        <f t="shared" si="12"/>
        <v>1500</v>
      </c>
      <c r="G14" s="164">
        <v>0</v>
      </c>
      <c r="H14" s="164">
        <v>0</v>
      </c>
      <c r="I14" s="164">
        <v>0</v>
      </c>
      <c r="J14" s="164">
        <v>0</v>
      </c>
      <c r="K14" s="165">
        <v>8</v>
      </c>
      <c r="L14" s="91" t="s">
        <v>7</v>
      </c>
      <c r="M14" s="162">
        <f t="shared" si="13"/>
        <v>0</v>
      </c>
      <c r="N14" s="87">
        <v>0</v>
      </c>
      <c r="O14" s="166">
        <f t="shared" si="14"/>
        <v>0</v>
      </c>
      <c r="P14" s="166"/>
      <c r="Q14" s="46" t="s">
        <v>31</v>
      </c>
      <c r="R14" s="66" t="s">
        <v>154</v>
      </c>
      <c r="S14" s="133" t="str">
        <f t="shared" si="15"/>
        <v>BPT2009</v>
      </c>
      <c r="T14" s="133" t="str">
        <f t="shared" si="16"/>
        <v>B1.2.2.1.12009</v>
      </c>
      <c r="U14" s="133" t="s">
        <v>175</v>
      </c>
      <c r="V14" s="133" t="str">
        <f t="shared" si="17"/>
        <v>Phase-1 Prototype</v>
      </c>
      <c r="AB14" s="30">
        <v>2009</v>
      </c>
      <c r="AC14" s="128">
        <f t="shared" si="18"/>
        <v>0</v>
      </c>
      <c r="AD14" s="128">
        <f t="shared" si="18"/>
        <v>0</v>
      </c>
      <c r="AE14" s="128">
        <f t="shared" si="18"/>
        <v>0</v>
      </c>
      <c r="AF14" s="128">
        <f t="shared" si="18"/>
        <v>0</v>
      </c>
      <c r="AG14" s="128">
        <f t="shared" si="18"/>
        <v>0</v>
      </c>
      <c r="AH14" s="236">
        <f t="shared" si="19"/>
        <v>0</v>
      </c>
      <c r="AI14" s="237"/>
      <c r="AJ14" s="128"/>
      <c r="AK14" s="128"/>
      <c r="AL14" s="162"/>
      <c r="AM14" s="127">
        <f t="shared" si="20"/>
        <v>0</v>
      </c>
      <c r="AN14" s="128">
        <f t="shared" si="20"/>
        <v>0</v>
      </c>
      <c r="AO14" s="128">
        <f t="shared" si="20"/>
        <v>0</v>
      </c>
      <c r="AP14" s="128">
        <f t="shared" si="20"/>
        <v>0</v>
      </c>
      <c r="AQ14" s="128">
        <f t="shared" si="20"/>
        <v>0</v>
      </c>
      <c r="AR14" s="128">
        <f t="shared" si="21"/>
        <v>0</v>
      </c>
      <c r="AS14" s="237"/>
    </row>
    <row r="15" spans="1:45" s="18" customFormat="1" hidden="1">
      <c r="A15" s="42" t="s">
        <v>224</v>
      </c>
      <c r="B15" s="18" t="s">
        <v>8</v>
      </c>
      <c r="C15" s="161">
        <v>10</v>
      </c>
      <c r="D15" s="91" t="s">
        <v>8</v>
      </c>
      <c r="E15" s="162">
        <v>300</v>
      </c>
      <c r="F15" s="163">
        <f t="shared" si="12"/>
        <v>3000</v>
      </c>
      <c r="G15" s="164">
        <v>0</v>
      </c>
      <c r="H15" s="164">
        <v>60</v>
      </c>
      <c r="I15" s="164">
        <v>8</v>
      </c>
      <c r="J15" s="164">
        <v>0</v>
      </c>
      <c r="K15" s="165">
        <v>8</v>
      </c>
      <c r="L15" s="91" t="s">
        <v>7</v>
      </c>
      <c r="M15" s="162">
        <f t="shared" si="13"/>
        <v>0</v>
      </c>
      <c r="N15" s="87">
        <v>0</v>
      </c>
      <c r="O15" s="166">
        <f t="shared" si="14"/>
        <v>0</v>
      </c>
      <c r="P15" s="166"/>
      <c r="Q15" s="46" t="s">
        <v>31</v>
      </c>
      <c r="R15" s="66" t="s">
        <v>154</v>
      </c>
      <c r="S15" s="133" t="str">
        <f t="shared" si="15"/>
        <v>BPT2009</v>
      </c>
      <c r="T15" s="133" t="str">
        <f t="shared" si="16"/>
        <v>B1.2.2.1.12009</v>
      </c>
      <c r="U15" s="133" t="s">
        <v>175</v>
      </c>
      <c r="V15" s="133" t="str">
        <f t="shared" si="17"/>
        <v>Phase-1 Prototype</v>
      </c>
      <c r="AB15" s="30">
        <v>2009</v>
      </c>
      <c r="AC15" s="128">
        <f t="shared" si="18"/>
        <v>0</v>
      </c>
      <c r="AD15" s="128">
        <f t="shared" si="18"/>
        <v>0</v>
      </c>
      <c r="AE15" s="128">
        <f t="shared" si="18"/>
        <v>0</v>
      </c>
      <c r="AF15" s="128">
        <f t="shared" si="18"/>
        <v>0</v>
      </c>
      <c r="AG15" s="128">
        <f t="shared" si="18"/>
        <v>0</v>
      </c>
      <c r="AH15" s="236">
        <f t="shared" si="19"/>
        <v>0</v>
      </c>
      <c r="AI15" s="237"/>
      <c r="AJ15" s="128"/>
      <c r="AK15" s="128"/>
      <c r="AL15" s="162"/>
      <c r="AM15" s="127">
        <f t="shared" si="20"/>
        <v>0</v>
      </c>
      <c r="AN15" s="128">
        <f t="shared" si="20"/>
        <v>0</v>
      </c>
      <c r="AO15" s="128">
        <f t="shared" si="20"/>
        <v>0</v>
      </c>
      <c r="AP15" s="128">
        <f t="shared" si="20"/>
        <v>0</v>
      </c>
      <c r="AQ15" s="128">
        <f t="shared" si="20"/>
        <v>0</v>
      </c>
      <c r="AR15" s="128">
        <f t="shared" si="21"/>
        <v>0</v>
      </c>
      <c r="AS15" s="237"/>
    </row>
    <row r="16" spans="1:45" s="18" customFormat="1" hidden="1">
      <c r="A16" s="42" t="s">
        <v>323</v>
      </c>
      <c r="B16" s="18" t="s">
        <v>19</v>
      </c>
      <c r="C16" s="161">
        <v>1</v>
      </c>
      <c r="D16" s="91" t="s">
        <v>8</v>
      </c>
      <c r="E16" s="162">
        <v>0</v>
      </c>
      <c r="F16" s="163">
        <f t="shared" si="12"/>
        <v>0</v>
      </c>
      <c r="G16" s="164">
        <v>0</v>
      </c>
      <c r="H16" s="164">
        <v>0</v>
      </c>
      <c r="I16" s="164">
        <v>0</v>
      </c>
      <c r="J16" s="164">
        <v>2</v>
      </c>
      <c r="K16" s="165">
        <v>80</v>
      </c>
      <c r="L16" s="91" t="s">
        <v>7</v>
      </c>
      <c r="M16" s="162">
        <f t="shared" si="13"/>
        <v>0</v>
      </c>
      <c r="N16" s="87">
        <v>0</v>
      </c>
      <c r="O16" s="166">
        <f t="shared" si="14"/>
        <v>0</v>
      </c>
      <c r="P16" s="166"/>
      <c r="Q16" s="46" t="s">
        <v>31</v>
      </c>
      <c r="R16" s="66" t="s">
        <v>154</v>
      </c>
      <c r="S16" s="133" t="str">
        <f t="shared" si="15"/>
        <v>BPT2009</v>
      </c>
      <c r="T16" s="133" t="str">
        <f t="shared" si="16"/>
        <v>B1.2.2.1.12009</v>
      </c>
      <c r="U16" s="133" t="s">
        <v>175</v>
      </c>
      <c r="V16" s="133" t="str">
        <f t="shared" si="17"/>
        <v>Phase-1 Prototype</v>
      </c>
      <c r="AB16" s="30">
        <v>2009</v>
      </c>
      <c r="AC16" s="128">
        <f t="shared" ref="AC16:AG18" si="22">IF($Q16="B", (G16*$N16),0)</f>
        <v>0</v>
      </c>
      <c r="AD16" s="128">
        <f t="shared" si="22"/>
        <v>0</v>
      </c>
      <c r="AE16" s="128">
        <f t="shared" si="22"/>
        <v>0</v>
      </c>
      <c r="AF16" s="128">
        <f t="shared" si="22"/>
        <v>0</v>
      </c>
      <c r="AG16" s="128">
        <f t="shared" si="22"/>
        <v>0</v>
      </c>
      <c r="AH16" s="236">
        <f t="shared" si="19"/>
        <v>0</v>
      </c>
      <c r="AI16" s="237"/>
      <c r="AJ16" s="128"/>
      <c r="AK16" s="128"/>
      <c r="AL16" s="162"/>
      <c r="AM16" s="127">
        <f t="shared" ref="AM16:AQ18" si="23">IF($Q16="C", (G16*$N16),0)</f>
        <v>0</v>
      </c>
      <c r="AN16" s="128">
        <f t="shared" si="23"/>
        <v>0</v>
      </c>
      <c r="AO16" s="128">
        <f t="shared" si="23"/>
        <v>0</v>
      </c>
      <c r="AP16" s="128">
        <f t="shared" si="23"/>
        <v>0</v>
      </c>
      <c r="AQ16" s="128">
        <f t="shared" si="23"/>
        <v>0</v>
      </c>
      <c r="AR16" s="128">
        <f t="shared" si="21"/>
        <v>0</v>
      </c>
      <c r="AS16" s="237"/>
    </row>
    <row r="17" spans="1:45" s="18" customFormat="1" hidden="1">
      <c r="A17" s="42" t="s">
        <v>271</v>
      </c>
      <c r="B17" s="18" t="s">
        <v>223</v>
      </c>
      <c r="C17" s="161">
        <v>10</v>
      </c>
      <c r="D17" s="91" t="s">
        <v>223</v>
      </c>
      <c r="E17" s="162">
        <v>150</v>
      </c>
      <c r="F17" s="163">
        <f t="shared" si="12"/>
        <v>1500</v>
      </c>
      <c r="G17" s="164">
        <v>0</v>
      </c>
      <c r="H17" s="164">
        <v>0</v>
      </c>
      <c r="I17" s="164">
        <v>0</v>
      </c>
      <c r="J17" s="164">
        <v>0</v>
      </c>
      <c r="K17" s="165">
        <v>8</v>
      </c>
      <c r="L17" s="91" t="s">
        <v>7</v>
      </c>
      <c r="M17" s="162">
        <f t="shared" si="13"/>
        <v>0</v>
      </c>
      <c r="N17" s="87">
        <v>0</v>
      </c>
      <c r="O17" s="166">
        <f t="shared" si="14"/>
        <v>0</v>
      </c>
      <c r="P17" s="166"/>
      <c r="Q17" s="46" t="s">
        <v>31</v>
      </c>
      <c r="R17" s="66" t="s">
        <v>154</v>
      </c>
      <c r="S17" s="133" t="str">
        <f t="shared" si="15"/>
        <v>BPT2009</v>
      </c>
      <c r="T17" s="133" t="str">
        <f t="shared" si="16"/>
        <v>B1.2.2.1.12009</v>
      </c>
      <c r="U17" s="133" t="s">
        <v>175</v>
      </c>
      <c r="V17" s="133" t="str">
        <f t="shared" si="17"/>
        <v>Phase-1 Prototype</v>
      </c>
      <c r="AB17" s="30">
        <v>2009</v>
      </c>
      <c r="AC17" s="128">
        <f t="shared" si="22"/>
        <v>0</v>
      </c>
      <c r="AD17" s="128">
        <f t="shared" si="22"/>
        <v>0</v>
      </c>
      <c r="AE17" s="128">
        <f t="shared" si="22"/>
        <v>0</v>
      </c>
      <c r="AF17" s="128">
        <f t="shared" si="22"/>
        <v>0</v>
      </c>
      <c r="AG17" s="128">
        <f t="shared" si="22"/>
        <v>0</v>
      </c>
      <c r="AH17" s="236">
        <f t="shared" si="19"/>
        <v>0</v>
      </c>
      <c r="AI17" s="237"/>
      <c r="AJ17" s="128"/>
      <c r="AK17" s="128"/>
      <c r="AL17" s="162"/>
      <c r="AM17" s="127">
        <f t="shared" si="23"/>
        <v>0</v>
      </c>
      <c r="AN17" s="128">
        <f t="shared" si="23"/>
        <v>0</v>
      </c>
      <c r="AO17" s="128">
        <f t="shared" si="23"/>
        <v>0</v>
      </c>
      <c r="AP17" s="128">
        <f t="shared" si="23"/>
        <v>0</v>
      </c>
      <c r="AQ17" s="128">
        <f t="shared" si="23"/>
        <v>0</v>
      </c>
      <c r="AR17" s="128">
        <f t="shared" si="21"/>
        <v>0</v>
      </c>
      <c r="AS17" s="237"/>
    </row>
    <row r="18" spans="1:45" s="18" customFormat="1" hidden="1">
      <c r="A18" s="42" t="s">
        <v>272</v>
      </c>
      <c r="B18" s="18" t="s">
        <v>8</v>
      </c>
      <c r="C18" s="161">
        <v>10</v>
      </c>
      <c r="D18" s="91" t="s">
        <v>8</v>
      </c>
      <c r="E18" s="162">
        <v>300</v>
      </c>
      <c r="F18" s="163">
        <f t="shared" si="12"/>
        <v>3000</v>
      </c>
      <c r="G18" s="164">
        <v>0</v>
      </c>
      <c r="H18" s="164">
        <v>60</v>
      </c>
      <c r="I18" s="164">
        <v>8</v>
      </c>
      <c r="J18" s="164">
        <v>0</v>
      </c>
      <c r="K18" s="165">
        <v>8</v>
      </c>
      <c r="L18" s="91" t="s">
        <v>7</v>
      </c>
      <c r="M18" s="162">
        <f t="shared" si="13"/>
        <v>0</v>
      </c>
      <c r="N18" s="87">
        <v>0</v>
      </c>
      <c r="O18" s="166">
        <f t="shared" si="14"/>
        <v>0</v>
      </c>
      <c r="P18" s="166"/>
      <c r="Q18" s="46" t="s">
        <v>31</v>
      </c>
      <c r="R18" s="66" t="s">
        <v>154</v>
      </c>
      <c r="S18" s="133" t="str">
        <f t="shared" si="15"/>
        <v>BPT2009</v>
      </c>
      <c r="T18" s="133" t="str">
        <f t="shared" si="16"/>
        <v>B1.2.2.1.12009</v>
      </c>
      <c r="U18" s="133" t="s">
        <v>175</v>
      </c>
      <c r="V18" s="133" t="str">
        <f t="shared" si="17"/>
        <v>Phase-1 Prototype</v>
      </c>
      <c r="AB18" s="30">
        <v>2009</v>
      </c>
      <c r="AC18" s="128">
        <f t="shared" si="22"/>
        <v>0</v>
      </c>
      <c r="AD18" s="128">
        <f t="shared" si="22"/>
        <v>0</v>
      </c>
      <c r="AE18" s="128">
        <f t="shared" si="22"/>
        <v>0</v>
      </c>
      <c r="AF18" s="128">
        <f t="shared" si="22"/>
        <v>0</v>
      </c>
      <c r="AG18" s="128">
        <f t="shared" si="22"/>
        <v>0</v>
      </c>
      <c r="AH18" s="236">
        <f t="shared" si="19"/>
        <v>0</v>
      </c>
      <c r="AI18" s="237"/>
      <c r="AJ18" s="128"/>
      <c r="AK18" s="128"/>
      <c r="AL18" s="162"/>
      <c r="AM18" s="127">
        <f t="shared" si="23"/>
        <v>0</v>
      </c>
      <c r="AN18" s="128">
        <f t="shared" si="23"/>
        <v>0</v>
      </c>
      <c r="AO18" s="128">
        <f t="shared" si="23"/>
        <v>0</v>
      </c>
      <c r="AP18" s="128">
        <f t="shared" si="23"/>
        <v>0</v>
      </c>
      <c r="AQ18" s="128">
        <f t="shared" si="23"/>
        <v>0</v>
      </c>
      <c r="AR18" s="128">
        <f t="shared" si="21"/>
        <v>0</v>
      </c>
      <c r="AS18" s="237"/>
    </row>
    <row r="19" spans="1:45" s="18" customFormat="1" hidden="1">
      <c r="A19" s="42" t="s">
        <v>227</v>
      </c>
      <c r="B19" s="18" t="s">
        <v>8</v>
      </c>
      <c r="C19" s="161">
        <v>1</v>
      </c>
      <c r="D19" s="91" t="s">
        <v>8</v>
      </c>
      <c r="E19" s="162">
        <v>700</v>
      </c>
      <c r="F19" s="163">
        <f t="shared" si="12"/>
        <v>700</v>
      </c>
      <c r="G19" s="164">
        <v>0</v>
      </c>
      <c r="H19" s="164">
        <v>8</v>
      </c>
      <c r="I19" s="164">
        <v>8</v>
      </c>
      <c r="J19" s="164">
        <v>4</v>
      </c>
      <c r="K19" s="165">
        <v>40</v>
      </c>
      <c r="L19" s="91" t="s">
        <v>7</v>
      </c>
      <c r="M19" s="162">
        <f t="shared" si="13"/>
        <v>0</v>
      </c>
      <c r="N19" s="87">
        <v>0</v>
      </c>
      <c r="O19" s="166">
        <f t="shared" si="14"/>
        <v>0</v>
      </c>
      <c r="P19" s="166"/>
      <c r="Q19" s="46" t="s">
        <v>31</v>
      </c>
      <c r="R19" s="66" t="s">
        <v>154</v>
      </c>
      <c r="S19" s="133" t="str">
        <f t="shared" si="15"/>
        <v>BPT2009</v>
      </c>
      <c r="T19" s="133" t="str">
        <f t="shared" si="16"/>
        <v>B1.2.2.1.12009</v>
      </c>
      <c r="U19" s="133" t="s">
        <v>175</v>
      </c>
      <c r="V19" s="133" t="str">
        <f t="shared" si="17"/>
        <v>Phase-1 Prototype</v>
      </c>
      <c r="AB19" s="30">
        <v>2009</v>
      </c>
      <c r="AC19" s="128">
        <f t="shared" si="18"/>
        <v>0</v>
      </c>
      <c r="AD19" s="128">
        <f t="shared" si="18"/>
        <v>0</v>
      </c>
      <c r="AE19" s="128">
        <f t="shared" si="18"/>
        <v>0</v>
      </c>
      <c r="AF19" s="128">
        <f t="shared" si="18"/>
        <v>0</v>
      </c>
      <c r="AG19" s="128">
        <f t="shared" si="18"/>
        <v>0</v>
      </c>
      <c r="AH19" s="236">
        <f t="shared" si="19"/>
        <v>0</v>
      </c>
      <c r="AI19" s="237"/>
      <c r="AJ19" s="128"/>
      <c r="AK19" s="128"/>
      <c r="AL19" s="162"/>
      <c r="AM19" s="127">
        <f t="shared" si="20"/>
        <v>0</v>
      </c>
      <c r="AN19" s="128">
        <f t="shared" si="20"/>
        <v>0</v>
      </c>
      <c r="AO19" s="128">
        <f t="shared" si="20"/>
        <v>0</v>
      </c>
      <c r="AP19" s="128">
        <f t="shared" si="20"/>
        <v>0</v>
      </c>
      <c r="AQ19" s="128">
        <f t="shared" si="20"/>
        <v>0</v>
      </c>
      <c r="AR19" s="128">
        <f t="shared" si="21"/>
        <v>0</v>
      </c>
      <c r="AS19" s="237"/>
    </row>
    <row r="20" spans="1:45" s="18" customFormat="1" hidden="1">
      <c r="A20" s="42" t="s">
        <v>391</v>
      </c>
      <c r="B20" s="18" t="s">
        <v>8</v>
      </c>
      <c r="C20" s="161">
        <v>1</v>
      </c>
      <c r="D20" s="91" t="s">
        <v>8</v>
      </c>
      <c r="E20" s="162">
        <v>2000</v>
      </c>
      <c r="F20" s="163">
        <f>E20*C20</f>
        <v>2000</v>
      </c>
      <c r="G20" s="164">
        <v>4</v>
      </c>
      <c r="H20" s="164">
        <v>8</v>
      </c>
      <c r="I20" s="164">
        <v>40</v>
      </c>
      <c r="J20" s="164">
        <v>8</v>
      </c>
      <c r="K20" s="165">
        <v>40</v>
      </c>
      <c r="L20" s="91" t="s">
        <v>7</v>
      </c>
      <c r="M20" s="162">
        <f t="shared" si="13"/>
        <v>0</v>
      </c>
      <c r="N20" s="87">
        <v>0</v>
      </c>
      <c r="O20" s="166">
        <f t="shared" si="14"/>
        <v>0</v>
      </c>
      <c r="P20" s="166"/>
      <c r="Q20" s="46" t="s">
        <v>31</v>
      </c>
      <c r="R20" s="66" t="s">
        <v>154</v>
      </c>
      <c r="S20" s="133" t="str">
        <f>CONCATENATE(Q20,R20,AB20)</f>
        <v>BPT2009</v>
      </c>
      <c r="T20" s="133" t="str">
        <f>CONCATENATE(Q20,U20,AB20)</f>
        <v>B1.2.2.1.12009</v>
      </c>
      <c r="U20" s="133" t="s">
        <v>175</v>
      </c>
      <c r="V20" s="133" t="str">
        <f t="shared" si="17"/>
        <v>Phase-1 Prototype</v>
      </c>
      <c r="AB20" s="30">
        <v>2009</v>
      </c>
      <c r="AC20" s="128">
        <f>IF($Q20="B", (G20*$N20),0)</f>
        <v>0</v>
      </c>
      <c r="AD20" s="128">
        <f>IF($Q20="B", (H20*$N20),0)</f>
        <v>0</v>
      </c>
      <c r="AE20" s="128">
        <f>IF($Q20="B", (I20*$N20),0)</f>
        <v>0</v>
      </c>
      <c r="AF20" s="128">
        <f>IF($Q20="B", (J20*$N20),0)</f>
        <v>0</v>
      </c>
      <c r="AG20" s="128">
        <f>IF($Q20="B", (K20*$N20),0)</f>
        <v>0</v>
      </c>
      <c r="AH20" s="236">
        <f>IF($Q20="B", (F20*$N20),0)</f>
        <v>0</v>
      </c>
      <c r="AI20" s="237"/>
      <c r="AJ20" s="128"/>
      <c r="AK20" s="128"/>
      <c r="AL20" s="162"/>
      <c r="AM20" s="127">
        <f>IF($Q20="C", (G20*$N20),0)</f>
        <v>0</v>
      </c>
      <c r="AN20" s="128">
        <f>IF($Q20="C", (H20*$N20),0)</f>
        <v>0</v>
      </c>
      <c r="AO20" s="128">
        <f>IF($Q20="C", (I20*$N20),0)</f>
        <v>0</v>
      </c>
      <c r="AP20" s="128">
        <f>IF($Q20="C", (J20*$N20),0)</f>
        <v>0</v>
      </c>
      <c r="AQ20" s="128">
        <f>IF($Q20="C", (K20*$N20),0)</f>
        <v>0</v>
      </c>
      <c r="AR20" s="128">
        <f>IF($Q20="C", (F20*$N20),0)</f>
        <v>0</v>
      </c>
      <c r="AS20" s="237"/>
    </row>
    <row r="21" spans="1:45" s="18" customFormat="1" hidden="1">
      <c r="A21" s="42" t="s">
        <v>225</v>
      </c>
      <c r="B21" s="18" t="s">
        <v>8</v>
      </c>
      <c r="C21" s="161">
        <v>1</v>
      </c>
      <c r="D21" s="91" t="s">
        <v>8</v>
      </c>
      <c r="E21" s="162">
        <v>0</v>
      </c>
      <c r="F21" s="163">
        <f t="shared" si="12"/>
        <v>0</v>
      </c>
      <c r="G21" s="164">
        <v>0</v>
      </c>
      <c r="H21" s="164">
        <v>0</v>
      </c>
      <c r="I21" s="164">
        <v>360</v>
      </c>
      <c r="J21" s="164">
        <v>16</v>
      </c>
      <c r="K21" s="165">
        <v>80</v>
      </c>
      <c r="L21" s="91" t="s">
        <v>7</v>
      </c>
      <c r="M21" s="162">
        <f t="shared" si="13"/>
        <v>0</v>
      </c>
      <c r="N21" s="87">
        <v>0</v>
      </c>
      <c r="O21" s="166">
        <f t="shared" si="14"/>
        <v>0</v>
      </c>
      <c r="P21" s="166"/>
      <c r="Q21" s="46" t="s">
        <v>31</v>
      </c>
      <c r="R21" s="66" t="s">
        <v>154</v>
      </c>
      <c r="S21" s="133" t="str">
        <f t="shared" si="15"/>
        <v>BPT2009</v>
      </c>
      <c r="T21" s="133" t="str">
        <f t="shared" si="16"/>
        <v>B1.2.2.1.12009</v>
      </c>
      <c r="U21" s="133" t="s">
        <v>175</v>
      </c>
      <c r="V21" s="133" t="str">
        <f t="shared" si="17"/>
        <v>Phase-1 Prototype</v>
      </c>
      <c r="AB21" s="30">
        <v>2009</v>
      </c>
      <c r="AC21" s="128">
        <f t="shared" si="18"/>
        <v>0</v>
      </c>
      <c r="AD21" s="128">
        <f t="shared" si="18"/>
        <v>0</v>
      </c>
      <c r="AE21" s="128">
        <f t="shared" si="18"/>
        <v>0</v>
      </c>
      <c r="AF21" s="128">
        <f t="shared" si="18"/>
        <v>0</v>
      </c>
      <c r="AG21" s="128">
        <f t="shared" si="18"/>
        <v>0</v>
      </c>
      <c r="AH21" s="236">
        <f t="shared" si="19"/>
        <v>0</v>
      </c>
      <c r="AI21" s="237"/>
      <c r="AJ21" s="128"/>
      <c r="AK21" s="128"/>
      <c r="AL21" s="162"/>
      <c r="AM21" s="127">
        <f t="shared" si="20"/>
        <v>0</v>
      </c>
      <c r="AN21" s="128">
        <f t="shared" si="20"/>
        <v>0</v>
      </c>
      <c r="AO21" s="128">
        <f t="shared" si="20"/>
        <v>0</v>
      </c>
      <c r="AP21" s="128">
        <f t="shared" si="20"/>
        <v>0</v>
      </c>
      <c r="AQ21" s="128">
        <f t="shared" si="20"/>
        <v>0</v>
      </c>
      <c r="AR21" s="128">
        <f t="shared" si="21"/>
        <v>0</v>
      </c>
      <c r="AS21" s="237"/>
    </row>
    <row r="22" spans="1:45" s="18" customFormat="1">
      <c r="A22" s="43" t="s">
        <v>230</v>
      </c>
      <c r="C22" s="161"/>
      <c r="D22" s="91"/>
      <c r="E22" s="55"/>
      <c r="F22" s="56"/>
      <c r="G22" s="57"/>
      <c r="H22" s="57"/>
      <c r="I22" s="57"/>
      <c r="J22" s="57"/>
      <c r="K22" s="58"/>
      <c r="L22" s="222" t="s">
        <v>43</v>
      </c>
      <c r="M22" s="174">
        <f>SUMIF(Q13:Q21,"B",M13:M21)</f>
        <v>0</v>
      </c>
      <c r="N22" s="62" t="s">
        <v>42</v>
      </c>
      <c r="O22" s="166"/>
      <c r="P22" s="166"/>
      <c r="Q22" s="46"/>
      <c r="R22" s="66"/>
      <c r="S22" s="133"/>
      <c r="T22" s="133"/>
      <c r="U22" s="133"/>
      <c r="V22" s="133"/>
      <c r="AB22" s="30"/>
      <c r="AC22" s="128"/>
      <c r="AD22" s="128"/>
      <c r="AE22" s="131"/>
      <c r="AF22" s="128"/>
      <c r="AG22" s="128"/>
      <c r="AH22" s="236"/>
      <c r="AI22" s="237"/>
      <c r="AJ22" s="128"/>
      <c r="AK22" s="128"/>
      <c r="AL22" s="162"/>
      <c r="AM22" s="127"/>
      <c r="AN22" s="128"/>
      <c r="AO22" s="128"/>
      <c r="AP22" s="128"/>
      <c r="AQ22" s="128"/>
      <c r="AR22" s="128"/>
      <c r="AS22" s="237"/>
    </row>
    <row r="23" spans="1:45" s="18" customFormat="1" hidden="1">
      <c r="A23" s="42" t="s">
        <v>233</v>
      </c>
      <c r="B23" s="18" t="s">
        <v>8</v>
      </c>
      <c r="C23" s="161">
        <v>1</v>
      </c>
      <c r="D23" s="91" t="s">
        <v>8</v>
      </c>
      <c r="E23" s="162">
        <v>0</v>
      </c>
      <c r="F23" s="163">
        <f t="shared" ref="F23:F38" si="24">E23*C23</f>
        <v>0</v>
      </c>
      <c r="G23" s="164">
        <v>0</v>
      </c>
      <c r="H23" s="164">
        <v>0</v>
      </c>
      <c r="I23" s="164">
        <v>0</v>
      </c>
      <c r="J23" s="164">
        <v>8</v>
      </c>
      <c r="K23" s="165">
        <v>160</v>
      </c>
      <c r="L23" s="91" t="s">
        <v>7</v>
      </c>
      <c r="M23" s="162">
        <f t="shared" ref="M23:M38" si="25">IF(R23="PD",((Shop*G23)+(M_Tech*H23)+(CMM*I23)+(ENG*J23)+(DES*K23))*N23,((Shop_RD*G23)+(MTECH_RD*H23)+(CMM_RD*I23)+(ENG_RD*J23)+(DES_RD*K23))*N23)</f>
        <v>0</v>
      </c>
      <c r="N23" s="87">
        <v>0</v>
      </c>
      <c r="O23" s="166">
        <f t="shared" ref="O23:O38" si="26">M23+(F23*N23)</f>
        <v>0</v>
      </c>
      <c r="P23" s="166"/>
      <c r="Q23" s="46" t="s">
        <v>31</v>
      </c>
      <c r="R23" s="66" t="s">
        <v>154</v>
      </c>
      <c r="S23" s="133" t="str">
        <f t="shared" ref="S23:S38" si="27">CONCATENATE(Q23,R23,AB23)</f>
        <v>BPT2009</v>
      </c>
      <c r="T23" s="133" t="str">
        <f t="shared" ref="T23:T38" si="28">CONCATENATE(Q23,U23,AB23)</f>
        <v>B1.2.2.1.12009</v>
      </c>
      <c r="U23" s="133" t="s">
        <v>175</v>
      </c>
      <c r="V23" s="133" t="str">
        <f t="shared" ref="V23:V38" si="29">LOOKUP(U23,$B$345:$B$367,$A$345:$A$367)</f>
        <v>Phase-1 Prototype</v>
      </c>
      <c r="AB23" s="30">
        <v>2009</v>
      </c>
      <c r="AC23" s="128">
        <f t="shared" ref="AC23:AC38" si="30">IF($Q23="B", (G23*$N23),0)</f>
        <v>0</v>
      </c>
      <c r="AD23" s="128">
        <f t="shared" ref="AD23:AD38" si="31">IF($Q23="B", (H23*$N23),0)</f>
        <v>0</v>
      </c>
      <c r="AE23" s="128">
        <f t="shared" ref="AE23:AE38" si="32">IF($Q23="B", (I23*$N23),0)</f>
        <v>0</v>
      </c>
      <c r="AF23" s="128">
        <f t="shared" ref="AF23:AF38" si="33">IF($Q23="B", (J23*$N23),0)</f>
        <v>0</v>
      </c>
      <c r="AG23" s="128">
        <f t="shared" ref="AG23:AG38" si="34">IF($Q23="B", (K23*$N23),0)</f>
        <v>0</v>
      </c>
      <c r="AH23" s="236">
        <f t="shared" ref="AH23:AH38" si="35">IF($Q23="B", (F23*$N23),0)</f>
        <v>0</v>
      </c>
      <c r="AI23" s="237"/>
      <c r="AJ23" s="128"/>
      <c r="AK23" s="128"/>
      <c r="AL23" s="162"/>
      <c r="AM23" s="127">
        <f t="shared" ref="AM23:AM38" si="36">IF($Q23="C", (G23*$N23),0)</f>
        <v>0</v>
      </c>
      <c r="AN23" s="128">
        <f t="shared" ref="AN23:AN38" si="37">IF($Q23="C", (H23*$N23),0)</f>
        <v>0</v>
      </c>
      <c r="AO23" s="128">
        <f t="shared" ref="AO23:AO38" si="38">IF($Q23="C", (I23*$N23),0)</f>
        <v>0</v>
      </c>
      <c r="AP23" s="128">
        <f t="shared" ref="AP23:AP38" si="39">IF($Q23="C", (J23*$N23),0)</f>
        <v>0</v>
      </c>
      <c r="AQ23" s="128">
        <f t="shared" ref="AQ23:AQ38" si="40">IF($Q23="C", (K23*$N23),0)</f>
        <v>0</v>
      </c>
      <c r="AR23" s="128">
        <f t="shared" ref="AR23:AR38" si="41">IF($Q23="C", (F23*$N23),0)</f>
        <v>0</v>
      </c>
      <c r="AS23" s="237"/>
    </row>
    <row r="24" spans="1:45" s="18" customFormat="1" hidden="1">
      <c r="A24" s="42" t="s">
        <v>234</v>
      </c>
      <c r="B24" s="18" t="s">
        <v>8</v>
      </c>
      <c r="C24" s="161">
        <v>10</v>
      </c>
      <c r="D24" s="91" t="s">
        <v>8</v>
      </c>
      <c r="E24" s="162">
        <v>150</v>
      </c>
      <c r="F24" s="163">
        <f t="shared" si="24"/>
        <v>1500</v>
      </c>
      <c r="G24" s="164">
        <v>0</v>
      </c>
      <c r="H24" s="164">
        <v>0</v>
      </c>
      <c r="I24" s="164">
        <v>0</v>
      </c>
      <c r="J24" s="164">
        <v>0</v>
      </c>
      <c r="K24" s="165">
        <v>8</v>
      </c>
      <c r="L24" s="91" t="s">
        <v>7</v>
      </c>
      <c r="M24" s="162">
        <f t="shared" si="25"/>
        <v>0</v>
      </c>
      <c r="N24" s="87">
        <v>0</v>
      </c>
      <c r="O24" s="166">
        <f t="shared" si="26"/>
        <v>0</v>
      </c>
      <c r="P24" s="166"/>
      <c r="Q24" s="46" t="s">
        <v>31</v>
      </c>
      <c r="R24" s="66" t="s">
        <v>154</v>
      </c>
      <c r="S24" s="133" t="str">
        <f t="shared" si="27"/>
        <v>BPT2009</v>
      </c>
      <c r="T24" s="133" t="str">
        <f t="shared" si="28"/>
        <v>B1.2.2.1.12009</v>
      </c>
      <c r="U24" s="133" t="s">
        <v>175</v>
      </c>
      <c r="V24" s="133" t="str">
        <f t="shared" si="29"/>
        <v>Phase-1 Prototype</v>
      </c>
      <c r="AB24" s="30">
        <v>2009</v>
      </c>
      <c r="AC24" s="128">
        <f t="shared" si="30"/>
        <v>0</v>
      </c>
      <c r="AD24" s="128">
        <f t="shared" si="31"/>
        <v>0</v>
      </c>
      <c r="AE24" s="128">
        <f t="shared" si="32"/>
        <v>0</v>
      </c>
      <c r="AF24" s="128">
        <f t="shared" si="33"/>
        <v>0</v>
      </c>
      <c r="AG24" s="128">
        <f t="shared" si="34"/>
        <v>0</v>
      </c>
      <c r="AH24" s="236">
        <f t="shared" si="35"/>
        <v>0</v>
      </c>
      <c r="AI24" s="237"/>
      <c r="AJ24" s="128"/>
      <c r="AK24" s="128"/>
      <c r="AL24" s="162"/>
      <c r="AM24" s="127">
        <f t="shared" si="36"/>
        <v>0</v>
      </c>
      <c r="AN24" s="128">
        <f t="shared" si="37"/>
        <v>0</v>
      </c>
      <c r="AO24" s="128">
        <f t="shared" si="38"/>
        <v>0</v>
      </c>
      <c r="AP24" s="128">
        <f t="shared" si="39"/>
        <v>0</v>
      </c>
      <c r="AQ24" s="128">
        <f t="shared" si="40"/>
        <v>0</v>
      </c>
      <c r="AR24" s="128">
        <f t="shared" si="41"/>
        <v>0</v>
      </c>
      <c r="AS24" s="237"/>
    </row>
    <row r="25" spans="1:45" s="18" customFormat="1" hidden="1">
      <c r="A25" s="42" t="s">
        <v>235</v>
      </c>
      <c r="B25" s="18" t="s">
        <v>8</v>
      </c>
      <c r="C25" s="161">
        <v>5</v>
      </c>
      <c r="D25" s="91" t="s">
        <v>8</v>
      </c>
      <c r="E25" s="162">
        <v>300</v>
      </c>
      <c r="F25" s="163">
        <f t="shared" si="24"/>
        <v>1500</v>
      </c>
      <c r="G25" s="164">
        <v>0</v>
      </c>
      <c r="H25" s="164">
        <v>60</v>
      </c>
      <c r="I25" s="164">
        <v>8</v>
      </c>
      <c r="J25" s="164">
        <v>0</v>
      </c>
      <c r="K25" s="165">
        <v>8</v>
      </c>
      <c r="L25" s="91" t="s">
        <v>7</v>
      </c>
      <c r="M25" s="162">
        <f t="shared" si="25"/>
        <v>0</v>
      </c>
      <c r="N25" s="87">
        <v>0</v>
      </c>
      <c r="O25" s="166">
        <f t="shared" si="26"/>
        <v>0</v>
      </c>
      <c r="P25" s="166"/>
      <c r="Q25" s="46" t="s">
        <v>31</v>
      </c>
      <c r="R25" s="66" t="s">
        <v>154</v>
      </c>
      <c r="S25" s="133" t="str">
        <f t="shared" si="27"/>
        <v>BPT2009</v>
      </c>
      <c r="T25" s="133" t="str">
        <f t="shared" si="28"/>
        <v>B1.2.2.1.12009</v>
      </c>
      <c r="U25" s="133" t="s">
        <v>175</v>
      </c>
      <c r="V25" s="133" t="str">
        <f t="shared" si="29"/>
        <v>Phase-1 Prototype</v>
      </c>
      <c r="AB25" s="30">
        <v>2009</v>
      </c>
      <c r="AC25" s="128">
        <f t="shared" si="30"/>
        <v>0</v>
      </c>
      <c r="AD25" s="128">
        <f t="shared" si="31"/>
        <v>0</v>
      </c>
      <c r="AE25" s="128">
        <f t="shared" si="32"/>
        <v>0</v>
      </c>
      <c r="AF25" s="128">
        <f t="shared" si="33"/>
        <v>0</v>
      </c>
      <c r="AG25" s="128">
        <f t="shared" si="34"/>
        <v>0</v>
      </c>
      <c r="AH25" s="236">
        <f t="shared" si="35"/>
        <v>0</v>
      </c>
      <c r="AI25" s="237"/>
      <c r="AJ25" s="128"/>
      <c r="AK25" s="128"/>
      <c r="AL25" s="162"/>
      <c r="AM25" s="127">
        <f t="shared" si="36"/>
        <v>0</v>
      </c>
      <c r="AN25" s="128">
        <f t="shared" si="37"/>
        <v>0</v>
      </c>
      <c r="AO25" s="128">
        <f t="shared" si="38"/>
        <v>0</v>
      </c>
      <c r="AP25" s="128">
        <f t="shared" si="39"/>
        <v>0</v>
      </c>
      <c r="AQ25" s="128">
        <f t="shared" si="40"/>
        <v>0</v>
      </c>
      <c r="AR25" s="128">
        <f t="shared" si="41"/>
        <v>0</v>
      </c>
      <c r="AS25" s="237"/>
    </row>
    <row r="26" spans="1:45" s="18" customFormat="1">
      <c r="A26" s="42" t="s">
        <v>236</v>
      </c>
      <c r="B26" s="18" t="s">
        <v>8</v>
      </c>
      <c r="C26" s="161">
        <v>1</v>
      </c>
      <c r="D26" s="91" t="s">
        <v>8</v>
      </c>
      <c r="E26" s="162">
        <v>0</v>
      </c>
      <c r="F26" s="163">
        <f t="shared" si="24"/>
        <v>0</v>
      </c>
      <c r="G26" s="164">
        <v>0</v>
      </c>
      <c r="H26" s="164">
        <v>0</v>
      </c>
      <c r="I26" s="164">
        <v>8</v>
      </c>
      <c r="J26" s="164">
        <v>0</v>
      </c>
      <c r="K26" s="165">
        <v>40</v>
      </c>
      <c r="L26" s="91" t="s">
        <v>7</v>
      </c>
      <c r="M26" s="162">
        <f t="shared" si="25"/>
        <v>0</v>
      </c>
      <c r="N26" s="87">
        <v>1</v>
      </c>
      <c r="O26" s="166">
        <f t="shared" si="26"/>
        <v>0</v>
      </c>
      <c r="P26" s="166"/>
      <c r="Q26" s="46" t="s">
        <v>32</v>
      </c>
      <c r="R26" s="66" t="s">
        <v>49</v>
      </c>
      <c r="S26" s="133" t="str">
        <f t="shared" si="27"/>
        <v>CPD2010</v>
      </c>
      <c r="T26" s="133" t="str">
        <f t="shared" si="28"/>
        <v>C1.2.2.1.12010</v>
      </c>
      <c r="U26" s="133" t="s">
        <v>175</v>
      </c>
      <c r="V26" s="133" t="str">
        <f t="shared" si="29"/>
        <v>Phase-1 Prototype</v>
      </c>
      <c r="AB26" s="30">
        <v>2010</v>
      </c>
      <c r="AC26" s="128">
        <f t="shared" si="30"/>
        <v>0</v>
      </c>
      <c r="AD26" s="128">
        <f t="shared" si="31"/>
        <v>0</v>
      </c>
      <c r="AE26" s="128">
        <f t="shared" si="32"/>
        <v>0</v>
      </c>
      <c r="AF26" s="128">
        <f t="shared" si="33"/>
        <v>0</v>
      </c>
      <c r="AG26" s="128">
        <f t="shared" si="34"/>
        <v>0</v>
      </c>
      <c r="AH26" s="236">
        <f t="shared" si="35"/>
        <v>0</v>
      </c>
      <c r="AI26" s="237"/>
      <c r="AJ26" s="128"/>
      <c r="AK26" s="128"/>
      <c r="AL26" s="162"/>
      <c r="AM26" s="127">
        <f t="shared" si="36"/>
        <v>0</v>
      </c>
      <c r="AN26" s="128">
        <f t="shared" si="37"/>
        <v>0</v>
      </c>
      <c r="AO26" s="128">
        <f t="shared" si="38"/>
        <v>8</v>
      </c>
      <c r="AP26" s="128">
        <f t="shared" si="39"/>
        <v>0</v>
      </c>
      <c r="AQ26" s="128">
        <f t="shared" si="40"/>
        <v>40</v>
      </c>
      <c r="AR26" s="128">
        <f t="shared" si="41"/>
        <v>0</v>
      </c>
      <c r="AS26" s="237"/>
    </row>
    <row r="27" spans="1:45" s="18" customFormat="1">
      <c r="A27" s="42" t="s">
        <v>237</v>
      </c>
      <c r="B27" s="18" t="s">
        <v>8</v>
      </c>
      <c r="C27" s="161">
        <v>10</v>
      </c>
      <c r="D27" s="91" t="s">
        <v>8</v>
      </c>
      <c r="E27" s="162">
        <v>150</v>
      </c>
      <c r="F27" s="163">
        <f t="shared" si="24"/>
        <v>1500</v>
      </c>
      <c r="G27" s="164">
        <v>0</v>
      </c>
      <c r="H27" s="164">
        <v>0</v>
      </c>
      <c r="I27" s="164">
        <v>8</v>
      </c>
      <c r="J27" s="164">
        <v>0</v>
      </c>
      <c r="K27" s="165">
        <v>8</v>
      </c>
      <c r="L27" s="91" t="s">
        <v>7</v>
      </c>
      <c r="M27" s="162">
        <f t="shared" si="25"/>
        <v>0</v>
      </c>
      <c r="N27" s="87">
        <v>1</v>
      </c>
      <c r="O27" s="166">
        <f t="shared" si="26"/>
        <v>1500</v>
      </c>
      <c r="P27" s="166"/>
      <c r="Q27" s="46" t="s">
        <v>32</v>
      </c>
      <c r="R27" s="66" t="s">
        <v>154</v>
      </c>
      <c r="S27" s="133" t="str">
        <f t="shared" si="27"/>
        <v>CPT2010</v>
      </c>
      <c r="T27" s="133" t="str">
        <f t="shared" si="28"/>
        <v>C1.2.2.1.12010</v>
      </c>
      <c r="U27" s="133" t="s">
        <v>175</v>
      </c>
      <c r="V27" s="133" t="str">
        <f t="shared" si="29"/>
        <v>Phase-1 Prototype</v>
      </c>
      <c r="AB27" s="30">
        <v>2010</v>
      </c>
      <c r="AC27" s="128">
        <f t="shared" si="30"/>
        <v>0</v>
      </c>
      <c r="AD27" s="128">
        <f t="shared" si="31"/>
        <v>0</v>
      </c>
      <c r="AE27" s="128">
        <f t="shared" si="32"/>
        <v>0</v>
      </c>
      <c r="AF27" s="128">
        <f t="shared" si="33"/>
        <v>0</v>
      </c>
      <c r="AG27" s="128">
        <f t="shared" si="34"/>
        <v>0</v>
      </c>
      <c r="AH27" s="236">
        <f t="shared" si="35"/>
        <v>0</v>
      </c>
      <c r="AI27" s="237"/>
      <c r="AJ27" s="128"/>
      <c r="AK27" s="128"/>
      <c r="AL27" s="162"/>
      <c r="AM27" s="127">
        <f t="shared" si="36"/>
        <v>0</v>
      </c>
      <c r="AN27" s="128">
        <f t="shared" si="37"/>
        <v>0</v>
      </c>
      <c r="AO27" s="128">
        <f t="shared" si="38"/>
        <v>8</v>
      </c>
      <c r="AP27" s="128">
        <f t="shared" si="39"/>
        <v>0</v>
      </c>
      <c r="AQ27" s="128">
        <f t="shared" si="40"/>
        <v>8</v>
      </c>
      <c r="AR27" s="128">
        <f t="shared" si="41"/>
        <v>1500</v>
      </c>
      <c r="AS27" s="237"/>
    </row>
    <row r="28" spans="1:45" s="18" customFormat="1">
      <c r="A28" s="42" t="s">
        <v>428</v>
      </c>
      <c r="B28" s="18" t="s">
        <v>8</v>
      </c>
      <c r="C28" s="161">
        <v>1</v>
      </c>
      <c r="D28" s="91" t="s">
        <v>8</v>
      </c>
      <c r="E28" s="162">
        <v>500</v>
      </c>
      <c r="F28" s="163">
        <f>E28*C28</f>
        <v>500</v>
      </c>
      <c r="G28" s="164">
        <v>0</v>
      </c>
      <c r="H28" s="164">
        <v>0</v>
      </c>
      <c r="I28" s="164">
        <v>0</v>
      </c>
      <c r="J28" s="164">
        <v>0</v>
      </c>
      <c r="K28" s="165">
        <v>0</v>
      </c>
      <c r="L28" s="91" t="s">
        <v>7</v>
      </c>
      <c r="M28" s="162">
        <f>IF(R28="PD",((Shop*G28)+(M_Tech*H28)+(CMM*I28)+(ENG*J28)+(DES*K28))*N28,((Shop_RD*G28)+(MTECH_RD*H28)+(CMM_RD*I28)+(ENG_RD*J28)+(DES_RD*K28))*N28)</f>
        <v>0</v>
      </c>
      <c r="N28" s="87">
        <v>1</v>
      </c>
      <c r="O28" s="166">
        <f>M28+(F28*N28)</f>
        <v>500</v>
      </c>
      <c r="P28" s="166"/>
      <c r="Q28" s="46" t="s">
        <v>32</v>
      </c>
      <c r="R28" s="66" t="s">
        <v>154</v>
      </c>
      <c r="S28" s="133" t="str">
        <f>CONCATENATE(Q28,R28,AB28)</f>
        <v>CPT2010</v>
      </c>
      <c r="T28" s="133" t="str">
        <f>CONCATENATE(Q28,U28,AB28)</f>
        <v>C1.2.2.1.12010</v>
      </c>
      <c r="U28" s="133" t="s">
        <v>175</v>
      </c>
      <c r="V28" s="133" t="str">
        <f>LOOKUP(U28,$B$345:$B$367,$A$345:$A$367)</f>
        <v>Phase-1 Prototype</v>
      </c>
      <c r="AB28" s="30">
        <v>2010</v>
      </c>
      <c r="AC28" s="128">
        <f>IF($Q28="B", (G28*$N28),0)</f>
        <v>0</v>
      </c>
      <c r="AD28" s="128">
        <f>IF($Q28="B", (H28*$N28),0)</f>
        <v>0</v>
      </c>
      <c r="AE28" s="128">
        <f>IF($Q28="B", (I28*$N28),0)</f>
        <v>0</v>
      </c>
      <c r="AF28" s="128">
        <f>IF($Q28="B", (J28*$N28),0)</f>
        <v>0</v>
      </c>
      <c r="AG28" s="128">
        <f>IF($Q28="B", (K28*$N28),0)</f>
        <v>0</v>
      </c>
      <c r="AH28" s="236">
        <f>IF($Q28="B", (F28*$N28),0)</f>
        <v>0</v>
      </c>
      <c r="AI28" s="237"/>
      <c r="AJ28" s="128"/>
      <c r="AK28" s="128"/>
      <c r="AL28" s="162"/>
      <c r="AM28" s="127">
        <f>IF($Q28="C", (G28*$N28),0)</f>
        <v>0</v>
      </c>
      <c r="AN28" s="128">
        <f>IF($Q28="C", (H28*$N28),0)</f>
        <v>0</v>
      </c>
      <c r="AO28" s="128">
        <f>IF($Q28="C", (I28*$N28),0)</f>
        <v>0</v>
      </c>
      <c r="AP28" s="128">
        <f>IF($Q28="C", (J28*$N28),0)</f>
        <v>0</v>
      </c>
      <c r="AQ28" s="128">
        <f>IF($Q28="C", (K28*$N28),0)</f>
        <v>0</v>
      </c>
      <c r="AR28" s="128">
        <f>IF($Q28="C", (F28*$N28),0)</f>
        <v>500</v>
      </c>
      <c r="AS28" s="237"/>
    </row>
    <row r="29" spans="1:45" s="18" customFormat="1">
      <c r="A29" s="42" t="s">
        <v>430</v>
      </c>
      <c r="B29" s="18" t="s">
        <v>8</v>
      </c>
      <c r="C29" s="161">
        <v>1</v>
      </c>
      <c r="D29" s="91" t="s">
        <v>8</v>
      </c>
      <c r="E29" s="162">
        <v>0</v>
      </c>
      <c r="F29" s="163">
        <f t="shared" si="24"/>
        <v>0</v>
      </c>
      <c r="G29" s="164">
        <v>0</v>
      </c>
      <c r="H29" s="164">
        <v>60</v>
      </c>
      <c r="I29" s="164">
        <v>0</v>
      </c>
      <c r="J29" s="164">
        <v>0</v>
      </c>
      <c r="K29" s="165">
        <v>0</v>
      </c>
      <c r="L29" s="91" t="s">
        <v>7</v>
      </c>
      <c r="M29" s="162">
        <f t="shared" si="25"/>
        <v>7020</v>
      </c>
      <c r="N29" s="87">
        <v>1</v>
      </c>
      <c r="O29" s="166">
        <f t="shared" si="26"/>
        <v>7020</v>
      </c>
      <c r="P29" s="166"/>
      <c r="Q29" s="46" t="s">
        <v>32</v>
      </c>
      <c r="R29" s="66" t="s">
        <v>154</v>
      </c>
      <c r="S29" s="133" t="str">
        <f t="shared" si="27"/>
        <v>CPT2010</v>
      </c>
      <c r="T29" s="133" t="str">
        <f t="shared" si="28"/>
        <v>C1.2.2.1.12010</v>
      </c>
      <c r="U29" s="133" t="s">
        <v>175</v>
      </c>
      <c r="V29" s="133" t="str">
        <f t="shared" si="29"/>
        <v>Phase-1 Prototype</v>
      </c>
      <c r="AB29" s="30">
        <v>2010</v>
      </c>
      <c r="AC29" s="128">
        <f t="shared" si="30"/>
        <v>0</v>
      </c>
      <c r="AD29" s="128">
        <f t="shared" si="31"/>
        <v>0</v>
      </c>
      <c r="AE29" s="128">
        <f t="shared" si="32"/>
        <v>0</v>
      </c>
      <c r="AF29" s="128">
        <f t="shared" si="33"/>
        <v>0</v>
      </c>
      <c r="AG29" s="128">
        <f t="shared" si="34"/>
        <v>0</v>
      </c>
      <c r="AH29" s="236">
        <f t="shared" si="35"/>
        <v>0</v>
      </c>
      <c r="AI29" s="237"/>
      <c r="AJ29" s="128"/>
      <c r="AK29" s="128"/>
      <c r="AL29" s="162"/>
      <c r="AM29" s="127">
        <f t="shared" si="36"/>
        <v>0</v>
      </c>
      <c r="AN29" s="128">
        <f t="shared" si="37"/>
        <v>60</v>
      </c>
      <c r="AO29" s="128">
        <f t="shared" si="38"/>
        <v>0</v>
      </c>
      <c r="AP29" s="128">
        <f t="shared" si="39"/>
        <v>0</v>
      </c>
      <c r="AQ29" s="128">
        <f t="shared" si="40"/>
        <v>0</v>
      </c>
      <c r="AR29" s="128">
        <f t="shared" si="41"/>
        <v>0</v>
      </c>
      <c r="AS29" s="237"/>
    </row>
    <row r="30" spans="1:45" s="18" customFormat="1">
      <c r="A30" s="42" t="s">
        <v>231</v>
      </c>
      <c r="B30" s="18" t="s">
        <v>8</v>
      </c>
      <c r="C30" s="161">
        <v>1</v>
      </c>
      <c r="D30" s="91" t="s">
        <v>8</v>
      </c>
      <c r="E30" s="162">
        <v>700</v>
      </c>
      <c r="F30" s="163">
        <f t="shared" si="24"/>
        <v>700</v>
      </c>
      <c r="G30" s="164">
        <v>0</v>
      </c>
      <c r="H30" s="164">
        <v>0</v>
      </c>
      <c r="I30" s="164">
        <v>24</v>
      </c>
      <c r="J30" s="164">
        <v>0</v>
      </c>
      <c r="K30" s="165">
        <v>24</v>
      </c>
      <c r="L30" s="91" t="s">
        <v>7</v>
      </c>
      <c r="M30" s="162">
        <f t="shared" si="25"/>
        <v>0</v>
      </c>
      <c r="N30" s="87">
        <v>1</v>
      </c>
      <c r="O30" s="166">
        <f t="shared" si="26"/>
        <v>700</v>
      </c>
      <c r="P30" s="166"/>
      <c r="Q30" s="46" t="s">
        <v>31</v>
      </c>
      <c r="R30" s="66" t="s">
        <v>154</v>
      </c>
      <c r="S30" s="133" t="str">
        <f t="shared" si="27"/>
        <v>BPT2010</v>
      </c>
      <c r="T30" s="133" t="str">
        <f t="shared" si="28"/>
        <v>B1.2.2.1.12010</v>
      </c>
      <c r="U30" s="133" t="s">
        <v>175</v>
      </c>
      <c r="V30" s="133" t="str">
        <f t="shared" si="29"/>
        <v>Phase-1 Prototype</v>
      </c>
      <c r="AB30" s="30">
        <v>2010</v>
      </c>
      <c r="AC30" s="128">
        <f t="shared" si="30"/>
        <v>0</v>
      </c>
      <c r="AD30" s="128">
        <f t="shared" si="31"/>
        <v>0</v>
      </c>
      <c r="AE30" s="128">
        <f t="shared" si="32"/>
        <v>24</v>
      </c>
      <c r="AF30" s="128">
        <f t="shared" si="33"/>
        <v>0</v>
      </c>
      <c r="AG30" s="128">
        <f t="shared" si="34"/>
        <v>24</v>
      </c>
      <c r="AH30" s="236">
        <f t="shared" si="35"/>
        <v>700</v>
      </c>
      <c r="AI30" s="237"/>
      <c r="AJ30" s="128"/>
      <c r="AK30" s="128"/>
      <c r="AL30" s="162"/>
      <c r="AM30" s="127">
        <f t="shared" si="36"/>
        <v>0</v>
      </c>
      <c r="AN30" s="128">
        <f t="shared" si="37"/>
        <v>0</v>
      </c>
      <c r="AO30" s="128">
        <f t="shared" si="38"/>
        <v>0</v>
      </c>
      <c r="AP30" s="128">
        <f t="shared" si="39"/>
        <v>0</v>
      </c>
      <c r="AQ30" s="128">
        <f t="shared" si="40"/>
        <v>0</v>
      </c>
      <c r="AR30" s="128">
        <f t="shared" si="41"/>
        <v>0</v>
      </c>
      <c r="AS30" s="237"/>
    </row>
    <row r="31" spans="1:45" s="18" customFormat="1">
      <c r="A31" s="42" t="s">
        <v>232</v>
      </c>
      <c r="B31" s="18" t="s">
        <v>8</v>
      </c>
      <c r="C31" s="161">
        <v>1</v>
      </c>
      <c r="D31" s="91" t="s">
        <v>8</v>
      </c>
      <c r="E31" s="162">
        <v>500</v>
      </c>
      <c r="F31" s="163">
        <f t="shared" si="24"/>
        <v>500</v>
      </c>
      <c r="G31" s="164">
        <v>0</v>
      </c>
      <c r="H31" s="164">
        <v>0</v>
      </c>
      <c r="I31" s="164">
        <v>24</v>
      </c>
      <c r="J31" s="164">
        <v>0</v>
      </c>
      <c r="K31" s="165">
        <v>24</v>
      </c>
      <c r="L31" s="91" t="s">
        <v>7</v>
      </c>
      <c r="M31" s="162">
        <f t="shared" si="25"/>
        <v>0</v>
      </c>
      <c r="N31" s="87">
        <v>1</v>
      </c>
      <c r="O31" s="166">
        <f t="shared" si="26"/>
        <v>500</v>
      </c>
      <c r="P31" s="166"/>
      <c r="Q31" s="46" t="s">
        <v>31</v>
      </c>
      <c r="R31" s="66" t="s">
        <v>154</v>
      </c>
      <c r="S31" s="133" t="str">
        <f t="shared" si="27"/>
        <v>BPT2010</v>
      </c>
      <c r="T31" s="133" t="str">
        <f t="shared" si="28"/>
        <v>B1.2.2.1.12010</v>
      </c>
      <c r="U31" s="133" t="s">
        <v>175</v>
      </c>
      <c r="V31" s="133" t="str">
        <f t="shared" si="29"/>
        <v>Phase-1 Prototype</v>
      </c>
      <c r="AB31" s="30">
        <v>2010</v>
      </c>
      <c r="AC31" s="128">
        <f t="shared" si="30"/>
        <v>0</v>
      </c>
      <c r="AD31" s="128">
        <f t="shared" si="31"/>
        <v>0</v>
      </c>
      <c r="AE31" s="128">
        <f t="shared" si="32"/>
        <v>24</v>
      </c>
      <c r="AF31" s="128">
        <f t="shared" si="33"/>
        <v>0</v>
      </c>
      <c r="AG31" s="128">
        <f t="shared" si="34"/>
        <v>24</v>
      </c>
      <c r="AH31" s="236">
        <f t="shared" si="35"/>
        <v>500</v>
      </c>
      <c r="AI31" s="237"/>
      <c r="AJ31" s="128"/>
      <c r="AK31" s="128"/>
      <c r="AL31" s="162"/>
      <c r="AM31" s="127">
        <f t="shared" si="36"/>
        <v>0</v>
      </c>
      <c r="AN31" s="128">
        <f t="shared" si="37"/>
        <v>0</v>
      </c>
      <c r="AO31" s="128">
        <f t="shared" si="38"/>
        <v>0</v>
      </c>
      <c r="AP31" s="128">
        <f t="shared" si="39"/>
        <v>0</v>
      </c>
      <c r="AQ31" s="128">
        <f t="shared" si="40"/>
        <v>0</v>
      </c>
      <c r="AR31" s="128">
        <f t="shared" si="41"/>
        <v>0</v>
      </c>
      <c r="AS31" s="237"/>
    </row>
    <row r="32" spans="1:45" s="18" customFormat="1">
      <c r="A32" s="42" t="s">
        <v>431</v>
      </c>
      <c r="B32" s="18" t="s">
        <v>8</v>
      </c>
      <c r="C32" s="161">
        <v>1</v>
      </c>
      <c r="D32" s="91" t="s">
        <v>8</v>
      </c>
      <c r="E32" s="162">
        <v>2000</v>
      </c>
      <c r="F32" s="163">
        <f t="shared" si="24"/>
        <v>2000</v>
      </c>
      <c r="G32" s="164">
        <v>40</v>
      </c>
      <c r="H32" s="164">
        <v>40</v>
      </c>
      <c r="I32" s="164">
        <v>40</v>
      </c>
      <c r="J32" s="164">
        <v>8</v>
      </c>
      <c r="K32" s="165">
        <v>40</v>
      </c>
      <c r="L32" s="91" t="s">
        <v>7</v>
      </c>
      <c r="M32" s="162">
        <f t="shared" si="25"/>
        <v>10920</v>
      </c>
      <c r="N32" s="87">
        <v>1</v>
      </c>
      <c r="O32" s="166">
        <f t="shared" si="26"/>
        <v>12920</v>
      </c>
      <c r="P32" s="166"/>
      <c r="Q32" s="46" t="s">
        <v>31</v>
      </c>
      <c r="R32" s="66" t="s">
        <v>154</v>
      </c>
      <c r="S32" s="133" t="str">
        <f t="shared" si="27"/>
        <v>BPT2010</v>
      </c>
      <c r="T32" s="133" t="str">
        <f t="shared" si="28"/>
        <v>B1.2.2.1.12010</v>
      </c>
      <c r="U32" s="133" t="s">
        <v>175</v>
      </c>
      <c r="V32" s="133" t="str">
        <f t="shared" si="29"/>
        <v>Phase-1 Prototype</v>
      </c>
      <c r="AB32" s="30">
        <v>2010</v>
      </c>
      <c r="AC32" s="128">
        <f t="shared" si="30"/>
        <v>40</v>
      </c>
      <c r="AD32" s="128">
        <f t="shared" si="31"/>
        <v>40</v>
      </c>
      <c r="AE32" s="128">
        <f t="shared" si="32"/>
        <v>40</v>
      </c>
      <c r="AF32" s="128">
        <f t="shared" si="33"/>
        <v>8</v>
      </c>
      <c r="AG32" s="128">
        <f t="shared" si="34"/>
        <v>40</v>
      </c>
      <c r="AH32" s="236">
        <f t="shared" si="35"/>
        <v>2000</v>
      </c>
      <c r="AI32" s="237"/>
      <c r="AJ32" s="128"/>
      <c r="AK32" s="128"/>
      <c r="AL32" s="162"/>
      <c r="AM32" s="127">
        <f t="shared" si="36"/>
        <v>0</v>
      </c>
      <c r="AN32" s="128">
        <f t="shared" si="37"/>
        <v>0</v>
      </c>
      <c r="AO32" s="128">
        <f t="shared" si="38"/>
        <v>0</v>
      </c>
      <c r="AP32" s="128">
        <f t="shared" si="39"/>
        <v>0</v>
      </c>
      <c r="AQ32" s="128">
        <f t="shared" si="40"/>
        <v>0</v>
      </c>
      <c r="AR32" s="128">
        <f t="shared" si="41"/>
        <v>0</v>
      </c>
      <c r="AS32" s="237"/>
    </row>
    <row r="33" spans="1:45" s="18" customFormat="1">
      <c r="A33" s="42" t="s">
        <v>432</v>
      </c>
      <c r="B33" s="18" t="s">
        <v>8</v>
      </c>
      <c r="C33" s="161">
        <v>1</v>
      </c>
      <c r="D33" s="91" t="s">
        <v>8</v>
      </c>
      <c r="E33" s="162">
        <v>5000</v>
      </c>
      <c r="F33" s="163">
        <f>E33*C33</f>
        <v>5000</v>
      </c>
      <c r="G33" s="164">
        <v>24</v>
      </c>
      <c r="H33" s="164">
        <v>32</v>
      </c>
      <c r="I33" s="164">
        <v>32</v>
      </c>
      <c r="J33" s="164">
        <v>0</v>
      </c>
      <c r="K33" s="165">
        <v>40</v>
      </c>
      <c r="L33" s="91" t="s">
        <v>7</v>
      </c>
      <c r="M33" s="162">
        <f>IF(R33="PD",((Shop*G33)+(M_Tech*H33)+(CMM*I33)+(ENG*J33)+(DES*K33))*N33,((Shop_RD*G33)+(MTECH_RD*H33)+(CMM_RD*I33)+(ENG_RD*J33)+(DES_RD*K33))*N33)</f>
        <v>6768</v>
      </c>
      <c r="N33" s="87">
        <v>1</v>
      </c>
      <c r="O33" s="166">
        <f>M33+(F33*N33)</f>
        <v>11768</v>
      </c>
      <c r="P33" s="166"/>
      <c r="Q33" s="46" t="s">
        <v>31</v>
      </c>
      <c r="R33" s="66" t="s">
        <v>154</v>
      </c>
      <c r="S33" s="133" t="str">
        <f>CONCATENATE(Q33,R33,AB33)</f>
        <v>BPT2010</v>
      </c>
      <c r="T33" s="133" t="str">
        <f>CONCATENATE(Q33,U33,AB33)</f>
        <v>B1.2.2.1.12010</v>
      </c>
      <c r="U33" s="133" t="s">
        <v>175</v>
      </c>
      <c r="V33" s="133" t="str">
        <f t="shared" si="29"/>
        <v>Phase-1 Prototype</v>
      </c>
      <c r="AB33" s="30">
        <v>2010</v>
      </c>
      <c r="AC33" s="128">
        <f>IF($Q33="B", (G33*$N33),0)</f>
        <v>24</v>
      </c>
      <c r="AD33" s="128">
        <f>IF($Q33="B", (H33*$N33),0)</f>
        <v>32</v>
      </c>
      <c r="AE33" s="128">
        <f>IF($Q33="B", (I33*$N33),0)</f>
        <v>32</v>
      </c>
      <c r="AF33" s="128">
        <f>IF($Q33="B", (J33*$N33),0)</f>
        <v>0</v>
      </c>
      <c r="AG33" s="128">
        <f>IF($Q33="B", (K33*$N33),0)</f>
        <v>40</v>
      </c>
      <c r="AH33" s="236">
        <f>IF($Q33="B", (F33*$N33),0)</f>
        <v>5000</v>
      </c>
      <c r="AI33" s="237"/>
      <c r="AJ33" s="128"/>
      <c r="AK33" s="128"/>
      <c r="AL33" s="162"/>
      <c r="AM33" s="127">
        <f>IF($Q33="C", (G33*$N33),0)</f>
        <v>0</v>
      </c>
      <c r="AN33" s="128">
        <f>IF($Q33="C", (H33*$N33),0)</f>
        <v>0</v>
      </c>
      <c r="AO33" s="128">
        <f>IF($Q33="C", (I33*$N33),0)</f>
        <v>0</v>
      </c>
      <c r="AP33" s="128">
        <f>IF($Q33="C", (J33*$N33),0)</f>
        <v>0</v>
      </c>
      <c r="AQ33" s="128">
        <f>IF($Q33="C", (K33*$N33),0)</f>
        <v>0</v>
      </c>
      <c r="AR33" s="128">
        <f>IF($Q33="C", (F33*$N33),0)</f>
        <v>0</v>
      </c>
      <c r="AS33" s="237"/>
    </row>
    <row r="34" spans="1:45" s="18" customFormat="1">
      <c r="A34" s="42" t="s">
        <v>229</v>
      </c>
      <c r="B34" s="18" t="s">
        <v>8</v>
      </c>
      <c r="C34" s="161">
        <v>1</v>
      </c>
      <c r="D34" s="91" t="s">
        <v>8</v>
      </c>
      <c r="E34" s="162">
        <v>0</v>
      </c>
      <c r="F34" s="163">
        <f t="shared" si="24"/>
        <v>0</v>
      </c>
      <c r="G34" s="164">
        <v>0</v>
      </c>
      <c r="H34" s="164">
        <v>0</v>
      </c>
      <c r="I34" s="164">
        <v>100</v>
      </c>
      <c r="J34" s="164">
        <v>0</v>
      </c>
      <c r="K34" s="165">
        <v>40</v>
      </c>
      <c r="L34" s="91" t="s">
        <v>7</v>
      </c>
      <c r="M34" s="162">
        <f t="shared" si="25"/>
        <v>0</v>
      </c>
      <c r="N34" s="87">
        <v>1</v>
      </c>
      <c r="O34" s="166">
        <f t="shared" si="26"/>
        <v>0</v>
      </c>
      <c r="P34" s="166"/>
      <c r="Q34" s="46" t="s">
        <v>31</v>
      </c>
      <c r="R34" s="66" t="s">
        <v>154</v>
      </c>
      <c r="S34" s="133" t="str">
        <f t="shared" si="27"/>
        <v>BPT2010</v>
      </c>
      <c r="T34" s="133" t="str">
        <f t="shared" si="28"/>
        <v>B1.2.2.1.12010</v>
      </c>
      <c r="U34" s="133" t="s">
        <v>175</v>
      </c>
      <c r="V34" s="133" t="str">
        <f t="shared" si="29"/>
        <v>Phase-1 Prototype</v>
      </c>
      <c r="AB34" s="30">
        <v>2010</v>
      </c>
      <c r="AC34" s="128">
        <f t="shared" si="30"/>
        <v>0</v>
      </c>
      <c r="AD34" s="128">
        <f t="shared" si="31"/>
        <v>0</v>
      </c>
      <c r="AE34" s="128">
        <f t="shared" si="32"/>
        <v>100</v>
      </c>
      <c r="AF34" s="128">
        <f t="shared" si="33"/>
        <v>0</v>
      </c>
      <c r="AG34" s="128">
        <f t="shared" si="34"/>
        <v>40</v>
      </c>
      <c r="AH34" s="236">
        <f t="shared" si="35"/>
        <v>0</v>
      </c>
      <c r="AI34" s="237"/>
      <c r="AJ34" s="128"/>
      <c r="AK34" s="128"/>
      <c r="AL34" s="162"/>
      <c r="AM34" s="127">
        <f t="shared" si="36"/>
        <v>0</v>
      </c>
      <c r="AN34" s="128">
        <f t="shared" si="37"/>
        <v>0</v>
      </c>
      <c r="AO34" s="128">
        <f t="shared" si="38"/>
        <v>0</v>
      </c>
      <c r="AP34" s="128">
        <f t="shared" si="39"/>
        <v>0</v>
      </c>
      <c r="AQ34" s="128">
        <f t="shared" si="40"/>
        <v>0</v>
      </c>
      <c r="AR34" s="128">
        <f t="shared" si="41"/>
        <v>0</v>
      </c>
      <c r="AS34" s="237"/>
    </row>
    <row r="35" spans="1:45" s="18" customFormat="1">
      <c r="A35" s="42" t="s">
        <v>239</v>
      </c>
      <c r="B35" s="18" t="s">
        <v>8</v>
      </c>
      <c r="C35" s="161">
        <v>1</v>
      </c>
      <c r="D35" s="91" t="s">
        <v>8</v>
      </c>
      <c r="E35" s="162">
        <v>1000</v>
      </c>
      <c r="F35" s="163">
        <f t="shared" si="24"/>
        <v>1000</v>
      </c>
      <c r="G35" s="164">
        <v>0</v>
      </c>
      <c r="H35" s="164">
        <v>0</v>
      </c>
      <c r="I35" s="164">
        <v>80</v>
      </c>
      <c r="J35" s="164">
        <v>24</v>
      </c>
      <c r="K35" s="165">
        <v>40</v>
      </c>
      <c r="L35" s="91" t="s">
        <v>7</v>
      </c>
      <c r="M35" s="162">
        <f t="shared" si="25"/>
        <v>3600</v>
      </c>
      <c r="N35" s="87">
        <v>1</v>
      </c>
      <c r="O35" s="166">
        <f t="shared" si="26"/>
        <v>4600</v>
      </c>
      <c r="P35" s="166"/>
      <c r="Q35" s="46" t="s">
        <v>31</v>
      </c>
      <c r="R35" s="66" t="s">
        <v>154</v>
      </c>
      <c r="S35" s="133" t="str">
        <f t="shared" si="27"/>
        <v>BPT2010</v>
      </c>
      <c r="T35" s="133" t="str">
        <f t="shared" si="28"/>
        <v>B1.2.2.1.12010</v>
      </c>
      <c r="U35" s="133" t="s">
        <v>175</v>
      </c>
      <c r="V35" s="133" t="str">
        <f t="shared" si="29"/>
        <v>Phase-1 Prototype</v>
      </c>
      <c r="AB35" s="30">
        <v>2010</v>
      </c>
      <c r="AC35" s="128">
        <f t="shared" si="30"/>
        <v>0</v>
      </c>
      <c r="AD35" s="128">
        <f t="shared" si="31"/>
        <v>0</v>
      </c>
      <c r="AE35" s="128">
        <f t="shared" si="32"/>
        <v>80</v>
      </c>
      <c r="AF35" s="128">
        <f t="shared" si="33"/>
        <v>24</v>
      </c>
      <c r="AG35" s="128">
        <f t="shared" si="34"/>
        <v>40</v>
      </c>
      <c r="AH35" s="236">
        <f t="shared" si="35"/>
        <v>1000</v>
      </c>
      <c r="AI35" s="237"/>
      <c r="AJ35" s="128"/>
      <c r="AK35" s="128"/>
      <c r="AL35" s="162"/>
      <c r="AM35" s="127">
        <f t="shared" si="36"/>
        <v>0</v>
      </c>
      <c r="AN35" s="128">
        <f t="shared" si="37"/>
        <v>0</v>
      </c>
      <c r="AO35" s="128">
        <f t="shared" si="38"/>
        <v>0</v>
      </c>
      <c r="AP35" s="128">
        <f t="shared" si="39"/>
        <v>0</v>
      </c>
      <c r="AQ35" s="128">
        <f t="shared" si="40"/>
        <v>0</v>
      </c>
      <c r="AR35" s="128">
        <f t="shared" si="41"/>
        <v>0</v>
      </c>
      <c r="AS35" s="237"/>
    </row>
    <row r="36" spans="1:45" s="18" customFormat="1">
      <c r="A36" s="42" t="s">
        <v>264</v>
      </c>
      <c r="B36" s="18" t="s">
        <v>8</v>
      </c>
      <c r="C36" s="161">
        <v>1</v>
      </c>
      <c r="D36" s="91" t="s">
        <v>8</v>
      </c>
      <c r="E36" s="162">
        <v>0</v>
      </c>
      <c r="F36" s="163">
        <f t="shared" si="24"/>
        <v>0</v>
      </c>
      <c r="G36" s="164">
        <v>0</v>
      </c>
      <c r="H36" s="164">
        <v>0</v>
      </c>
      <c r="I36" s="164">
        <v>160</v>
      </c>
      <c r="J36" s="164">
        <v>8</v>
      </c>
      <c r="K36" s="165">
        <v>80</v>
      </c>
      <c r="L36" s="91" t="s">
        <v>7</v>
      </c>
      <c r="M36" s="162">
        <f t="shared" si="25"/>
        <v>1200</v>
      </c>
      <c r="N36" s="87">
        <v>1</v>
      </c>
      <c r="O36" s="166">
        <f t="shared" si="26"/>
        <v>1200</v>
      </c>
      <c r="P36" s="166"/>
      <c r="Q36" s="46" t="s">
        <v>31</v>
      </c>
      <c r="R36" s="66" t="s">
        <v>154</v>
      </c>
      <c r="S36" s="133" t="str">
        <f t="shared" si="27"/>
        <v>BPT2010</v>
      </c>
      <c r="T36" s="133" t="str">
        <f t="shared" si="28"/>
        <v>B1.2.2.1.12010</v>
      </c>
      <c r="U36" s="133" t="s">
        <v>175</v>
      </c>
      <c r="V36" s="133" t="str">
        <f t="shared" si="29"/>
        <v>Phase-1 Prototype</v>
      </c>
      <c r="AB36" s="30">
        <v>2010</v>
      </c>
      <c r="AC36" s="128">
        <f t="shared" si="30"/>
        <v>0</v>
      </c>
      <c r="AD36" s="128">
        <f t="shared" si="31"/>
        <v>0</v>
      </c>
      <c r="AE36" s="128">
        <f t="shared" si="32"/>
        <v>160</v>
      </c>
      <c r="AF36" s="128">
        <f t="shared" si="33"/>
        <v>8</v>
      </c>
      <c r="AG36" s="128">
        <f t="shared" si="34"/>
        <v>80</v>
      </c>
      <c r="AH36" s="236">
        <f t="shared" si="35"/>
        <v>0</v>
      </c>
      <c r="AI36" s="237"/>
      <c r="AJ36" s="128"/>
      <c r="AK36" s="128"/>
      <c r="AL36" s="162"/>
      <c r="AM36" s="127">
        <f t="shared" si="36"/>
        <v>0</v>
      </c>
      <c r="AN36" s="128">
        <f t="shared" si="37"/>
        <v>0</v>
      </c>
      <c r="AO36" s="128">
        <f t="shared" si="38"/>
        <v>0</v>
      </c>
      <c r="AP36" s="128">
        <f t="shared" si="39"/>
        <v>0</v>
      </c>
      <c r="AQ36" s="128">
        <f t="shared" si="40"/>
        <v>0</v>
      </c>
      <c r="AR36" s="128">
        <f t="shared" si="41"/>
        <v>0</v>
      </c>
      <c r="AS36" s="237"/>
    </row>
    <row r="37" spans="1:45" s="18" customFormat="1">
      <c r="A37" s="42" t="s">
        <v>315</v>
      </c>
      <c r="B37" s="18" t="s">
        <v>8</v>
      </c>
      <c r="C37" s="161">
        <v>1</v>
      </c>
      <c r="D37" s="91" t="s">
        <v>8</v>
      </c>
      <c r="E37" s="162">
        <v>4500</v>
      </c>
      <c r="F37" s="163">
        <f>E37*C37</f>
        <v>4500</v>
      </c>
      <c r="G37" s="164">
        <v>0</v>
      </c>
      <c r="H37" s="164">
        <v>0</v>
      </c>
      <c r="I37" s="164">
        <v>80</v>
      </c>
      <c r="J37" s="164">
        <v>0</v>
      </c>
      <c r="K37" s="165">
        <v>40</v>
      </c>
      <c r="L37" s="91" t="s">
        <v>7</v>
      </c>
      <c r="M37" s="162">
        <f>IF(R37="PD",((Shop*G37)+(M_Tech*H37)+(CMM*I37)+(ENG*J37)+(DES*K37))*N37,((Shop_RD*G37)+(MTECH_RD*H37)+(CMM_RD*I37)+(ENG_RD*J37)+(DES_RD*K37))*N37)</f>
        <v>0</v>
      </c>
      <c r="N37" s="87">
        <v>1</v>
      </c>
      <c r="O37" s="166">
        <f>M37+(F37*N37)</f>
        <v>4500</v>
      </c>
      <c r="P37" s="166"/>
      <c r="Q37" s="46" t="s">
        <v>31</v>
      </c>
      <c r="R37" s="66" t="s">
        <v>154</v>
      </c>
      <c r="S37" s="133" t="str">
        <f>CONCATENATE(Q37,R37,AB37)</f>
        <v>BPT2010</v>
      </c>
      <c r="T37" s="133" t="str">
        <f>CONCATENATE(Q37,U37,AB37)</f>
        <v>B1.2.2.1.12010</v>
      </c>
      <c r="U37" s="133" t="s">
        <v>175</v>
      </c>
      <c r="V37" s="133" t="str">
        <f t="shared" si="29"/>
        <v>Phase-1 Prototype</v>
      </c>
      <c r="AB37" s="30">
        <v>2010</v>
      </c>
      <c r="AC37" s="128">
        <f>IF($Q37="B", (G37*$N37),0)</f>
        <v>0</v>
      </c>
      <c r="AD37" s="128">
        <f>IF($Q37="B", (H37*$N37),0)</f>
        <v>0</v>
      </c>
      <c r="AE37" s="128">
        <f>IF($Q37="B", (I37*$N37),0)</f>
        <v>80</v>
      </c>
      <c r="AF37" s="128">
        <f>IF($Q37="B", (J37*$N37),0)</f>
        <v>0</v>
      </c>
      <c r="AG37" s="128">
        <f>IF($Q37="B", (K37*$N37),0)</f>
        <v>40</v>
      </c>
      <c r="AH37" s="236">
        <f>IF($Q37="B", (F37*$N37),0)</f>
        <v>4500</v>
      </c>
      <c r="AI37" s="237"/>
      <c r="AJ37" s="128"/>
      <c r="AK37" s="128"/>
      <c r="AL37" s="162"/>
      <c r="AM37" s="127">
        <f>IF($Q37="C", (G37*$N37),0)</f>
        <v>0</v>
      </c>
      <c r="AN37" s="128">
        <f>IF($Q37="C", (H37*$N37),0)</f>
        <v>0</v>
      </c>
      <c r="AO37" s="128">
        <f>IF($Q37="C", (I37*$N37),0)</f>
        <v>0</v>
      </c>
      <c r="AP37" s="128">
        <f>IF($Q37="C", (J37*$N37),0)</f>
        <v>0</v>
      </c>
      <c r="AQ37" s="128">
        <f>IF($Q37="C", (K37*$N37),0)</f>
        <v>0</v>
      </c>
      <c r="AR37" s="128">
        <f>IF($Q37="C", (F37*$N37),0)</f>
        <v>0</v>
      </c>
      <c r="AS37" s="237"/>
    </row>
    <row r="38" spans="1:45" s="18" customFormat="1">
      <c r="A38" s="42" t="s">
        <v>349</v>
      </c>
      <c r="B38" s="18" t="s">
        <v>8</v>
      </c>
      <c r="C38" s="161">
        <v>1</v>
      </c>
      <c r="D38" s="91" t="s">
        <v>8</v>
      </c>
      <c r="E38" s="162">
        <v>1000</v>
      </c>
      <c r="F38" s="163">
        <f t="shared" si="24"/>
        <v>1000</v>
      </c>
      <c r="G38" s="164">
        <v>0</v>
      </c>
      <c r="H38" s="164">
        <v>24</v>
      </c>
      <c r="I38" s="164">
        <v>0</v>
      </c>
      <c r="J38" s="164">
        <v>0</v>
      </c>
      <c r="K38" s="165">
        <v>0</v>
      </c>
      <c r="L38" s="91" t="s">
        <v>7</v>
      </c>
      <c r="M38" s="162">
        <f t="shared" si="25"/>
        <v>2808</v>
      </c>
      <c r="N38" s="87">
        <v>1</v>
      </c>
      <c r="O38" s="166">
        <f t="shared" si="26"/>
        <v>3808</v>
      </c>
      <c r="P38" s="166"/>
      <c r="Q38" s="46" t="s">
        <v>32</v>
      </c>
      <c r="R38" s="66" t="s">
        <v>154</v>
      </c>
      <c r="S38" s="133" t="str">
        <f t="shared" si="27"/>
        <v>CPT2010</v>
      </c>
      <c r="T38" s="133" t="str">
        <f t="shared" si="28"/>
        <v>C1.2.2.1.12010</v>
      </c>
      <c r="U38" s="133" t="s">
        <v>175</v>
      </c>
      <c r="V38" s="133" t="str">
        <f t="shared" si="29"/>
        <v>Phase-1 Prototype</v>
      </c>
      <c r="AB38" s="30">
        <v>2010</v>
      </c>
      <c r="AC38" s="128">
        <f t="shared" si="30"/>
        <v>0</v>
      </c>
      <c r="AD38" s="128">
        <f t="shared" si="31"/>
        <v>0</v>
      </c>
      <c r="AE38" s="128">
        <f t="shared" si="32"/>
        <v>0</v>
      </c>
      <c r="AF38" s="128">
        <f t="shared" si="33"/>
        <v>0</v>
      </c>
      <c r="AG38" s="128">
        <f t="shared" si="34"/>
        <v>0</v>
      </c>
      <c r="AH38" s="236">
        <f t="shared" si="35"/>
        <v>0</v>
      </c>
      <c r="AI38" s="237"/>
      <c r="AJ38" s="128"/>
      <c r="AK38" s="128"/>
      <c r="AL38" s="162"/>
      <c r="AM38" s="127">
        <f t="shared" si="36"/>
        <v>0</v>
      </c>
      <c r="AN38" s="128">
        <f t="shared" si="37"/>
        <v>24</v>
      </c>
      <c r="AO38" s="128">
        <f t="shared" si="38"/>
        <v>0</v>
      </c>
      <c r="AP38" s="128">
        <f t="shared" si="39"/>
        <v>0</v>
      </c>
      <c r="AQ38" s="128">
        <f t="shared" si="40"/>
        <v>0</v>
      </c>
      <c r="AR38" s="128">
        <f t="shared" si="41"/>
        <v>1000</v>
      </c>
      <c r="AS38" s="237"/>
    </row>
    <row r="39" spans="1:45" s="18" customFormat="1">
      <c r="A39" s="43" t="s">
        <v>178</v>
      </c>
      <c r="C39" s="161"/>
      <c r="D39" s="91"/>
      <c r="E39" s="55"/>
      <c r="F39" s="56"/>
      <c r="G39" s="57"/>
      <c r="H39" s="57"/>
      <c r="I39" s="57"/>
      <c r="J39" s="57"/>
      <c r="K39" s="58"/>
      <c r="L39" s="222" t="s">
        <v>43</v>
      </c>
      <c r="M39" s="174">
        <f>SUMIF(Q24:Q38,"B",M24:M38)</f>
        <v>22488</v>
      </c>
      <c r="N39" s="62" t="s">
        <v>42</v>
      </c>
      <c r="O39" s="166"/>
      <c r="P39" s="166"/>
      <c r="Q39" s="46"/>
      <c r="R39" s="66"/>
      <c r="S39" s="133"/>
      <c r="T39" s="133"/>
      <c r="U39" s="133"/>
      <c r="V39" s="133"/>
      <c r="AB39" s="30"/>
      <c r="AC39" s="128"/>
      <c r="AD39" s="128"/>
      <c r="AE39" s="131"/>
      <c r="AF39" s="128"/>
      <c r="AG39" s="128"/>
      <c r="AH39" s="236"/>
      <c r="AI39" s="237"/>
      <c r="AJ39" s="128"/>
      <c r="AK39" s="128"/>
      <c r="AL39" s="162"/>
      <c r="AM39" s="127"/>
      <c r="AN39" s="128"/>
      <c r="AO39" s="128"/>
      <c r="AP39" s="128"/>
      <c r="AQ39" s="128"/>
      <c r="AR39" s="128"/>
      <c r="AS39" s="237"/>
    </row>
    <row r="40" spans="1:45" s="18" customFormat="1">
      <c r="A40" s="42" t="s">
        <v>240</v>
      </c>
      <c r="B40" s="18" t="s">
        <v>215</v>
      </c>
      <c r="C40" s="161">
        <v>6</v>
      </c>
      <c r="D40" s="91" t="s">
        <v>216</v>
      </c>
      <c r="E40" s="162">
        <v>5600</v>
      </c>
      <c r="F40" s="163">
        <f t="shared" ref="F40:F45" si="42">E40*C40</f>
        <v>33600</v>
      </c>
      <c r="G40" s="164">
        <v>0</v>
      </c>
      <c r="H40" s="164">
        <v>0</v>
      </c>
      <c r="I40" s="164">
        <v>40</v>
      </c>
      <c r="J40" s="164">
        <v>0</v>
      </c>
      <c r="K40" s="165">
        <v>40</v>
      </c>
      <c r="L40" s="91" t="s">
        <v>7</v>
      </c>
      <c r="M40" s="162">
        <f t="shared" ref="M40:M45" si="43">IF(R40="PD",((Shop*G40)+(M_Tech*H40)+(CMM*I40)+(ENG*J40)+(DES*K40))*N40,((Shop_RD*G40)+(MTECH_RD*H40)+(CMM_RD*I40)+(ENG_RD*J40)+(DES_RD*K40))*N40)</f>
        <v>0</v>
      </c>
      <c r="N40" s="87">
        <v>1</v>
      </c>
      <c r="O40" s="166">
        <f t="shared" ref="O40:O45" si="44">M40+(F40*N40)</f>
        <v>33600</v>
      </c>
      <c r="P40" s="166"/>
      <c r="Q40" s="46" t="s">
        <v>31</v>
      </c>
      <c r="R40" s="66" t="s">
        <v>49</v>
      </c>
      <c r="S40" s="133" t="str">
        <f t="shared" ref="S40:S45" si="45">CONCATENATE(Q40,R40,AB40)</f>
        <v>BPD2010</v>
      </c>
      <c r="T40" s="133" t="str">
        <f t="shared" ref="T40:T45" si="46">CONCATENATE(Q40,U40,AB40)</f>
        <v>B1.2.2.1.22010</v>
      </c>
      <c r="U40" s="133" t="s">
        <v>177</v>
      </c>
      <c r="V40" s="133" t="str">
        <f t="shared" ref="V40:V45" si="47">LOOKUP(U40,$B$345:$B$367,$A$345:$A$367)</f>
        <v>Phase-1 Production</v>
      </c>
      <c r="AB40" s="30">
        <v>2010</v>
      </c>
      <c r="AC40" s="128">
        <f t="shared" ref="AC40:AG45" si="48">IF($Q40="B", (G40*$N40),0)</f>
        <v>0</v>
      </c>
      <c r="AD40" s="128">
        <f t="shared" si="48"/>
        <v>0</v>
      </c>
      <c r="AE40" s="128">
        <f t="shared" si="48"/>
        <v>40</v>
      </c>
      <c r="AF40" s="128">
        <f t="shared" si="48"/>
        <v>0</v>
      </c>
      <c r="AG40" s="128">
        <f t="shared" si="48"/>
        <v>40</v>
      </c>
      <c r="AH40" s="236">
        <f t="shared" ref="AH40:AH45" si="49">IF($Q40="B", (F40*$N40),0)</f>
        <v>33600</v>
      </c>
      <c r="AI40" s="237"/>
      <c r="AJ40" s="128"/>
      <c r="AK40" s="128"/>
      <c r="AL40" s="162"/>
      <c r="AM40" s="127">
        <f t="shared" ref="AM40:AQ45" si="50">IF($Q40="C", (G40*$N40),0)</f>
        <v>0</v>
      </c>
      <c r="AN40" s="128">
        <f t="shared" si="50"/>
        <v>0</v>
      </c>
      <c r="AO40" s="128">
        <f t="shared" si="50"/>
        <v>0</v>
      </c>
      <c r="AP40" s="128">
        <f t="shared" si="50"/>
        <v>0</v>
      </c>
      <c r="AQ40" s="128">
        <f t="shared" si="50"/>
        <v>0</v>
      </c>
      <c r="AR40" s="128">
        <f t="shared" ref="AR40:AR45" si="51">IF($Q40="C", (F40*$N40),0)</f>
        <v>0</v>
      </c>
      <c r="AS40" s="237"/>
    </row>
    <row r="41" spans="1:45" s="18" customFormat="1" hidden="1">
      <c r="A41" s="42" t="s">
        <v>355</v>
      </c>
      <c r="B41" s="18" t="s">
        <v>215</v>
      </c>
      <c r="C41" s="161">
        <v>10</v>
      </c>
      <c r="D41" s="91" t="s">
        <v>216</v>
      </c>
      <c r="E41" s="162">
        <v>5600</v>
      </c>
      <c r="F41" s="163">
        <f t="shared" si="42"/>
        <v>56000</v>
      </c>
      <c r="G41" s="164">
        <v>0</v>
      </c>
      <c r="H41" s="164">
        <v>0</v>
      </c>
      <c r="I41" s="164">
        <v>40</v>
      </c>
      <c r="J41" s="164">
        <v>0</v>
      </c>
      <c r="K41" s="165">
        <v>40</v>
      </c>
      <c r="L41" s="91" t="s">
        <v>7</v>
      </c>
      <c r="M41" s="162">
        <f t="shared" si="43"/>
        <v>0</v>
      </c>
      <c r="N41" s="87">
        <v>0</v>
      </c>
      <c r="O41" s="166">
        <f t="shared" si="44"/>
        <v>0</v>
      </c>
      <c r="P41" s="166"/>
      <c r="Q41" s="46" t="s">
        <v>32</v>
      </c>
      <c r="R41" s="66" t="s">
        <v>49</v>
      </c>
      <c r="S41" s="133" t="str">
        <f t="shared" si="45"/>
        <v>CPD2011</v>
      </c>
      <c r="T41" s="133" t="str">
        <f t="shared" si="46"/>
        <v>C1.2.2.1.22011</v>
      </c>
      <c r="U41" s="133" t="s">
        <v>177</v>
      </c>
      <c r="V41" s="133" t="str">
        <f t="shared" si="47"/>
        <v>Phase-1 Production</v>
      </c>
      <c r="AB41" s="30">
        <v>2011</v>
      </c>
      <c r="AC41" s="128">
        <f>IF($Q41="B", (G41*$N41),0)</f>
        <v>0</v>
      </c>
      <c r="AD41" s="128">
        <f>IF($Q41="B", (H41*$N41),0)</f>
        <v>0</v>
      </c>
      <c r="AE41" s="128">
        <f>IF($Q41="B", (I41*$N41),0)</f>
        <v>0</v>
      </c>
      <c r="AF41" s="128">
        <f>IF($Q41="B", (J41*$N41),0)</f>
        <v>0</v>
      </c>
      <c r="AG41" s="128">
        <f>IF($Q41="B", (K41*$N41),0)</f>
        <v>0</v>
      </c>
      <c r="AH41" s="236">
        <f t="shared" si="49"/>
        <v>0</v>
      </c>
      <c r="AI41" s="237"/>
      <c r="AJ41" s="128"/>
      <c r="AK41" s="128"/>
      <c r="AL41" s="162"/>
      <c r="AM41" s="127">
        <f>IF($Q41="C", (G41*$N41),0)</f>
        <v>0</v>
      </c>
      <c r="AN41" s="128">
        <f>IF($Q41="C", (H41*$N41),0)</f>
        <v>0</v>
      </c>
      <c r="AO41" s="128">
        <f>IF($Q41="C", (I41*$N41),0)</f>
        <v>0</v>
      </c>
      <c r="AP41" s="128">
        <f>IF($Q41="C", (J41*$N41),0)</f>
        <v>0</v>
      </c>
      <c r="AQ41" s="128">
        <f>IF($Q41="C", (K41*$N41),0)</f>
        <v>0</v>
      </c>
      <c r="AR41" s="128">
        <f t="shared" si="51"/>
        <v>0</v>
      </c>
      <c r="AS41" s="237"/>
    </row>
    <row r="42" spans="1:45" s="18" customFormat="1" hidden="1">
      <c r="A42" s="150" t="s">
        <v>241</v>
      </c>
      <c r="B42" s="18" t="s">
        <v>8</v>
      </c>
      <c r="C42" s="161">
        <v>1</v>
      </c>
      <c r="D42" s="91" t="s">
        <v>8</v>
      </c>
      <c r="E42" s="162">
        <v>0</v>
      </c>
      <c r="F42" s="163">
        <f t="shared" si="42"/>
        <v>0</v>
      </c>
      <c r="G42" s="164">
        <v>0</v>
      </c>
      <c r="H42" s="164">
        <v>0</v>
      </c>
      <c r="I42" s="164">
        <v>0</v>
      </c>
      <c r="J42" s="164">
        <v>0</v>
      </c>
      <c r="K42" s="165">
        <v>0</v>
      </c>
      <c r="L42" s="91" t="s">
        <v>7</v>
      </c>
      <c r="M42" s="162">
        <f t="shared" si="43"/>
        <v>0</v>
      </c>
      <c r="N42" s="87">
        <v>1</v>
      </c>
      <c r="O42" s="166">
        <f t="shared" si="44"/>
        <v>0</v>
      </c>
      <c r="P42" s="166"/>
      <c r="Q42" s="46" t="s">
        <v>31</v>
      </c>
      <c r="R42" s="66" t="s">
        <v>49</v>
      </c>
      <c r="S42" s="133" t="str">
        <f t="shared" si="45"/>
        <v>BPD2010</v>
      </c>
      <c r="T42" s="133" t="str">
        <f t="shared" si="46"/>
        <v>B1.2.2.1.22010</v>
      </c>
      <c r="U42" s="133" t="s">
        <v>177</v>
      </c>
      <c r="V42" s="133" t="str">
        <f t="shared" si="47"/>
        <v>Phase-1 Production</v>
      </c>
      <c r="AB42" s="30">
        <v>2010</v>
      </c>
      <c r="AC42" s="128">
        <f t="shared" si="48"/>
        <v>0</v>
      </c>
      <c r="AD42" s="128">
        <f t="shared" si="48"/>
        <v>0</v>
      </c>
      <c r="AE42" s="128">
        <f t="shared" si="48"/>
        <v>0</v>
      </c>
      <c r="AF42" s="128">
        <f t="shared" si="48"/>
        <v>0</v>
      </c>
      <c r="AG42" s="128">
        <f t="shared" si="48"/>
        <v>0</v>
      </c>
      <c r="AH42" s="236">
        <f t="shared" si="49"/>
        <v>0</v>
      </c>
      <c r="AI42" s="237"/>
      <c r="AJ42" s="128"/>
      <c r="AK42" s="128"/>
      <c r="AL42" s="162"/>
      <c r="AM42" s="127">
        <f t="shared" si="50"/>
        <v>0</v>
      </c>
      <c r="AN42" s="128">
        <f t="shared" si="50"/>
        <v>0</v>
      </c>
      <c r="AO42" s="128">
        <f t="shared" si="50"/>
        <v>0</v>
      </c>
      <c r="AP42" s="128">
        <f t="shared" si="50"/>
        <v>0</v>
      </c>
      <c r="AQ42" s="128">
        <f t="shared" si="50"/>
        <v>0</v>
      </c>
      <c r="AR42" s="128">
        <f t="shared" si="51"/>
        <v>0</v>
      </c>
      <c r="AS42" s="237"/>
    </row>
    <row r="43" spans="1:45" s="18" customFormat="1">
      <c r="A43" s="42" t="s">
        <v>253</v>
      </c>
      <c r="B43" s="18" t="s">
        <v>65</v>
      </c>
      <c r="C43" s="161">
        <v>4</v>
      </c>
      <c r="D43" s="91" t="s">
        <v>2</v>
      </c>
      <c r="E43" s="162">
        <v>650</v>
      </c>
      <c r="F43" s="163">
        <f t="shared" si="42"/>
        <v>2600</v>
      </c>
      <c r="G43" s="164">
        <v>0</v>
      </c>
      <c r="H43" s="164">
        <v>0</v>
      </c>
      <c r="I43" s="164">
        <v>80</v>
      </c>
      <c r="J43" s="164">
        <v>0</v>
      </c>
      <c r="K43" s="165">
        <v>64</v>
      </c>
      <c r="L43" s="91" t="s">
        <v>7</v>
      </c>
      <c r="M43" s="162">
        <f t="shared" si="43"/>
        <v>0</v>
      </c>
      <c r="N43" s="87">
        <v>1</v>
      </c>
      <c r="O43" s="166">
        <f t="shared" si="44"/>
        <v>2600</v>
      </c>
      <c r="P43" s="166"/>
      <c r="Q43" s="46" t="s">
        <v>31</v>
      </c>
      <c r="R43" s="66" t="s">
        <v>49</v>
      </c>
      <c r="S43" s="133" t="str">
        <f t="shared" si="45"/>
        <v>BPD2010</v>
      </c>
      <c r="T43" s="133" t="str">
        <f t="shared" si="46"/>
        <v>B1.2.2.1.22010</v>
      </c>
      <c r="U43" s="133" t="s">
        <v>177</v>
      </c>
      <c r="V43" s="133" t="str">
        <f t="shared" si="47"/>
        <v>Phase-1 Production</v>
      </c>
      <c r="AB43" s="30">
        <v>2010</v>
      </c>
      <c r="AC43" s="128">
        <f>IF($Q43="B", (G43*$N43),0)</f>
        <v>0</v>
      </c>
      <c r="AD43" s="128">
        <f>IF($Q43="B", (H43*$N43),0)</f>
        <v>0</v>
      </c>
      <c r="AE43" s="128">
        <f>IF($Q43="B", (I43*$N43),0)</f>
        <v>80</v>
      </c>
      <c r="AF43" s="128">
        <f>IF($Q43="B", (J43*$N43),0)</f>
        <v>0</v>
      </c>
      <c r="AG43" s="128">
        <f>IF($Q43="B", (K43*$N43),0)</f>
        <v>64</v>
      </c>
      <c r="AH43" s="236">
        <f t="shared" si="49"/>
        <v>2600</v>
      </c>
      <c r="AI43" s="237"/>
      <c r="AJ43" s="128"/>
      <c r="AK43" s="128"/>
      <c r="AL43" s="162"/>
      <c r="AM43" s="127">
        <f>IF($Q43="C", (G43*$N43),0)</f>
        <v>0</v>
      </c>
      <c r="AN43" s="128">
        <f>IF($Q43="C", (H43*$N43),0)</f>
        <v>0</v>
      </c>
      <c r="AO43" s="128">
        <f>IF($Q43="C", (I43*$N43),0)</f>
        <v>0</v>
      </c>
      <c r="AP43" s="128">
        <f>IF($Q43="C", (J43*$N43),0)</f>
        <v>0</v>
      </c>
      <c r="AQ43" s="128">
        <f>IF($Q43="C", (K43*$N43),0)</f>
        <v>0</v>
      </c>
      <c r="AR43" s="128">
        <f t="shared" si="51"/>
        <v>0</v>
      </c>
      <c r="AS43" s="237"/>
    </row>
    <row r="44" spans="1:45" s="18" customFormat="1" hidden="1">
      <c r="A44" s="42" t="s">
        <v>357</v>
      </c>
      <c r="B44" s="18" t="s">
        <v>65</v>
      </c>
      <c r="C44" s="161">
        <v>12</v>
      </c>
      <c r="D44" s="91" t="s">
        <v>2</v>
      </c>
      <c r="E44" s="162">
        <v>650</v>
      </c>
      <c r="F44" s="163">
        <f t="shared" si="42"/>
        <v>7800</v>
      </c>
      <c r="G44" s="164">
        <v>0</v>
      </c>
      <c r="H44" s="164">
        <v>0</v>
      </c>
      <c r="I44" s="164">
        <v>80</v>
      </c>
      <c r="J44" s="164">
        <v>0</v>
      </c>
      <c r="K44" s="165">
        <v>64</v>
      </c>
      <c r="L44" s="91" t="s">
        <v>7</v>
      </c>
      <c r="M44" s="162">
        <f t="shared" si="43"/>
        <v>0</v>
      </c>
      <c r="N44" s="87">
        <v>0</v>
      </c>
      <c r="O44" s="166">
        <f t="shared" si="44"/>
        <v>0</v>
      </c>
      <c r="P44" s="166"/>
      <c r="Q44" s="46" t="s">
        <v>32</v>
      </c>
      <c r="R44" s="66" t="s">
        <v>49</v>
      </c>
      <c r="S44" s="133" t="str">
        <f t="shared" si="45"/>
        <v>CPD2011</v>
      </c>
      <c r="T44" s="133" t="str">
        <f t="shared" si="46"/>
        <v>C1.2.2.1.22011</v>
      </c>
      <c r="U44" s="133" t="s">
        <v>177</v>
      </c>
      <c r="V44" s="133" t="str">
        <f t="shared" si="47"/>
        <v>Phase-1 Production</v>
      </c>
      <c r="AB44" s="30">
        <v>2011</v>
      </c>
      <c r="AC44" s="128">
        <f t="shared" si="48"/>
        <v>0</v>
      </c>
      <c r="AD44" s="128">
        <f t="shared" si="48"/>
        <v>0</v>
      </c>
      <c r="AE44" s="128">
        <f t="shared" si="48"/>
        <v>0</v>
      </c>
      <c r="AF44" s="128">
        <f t="shared" si="48"/>
        <v>0</v>
      </c>
      <c r="AG44" s="128">
        <f t="shared" si="48"/>
        <v>0</v>
      </c>
      <c r="AH44" s="236">
        <f t="shared" si="49"/>
        <v>0</v>
      </c>
      <c r="AI44" s="237"/>
      <c r="AJ44" s="128"/>
      <c r="AK44" s="128"/>
      <c r="AL44" s="162"/>
      <c r="AM44" s="127">
        <f t="shared" si="50"/>
        <v>0</v>
      </c>
      <c r="AN44" s="128">
        <f t="shared" si="50"/>
        <v>0</v>
      </c>
      <c r="AO44" s="128">
        <f t="shared" si="50"/>
        <v>0</v>
      </c>
      <c r="AP44" s="128">
        <f t="shared" si="50"/>
        <v>0</v>
      </c>
      <c r="AQ44" s="128">
        <f t="shared" si="50"/>
        <v>0</v>
      </c>
      <c r="AR44" s="128">
        <f t="shared" si="51"/>
        <v>0</v>
      </c>
      <c r="AS44" s="237"/>
    </row>
    <row r="45" spans="1:45" s="18" customFormat="1">
      <c r="A45" s="42" t="s">
        <v>349</v>
      </c>
      <c r="B45" s="18" t="s">
        <v>8</v>
      </c>
      <c r="C45" s="161">
        <v>1</v>
      </c>
      <c r="D45" s="91" t="s">
        <v>2</v>
      </c>
      <c r="E45" s="162">
        <v>6000</v>
      </c>
      <c r="F45" s="163">
        <f t="shared" si="42"/>
        <v>6000</v>
      </c>
      <c r="G45" s="164">
        <v>0</v>
      </c>
      <c r="H45" s="164">
        <v>0</v>
      </c>
      <c r="I45" s="164">
        <v>0</v>
      </c>
      <c r="J45" s="164">
        <v>0</v>
      </c>
      <c r="K45" s="165">
        <v>0</v>
      </c>
      <c r="L45" s="91" t="s">
        <v>7</v>
      </c>
      <c r="M45" s="162">
        <f t="shared" si="43"/>
        <v>0</v>
      </c>
      <c r="N45" s="87">
        <v>1</v>
      </c>
      <c r="O45" s="166">
        <f t="shared" si="44"/>
        <v>6000</v>
      </c>
      <c r="P45" s="166"/>
      <c r="Q45" s="46" t="s">
        <v>32</v>
      </c>
      <c r="R45" s="66" t="s">
        <v>49</v>
      </c>
      <c r="S45" s="133" t="str">
        <f t="shared" si="45"/>
        <v>CPD2011</v>
      </c>
      <c r="T45" s="133" t="str">
        <f t="shared" si="46"/>
        <v>C1.2.2.1.22011</v>
      </c>
      <c r="U45" s="133" t="s">
        <v>177</v>
      </c>
      <c r="V45" s="133" t="str">
        <f t="shared" si="47"/>
        <v>Phase-1 Production</v>
      </c>
      <c r="AB45" s="30">
        <v>2011</v>
      </c>
      <c r="AC45" s="128">
        <f t="shared" si="48"/>
        <v>0</v>
      </c>
      <c r="AD45" s="128">
        <f t="shared" si="48"/>
        <v>0</v>
      </c>
      <c r="AE45" s="128">
        <f t="shared" si="48"/>
        <v>0</v>
      </c>
      <c r="AF45" s="128">
        <f t="shared" si="48"/>
        <v>0</v>
      </c>
      <c r="AG45" s="128">
        <f t="shared" si="48"/>
        <v>0</v>
      </c>
      <c r="AH45" s="236">
        <f t="shared" si="49"/>
        <v>0</v>
      </c>
      <c r="AI45" s="237"/>
      <c r="AJ45" s="128"/>
      <c r="AK45" s="128"/>
      <c r="AL45" s="162"/>
      <c r="AM45" s="127">
        <f t="shared" si="50"/>
        <v>0</v>
      </c>
      <c r="AN45" s="128">
        <f t="shared" si="50"/>
        <v>0</v>
      </c>
      <c r="AO45" s="128">
        <f t="shared" si="50"/>
        <v>0</v>
      </c>
      <c r="AP45" s="128">
        <f t="shared" si="50"/>
        <v>0</v>
      </c>
      <c r="AQ45" s="128">
        <f t="shared" si="50"/>
        <v>0</v>
      </c>
      <c r="AR45" s="128">
        <f t="shared" si="51"/>
        <v>6000</v>
      </c>
      <c r="AS45" s="237"/>
    </row>
    <row r="46" spans="1:45" s="18" customFormat="1">
      <c r="A46" s="43" t="s">
        <v>242</v>
      </c>
      <c r="C46" s="161"/>
      <c r="D46" s="91"/>
      <c r="E46" s="55"/>
      <c r="F46" s="56"/>
      <c r="G46" s="57"/>
      <c r="H46" s="57"/>
      <c r="I46" s="57"/>
      <c r="J46" s="57"/>
      <c r="K46" s="58"/>
      <c r="L46" s="222" t="s">
        <v>43</v>
      </c>
      <c r="M46" s="174">
        <f>SUMIF(Q40:Q45,"B",M40:M45)</f>
        <v>0</v>
      </c>
      <c r="N46" s="62" t="s">
        <v>42</v>
      </c>
      <c r="O46" s="166"/>
      <c r="P46" s="166"/>
      <c r="Q46" s="46"/>
      <c r="R46" s="66"/>
      <c r="S46" s="133"/>
      <c r="T46" s="133"/>
      <c r="U46" s="133"/>
      <c r="V46" s="133"/>
      <c r="AB46" s="30"/>
      <c r="AC46" s="128"/>
      <c r="AD46" s="128"/>
      <c r="AE46" s="131"/>
      <c r="AF46" s="128"/>
      <c r="AG46" s="128"/>
      <c r="AH46" s="236"/>
      <c r="AI46" s="237"/>
      <c r="AJ46" s="128"/>
      <c r="AK46" s="128"/>
      <c r="AL46" s="162"/>
      <c r="AM46" s="127"/>
      <c r="AN46" s="128"/>
      <c r="AO46" s="128"/>
      <c r="AP46" s="128"/>
      <c r="AQ46" s="128"/>
      <c r="AR46" s="128"/>
      <c r="AS46" s="237"/>
    </row>
    <row r="47" spans="1:45" s="18" customFormat="1">
      <c r="A47" s="42" t="s">
        <v>243</v>
      </c>
      <c r="B47" s="18" t="s">
        <v>8</v>
      </c>
      <c r="C47" s="161">
        <v>1</v>
      </c>
      <c r="D47" s="91" t="s">
        <v>2</v>
      </c>
      <c r="E47" s="162">
        <v>5000</v>
      </c>
      <c r="F47" s="163">
        <f t="shared" ref="F47:F64" si="52">E47*C47</f>
        <v>5000</v>
      </c>
      <c r="G47" s="164">
        <v>0</v>
      </c>
      <c r="H47" s="164">
        <v>8</v>
      </c>
      <c r="I47" s="164">
        <v>8</v>
      </c>
      <c r="J47" s="164">
        <v>40</v>
      </c>
      <c r="K47" s="334">
        <v>40</v>
      </c>
      <c r="L47" s="91" t="s">
        <v>7</v>
      </c>
      <c r="M47" s="162">
        <f t="shared" ref="M47:M64" si="53">IF(R47="PD",((Shop*G47)+(M_Tech*H47)+(CMM*I47)+(ENG*J47)+(DES*K47))*N47,((Shop_RD*G47)+(MTECH_RD*H47)+(CMM_RD*I47)+(ENG_RD*J47)+(DES_RD*K47))*N47)</f>
        <v>5618.1600000000008</v>
      </c>
      <c r="N47" s="87">
        <v>1</v>
      </c>
      <c r="O47" s="166">
        <f t="shared" ref="O47:O64" si="54">M47+(F47*N47)</f>
        <v>10618.16</v>
      </c>
      <c r="P47" s="166"/>
      <c r="Q47" s="46" t="s">
        <v>31</v>
      </c>
      <c r="R47" s="66" t="s">
        <v>49</v>
      </c>
      <c r="S47" s="133" t="str">
        <f t="shared" ref="S47:S64" si="55">CONCATENATE(Q47,R47,AB47)</f>
        <v>BPD2010</v>
      </c>
      <c r="T47" s="133" t="str">
        <f t="shared" ref="T47:T64" si="56">CONCATENATE(Q47,U47,AB47)</f>
        <v>B1.2.2.1.22010</v>
      </c>
      <c r="U47" s="133" t="s">
        <v>177</v>
      </c>
      <c r="V47" s="133" t="str">
        <f t="shared" ref="V47:V64" si="57">LOOKUP(U47,$B$345:$B$367,$A$345:$A$367)</f>
        <v>Phase-1 Production</v>
      </c>
      <c r="AB47" s="30">
        <v>2010</v>
      </c>
      <c r="AC47" s="128">
        <f t="shared" ref="AC47:AC64" si="58">IF($Q47="B", (G47*$N47),0)</f>
        <v>0</v>
      </c>
      <c r="AD47" s="128">
        <f t="shared" ref="AD47:AD64" si="59">IF($Q47="B", (H47*$N47),0)</f>
        <v>8</v>
      </c>
      <c r="AE47" s="128">
        <f t="shared" ref="AE47:AE64" si="60">IF($Q47="B", (I47*$N47),0)</f>
        <v>8</v>
      </c>
      <c r="AF47" s="128">
        <f t="shared" ref="AF47:AF64" si="61">IF($Q47="B", (J47*$N47),0)</f>
        <v>40</v>
      </c>
      <c r="AG47" s="128">
        <f t="shared" ref="AG47:AG64" si="62">IF($Q47="B", (K47*$N47),0)</f>
        <v>40</v>
      </c>
      <c r="AH47" s="236">
        <f t="shared" ref="AH47:AH64" si="63">IF($Q47="B", (F47*$N47),0)</f>
        <v>5000</v>
      </c>
      <c r="AI47" s="237"/>
      <c r="AJ47" s="128"/>
      <c r="AK47" s="128"/>
      <c r="AL47" s="162"/>
      <c r="AM47" s="127">
        <f t="shared" ref="AM47:AM64" si="64">IF($Q47="C", (G47*$N47),0)</f>
        <v>0</v>
      </c>
      <c r="AN47" s="128">
        <f t="shared" ref="AN47:AN64" si="65">IF($Q47="C", (H47*$N47),0)</f>
        <v>0</v>
      </c>
      <c r="AO47" s="128">
        <f t="shared" ref="AO47:AO64" si="66">IF($Q47="C", (I47*$N47),0)</f>
        <v>0</v>
      </c>
      <c r="AP47" s="128">
        <f t="shared" ref="AP47:AP64" si="67">IF($Q47="C", (J47*$N47),0)</f>
        <v>0</v>
      </c>
      <c r="AQ47" s="128">
        <f t="shared" ref="AQ47:AQ64" si="68">IF($Q47="C", (K47*$N47),0)</f>
        <v>0</v>
      </c>
      <c r="AR47" s="128">
        <f t="shared" ref="AR47:AR64" si="69">IF($Q47="C", (F47*$N47),0)</f>
        <v>0</v>
      </c>
      <c r="AS47" s="237"/>
    </row>
    <row r="48" spans="1:45" s="18" customFormat="1" hidden="1">
      <c r="A48" s="42" t="s">
        <v>244</v>
      </c>
      <c r="B48" s="18" t="s">
        <v>65</v>
      </c>
      <c r="C48" s="161">
        <v>1</v>
      </c>
      <c r="D48" s="91" t="s">
        <v>2</v>
      </c>
      <c r="E48" s="162">
        <v>2000</v>
      </c>
      <c r="F48" s="163">
        <f t="shared" si="52"/>
        <v>2000</v>
      </c>
      <c r="G48" s="164">
        <v>0</v>
      </c>
      <c r="H48" s="164">
        <v>0</v>
      </c>
      <c r="I48" s="164">
        <v>0</v>
      </c>
      <c r="J48" s="164">
        <v>32</v>
      </c>
      <c r="K48" s="334">
        <v>24</v>
      </c>
      <c r="L48" s="91" t="s">
        <v>7</v>
      </c>
      <c r="M48" s="162">
        <f t="shared" si="53"/>
        <v>0</v>
      </c>
      <c r="N48" s="87">
        <v>0</v>
      </c>
      <c r="O48" s="166">
        <f t="shared" si="54"/>
        <v>0</v>
      </c>
      <c r="P48" s="166"/>
      <c r="Q48" s="46" t="s">
        <v>31</v>
      </c>
      <c r="R48" s="66" t="s">
        <v>49</v>
      </c>
      <c r="S48" s="133" t="str">
        <f t="shared" si="55"/>
        <v>BPD2009</v>
      </c>
      <c r="T48" s="133" t="str">
        <f t="shared" si="56"/>
        <v>B1.2.2.1.22009</v>
      </c>
      <c r="U48" s="133" t="s">
        <v>177</v>
      </c>
      <c r="V48" s="133" t="str">
        <f t="shared" si="57"/>
        <v>Phase-1 Production</v>
      </c>
      <c r="AB48" s="30">
        <v>2009</v>
      </c>
      <c r="AC48" s="128">
        <f t="shared" si="58"/>
        <v>0</v>
      </c>
      <c r="AD48" s="128">
        <f t="shared" si="59"/>
        <v>0</v>
      </c>
      <c r="AE48" s="128">
        <f t="shared" si="60"/>
        <v>0</v>
      </c>
      <c r="AF48" s="128">
        <f t="shared" si="61"/>
        <v>0</v>
      </c>
      <c r="AG48" s="128">
        <f t="shared" si="62"/>
        <v>0</v>
      </c>
      <c r="AH48" s="236">
        <f t="shared" si="63"/>
        <v>0</v>
      </c>
      <c r="AI48" s="237"/>
      <c r="AJ48" s="128"/>
      <c r="AK48" s="128"/>
      <c r="AL48" s="162"/>
      <c r="AM48" s="127">
        <f t="shared" si="64"/>
        <v>0</v>
      </c>
      <c r="AN48" s="128">
        <f t="shared" si="65"/>
        <v>0</v>
      </c>
      <c r="AO48" s="128">
        <f t="shared" si="66"/>
        <v>0</v>
      </c>
      <c r="AP48" s="128">
        <f t="shared" si="67"/>
        <v>0</v>
      </c>
      <c r="AQ48" s="128">
        <f t="shared" si="68"/>
        <v>0</v>
      </c>
      <c r="AR48" s="128">
        <f t="shared" si="69"/>
        <v>0</v>
      </c>
      <c r="AS48" s="237"/>
    </row>
    <row r="49" spans="1:45" s="18" customFormat="1" hidden="1">
      <c r="A49" s="42" t="s">
        <v>245</v>
      </c>
      <c r="B49" s="18" t="s">
        <v>19</v>
      </c>
      <c r="C49" s="161">
        <v>1</v>
      </c>
      <c r="D49" s="91" t="s">
        <v>2</v>
      </c>
      <c r="E49" s="162">
        <v>0</v>
      </c>
      <c r="F49" s="163">
        <f t="shared" si="52"/>
        <v>0</v>
      </c>
      <c r="G49" s="164">
        <v>0</v>
      </c>
      <c r="H49" s="164">
        <v>120</v>
      </c>
      <c r="I49" s="164">
        <v>24</v>
      </c>
      <c r="J49" s="164">
        <v>60</v>
      </c>
      <c r="K49" s="334">
        <v>24</v>
      </c>
      <c r="L49" s="91" t="s">
        <v>7</v>
      </c>
      <c r="M49" s="162">
        <f t="shared" si="53"/>
        <v>0</v>
      </c>
      <c r="N49" s="87">
        <v>0</v>
      </c>
      <c r="O49" s="166">
        <f t="shared" si="54"/>
        <v>0</v>
      </c>
      <c r="P49" s="166"/>
      <c r="Q49" s="46" t="s">
        <v>31</v>
      </c>
      <c r="R49" s="66" t="s">
        <v>49</v>
      </c>
      <c r="S49" s="133" t="str">
        <f t="shared" si="55"/>
        <v>BPD2009</v>
      </c>
      <c r="T49" s="133" t="str">
        <f t="shared" si="56"/>
        <v>B1.2.2.1.22009</v>
      </c>
      <c r="U49" s="133" t="s">
        <v>177</v>
      </c>
      <c r="V49" s="133" t="str">
        <f t="shared" si="57"/>
        <v>Phase-1 Production</v>
      </c>
      <c r="AB49" s="30">
        <v>2009</v>
      </c>
      <c r="AC49" s="128">
        <f t="shared" si="58"/>
        <v>0</v>
      </c>
      <c r="AD49" s="128">
        <f t="shared" si="59"/>
        <v>0</v>
      </c>
      <c r="AE49" s="128">
        <f t="shared" si="60"/>
        <v>0</v>
      </c>
      <c r="AF49" s="128">
        <f t="shared" si="61"/>
        <v>0</v>
      </c>
      <c r="AG49" s="128">
        <f t="shared" si="62"/>
        <v>0</v>
      </c>
      <c r="AH49" s="236">
        <f t="shared" si="63"/>
        <v>0</v>
      </c>
      <c r="AI49" s="237"/>
      <c r="AJ49" s="128"/>
      <c r="AK49" s="128"/>
      <c r="AL49" s="162"/>
      <c r="AM49" s="127">
        <f t="shared" si="64"/>
        <v>0</v>
      </c>
      <c r="AN49" s="128">
        <f t="shared" si="65"/>
        <v>0</v>
      </c>
      <c r="AO49" s="128">
        <f t="shared" si="66"/>
        <v>0</v>
      </c>
      <c r="AP49" s="128">
        <f t="shared" si="67"/>
        <v>0</v>
      </c>
      <c r="AQ49" s="128">
        <f t="shared" si="68"/>
        <v>0</v>
      </c>
      <c r="AR49" s="128">
        <f t="shared" si="69"/>
        <v>0</v>
      </c>
      <c r="AS49" s="237"/>
    </row>
    <row r="50" spans="1:45" s="18" customFormat="1" hidden="1">
      <c r="A50" s="42" t="s">
        <v>246</v>
      </c>
      <c r="B50" s="18" t="s">
        <v>8</v>
      </c>
      <c r="C50" s="161">
        <v>3</v>
      </c>
      <c r="D50" s="91" t="s">
        <v>2</v>
      </c>
      <c r="E50" s="162">
        <v>750</v>
      </c>
      <c r="F50" s="163">
        <f t="shared" si="52"/>
        <v>2250</v>
      </c>
      <c r="G50" s="164">
        <v>0</v>
      </c>
      <c r="H50" s="164">
        <v>0</v>
      </c>
      <c r="I50" s="164">
        <v>0</v>
      </c>
      <c r="J50" s="164">
        <v>16</v>
      </c>
      <c r="K50" s="334">
        <v>16</v>
      </c>
      <c r="L50" s="91" t="s">
        <v>7</v>
      </c>
      <c r="M50" s="162">
        <f t="shared" si="53"/>
        <v>0</v>
      </c>
      <c r="N50" s="87">
        <v>0</v>
      </c>
      <c r="O50" s="166">
        <f t="shared" si="54"/>
        <v>0</v>
      </c>
      <c r="P50" s="166"/>
      <c r="Q50" s="46" t="s">
        <v>31</v>
      </c>
      <c r="R50" s="66" t="s">
        <v>49</v>
      </c>
      <c r="S50" s="133" t="str">
        <f t="shared" si="55"/>
        <v>BPD2009</v>
      </c>
      <c r="T50" s="133" t="str">
        <f t="shared" si="56"/>
        <v>B1.2.2.1.22009</v>
      </c>
      <c r="U50" s="133" t="s">
        <v>177</v>
      </c>
      <c r="V50" s="133" t="str">
        <f t="shared" si="57"/>
        <v>Phase-1 Production</v>
      </c>
      <c r="AB50" s="30">
        <v>2009</v>
      </c>
      <c r="AC50" s="128">
        <f t="shared" si="58"/>
        <v>0</v>
      </c>
      <c r="AD50" s="128">
        <f t="shared" si="59"/>
        <v>0</v>
      </c>
      <c r="AE50" s="128">
        <f t="shared" si="60"/>
        <v>0</v>
      </c>
      <c r="AF50" s="128">
        <f t="shared" si="61"/>
        <v>0</v>
      </c>
      <c r="AG50" s="128">
        <f t="shared" si="62"/>
        <v>0</v>
      </c>
      <c r="AH50" s="236">
        <f t="shared" si="63"/>
        <v>0</v>
      </c>
      <c r="AI50" s="237"/>
      <c r="AJ50" s="128"/>
      <c r="AK50" s="128"/>
      <c r="AL50" s="162"/>
      <c r="AM50" s="127">
        <f t="shared" si="64"/>
        <v>0</v>
      </c>
      <c r="AN50" s="128">
        <f t="shared" si="65"/>
        <v>0</v>
      </c>
      <c r="AO50" s="128">
        <f t="shared" si="66"/>
        <v>0</v>
      </c>
      <c r="AP50" s="128">
        <f t="shared" si="67"/>
        <v>0</v>
      </c>
      <c r="AQ50" s="128">
        <f t="shared" si="68"/>
        <v>0</v>
      </c>
      <c r="AR50" s="128">
        <f t="shared" si="69"/>
        <v>0</v>
      </c>
      <c r="AS50" s="237"/>
    </row>
    <row r="51" spans="1:45" s="18" customFormat="1">
      <c r="A51" s="42" t="s">
        <v>438</v>
      </c>
      <c r="B51" s="18" t="s">
        <v>8</v>
      </c>
      <c r="C51" s="161">
        <v>3</v>
      </c>
      <c r="D51" s="91" t="s">
        <v>2</v>
      </c>
      <c r="E51" s="162">
        <v>500</v>
      </c>
      <c r="F51" s="163">
        <f t="shared" si="52"/>
        <v>1500</v>
      </c>
      <c r="G51" s="164">
        <v>0</v>
      </c>
      <c r="H51" s="164">
        <v>40</v>
      </c>
      <c r="I51" s="164">
        <v>20</v>
      </c>
      <c r="J51" s="164">
        <v>8</v>
      </c>
      <c r="K51" s="334">
        <v>40</v>
      </c>
      <c r="L51" s="91" t="s">
        <v>7</v>
      </c>
      <c r="M51" s="162">
        <f t="shared" si="53"/>
        <v>4762.8</v>
      </c>
      <c r="N51" s="87">
        <v>1</v>
      </c>
      <c r="O51" s="166">
        <f t="shared" si="54"/>
        <v>6262.8</v>
      </c>
      <c r="P51" s="166"/>
      <c r="Q51" s="46" t="s">
        <v>31</v>
      </c>
      <c r="R51" s="66" t="s">
        <v>49</v>
      </c>
      <c r="S51" s="133" t="str">
        <f t="shared" si="55"/>
        <v>BPD2010</v>
      </c>
      <c r="T51" s="133" t="str">
        <f t="shared" si="56"/>
        <v>B1.2.2.1.22010</v>
      </c>
      <c r="U51" s="133" t="s">
        <v>177</v>
      </c>
      <c r="V51" s="133" t="str">
        <f t="shared" si="57"/>
        <v>Phase-1 Production</v>
      </c>
      <c r="AB51" s="30">
        <v>2010</v>
      </c>
      <c r="AC51" s="128">
        <f t="shared" si="58"/>
        <v>0</v>
      </c>
      <c r="AD51" s="128">
        <f t="shared" si="59"/>
        <v>40</v>
      </c>
      <c r="AE51" s="128">
        <f t="shared" si="60"/>
        <v>20</v>
      </c>
      <c r="AF51" s="128">
        <f t="shared" si="61"/>
        <v>8</v>
      </c>
      <c r="AG51" s="128">
        <f t="shared" si="62"/>
        <v>40</v>
      </c>
      <c r="AH51" s="236">
        <f t="shared" si="63"/>
        <v>1500</v>
      </c>
      <c r="AI51" s="237"/>
      <c r="AJ51" s="128"/>
      <c r="AK51" s="128"/>
      <c r="AL51" s="162"/>
      <c r="AM51" s="127">
        <f t="shared" si="64"/>
        <v>0</v>
      </c>
      <c r="AN51" s="128">
        <f t="shared" si="65"/>
        <v>0</v>
      </c>
      <c r="AO51" s="128">
        <f t="shared" si="66"/>
        <v>0</v>
      </c>
      <c r="AP51" s="128">
        <f t="shared" si="67"/>
        <v>0</v>
      </c>
      <c r="AQ51" s="128">
        <f t="shared" si="68"/>
        <v>0</v>
      </c>
      <c r="AR51" s="128">
        <f t="shared" si="69"/>
        <v>0</v>
      </c>
      <c r="AS51" s="237"/>
    </row>
    <row r="52" spans="1:45" s="18" customFormat="1">
      <c r="A52" s="42" t="s">
        <v>248</v>
      </c>
      <c r="B52" s="18" t="s">
        <v>8</v>
      </c>
      <c r="C52" s="161">
        <v>1</v>
      </c>
      <c r="D52" s="91" t="s">
        <v>2</v>
      </c>
      <c r="E52" s="162">
        <v>0</v>
      </c>
      <c r="F52" s="163">
        <f t="shared" si="52"/>
        <v>0</v>
      </c>
      <c r="G52" s="164">
        <v>0</v>
      </c>
      <c r="H52" s="164">
        <v>40</v>
      </c>
      <c r="I52" s="164">
        <v>24</v>
      </c>
      <c r="J52" s="164">
        <v>8</v>
      </c>
      <c r="K52" s="334">
        <v>40</v>
      </c>
      <c r="L52" s="91" t="s">
        <v>7</v>
      </c>
      <c r="M52" s="162">
        <f t="shared" si="53"/>
        <v>4762.8</v>
      </c>
      <c r="N52" s="87">
        <v>1</v>
      </c>
      <c r="O52" s="166">
        <f t="shared" si="54"/>
        <v>4762.8</v>
      </c>
      <c r="P52" s="166"/>
      <c r="Q52" s="46" t="s">
        <v>32</v>
      </c>
      <c r="R52" s="66" t="s">
        <v>49</v>
      </c>
      <c r="S52" s="133" t="str">
        <f t="shared" si="55"/>
        <v>CPD2011</v>
      </c>
      <c r="T52" s="133" t="str">
        <f t="shared" si="56"/>
        <v>C1.2.2.1.22011</v>
      </c>
      <c r="U52" s="133" t="s">
        <v>177</v>
      </c>
      <c r="V52" s="133" t="str">
        <f t="shared" si="57"/>
        <v>Phase-1 Production</v>
      </c>
      <c r="AB52" s="30">
        <v>2011</v>
      </c>
      <c r="AC52" s="128">
        <f t="shared" si="58"/>
        <v>0</v>
      </c>
      <c r="AD52" s="128">
        <f t="shared" si="59"/>
        <v>0</v>
      </c>
      <c r="AE52" s="128">
        <f t="shared" si="60"/>
        <v>0</v>
      </c>
      <c r="AF52" s="128">
        <f t="shared" si="61"/>
        <v>0</v>
      </c>
      <c r="AG52" s="128">
        <f t="shared" si="62"/>
        <v>0</v>
      </c>
      <c r="AH52" s="236">
        <f t="shared" si="63"/>
        <v>0</v>
      </c>
      <c r="AI52" s="237"/>
      <c r="AJ52" s="128"/>
      <c r="AK52" s="128"/>
      <c r="AL52" s="162"/>
      <c r="AM52" s="127">
        <f t="shared" si="64"/>
        <v>0</v>
      </c>
      <c r="AN52" s="128">
        <f t="shared" si="65"/>
        <v>40</v>
      </c>
      <c r="AO52" s="128">
        <f t="shared" si="66"/>
        <v>24</v>
      </c>
      <c r="AP52" s="128">
        <f t="shared" si="67"/>
        <v>8</v>
      </c>
      <c r="AQ52" s="128">
        <f t="shared" si="68"/>
        <v>40</v>
      </c>
      <c r="AR52" s="128">
        <f t="shared" si="69"/>
        <v>0</v>
      </c>
      <c r="AS52" s="237"/>
    </row>
    <row r="53" spans="1:45" s="18" customFormat="1">
      <c r="A53" s="42" t="s">
        <v>249</v>
      </c>
      <c r="B53" s="18" t="s">
        <v>8</v>
      </c>
      <c r="C53" s="161">
        <v>3</v>
      </c>
      <c r="D53" s="91" t="s">
        <v>2</v>
      </c>
      <c r="E53" s="162">
        <v>750</v>
      </c>
      <c r="F53" s="163">
        <f t="shared" si="52"/>
        <v>2250</v>
      </c>
      <c r="G53" s="164">
        <v>0</v>
      </c>
      <c r="H53" s="164">
        <v>0</v>
      </c>
      <c r="I53" s="164">
        <v>0</v>
      </c>
      <c r="J53" s="164">
        <v>8</v>
      </c>
      <c r="K53" s="334">
        <v>24</v>
      </c>
      <c r="L53" s="91" t="s">
        <v>7</v>
      </c>
      <c r="M53" s="162">
        <f t="shared" si="53"/>
        <v>972.00000000000011</v>
      </c>
      <c r="N53" s="87">
        <v>1</v>
      </c>
      <c r="O53" s="166">
        <f t="shared" si="54"/>
        <v>3222</v>
      </c>
      <c r="P53" s="166"/>
      <c r="Q53" s="46" t="s">
        <v>32</v>
      </c>
      <c r="R53" s="66" t="s">
        <v>49</v>
      </c>
      <c r="S53" s="133" t="str">
        <f t="shared" si="55"/>
        <v>CPD2011</v>
      </c>
      <c r="T53" s="133" t="str">
        <f t="shared" si="56"/>
        <v>C1.2.2.1.22011</v>
      </c>
      <c r="U53" s="133" t="s">
        <v>177</v>
      </c>
      <c r="V53" s="133" t="str">
        <f t="shared" si="57"/>
        <v>Phase-1 Production</v>
      </c>
      <c r="AB53" s="30">
        <v>2011</v>
      </c>
      <c r="AC53" s="128">
        <f t="shared" si="58"/>
        <v>0</v>
      </c>
      <c r="AD53" s="128">
        <f t="shared" si="59"/>
        <v>0</v>
      </c>
      <c r="AE53" s="128">
        <f t="shared" si="60"/>
        <v>0</v>
      </c>
      <c r="AF53" s="128">
        <f t="shared" si="61"/>
        <v>0</v>
      </c>
      <c r="AG53" s="128">
        <f t="shared" si="62"/>
        <v>0</v>
      </c>
      <c r="AH53" s="236">
        <f t="shared" si="63"/>
        <v>0</v>
      </c>
      <c r="AI53" s="237"/>
      <c r="AJ53" s="128"/>
      <c r="AK53" s="128"/>
      <c r="AL53" s="162"/>
      <c r="AM53" s="127">
        <f t="shared" si="64"/>
        <v>0</v>
      </c>
      <c r="AN53" s="128">
        <f t="shared" si="65"/>
        <v>0</v>
      </c>
      <c r="AO53" s="128">
        <f t="shared" si="66"/>
        <v>0</v>
      </c>
      <c r="AP53" s="128">
        <f t="shared" si="67"/>
        <v>8</v>
      </c>
      <c r="AQ53" s="128">
        <f t="shared" si="68"/>
        <v>24</v>
      </c>
      <c r="AR53" s="128">
        <f t="shared" si="69"/>
        <v>2250</v>
      </c>
      <c r="AS53" s="237"/>
    </row>
    <row r="54" spans="1:45" s="18" customFormat="1">
      <c r="A54" s="42" t="s">
        <v>250</v>
      </c>
      <c r="B54" s="18" t="s">
        <v>8</v>
      </c>
      <c r="C54" s="161">
        <v>3</v>
      </c>
      <c r="D54" s="91" t="s">
        <v>2</v>
      </c>
      <c r="E54" s="162">
        <v>500</v>
      </c>
      <c r="F54" s="163">
        <f t="shared" si="52"/>
        <v>1500</v>
      </c>
      <c r="G54" s="164">
        <v>0</v>
      </c>
      <c r="H54" s="164">
        <v>40</v>
      </c>
      <c r="I54" s="164">
        <v>24</v>
      </c>
      <c r="J54" s="164">
        <v>8</v>
      </c>
      <c r="K54" s="334">
        <v>32</v>
      </c>
      <c r="L54" s="91" t="s">
        <v>7</v>
      </c>
      <c r="M54" s="162">
        <f t="shared" si="53"/>
        <v>4762.8</v>
      </c>
      <c r="N54" s="87">
        <v>1</v>
      </c>
      <c r="O54" s="166">
        <f t="shared" si="54"/>
        <v>6262.8</v>
      </c>
      <c r="P54" s="166"/>
      <c r="Q54" s="46" t="s">
        <v>32</v>
      </c>
      <c r="R54" s="66" t="s">
        <v>49</v>
      </c>
      <c r="S54" s="133" t="str">
        <f t="shared" si="55"/>
        <v>CPD2011</v>
      </c>
      <c r="T54" s="133" t="str">
        <f t="shared" si="56"/>
        <v>C1.2.2.1.22011</v>
      </c>
      <c r="U54" s="133" t="s">
        <v>177</v>
      </c>
      <c r="V54" s="133" t="str">
        <f t="shared" si="57"/>
        <v>Phase-1 Production</v>
      </c>
      <c r="AB54" s="30">
        <v>2011</v>
      </c>
      <c r="AC54" s="128">
        <f t="shared" si="58"/>
        <v>0</v>
      </c>
      <c r="AD54" s="128">
        <f t="shared" si="59"/>
        <v>0</v>
      </c>
      <c r="AE54" s="128">
        <f t="shared" si="60"/>
        <v>0</v>
      </c>
      <c r="AF54" s="128">
        <f t="shared" si="61"/>
        <v>0</v>
      </c>
      <c r="AG54" s="128">
        <f t="shared" si="62"/>
        <v>0</v>
      </c>
      <c r="AH54" s="236">
        <f t="shared" si="63"/>
        <v>0</v>
      </c>
      <c r="AI54" s="237"/>
      <c r="AJ54" s="128"/>
      <c r="AK54" s="128"/>
      <c r="AL54" s="162"/>
      <c r="AM54" s="127">
        <f t="shared" si="64"/>
        <v>0</v>
      </c>
      <c r="AN54" s="128">
        <f t="shared" si="65"/>
        <v>40</v>
      </c>
      <c r="AO54" s="128">
        <f t="shared" si="66"/>
        <v>24</v>
      </c>
      <c r="AP54" s="128">
        <f t="shared" si="67"/>
        <v>8</v>
      </c>
      <c r="AQ54" s="128">
        <f t="shared" si="68"/>
        <v>32</v>
      </c>
      <c r="AR54" s="128">
        <f t="shared" si="69"/>
        <v>1500</v>
      </c>
      <c r="AS54" s="237"/>
    </row>
    <row r="55" spans="1:45" s="18" customFormat="1">
      <c r="A55" s="42" t="s">
        <v>251</v>
      </c>
      <c r="B55" s="18" t="s">
        <v>8</v>
      </c>
      <c r="C55" s="161">
        <v>1</v>
      </c>
      <c r="D55" s="91" t="s">
        <v>2</v>
      </c>
      <c r="E55" s="162">
        <v>0</v>
      </c>
      <c r="F55" s="163">
        <f t="shared" si="52"/>
        <v>0</v>
      </c>
      <c r="G55" s="164">
        <v>0</v>
      </c>
      <c r="H55" s="164">
        <v>0</v>
      </c>
      <c r="I55" s="164">
        <v>160</v>
      </c>
      <c r="J55" s="164">
        <v>16</v>
      </c>
      <c r="K55" s="334">
        <v>80</v>
      </c>
      <c r="L55" s="91" t="s">
        <v>7</v>
      </c>
      <c r="M55" s="162">
        <f t="shared" si="53"/>
        <v>1944.0000000000002</v>
      </c>
      <c r="N55" s="87">
        <v>1</v>
      </c>
      <c r="O55" s="166">
        <f t="shared" si="54"/>
        <v>1944.0000000000002</v>
      </c>
      <c r="P55" s="166"/>
      <c r="Q55" s="46" t="s">
        <v>31</v>
      </c>
      <c r="R55" s="66" t="s">
        <v>49</v>
      </c>
      <c r="S55" s="133" t="str">
        <f t="shared" si="55"/>
        <v>BPD2010</v>
      </c>
      <c r="T55" s="133" t="str">
        <f t="shared" si="56"/>
        <v>B1.2.2.1.22010</v>
      </c>
      <c r="U55" s="133" t="s">
        <v>177</v>
      </c>
      <c r="V55" s="133" t="str">
        <f t="shared" si="57"/>
        <v>Phase-1 Production</v>
      </c>
      <c r="AB55" s="30">
        <v>2010</v>
      </c>
      <c r="AC55" s="128">
        <f t="shared" si="58"/>
        <v>0</v>
      </c>
      <c r="AD55" s="128">
        <f t="shared" si="59"/>
        <v>0</v>
      </c>
      <c r="AE55" s="128">
        <f t="shared" si="60"/>
        <v>160</v>
      </c>
      <c r="AF55" s="128">
        <f t="shared" si="61"/>
        <v>16</v>
      </c>
      <c r="AG55" s="128">
        <f t="shared" si="62"/>
        <v>80</v>
      </c>
      <c r="AH55" s="236">
        <f t="shared" si="63"/>
        <v>0</v>
      </c>
      <c r="AI55" s="237"/>
      <c r="AJ55" s="128"/>
      <c r="AK55" s="128"/>
      <c r="AL55" s="162"/>
      <c r="AM55" s="127">
        <f t="shared" si="64"/>
        <v>0</v>
      </c>
      <c r="AN55" s="128">
        <f t="shared" si="65"/>
        <v>0</v>
      </c>
      <c r="AO55" s="128">
        <f t="shared" si="66"/>
        <v>0</v>
      </c>
      <c r="AP55" s="128">
        <f t="shared" si="67"/>
        <v>0</v>
      </c>
      <c r="AQ55" s="128">
        <f t="shared" si="68"/>
        <v>0</v>
      </c>
      <c r="AR55" s="128">
        <f t="shared" si="69"/>
        <v>0</v>
      </c>
      <c r="AS55" s="237"/>
    </row>
    <row r="56" spans="1:45" s="18" customFormat="1">
      <c r="A56" s="42" t="s">
        <v>252</v>
      </c>
      <c r="B56" s="18" t="s">
        <v>8</v>
      </c>
      <c r="C56" s="161">
        <v>1</v>
      </c>
      <c r="D56" s="91" t="s">
        <v>2</v>
      </c>
      <c r="E56" s="162">
        <v>700</v>
      </c>
      <c r="F56" s="163">
        <f t="shared" si="52"/>
        <v>700</v>
      </c>
      <c r="G56" s="164">
        <v>0</v>
      </c>
      <c r="H56" s="164">
        <v>16</v>
      </c>
      <c r="I56" s="164">
        <v>24</v>
      </c>
      <c r="J56" s="164">
        <v>0</v>
      </c>
      <c r="K56" s="334">
        <v>24</v>
      </c>
      <c r="L56" s="91" t="s">
        <v>7</v>
      </c>
      <c r="M56" s="162">
        <f t="shared" si="53"/>
        <v>1516.3200000000002</v>
      </c>
      <c r="N56" s="87">
        <v>1</v>
      </c>
      <c r="O56" s="166">
        <f t="shared" si="54"/>
        <v>2216.3200000000002</v>
      </c>
      <c r="P56" s="166"/>
      <c r="Q56" s="46" t="s">
        <v>31</v>
      </c>
      <c r="R56" s="66" t="s">
        <v>49</v>
      </c>
      <c r="S56" s="133" t="str">
        <f t="shared" si="55"/>
        <v>BPD2010</v>
      </c>
      <c r="T56" s="133" t="str">
        <f t="shared" si="56"/>
        <v>B1.2.2.1.22010</v>
      </c>
      <c r="U56" s="133" t="s">
        <v>177</v>
      </c>
      <c r="V56" s="133" t="str">
        <f t="shared" si="57"/>
        <v>Phase-1 Production</v>
      </c>
      <c r="AB56" s="30">
        <v>2010</v>
      </c>
      <c r="AC56" s="128">
        <f t="shared" si="58"/>
        <v>0</v>
      </c>
      <c r="AD56" s="128">
        <f t="shared" si="59"/>
        <v>16</v>
      </c>
      <c r="AE56" s="128">
        <f t="shared" si="60"/>
        <v>24</v>
      </c>
      <c r="AF56" s="128">
        <f t="shared" si="61"/>
        <v>0</v>
      </c>
      <c r="AG56" s="128">
        <f t="shared" si="62"/>
        <v>24</v>
      </c>
      <c r="AH56" s="236">
        <f t="shared" si="63"/>
        <v>700</v>
      </c>
      <c r="AI56" s="237"/>
      <c r="AJ56" s="128"/>
      <c r="AK56" s="128"/>
      <c r="AL56" s="162"/>
      <c r="AM56" s="127">
        <f t="shared" si="64"/>
        <v>0</v>
      </c>
      <c r="AN56" s="128">
        <f t="shared" si="65"/>
        <v>0</v>
      </c>
      <c r="AO56" s="128">
        <f t="shared" si="66"/>
        <v>0</v>
      </c>
      <c r="AP56" s="128">
        <f t="shared" si="67"/>
        <v>0</v>
      </c>
      <c r="AQ56" s="128">
        <f t="shared" si="68"/>
        <v>0</v>
      </c>
      <c r="AR56" s="128">
        <f t="shared" si="69"/>
        <v>0</v>
      </c>
      <c r="AS56" s="237"/>
    </row>
    <row r="57" spans="1:45" s="18" customFormat="1">
      <c r="A57" s="42" t="s">
        <v>433</v>
      </c>
      <c r="B57" s="18" t="s">
        <v>8</v>
      </c>
      <c r="C57" s="161">
        <v>1</v>
      </c>
      <c r="D57" s="91" t="s">
        <v>2</v>
      </c>
      <c r="E57" s="162">
        <v>1500</v>
      </c>
      <c r="F57" s="163">
        <f>E57*C57</f>
        <v>1500</v>
      </c>
      <c r="G57" s="164">
        <v>24</v>
      </c>
      <c r="H57" s="164">
        <v>8</v>
      </c>
      <c r="I57" s="164">
        <v>40</v>
      </c>
      <c r="J57" s="164">
        <v>0</v>
      </c>
      <c r="K57" s="334">
        <v>20</v>
      </c>
      <c r="L57" s="91" t="s">
        <v>7</v>
      </c>
      <c r="M57" s="162">
        <f>IF(R57="PD",((Shop*G57)+(M_Tech*H57)+(CMM*I57)+(ENG*J57)+(DES*K57))*N57,((Shop_RD*G57)+(MTECH_RD*H57)+(CMM_RD*I57)+(ENG_RD*J57)+(DES_RD*K57))*N57)</f>
        <v>3960</v>
      </c>
      <c r="N57" s="87">
        <v>1</v>
      </c>
      <c r="O57" s="166">
        <f>M57+(F57*N57)</f>
        <v>5460</v>
      </c>
      <c r="P57" s="166"/>
      <c r="Q57" s="46" t="s">
        <v>31</v>
      </c>
      <c r="R57" s="66" t="s">
        <v>154</v>
      </c>
      <c r="S57" s="133" t="str">
        <f>CONCATENATE(Q57,R57,AB57)</f>
        <v>BPT2010</v>
      </c>
      <c r="T57" s="133" t="str">
        <f>CONCATENATE(Q57,U57,AB57)</f>
        <v>B1.2.2.1.22010</v>
      </c>
      <c r="U57" s="133" t="s">
        <v>177</v>
      </c>
      <c r="V57" s="133" t="str">
        <f t="shared" si="57"/>
        <v>Phase-1 Production</v>
      </c>
      <c r="AB57" s="30">
        <v>2010</v>
      </c>
      <c r="AC57" s="128">
        <f>IF($Q57="B", (G57*$N57),0)</f>
        <v>24</v>
      </c>
      <c r="AD57" s="128">
        <f>IF($Q57="B", (H57*$N57),0)</f>
        <v>8</v>
      </c>
      <c r="AE57" s="128">
        <f>IF($Q57="B", (I57*$N57),0)</f>
        <v>40</v>
      </c>
      <c r="AF57" s="128">
        <f>IF($Q57="B", (J57*$N57),0)</f>
        <v>0</v>
      </c>
      <c r="AG57" s="128">
        <f>IF($Q57="B", (K57*$N57),0)</f>
        <v>20</v>
      </c>
      <c r="AH57" s="236">
        <f>IF($Q57="B", (F57*$N57),0)</f>
        <v>1500</v>
      </c>
      <c r="AI57" s="237"/>
      <c r="AJ57" s="128"/>
      <c r="AK57" s="128"/>
      <c r="AL57" s="162"/>
      <c r="AM57" s="127">
        <f>IF($Q57="C", (G57*$N57),0)</f>
        <v>0</v>
      </c>
      <c r="AN57" s="128">
        <f>IF($Q57="C", (H57*$N57),0)</f>
        <v>0</v>
      </c>
      <c r="AO57" s="128">
        <f>IF($Q57="C", (I57*$N57),0)</f>
        <v>0</v>
      </c>
      <c r="AP57" s="128">
        <f>IF($Q57="C", (J57*$N57),0)</f>
        <v>0</v>
      </c>
      <c r="AQ57" s="128">
        <f>IF($Q57="C", (K57*$N57),0)</f>
        <v>0</v>
      </c>
      <c r="AR57" s="128">
        <f>IF($Q57="C", (F57*$N57),0)</f>
        <v>0</v>
      </c>
      <c r="AS57" s="237"/>
    </row>
    <row r="58" spans="1:45" s="18" customFormat="1" hidden="1">
      <c r="A58" s="42" t="s">
        <v>437</v>
      </c>
      <c r="B58" s="18" t="s">
        <v>8</v>
      </c>
      <c r="C58" s="161">
        <v>1</v>
      </c>
      <c r="D58" s="91" t="s">
        <v>2</v>
      </c>
      <c r="E58" s="162">
        <v>1500</v>
      </c>
      <c r="F58" s="163">
        <f t="shared" si="52"/>
        <v>1500</v>
      </c>
      <c r="G58" s="164">
        <v>40</v>
      </c>
      <c r="H58" s="164">
        <v>80</v>
      </c>
      <c r="I58" s="164">
        <v>40</v>
      </c>
      <c r="J58" s="164">
        <v>0</v>
      </c>
      <c r="K58" s="334">
        <v>40</v>
      </c>
      <c r="L58" s="91" t="s">
        <v>7</v>
      </c>
      <c r="M58" s="162">
        <f t="shared" si="53"/>
        <v>0</v>
      </c>
      <c r="N58" s="87">
        <v>0</v>
      </c>
      <c r="O58" s="166">
        <f t="shared" si="54"/>
        <v>0</v>
      </c>
      <c r="P58" s="166"/>
      <c r="Q58" s="46" t="s">
        <v>32</v>
      </c>
      <c r="R58" s="66" t="s">
        <v>154</v>
      </c>
      <c r="S58" s="133" t="str">
        <f t="shared" si="55"/>
        <v>CPT2010</v>
      </c>
      <c r="T58" s="133" t="str">
        <f t="shared" si="56"/>
        <v>C1.2.2.1.22010</v>
      </c>
      <c r="U58" s="133" t="s">
        <v>177</v>
      </c>
      <c r="V58" s="133" t="str">
        <f t="shared" si="57"/>
        <v>Phase-1 Production</v>
      </c>
      <c r="AB58" s="30">
        <v>2010</v>
      </c>
      <c r="AC58" s="128">
        <f t="shared" si="58"/>
        <v>0</v>
      </c>
      <c r="AD58" s="128">
        <f t="shared" si="59"/>
        <v>0</v>
      </c>
      <c r="AE58" s="128">
        <f t="shared" si="60"/>
        <v>0</v>
      </c>
      <c r="AF58" s="128">
        <f t="shared" si="61"/>
        <v>0</v>
      </c>
      <c r="AG58" s="128">
        <f t="shared" si="62"/>
        <v>0</v>
      </c>
      <c r="AH58" s="236">
        <f t="shared" si="63"/>
        <v>0</v>
      </c>
      <c r="AI58" s="237"/>
      <c r="AJ58" s="128"/>
      <c r="AK58" s="128"/>
      <c r="AL58" s="162"/>
      <c r="AM58" s="127">
        <f t="shared" si="64"/>
        <v>0</v>
      </c>
      <c r="AN58" s="128">
        <f t="shared" si="65"/>
        <v>0</v>
      </c>
      <c r="AO58" s="128">
        <f t="shared" si="66"/>
        <v>0</v>
      </c>
      <c r="AP58" s="128">
        <f t="shared" si="67"/>
        <v>0</v>
      </c>
      <c r="AQ58" s="128">
        <f t="shared" si="68"/>
        <v>0</v>
      </c>
      <c r="AR58" s="128">
        <f t="shared" si="69"/>
        <v>0</v>
      </c>
      <c r="AS58" s="237"/>
    </row>
    <row r="59" spans="1:45" s="18" customFormat="1" hidden="1">
      <c r="A59" s="42" t="s">
        <v>321</v>
      </c>
      <c r="B59" s="18" t="s">
        <v>8</v>
      </c>
      <c r="C59" s="161">
        <v>1</v>
      </c>
      <c r="D59" s="91" t="s">
        <v>2</v>
      </c>
      <c r="E59" s="162">
        <v>1500</v>
      </c>
      <c r="F59" s="163">
        <f>E59*C59</f>
        <v>1500</v>
      </c>
      <c r="G59" s="164">
        <v>40</v>
      </c>
      <c r="H59" s="164">
        <v>80</v>
      </c>
      <c r="I59" s="164">
        <v>40</v>
      </c>
      <c r="J59" s="164">
        <v>0</v>
      </c>
      <c r="K59" s="334">
        <v>80</v>
      </c>
      <c r="L59" s="91" t="s">
        <v>7</v>
      </c>
      <c r="M59" s="162">
        <f>IF(R59="PD",((Shop*G59)+(M_Tech*H59)+(CMM*I59)+(ENG*J59)+(DES*K59))*N59,((Shop_RD*G59)+(MTECH_RD*H59)+(CMM_RD*I59)+(ENG_RD*J59)+(DES_RD*K59))*N59)</f>
        <v>0</v>
      </c>
      <c r="N59" s="87">
        <v>0</v>
      </c>
      <c r="O59" s="166">
        <f>M59+(F59*N59)</f>
        <v>0</v>
      </c>
      <c r="P59" s="166"/>
      <c r="Q59" s="46" t="s">
        <v>31</v>
      </c>
      <c r="R59" s="66" t="s">
        <v>49</v>
      </c>
      <c r="S59" s="133" t="str">
        <f>CONCATENATE(Q59,R59,AB59)</f>
        <v>BPD2010</v>
      </c>
      <c r="T59" s="133" t="str">
        <f>CONCATENATE(Q59,U59,AB59)</f>
        <v>B1.2.2.1.22010</v>
      </c>
      <c r="U59" s="133" t="s">
        <v>177</v>
      </c>
      <c r="V59" s="133" t="str">
        <f t="shared" si="57"/>
        <v>Phase-1 Production</v>
      </c>
      <c r="AB59" s="30">
        <v>2010</v>
      </c>
      <c r="AC59" s="128">
        <f>IF($Q59="B", (G59*$N59),0)</f>
        <v>0</v>
      </c>
      <c r="AD59" s="128">
        <f>IF($Q59="B", (H59*$N59),0)</f>
        <v>0</v>
      </c>
      <c r="AE59" s="128">
        <f>IF($Q59="B", (I59*$N59),0)</f>
        <v>0</v>
      </c>
      <c r="AF59" s="128">
        <f>IF($Q59="B", (J59*$N59),0)</f>
        <v>0</v>
      </c>
      <c r="AG59" s="128">
        <f>IF($Q59="B", (K59*$N59),0)</f>
        <v>0</v>
      </c>
      <c r="AH59" s="236">
        <f>IF($Q59="B", (F59*$N59),0)</f>
        <v>0</v>
      </c>
      <c r="AI59" s="237"/>
      <c r="AJ59" s="128"/>
      <c r="AK59" s="128"/>
      <c r="AL59" s="162"/>
      <c r="AM59" s="127">
        <f>IF($Q59="C", (G59*$N59),0)</f>
        <v>0</v>
      </c>
      <c r="AN59" s="128">
        <f>IF($Q59="C", (H59*$N59),0)</f>
        <v>0</v>
      </c>
      <c r="AO59" s="128">
        <f>IF($Q59="C", (I59*$N59),0)</f>
        <v>0</v>
      </c>
      <c r="AP59" s="128">
        <f>IF($Q59="C", (J59*$N59),0)</f>
        <v>0</v>
      </c>
      <c r="AQ59" s="128">
        <f>IF($Q59="C", (K59*$N59),0)</f>
        <v>0</v>
      </c>
      <c r="AR59" s="128">
        <f>IF($Q59="C", (F59*$N59),0)</f>
        <v>0</v>
      </c>
      <c r="AS59" s="237"/>
    </row>
    <row r="60" spans="1:45" s="18" customFormat="1">
      <c r="A60" s="42" t="s">
        <v>255</v>
      </c>
      <c r="B60" s="18" t="s">
        <v>8</v>
      </c>
      <c r="C60" s="161">
        <v>1</v>
      </c>
      <c r="D60" s="91" t="s">
        <v>2</v>
      </c>
      <c r="E60" s="162">
        <v>1000</v>
      </c>
      <c r="F60" s="163">
        <f t="shared" si="52"/>
        <v>1000</v>
      </c>
      <c r="G60" s="164">
        <v>0</v>
      </c>
      <c r="H60" s="164">
        <v>0</v>
      </c>
      <c r="I60" s="164">
        <v>120</v>
      </c>
      <c r="J60" s="164">
        <v>0</v>
      </c>
      <c r="K60" s="334">
        <v>80</v>
      </c>
      <c r="L60" s="91" t="s">
        <v>7</v>
      </c>
      <c r="M60" s="162">
        <f t="shared" si="53"/>
        <v>0</v>
      </c>
      <c r="N60" s="87">
        <v>1</v>
      </c>
      <c r="O60" s="166">
        <f t="shared" si="54"/>
        <v>1000</v>
      </c>
      <c r="P60" s="166"/>
      <c r="Q60" s="46" t="s">
        <v>31</v>
      </c>
      <c r="R60" s="66" t="s">
        <v>49</v>
      </c>
      <c r="S60" s="133" t="str">
        <f t="shared" si="55"/>
        <v>BPD2010</v>
      </c>
      <c r="T60" s="133" t="str">
        <f t="shared" si="56"/>
        <v>B1.2.2.1.22010</v>
      </c>
      <c r="U60" s="133" t="s">
        <v>177</v>
      </c>
      <c r="V60" s="133" t="str">
        <f t="shared" si="57"/>
        <v>Phase-1 Production</v>
      </c>
      <c r="AB60" s="30">
        <v>2010</v>
      </c>
      <c r="AC60" s="128">
        <f t="shared" si="58"/>
        <v>0</v>
      </c>
      <c r="AD60" s="128">
        <f t="shared" si="59"/>
        <v>0</v>
      </c>
      <c r="AE60" s="128">
        <f t="shared" si="60"/>
        <v>120</v>
      </c>
      <c r="AF60" s="128">
        <f t="shared" si="61"/>
        <v>0</v>
      </c>
      <c r="AG60" s="128">
        <f t="shared" si="62"/>
        <v>80</v>
      </c>
      <c r="AH60" s="236">
        <f t="shared" si="63"/>
        <v>1000</v>
      </c>
      <c r="AI60" s="237"/>
      <c r="AJ60" s="128"/>
      <c r="AK60" s="128"/>
      <c r="AL60" s="162"/>
      <c r="AM60" s="127">
        <f t="shared" si="64"/>
        <v>0</v>
      </c>
      <c r="AN60" s="128">
        <f t="shared" si="65"/>
        <v>0</v>
      </c>
      <c r="AO60" s="128">
        <f t="shared" si="66"/>
        <v>0</v>
      </c>
      <c r="AP60" s="128">
        <f t="shared" si="67"/>
        <v>0</v>
      </c>
      <c r="AQ60" s="128">
        <f t="shared" si="68"/>
        <v>0</v>
      </c>
      <c r="AR60" s="128">
        <f t="shared" si="69"/>
        <v>0</v>
      </c>
      <c r="AS60" s="237"/>
    </row>
    <row r="61" spans="1:45" s="18" customFormat="1">
      <c r="A61" s="42" t="s">
        <v>445</v>
      </c>
      <c r="B61" s="18" t="s">
        <v>8</v>
      </c>
      <c r="C61" s="161">
        <v>1</v>
      </c>
      <c r="D61" s="91" t="s">
        <v>2</v>
      </c>
      <c r="E61" s="162">
        <v>5000</v>
      </c>
      <c r="F61" s="163">
        <f>E61*C61</f>
        <v>5000</v>
      </c>
      <c r="G61" s="164">
        <v>40</v>
      </c>
      <c r="H61" s="164">
        <v>40</v>
      </c>
      <c r="I61" s="164">
        <v>80</v>
      </c>
      <c r="J61" s="164">
        <v>0</v>
      </c>
      <c r="K61" s="334">
        <v>40</v>
      </c>
      <c r="L61" s="91" t="s">
        <v>7</v>
      </c>
      <c r="M61" s="162">
        <f>IF(R61="PD",((Shop*G61)+(M_Tech*H61)+(CMM*I61)+(ENG*J61)+(DES*K61))*N61,((Shop_RD*G61)+(MTECH_RD*H61)+(CMM_RD*I61)+(ENG_RD*J61)+(DES_RD*K61))*N61)</f>
        <v>7873.2000000000007</v>
      </c>
      <c r="N61" s="87">
        <v>1</v>
      </c>
      <c r="O61" s="166">
        <f>M61+(F61*N61)</f>
        <v>12873.2</v>
      </c>
      <c r="P61" s="166"/>
      <c r="Q61" s="46" t="s">
        <v>31</v>
      </c>
      <c r="R61" s="66" t="s">
        <v>49</v>
      </c>
      <c r="S61" s="133" t="str">
        <f>CONCATENATE(Q61,R61,AB61)</f>
        <v>BPD2010</v>
      </c>
      <c r="T61" s="133" t="str">
        <f>CONCATENATE(Q61,U61,AB61)</f>
        <v>B1.2.2.1.22010</v>
      </c>
      <c r="U61" s="133" t="s">
        <v>177</v>
      </c>
      <c r="V61" s="133" t="str">
        <f t="shared" si="57"/>
        <v>Phase-1 Production</v>
      </c>
      <c r="AB61" s="30">
        <v>2010</v>
      </c>
      <c r="AC61" s="128">
        <f t="shared" ref="AC61:AG63" si="70">IF($Q61="B", (G61*$N61),0)</f>
        <v>40</v>
      </c>
      <c r="AD61" s="128">
        <f t="shared" si="70"/>
        <v>40</v>
      </c>
      <c r="AE61" s="128">
        <f t="shared" si="70"/>
        <v>80</v>
      </c>
      <c r="AF61" s="128">
        <f t="shared" si="70"/>
        <v>0</v>
      </c>
      <c r="AG61" s="128">
        <f t="shared" si="70"/>
        <v>40</v>
      </c>
      <c r="AH61" s="236">
        <f>IF($Q61="B", (F61*$N61),0)</f>
        <v>5000</v>
      </c>
      <c r="AI61" s="237"/>
      <c r="AJ61" s="128"/>
      <c r="AK61" s="128"/>
      <c r="AL61" s="162"/>
      <c r="AM61" s="127">
        <f t="shared" ref="AM61:AQ63" si="71">IF($Q61="C", (G61*$N61),0)</f>
        <v>0</v>
      </c>
      <c r="AN61" s="128">
        <f t="shared" si="71"/>
        <v>0</v>
      </c>
      <c r="AO61" s="128">
        <f t="shared" si="71"/>
        <v>0</v>
      </c>
      <c r="AP61" s="128">
        <f t="shared" si="71"/>
        <v>0</v>
      </c>
      <c r="AQ61" s="128">
        <f t="shared" si="71"/>
        <v>0</v>
      </c>
      <c r="AR61" s="128">
        <f>IF($Q61="C", (F61*$N61),0)</f>
        <v>0</v>
      </c>
      <c r="AS61" s="237"/>
    </row>
    <row r="62" spans="1:45" s="18" customFormat="1">
      <c r="A62" s="42" t="s">
        <v>322</v>
      </c>
      <c r="B62" s="18" t="s">
        <v>8</v>
      </c>
      <c r="C62" s="161">
        <v>1</v>
      </c>
      <c r="D62" s="91" t="s">
        <v>2</v>
      </c>
      <c r="E62" s="162">
        <v>0</v>
      </c>
      <c r="F62" s="163">
        <f>E62*C62</f>
        <v>0</v>
      </c>
      <c r="G62" s="164">
        <v>0</v>
      </c>
      <c r="H62" s="164">
        <v>0</v>
      </c>
      <c r="I62" s="164">
        <v>40</v>
      </c>
      <c r="J62" s="164">
        <v>0</v>
      </c>
      <c r="K62" s="334">
        <v>48</v>
      </c>
      <c r="L62" s="91" t="s">
        <v>7</v>
      </c>
      <c r="M62" s="162">
        <f>IF(R62="PD",((Shop*G62)+(M_Tech*H62)+(CMM*I62)+(ENG*J62)+(DES*K62))*N62,((Shop_RD*G62)+(MTECH_RD*H62)+(CMM_RD*I62)+(ENG_RD*J62)+(DES_RD*K62))*N62)</f>
        <v>0</v>
      </c>
      <c r="N62" s="87">
        <v>1</v>
      </c>
      <c r="O62" s="166">
        <f>M62+(F62*N62)</f>
        <v>0</v>
      </c>
      <c r="P62" s="166"/>
      <c r="Q62" s="46" t="s">
        <v>31</v>
      </c>
      <c r="R62" s="66" t="s">
        <v>49</v>
      </c>
      <c r="S62" s="133" t="str">
        <f>CONCATENATE(Q62,R62,AB62)</f>
        <v>BPD2010</v>
      </c>
      <c r="T62" s="133" t="str">
        <f>CONCATENATE(Q62,U62,AB62)</f>
        <v>B1.2.2.1.22010</v>
      </c>
      <c r="U62" s="133" t="s">
        <v>177</v>
      </c>
      <c r="V62" s="133" t="str">
        <f t="shared" si="57"/>
        <v>Phase-1 Production</v>
      </c>
      <c r="AB62" s="30">
        <v>2010</v>
      </c>
      <c r="AC62" s="128">
        <f>IF($Q62="B", (G62*$N62),0)</f>
        <v>0</v>
      </c>
      <c r="AD62" s="128">
        <f>IF($Q62="B", (H62*$N62),0)</f>
        <v>0</v>
      </c>
      <c r="AE62" s="128">
        <f>IF($Q62="B", (I62*$N62),0)</f>
        <v>40</v>
      </c>
      <c r="AF62" s="128">
        <f>IF($Q62="B", (J62*$N62),0)</f>
        <v>0</v>
      </c>
      <c r="AG62" s="128">
        <f>IF($Q62="B", (K62*$N62),0)</f>
        <v>48</v>
      </c>
      <c r="AH62" s="236">
        <f>IF($Q62="B", (F62*$N62),0)</f>
        <v>0</v>
      </c>
      <c r="AI62" s="237"/>
      <c r="AJ62" s="128"/>
      <c r="AK62" s="128"/>
      <c r="AL62" s="162"/>
      <c r="AM62" s="127">
        <f>IF($Q62="C", (G62*$N62),0)</f>
        <v>0</v>
      </c>
      <c r="AN62" s="128">
        <f>IF($Q62="C", (H62*$N62),0)</f>
        <v>0</v>
      </c>
      <c r="AO62" s="128">
        <f>IF($Q62="C", (I62*$N62),0)</f>
        <v>0</v>
      </c>
      <c r="AP62" s="128">
        <f>IF($Q62="C", (J62*$N62),0)</f>
        <v>0</v>
      </c>
      <c r="AQ62" s="128">
        <f>IF($Q62="C", (K62*$N62),0)</f>
        <v>0</v>
      </c>
      <c r="AR62" s="128">
        <f>IF($Q62="C", (F62*$N62),0)</f>
        <v>0</v>
      </c>
      <c r="AS62" s="237"/>
    </row>
    <row r="63" spans="1:45" s="18" customFormat="1">
      <c r="A63" s="42" t="s">
        <v>358</v>
      </c>
      <c r="B63" s="18" t="s">
        <v>8</v>
      </c>
      <c r="C63" s="161">
        <v>1</v>
      </c>
      <c r="D63" s="91" t="s">
        <v>2</v>
      </c>
      <c r="E63" s="162">
        <v>0</v>
      </c>
      <c r="F63" s="163">
        <f>E63*C63</f>
        <v>0</v>
      </c>
      <c r="G63" s="164">
        <v>0</v>
      </c>
      <c r="H63" s="164">
        <v>0</v>
      </c>
      <c r="I63" s="164">
        <v>40</v>
      </c>
      <c r="J63" s="164">
        <v>8</v>
      </c>
      <c r="K63" s="334">
        <v>40</v>
      </c>
      <c r="L63" s="91" t="s">
        <v>7</v>
      </c>
      <c r="M63" s="162">
        <f>IF(R63="PD",((Shop*G63)+(M_Tech*H63)+(CMM*I63)+(ENG*J63)+(DES*K63))*N63,((Shop_RD*G63)+(MTECH_RD*H63)+(CMM_RD*I63)+(ENG_RD*J63)+(DES_RD*K63))*N63)</f>
        <v>972.00000000000011</v>
      </c>
      <c r="N63" s="87">
        <v>1</v>
      </c>
      <c r="O63" s="166">
        <f>M63+(F63*N63)</f>
        <v>972.00000000000011</v>
      </c>
      <c r="P63" s="166"/>
      <c r="Q63" s="46" t="s">
        <v>32</v>
      </c>
      <c r="R63" s="66" t="s">
        <v>49</v>
      </c>
      <c r="S63" s="133" t="str">
        <f>CONCATENATE(Q63,R63,AB63)</f>
        <v>CPD2011</v>
      </c>
      <c r="T63" s="133" t="str">
        <f>CONCATENATE(Q63,U63,AB63)</f>
        <v>C1.2.2.1.22011</v>
      </c>
      <c r="U63" s="133" t="s">
        <v>177</v>
      </c>
      <c r="V63" s="133" t="str">
        <f t="shared" si="57"/>
        <v>Phase-1 Production</v>
      </c>
      <c r="AB63" s="30">
        <v>2011</v>
      </c>
      <c r="AC63" s="128">
        <f t="shared" si="70"/>
        <v>0</v>
      </c>
      <c r="AD63" s="128">
        <f t="shared" si="70"/>
        <v>0</v>
      </c>
      <c r="AE63" s="128">
        <f t="shared" si="70"/>
        <v>0</v>
      </c>
      <c r="AF63" s="128">
        <f t="shared" si="70"/>
        <v>0</v>
      </c>
      <c r="AG63" s="128">
        <f t="shared" si="70"/>
        <v>0</v>
      </c>
      <c r="AH63" s="236">
        <f>IF($Q63="B", (F63*$N63),0)</f>
        <v>0</v>
      </c>
      <c r="AI63" s="237"/>
      <c r="AJ63" s="128"/>
      <c r="AK63" s="128"/>
      <c r="AL63" s="162"/>
      <c r="AM63" s="127">
        <f t="shared" si="71"/>
        <v>0</v>
      </c>
      <c r="AN63" s="128">
        <f t="shared" si="71"/>
        <v>0</v>
      </c>
      <c r="AO63" s="128">
        <f t="shared" si="71"/>
        <v>40</v>
      </c>
      <c r="AP63" s="128">
        <f t="shared" si="71"/>
        <v>8</v>
      </c>
      <c r="AQ63" s="128">
        <f t="shared" si="71"/>
        <v>40</v>
      </c>
      <c r="AR63" s="128">
        <f>IF($Q63="C", (F63*$N63),0)</f>
        <v>0</v>
      </c>
      <c r="AS63" s="237"/>
    </row>
    <row r="64" spans="1:45" s="18" customFormat="1">
      <c r="A64" s="42" t="s">
        <v>349</v>
      </c>
      <c r="B64" s="18" t="s">
        <v>8</v>
      </c>
      <c r="C64" s="161">
        <v>1</v>
      </c>
      <c r="D64" s="91" t="s">
        <v>2</v>
      </c>
      <c r="E64" s="162">
        <v>5000</v>
      </c>
      <c r="F64" s="163">
        <f t="shared" si="52"/>
        <v>5000</v>
      </c>
      <c r="G64" s="164">
        <v>20</v>
      </c>
      <c r="H64" s="164">
        <v>32</v>
      </c>
      <c r="I64" s="164">
        <v>0</v>
      </c>
      <c r="J64" s="164">
        <v>8</v>
      </c>
      <c r="K64" s="334">
        <v>0</v>
      </c>
      <c r="L64" s="91" t="s">
        <v>7</v>
      </c>
      <c r="M64" s="162">
        <f t="shared" si="53"/>
        <v>6045.84</v>
      </c>
      <c r="N64" s="87">
        <v>1</v>
      </c>
      <c r="O64" s="166">
        <f t="shared" si="54"/>
        <v>11045.84</v>
      </c>
      <c r="P64" s="166"/>
      <c r="Q64" s="46" t="s">
        <v>32</v>
      </c>
      <c r="R64" s="66" t="s">
        <v>49</v>
      </c>
      <c r="S64" s="133" t="str">
        <f t="shared" si="55"/>
        <v>CPD2011</v>
      </c>
      <c r="T64" s="133" t="str">
        <f t="shared" si="56"/>
        <v>C1.2.2.1.22011</v>
      </c>
      <c r="U64" s="133" t="s">
        <v>177</v>
      </c>
      <c r="V64" s="133" t="str">
        <f t="shared" si="57"/>
        <v>Phase-1 Production</v>
      </c>
      <c r="AB64" s="30">
        <v>2011</v>
      </c>
      <c r="AC64" s="128">
        <f t="shared" si="58"/>
        <v>0</v>
      </c>
      <c r="AD64" s="128">
        <f t="shared" si="59"/>
        <v>0</v>
      </c>
      <c r="AE64" s="128">
        <f t="shared" si="60"/>
        <v>0</v>
      </c>
      <c r="AF64" s="128">
        <f t="shared" si="61"/>
        <v>0</v>
      </c>
      <c r="AG64" s="128">
        <f t="shared" si="62"/>
        <v>0</v>
      </c>
      <c r="AH64" s="236">
        <f t="shared" si="63"/>
        <v>0</v>
      </c>
      <c r="AI64" s="237"/>
      <c r="AJ64" s="128"/>
      <c r="AK64" s="128"/>
      <c r="AL64" s="162"/>
      <c r="AM64" s="127">
        <f t="shared" si="64"/>
        <v>20</v>
      </c>
      <c r="AN64" s="128">
        <f t="shared" si="65"/>
        <v>32</v>
      </c>
      <c r="AO64" s="128">
        <f t="shared" si="66"/>
        <v>0</v>
      </c>
      <c r="AP64" s="128">
        <f t="shared" si="67"/>
        <v>8</v>
      </c>
      <c r="AQ64" s="128">
        <f t="shared" si="68"/>
        <v>0</v>
      </c>
      <c r="AR64" s="128">
        <f t="shared" si="69"/>
        <v>5000</v>
      </c>
      <c r="AS64" s="237"/>
    </row>
    <row r="65" spans="1:45" s="42" customFormat="1">
      <c r="A65" s="43"/>
      <c r="C65" s="181"/>
      <c r="E65" s="182"/>
      <c r="F65" s="183"/>
      <c r="G65" s="184"/>
      <c r="H65" s="184"/>
      <c r="I65" s="184"/>
      <c r="J65" s="184"/>
      <c r="K65" s="185"/>
      <c r="L65" s="222" t="s">
        <v>43</v>
      </c>
      <c r="M65" s="174">
        <f>SUMIF(Q55:Q64,"B",M55:M64)</f>
        <v>15293.52</v>
      </c>
      <c r="N65" s="62" t="s">
        <v>43</v>
      </c>
      <c r="O65" s="174">
        <f>SUMIF(Q55:Q64,"B",O55:O64)</f>
        <v>23493.52</v>
      </c>
      <c r="P65" s="186"/>
      <c r="Q65" s="60"/>
      <c r="R65" s="68"/>
      <c r="S65" s="133"/>
      <c r="T65" s="133"/>
      <c r="U65" s="70"/>
      <c r="V65" s="70"/>
      <c r="W65" s="18"/>
      <c r="X65" s="18"/>
      <c r="Y65" s="18"/>
      <c r="Z65" s="18"/>
      <c r="AA65" s="18"/>
      <c r="AB65" s="61"/>
      <c r="AC65" s="128"/>
      <c r="AD65" s="128"/>
      <c r="AE65" s="128"/>
      <c r="AF65" s="128"/>
      <c r="AG65" s="128"/>
      <c r="AH65" s="236"/>
      <c r="AI65" s="237"/>
      <c r="AJ65" s="128"/>
      <c r="AK65" s="128"/>
      <c r="AL65" s="162"/>
      <c r="AM65" s="127"/>
      <c r="AN65" s="128"/>
      <c r="AO65" s="128"/>
      <c r="AP65" s="128"/>
      <c r="AQ65" s="128"/>
      <c r="AR65" s="128"/>
      <c r="AS65" s="237"/>
    </row>
    <row r="66" spans="1:45">
      <c r="A66" s="19" t="s">
        <v>317</v>
      </c>
      <c r="B66" s="2"/>
      <c r="C66" s="167"/>
      <c r="D66" s="13"/>
      <c r="E66" s="168"/>
      <c r="F66" s="169"/>
      <c r="G66" s="167"/>
      <c r="H66" s="167"/>
      <c r="I66" s="167"/>
      <c r="J66" s="167"/>
      <c r="K66" s="170"/>
      <c r="L66" s="13"/>
      <c r="M66" s="168">
        <f>SUMIF(Q6:Q64,"B",M6:M64)</f>
        <v>48162.479999999996</v>
      </c>
      <c r="N66" s="362" t="s">
        <v>42</v>
      </c>
      <c r="O66" s="362"/>
      <c r="P66" s="365"/>
      <c r="Q66" s="47"/>
      <c r="R66" s="69"/>
      <c r="S66" s="134"/>
      <c r="T66" s="134"/>
      <c r="U66" s="134"/>
      <c r="V66" s="134"/>
      <c r="W66" s="2"/>
      <c r="X66" s="2"/>
      <c r="Y66" s="2"/>
      <c r="Z66" s="2"/>
      <c r="AA66" s="2"/>
      <c r="AB66" s="31"/>
      <c r="AC66" s="4">
        <f>SUM(AC6:AC64)</f>
        <v>128</v>
      </c>
      <c r="AD66" s="4">
        <f>SUM(AD6:AD64)</f>
        <v>184</v>
      </c>
      <c r="AE66" s="4">
        <f>SUM(AE6:AE64)</f>
        <v>1160</v>
      </c>
      <c r="AF66" s="4">
        <f>SUM(AF6:AF64)</f>
        <v>104</v>
      </c>
      <c r="AG66" s="4">
        <f>SUM(AG6:AG64)</f>
        <v>812</v>
      </c>
      <c r="AH66" s="168"/>
      <c r="AI66" s="169">
        <f>SUM(AH5:AH64)</f>
        <v>68000</v>
      </c>
      <c r="AJ66" s="168">
        <f>(Shop*AC66)+M_Tech*AD66+CMM*AE66+ENG*AF66+DES*AG66+AI66</f>
        <v>111137.36</v>
      </c>
      <c r="AK66" s="168"/>
      <c r="AL66" s="169">
        <f>Shop*AM66+M_Tech*AN66+CMM*AO66+ENG*AP66+DES*AQ66+AS66</f>
        <v>43226.12</v>
      </c>
      <c r="AM66" s="4">
        <f>SUM(AM5:AM64)</f>
        <v>20</v>
      </c>
      <c r="AN66" s="4">
        <f>SUM(AN5:AN64)</f>
        <v>196</v>
      </c>
      <c r="AO66" s="4">
        <f>SUM(AO5:AO64)</f>
        <v>104</v>
      </c>
      <c r="AP66" s="4">
        <f>SUM(AP5:AP64)</f>
        <v>40</v>
      </c>
      <c r="AQ66" s="4">
        <f>SUM(AQ5:AQ64)</f>
        <v>184</v>
      </c>
      <c r="AR66" s="168"/>
      <c r="AS66" s="169">
        <f>SUM(AR5:AR64)</f>
        <v>17750</v>
      </c>
    </row>
    <row r="67" spans="1:45">
      <c r="F67" s="160"/>
      <c r="G67" s="158"/>
      <c r="H67" s="158"/>
      <c r="I67" s="158"/>
      <c r="J67" s="158"/>
      <c r="K67" s="171"/>
      <c r="M67" s="107"/>
      <c r="N67" s="6"/>
      <c r="O67" s="172"/>
      <c r="P67" s="172"/>
      <c r="Q67" s="32"/>
      <c r="R67" s="67"/>
      <c r="S67" s="135"/>
      <c r="T67" s="135"/>
      <c r="U67" s="135"/>
      <c r="V67" s="135"/>
      <c r="W67"/>
      <c r="X67"/>
      <c r="Y67"/>
      <c r="Z67"/>
      <c r="AA67"/>
      <c r="AB67" s="33"/>
      <c r="AC67" s="28"/>
      <c r="AD67" s="28"/>
      <c r="AE67" s="28"/>
      <c r="AF67" s="28"/>
      <c r="AG67" s="28"/>
      <c r="AH67" s="239"/>
      <c r="AI67" s="240"/>
      <c r="AJ67" s="5"/>
      <c r="AK67" s="5"/>
      <c r="AM67" s="29"/>
      <c r="AN67" s="3"/>
      <c r="AO67" s="3"/>
      <c r="AP67" s="3"/>
      <c r="AQ67" s="3"/>
      <c r="AR67" s="3"/>
      <c r="AS67" s="241"/>
    </row>
    <row r="68" spans="1:45" ht="15.75">
      <c r="A68" s="44" t="s">
        <v>180</v>
      </c>
      <c r="F68" s="160"/>
      <c r="G68" s="158"/>
      <c r="H68" s="158"/>
      <c r="I68" s="158"/>
      <c r="J68" s="158"/>
      <c r="K68" s="171"/>
      <c r="M68" s="107"/>
      <c r="N68" s="6"/>
      <c r="O68" s="172"/>
      <c r="P68" s="172"/>
      <c r="Q68" s="46"/>
      <c r="R68" s="66"/>
      <c r="S68" s="133"/>
      <c r="T68" s="133"/>
      <c r="U68" s="133"/>
      <c r="V68" s="133"/>
      <c r="W68"/>
      <c r="X68"/>
      <c r="Y68"/>
      <c r="Z68"/>
      <c r="AA68"/>
      <c r="AB68" s="30"/>
      <c r="AC68" s="3"/>
      <c r="AD68" s="3"/>
      <c r="AE68" s="3"/>
      <c r="AF68" s="3"/>
      <c r="AG68" s="3"/>
      <c r="AH68" s="159"/>
      <c r="AI68" s="241"/>
      <c r="AJ68" s="3"/>
      <c r="AK68" s="3"/>
      <c r="AM68" s="29"/>
      <c r="AN68" s="3"/>
      <c r="AO68" s="3"/>
      <c r="AP68" s="3"/>
      <c r="AQ68" s="3"/>
      <c r="AR68" s="3"/>
      <c r="AS68" s="241"/>
    </row>
    <row r="69" spans="1:45" s="17" customFormat="1">
      <c r="A69" s="43" t="s">
        <v>182</v>
      </c>
      <c r="B69" s="18"/>
      <c r="C69" s="151"/>
      <c r="D69" s="91"/>
      <c r="E69" s="107"/>
      <c r="F69" s="160"/>
      <c r="G69" s="164"/>
      <c r="H69" s="158"/>
      <c r="I69" s="158"/>
      <c r="J69" s="158"/>
      <c r="K69" s="171"/>
      <c r="L69" s="222"/>
      <c r="M69" s="174"/>
      <c r="N69" s="62"/>
      <c r="O69" s="174"/>
      <c r="P69" s="172"/>
      <c r="Q69" s="46"/>
      <c r="R69" s="66"/>
      <c r="S69" s="133"/>
      <c r="T69" s="133"/>
      <c r="U69" s="133"/>
      <c r="V69" s="133"/>
      <c r="W69"/>
      <c r="X69"/>
      <c r="Y69"/>
      <c r="Z69"/>
      <c r="AA69"/>
      <c r="AB69" s="30"/>
      <c r="AC69" s="3"/>
      <c r="AD69" s="3"/>
      <c r="AE69" s="3"/>
      <c r="AF69" s="3"/>
      <c r="AG69" s="3"/>
      <c r="AH69" s="159"/>
      <c r="AI69" s="242"/>
      <c r="AJ69" s="243"/>
      <c r="AK69" s="243"/>
      <c r="AL69" s="107"/>
      <c r="AM69" s="29"/>
      <c r="AN69" s="3"/>
      <c r="AO69" s="3"/>
      <c r="AP69" s="3"/>
      <c r="AQ69" s="3"/>
      <c r="AR69" s="3"/>
      <c r="AS69" s="242"/>
    </row>
    <row r="70" spans="1:45" s="129" customFormat="1">
      <c r="A70" s="42" t="s">
        <v>257</v>
      </c>
      <c r="B70" s="18" t="s">
        <v>215</v>
      </c>
      <c r="C70" s="161">
        <v>2</v>
      </c>
      <c r="D70" s="91" t="s">
        <v>216</v>
      </c>
      <c r="E70" s="162">
        <v>2500</v>
      </c>
      <c r="F70" s="163">
        <f t="shared" ref="F70:F79" si="72">E70*C70</f>
        <v>5000</v>
      </c>
      <c r="G70" s="164">
        <v>0</v>
      </c>
      <c r="H70" s="164">
        <v>0</v>
      </c>
      <c r="I70" s="164">
        <v>0</v>
      </c>
      <c r="J70" s="164">
        <v>0</v>
      </c>
      <c r="K70" s="334">
        <v>24</v>
      </c>
      <c r="L70" s="91" t="s">
        <v>7</v>
      </c>
      <c r="M70" s="162">
        <f t="shared" ref="M70:M79" si="73">IF(R70="PD",((Shop*G70)+(M_Tech*H70)+(CMM*I70)+(ENG*J70)+(DES*K70))*N70,((Shop_RD*G70)+(MTECH_RD*H70)+(CMM_RD*I70)+(ENG_RD*J70)+(DES_RD*K70))*N70)</f>
        <v>0</v>
      </c>
      <c r="N70" s="87">
        <v>1</v>
      </c>
      <c r="O70" s="166">
        <f t="shared" ref="O70:O79" si="74">M70+(F70*N70)</f>
        <v>5000</v>
      </c>
      <c r="P70" s="166"/>
      <c r="Q70" s="46" t="s">
        <v>31</v>
      </c>
      <c r="R70" s="66" t="s">
        <v>154</v>
      </c>
      <c r="S70" s="133" t="str">
        <f t="shared" ref="S70:S79" si="75">CONCATENATE(Q70,R70,AB70)</f>
        <v>BPT2011</v>
      </c>
      <c r="T70" s="133" t="str">
        <f t="shared" ref="T70:T79" si="76">CONCATENATE(Q70,U70,AB70)</f>
        <v>B1.2.2.2.12011</v>
      </c>
      <c r="U70" s="133" t="s">
        <v>181</v>
      </c>
      <c r="V70" s="133" t="str">
        <f t="shared" ref="V70:V79" si="77">LOOKUP(U70,$B$345:$B$367,$A$345:$A$367)</f>
        <v>PXL Sensor Prototype</v>
      </c>
      <c r="W70" s="18"/>
      <c r="X70" s="18"/>
      <c r="Y70" s="18"/>
      <c r="Z70" s="18"/>
      <c r="AA70" s="18"/>
      <c r="AB70" s="30">
        <v>2011</v>
      </c>
      <c r="AC70" s="128">
        <f t="shared" ref="AC70:AG79" si="78">IF($Q70="B", (G70*$N70),0)</f>
        <v>0</v>
      </c>
      <c r="AD70" s="128">
        <f t="shared" si="78"/>
        <v>0</v>
      </c>
      <c r="AE70" s="128">
        <f t="shared" si="78"/>
        <v>0</v>
      </c>
      <c r="AF70" s="128">
        <f t="shared" si="78"/>
        <v>0</v>
      </c>
      <c r="AG70" s="128">
        <f t="shared" si="78"/>
        <v>24</v>
      </c>
      <c r="AH70" s="236">
        <f t="shared" ref="AH70:AH79" si="79">IF($Q70="B", (F70*$N70),0)</f>
        <v>5000</v>
      </c>
      <c r="AI70" s="238"/>
      <c r="AJ70" s="244"/>
      <c r="AK70" s="244"/>
      <c r="AL70" s="162"/>
      <c r="AM70" s="127">
        <f t="shared" ref="AM70:AQ79" si="80">IF($Q70="C", (G70*$N70),0)</f>
        <v>0</v>
      </c>
      <c r="AN70" s="128">
        <f t="shared" si="80"/>
        <v>0</v>
      </c>
      <c r="AO70" s="128">
        <f t="shared" si="80"/>
        <v>0</v>
      </c>
      <c r="AP70" s="128">
        <f t="shared" si="80"/>
        <v>0</v>
      </c>
      <c r="AQ70" s="128">
        <f t="shared" si="80"/>
        <v>0</v>
      </c>
      <c r="AR70" s="128">
        <f t="shared" ref="AR70:AR79" si="81">IF($Q70="C", (F70*$N70),0)</f>
        <v>0</v>
      </c>
      <c r="AS70" s="238"/>
    </row>
    <row r="71" spans="1:45" s="129" customFormat="1">
      <c r="A71" s="42" t="s">
        <v>258</v>
      </c>
      <c r="B71" s="18" t="s">
        <v>8</v>
      </c>
      <c r="C71" s="161">
        <v>1</v>
      </c>
      <c r="D71" s="91" t="s">
        <v>8</v>
      </c>
      <c r="E71" s="162">
        <v>150000</v>
      </c>
      <c r="F71" s="163">
        <f t="shared" si="72"/>
        <v>150000</v>
      </c>
      <c r="G71" s="164">
        <v>0</v>
      </c>
      <c r="H71" s="164">
        <v>0</v>
      </c>
      <c r="I71" s="164">
        <v>0</v>
      </c>
      <c r="J71" s="164">
        <v>0</v>
      </c>
      <c r="K71" s="165">
        <v>32</v>
      </c>
      <c r="L71" s="91" t="s">
        <v>7</v>
      </c>
      <c r="M71" s="162">
        <f t="shared" si="73"/>
        <v>0</v>
      </c>
      <c r="N71" s="87">
        <v>1</v>
      </c>
      <c r="O71" s="166">
        <f t="shared" si="74"/>
        <v>150000</v>
      </c>
      <c r="P71" s="166"/>
      <c r="Q71" s="46" t="s">
        <v>31</v>
      </c>
      <c r="R71" s="66" t="s">
        <v>154</v>
      </c>
      <c r="S71" s="133" t="str">
        <f t="shared" si="75"/>
        <v>BPT2011</v>
      </c>
      <c r="T71" s="133" t="str">
        <f t="shared" si="76"/>
        <v>B1.2.2.2.12011</v>
      </c>
      <c r="U71" s="133" t="s">
        <v>181</v>
      </c>
      <c r="V71" s="133" t="str">
        <f t="shared" si="77"/>
        <v>PXL Sensor Prototype</v>
      </c>
      <c r="W71" s="18"/>
      <c r="X71" s="18"/>
      <c r="Y71" s="18"/>
      <c r="Z71" s="18"/>
      <c r="AA71" s="18"/>
      <c r="AB71" s="30">
        <v>2011</v>
      </c>
      <c r="AC71" s="128">
        <f t="shared" si="78"/>
        <v>0</v>
      </c>
      <c r="AD71" s="128">
        <f t="shared" si="78"/>
        <v>0</v>
      </c>
      <c r="AE71" s="128">
        <f t="shared" si="78"/>
        <v>0</v>
      </c>
      <c r="AF71" s="128">
        <f t="shared" si="78"/>
        <v>0</v>
      </c>
      <c r="AG71" s="128">
        <f t="shared" si="78"/>
        <v>32</v>
      </c>
      <c r="AH71" s="236">
        <f t="shared" si="79"/>
        <v>150000</v>
      </c>
      <c r="AI71" s="238"/>
      <c r="AJ71" s="244"/>
      <c r="AK71" s="244"/>
      <c r="AL71" s="162"/>
      <c r="AM71" s="127">
        <f t="shared" si="80"/>
        <v>0</v>
      </c>
      <c r="AN71" s="128">
        <f t="shared" si="80"/>
        <v>0</v>
      </c>
      <c r="AO71" s="128">
        <f t="shared" si="80"/>
        <v>0</v>
      </c>
      <c r="AP71" s="128">
        <f t="shared" si="80"/>
        <v>0</v>
      </c>
      <c r="AQ71" s="128">
        <f t="shared" si="80"/>
        <v>0</v>
      </c>
      <c r="AR71" s="128">
        <f t="shared" si="81"/>
        <v>0</v>
      </c>
      <c r="AS71" s="238"/>
    </row>
    <row r="72" spans="1:45" s="129" customFormat="1">
      <c r="A72" s="42" t="s">
        <v>259</v>
      </c>
      <c r="B72" s="18" t="s">
        <v>8</v>
      </c>
      <c r="C72" s="161">
        <v>1</v>
      </c>
      <c r="D72" s="91" t="s">
        <v>8</v>
      </c>
      <c r="E72" s="162">
        <v>150000</v>
      </c>
      <c r="F72" s="163">
        <f t="shared" si="72"/>
        <v>150000</v>
      </c>
      <c r="G72" s="164">
        <v>0</v>
      </c>
      <c r="H72" s="164">
        <v>0</v>
      </c>
      <c r="I72" s="164">
        <v>0</v>
      </c>
      <c r="J72" s="164">
        <v>0</v>
      </c>
      <c r="K72" s="165">
        <v>24</v>
      </c>
      <c r="L72" s="91" t="s">
        <v>7</v>
      </c>
      <c r="M72" s="162">
        <f t="shared" si="73"/>
        <v>0</v>
      </c>
      <c r="N72" s="87">
        <v>1</v>
      </c>
      <c r="O72" s="166">
        <f t="shared" si="74"/>
        <v>150000</v>
      </c>
      <c r="P72" s="166"/>
      <c r="Q72" s="46" t="s">
        <v>31</v>
      </c>
      <c r="R72" s="66" t="s">
        <v>154</v>
      </c>
      <c r="S72" s="133" t="str">
        <f t="shared" si="75"/>
        <v>BPT2012</v>
      </c>
      <c r="T72" s="133" t="str">
        <f t="shared" si="76"/>
        <v>B1.2.2.2.12012</v>
      </c>
      <c r="U72" s="133" t="s">
        <v>181</v>
      </c>
      <c r="V72" s="133" t="str">
        <f t="shared" si="77"/>
        <v>PXL Sensor Prototype</v>
      </c>
      <c r="W72" s="18"/>
      <c r="X72" s="18"/>
      <c r="Y72" s="18"/>
      <c r="Z72" s="18"/>
      <c r="AA72" s="18"/>
      <c r="AB72" s="30">
        <v>2012</v>
      </c>
      <c r="AC72" s="128">
        <f t="shared" si="78"/>
        <v>0</v>
      </c>
      <c r="AD72" s="128">
        <f t="shared" si="78"/>
        <v>0</v>
      </c>
      <c r="AE72" s="128">
        <f t="shared" si="78"/>
        <v>0</v>
      </c>
      <c r="AF72" s="128">
        <f t="shared" si="78"/>
        <v>0</v>
      </c>
      <c r="AG72" s="128">
        <f t="shared" si="78"/>
        <v>24</v>
      </c>
      <c r="AH72" s="236">
        <f t="shared" si="79"/>
        <v>150000</v>
      </c>
      <c r="AI72" s="238"/>
      <c r="AJ72" s="244"/>
      <c r="AK72" s="244"/>
      <c r="AL72" s="162"/>
      <c r="AM72" s="127">
        <f t="shared" si="80"/>
        <v>0</v>
      </c>
      <c r="AN72" s="128">
        <f t="shared" si="80"/>
        <v>0</v>
      </c>
      <c r="AO72" s="128">
        <f t="shared" si="80"/>
        <v>0</v>
      </c>
      <c r="AP72" s="128">
        <f t="shared" si="80"/>
        <v>0</v>
      </c>
      <c r="AQ72" s="128">
        <f t="shared" si="80"/>
        <v>0</v>
      </c>
      <c r="AR72" s="128">
        <f t="shared" si="81"/>
        <v>0</v>
      </c>
      <c r="AS72" s="238"/>
    </row>
    <row r="73" spans="1:45" s="129" customFormat="1">
      <c r="A73" s="42" t="s">
        <v>260</v>
      </c>
      <c r="B73" s="18" t="s">
        <v>215</v>
      </c>
      <c r="C73" s="161">
        <v>2</v>
      </c>
      <c r="D73" s="91" t="s">
        <v>216</v>
      </c>
      <c r="E73" s="162">
        <v>2500</v>
      </c>
      <c r="F73" s="163">
        <f t="shared" si="72"/>
        <v>5000</v>
      </c>
      <c r="G73" s="164">
        <v>0</v>
      </c>
      <c r="H73" s="164">
        <v>0</v>
      </c>
      <c r="I73" s="164">
        <v>0</v>
      </c>
      <c r="J73" s="164">
        <v>0</v>
      </c>
      <c r="K73" s="165">
        <v>8</v>
      </c>
      <c r="L73" s="91" t="s">
        <v>7</v>
      </c>
      <c r="M73" s="162">
        <f t="shared" si="73"/>
        <v>0</v>
      </c>
      <c r="N73" s="87">
        <v>1</v>
      </c>
      <c r="O73" s="166">
        <f t="shared" si="74"/>
        <v>5000</v>
      </c>
      <c r="P73" s="166"/>
      <c r="Q73" s="46" t="s">
        <v>31</v>
      </c>
      <c r="R73" s="66" t="s">
        <v>154</v>
      </c>
      <c r="S73" s="133" t="str">
        <f t="shared" si="75"/>
        <v>BPT2012</v>
      </c>
      <c r="T73" s="133" t="str">
        <f t="shared" si="76"/>
        <v>B1.2.2.2.12012</v>
      </c>
      <c r="U73" s="133" t="s">
        <v>181</v>
      </c>
      <c r="V73" s="133" t="str">
        <f t="shared" si="77"/>
        <v>PXL Sensor Prototype</v>
      </c>
      <c r="W73" s="18"/>
      <c r="X73" s="18"/>
      <c r="Y73" s="18"/>
      <c r="Z73" s="18"/>
      <c r="AA73" s="18"/>
      <c r="AB73" s="30">
        <v>2012</v>
      </c>
      <c r="AC73" s="128">
        <f t="shared" si="78"/>
        <v>0</v>
      </c>
      <c r="AD73" s="128">
        <f t="shared" si="78"/>
        <v>0</v>
      </c>
      <c r="AE73" s="128">
        <f t="shared" si="78"/>
        <v>0</v>
      </c>
      <c r="AF73" s="128">
        <f t="shared" si="78"/>
        <v>0</v>
      </c>
      <c r="AG73" s="128">
        <f t="shared" si="78"/>
        <v>8</v>
      </c>
      <c r="AH73" s="236">
        <f t="shared" si="79"/>
        <v>5000</v>
      </c>
      <c r="AI73" s="238"/>
      <c r="AJ73" s="244"/>
      <c r="AK73" s="244"/>
      <c r="AL73" s="162"/>
      <c r="AM73" s="127">
        <f t="shared" si="80"/>
        <v>0</v>
      </c>
      <c r="AN73" s="128">
        <f t="shared" si="80"/>
        <v>0</v>
      </c>
      <c r="AO73" s="128">
        <f t="shared" si="80"/>
        <v>0</v>
      </c>
      <c r="AP73" s="128">
        <f t="shared" si="80"/>
        <v>0</v>
      </c>
      <c r="AQ73" s="128">
        <f t="shared" si="80"/>
        <v>0</v>
      </c>
      <c r="AR73" s="128">
        <f t="shared" si="81"/>
        <v>0</v>
      </c>
      <c r="AS73" s="238"/>
    </row>
    <row r="74" spans="1:45" s="129" customFormat="1">
      <c r="A74" s="42" t="s">
        <v>324</v>
      </c>
      <c r="B74" s="18" t="s">
        <v>8</v>
      </c>
      <c r="C74" s="161">
        <v>1</v>
      </c>
      <c r="D74" s="91" t="s">
        <v>8</v>
      </c>
      <c r="E74" s="162">
        <v>150000</v>
      </c>
      <c r="F74" s="163">
        <f t="shared" si="72"/>
        <v>150000</v>
      </c>
      <c r="G74" s="164">
        <v>0</v>
      </c>
      <c r="H74" s="164">
        <v>0</v>
      </c>
      <c r="I74" s="164">
        <v>0</v>
      </c>
      <c r="J74" s="164">
        <v>0</v>
      </c>
      <c r="K74" s="165">
        <v>24</v>
      </c>
      <c r="L74" s="91" t="s">
        <v>7</v>
      </c>
      <c r="M74" s="162">
        <f>IF(R74="PD",((Shop*G74)+(M_Tech*H74)+(CMM*I74)+(ENG*J74)+(DES*K74))*N74,((Shop_RD*G74)+(MTECH_RD*H74)+(CMM_RD*I74)+(ENG_RD*J74)+(DES_RD*K74))*N74)</f>
        <v>0</v>
      </c>
      <c r="N74" s="87">
        <v>1</v>
      </c>
      <c r="O74" s="166">
        <f>M74+(F74*N74)</f>
        <v>150000</v>
      </c>
      <c r="P74" s="166"/>
      <c r="Q74" s="46" t="s">
        <v>32</v>
      </c>
      <c r="R74" s="66" t="s">
        <v>154</v>
      </c>
      <c r="S74" s="133" t="str">
        <f>CONCATENATE(Q74,R74,AB74)</f>
        <v>CPT2012</v>
      </c>
      <c r="T74" s="133" t="str">
        <f>CONCATENATE(Q74,U74,AB74)</f>
        <v>C1.2.2.2.12012</v>
      </c>
      <c r="U74" s="133" t="s">
        <v>181</v>
      </c>
      <c r="V74" s="133" t="str">
        <f t="shared" si="77"/>
        <v>PXL Sensor Prototype</v>
      </c>
      <c r="W74" s="18"/>
      <c r="X74" s="18"/>
      <c r="Y74" s="18"/>
      <c r="Z74" s="18"/>
      <c r="AA74" s="18"/>
      <c r="AB74" s="30">
        <v>2012</v>
      </c>
      <c r="AC74" s="128">
        <f t="shared" ref="AC74:AG76" si="82">IF($Q74="B", (G74*$N74),0)</f>
        <v>0</v>
      </c>
      <c r="AD74" s="128">
        <f t="shared" si="82"/>
        <v>0</v>
      </c>
      <c r="AE74" s="128">
        <f t="shared" si="82"/>
        <v>0</v>
      </c>
      <c r="AF74" s="128">
        <f t="shared" si="82"/>
        <v>0</v>
      </c>
      <c r="AG74" s="128">
        <f t="shared" si="82"/>
        <v>0</v>
      </c>
      <c r="AH74" s="236">
        <f>IF($Q74="B", (F74*$N74),0)</f>
        <v>0</v>
      </c>
      <c r="AI74" s="238"/>
      <c r="AJ74" s="244"/>
      <c r="AK74" s="244"/>
      <c r="AL74" s="162"/>
      <c r="AM74" s="127">
        <f t="shared" ref="AM74:AQ76" si="83">IF($Q74="C", (G74*$N74),0)</f>
        <v>0</v>
      </c>
      <c r="AN74" s="128">
        <f t="shared" si="83"/>
        <v>0</v>
      </c>
      <c r="AO74" s="128">
        <f t="shared" si="83"/>
        <v>0</v>
      </c>
      <c r="AP74" s="128">
        <f t="shared" si="83"/>
        <v>0</v>
      </c>
      <c r="AQ74" s="128">
        <f t="shared" si="83"/>
        <v>24</v>
      </c>
      <c r="AR74" s="128">
        <f>IF($Q74="C", (F74*$N74),0)</f>
        <v>150000</v>
      </c>
      <c r="AS74" s="238"/>
    </row>
    <row r="75" spans="1:45" s="129" customFormat="1">
      <c r="A75" s="42" t="s">
        <v>325</v>
      </c>
      <c r="B75" s="18" t="s">
        <v>215</v>
      </c>
      <c r="C75" s="161">
        <v>2</v>
      </c>
      <c r="D75" s="91" t="s">
        <v>216</v>
      </c>
      <c r="E75" s="162">
        <v>2500</v>
      </c>
      <c r="F75" s="163">
        <f t="shared" si="72"/>
        <v>5000</v>
      </c>
      <c r="G75" s="164">
        <v>0</v>
      </c>
      <c r="H75" s="164">
        <v>0</v>
      </c>
      <c r="I75" s="164">
        <v>0</v>
      </c>
      <c r="J75" s="164">
        <v>0</v>
      </c>
      <c r="K75" s="165">
        <v>8</v>
      </c>
      <c r="L75" s="91" t="s">
        <v>7</v>
      </c>
      <c r="M75" s="162">
        <f>IF(R75="PD",((Shop*G75)+(M_Tech*H75)+(CMM*I75)+(ENG*J75)+(DES*K75))*N75,((Shop_RD*G75)+(MTECH_RD*H75)+(CMM_RD*I75)+(ENG_RD*J75)+(DES_RD*K75))*N75)</f>
        <v>0</v>
      </c>
      <c r="N75" s="87">
        <v>1</v>
      </c>
      <c r="O75" s="166">
        <f>M75+(F75*N75)</f>
        <v>5000</v>
      </c>
      <c r="P75" s="166"/>
      <c r="Q75" s="46" t="s">
        <v>32</v>
      </c>
      <c r="R75" s="66" t="s">
        <v>154</v>
      </c>
      <c r="S75" s="133" t="str">
        <f>CONCATENATE(Q75,R75,AB75)</f>
        <v>CPT2012</v>
      </c>
      <c r="T75" s="133" t="str">
        <f>CONCATENATE(Q75,U75,AB75)</f>
        <v>C1.2.2.2.12012</v>
      </c>
      <c r="U75" s="133" t="s">
        <v>181</v>
      </c>
      <c r="V75" s="133" t="str">
        <f t="shared" si="77"/>
        <v>PXL Sensor Prototype</v>
      </c>
      <c r="W75" s="18"/>
      <c r="X75" s="18"/>
      <c r="Y75" s="18"/>
      <c r="Z75" s="18"/>
      <c r="AA75" s="18"/>
      <c r="AB75" s="30">
        <v>2012</v>
      </c>
      <c r="AC75" s="128">
        <f t="shared" si="82"/>
        <v>0</v>
      </c>
      <c r="AD75" s="128">
        <f t="shared" si="82"/>
        <v>0</v>
      </c>
      <c r="AE75" s="128">
        <f t="shared" si="82"/>
        <v>0</v>
      </c>
      <c r="AF75" s="128">
        <f t="shared" si="82"/>
        <v>0</v>
      </c>
      <c r="AG75" s="128">
        <f t="shared" si="82"/>
        <v>0</v>
      </c>
      <c r="AH75" s="236">
        <f>IF($Q75="B", (F75*$N75),0)</f>
        <v>0</v>
      </c>
      <c r="AI75" s="238"/>
      <c r="AJ75" s="244"/>
      <c r="AK75" s="244"/>
      <c r="AL75" s="162"/>
      <c r="AM75" s="127">
        <f t="shared" si="83"/>
        <v>0</v>
      </c>
      <c r="AN75" s="128">
        <f t="shared" si="83"/>
        <v>0</v>
      </c>
      <c r="AO75" s="128">
        <f t="shared" si="83"/>
        <v>0</v>
      </c>
      <c r="AP75" s="128">
        <f t="shared" si="83"/>
        <v>0</v>
      </c>
      <c r="AQ75" s="128">
        <f t="shared" si="83"/>
        <v>8</v>
      </c>
      <c r="AR75" s="128">
        <f>IF($Q75="C", (F75*$N75),0)</f>
        <v>5000</v>
      </c>
      <c r="AS75" s="238"/>
    </row>
    <row r="76" spans="1:45" s="129" customFormat="1">
      <c r="A76" s="42" t="s">
        <v>418</v>
      </c>
      <c r="B76" s="18" t="s">
        <v>215</v>
      </c>
      <c r="C76" s="161">
        <v>2</v>
      </c>
      <c r="D76" s="91" t="s">
        <v>8</v>
      </c>
      <c r="E76" s="162">
        <v>1700</v>
      </c>
      <c r="F76" s="163">
        <f>E76*C76</f>
        <v>3400</v>
      </c>
      <c r="G76" s="164">
        <v>0</v>
      </c>
      <c r="H76" s="164">
        <v>0</v>
      </c>
      <c r="I76" s="164">
        <v>8</v>
      </c>
      <c r="J76" s="164">
        <v>0</v>
      </c>
      <c r="K76" s="165">
        <v>8</v>
      </c>
      <c r="L76" s="91" t="s">
        <v>7</v>
      </c>
      <c r="M76" s="162">
        <f>IF(R76="PD",((Shop*G76)+(M_Tech*H76)+(CMM*I76)+(ENG*J76)+(DES*K76))*N76,((Shop_RD*G76)+(MTECH_RD*H76)+(CMM_RD*I76)+(ENG_RD*J76)+(DES_RD*K76))*N76)</f>
        <v>0</v>
      </c>
      <c r="N76" s="87">
        <v>1</v>
      </c>
      <c r="O76" s="166">
        <f>M76+(F76*N76)</f>
        <v>3400</v>
      </c>
      <c r="P76" s="166"/>
      <c r="Q76" s="46" t="s">
        <v>31</v>
      </c>
      <c r="R76" s="66" t="s">
        <v>154</v>
      </c>
      <c r="S76" s="133" t="str">
        <f>CONCATENATE(Q76,R76,AB76)</f>
        <v>BPT2011</v>
      </c>
      <c r="T76" s="133" t="str">
        <f>CONCATENATE(Q76,U76,AB76)</f>
        <v>B1.2.2.2.12011</v>
      </c>
      <c r="U76" s="133" t="s">
        <v>181</v>
      </c>
      <c r="V76" s="133" t="str">
        <f t="shared" si="77"/>
        <v>PXL Sensor Prototype</v>
      </c>
      <c r="W76" s="18"/>
      <c r="X76" s="18"/>
      <c r="Y76" s="18"/>
      <c r="Z76" s="18"/>
      <c r="AA76" s="18"/>
      <c r="AB76" s="30">
        <v>2011</v>
      </c>
      <c r="AC76" s="128">
        <f t="shared" si="82"/>
        <v>0</v>
      </c>
      <c r="AD76" s="128">
        <f t="shared" si="82"/>
        <v>0</v>
      </c>
      <c r="AE76" s="128">
        <f t="shared" si="82"/>
        <v>8</v>
      </c>
      <c r="AF76" s="128">
        <f t="shared" si="82"/>
        <v>0</v>
      </c>
      <c r="AG76" s="128">
        <f t="shared" si="82"/>
        <v>8</v>
      </c>
      <c r="AH76" s="236">
        <f>IF($Q76="B", (F76*$N76),0)</f>
        <v>3400</v>
      </c>
      <c r="AI76" s="238"/>
      <c r="AJ76" s="244"/>
      <c r="AK76" s="244"/>
      <c r="AL76" s="162"/>
      <c r="AM76" s="127">
        <f t="shared" si="83"/>
        <v>0</v>
      </c>
      <c r="AN76" s="128">
        <f t="shared" si="83"/>
        <v>0</v>
      </c>
      <c r="AO76" s="128">
        <f t="shared" si="83"/>
        <v>0</v>
      </c>
      <c r="AP76" s="128">
        <f t="shared" si="83"/>
        <v>0</v>
      </c>
      <c r="AQ76" s="128">
        <f t="shared" si="83"/>
        <v>0</v>
      </c>
      <c r="AR76" s="128">
        <f>IF($Q76="C", (F76*$N76),0)</f>
        <v>0</v>
      </c>
      <c r="AS76" s="238"/>
    </row>
    <row r="77" spans="1:45" s="129" customFormat="1">
      <c r="A77" s="42" t="s">
        <v>417</v>
      </c>
      <c r="B77" s="18" t="s">
        <v>215</v>
      </c>
      <c r="C77" s="161">
        <v>2</v>
      </c>
      <c r="D77" s="91" t="s">
        <v>8</v>
      </c>
      <c r="E77" s="162">
        <v>1700</v>
      </c>
      <c r="F77" s="163">
        <f t="shared" si="72"/>
        <v>3400</v>
      </c>
      <c r="G77" s="164">
        <v>0</v>
      </c>
      <c r="H77" s="164">
        <v>0</v>
      </c>
      <c r="I77" s="164">
        <v>8</v>
      </c>
      <c r="J77" s="164">
        <v>0</v>
      </c>
      <c r="K77" s="165">
        <v>8</v>
      </c>
      <c r="L77" s="91" t="s">
        <v>7</v>
      </c>
      <c r="M77" s="162">
        <f t="shared" si="73"/>
        <v>0</v>
      </c>
      <c r="N77" s="87">
        <v>1</v>
      </c>
      <c r="O77" s="166">
        <f t="shared" si="74"/>
        <v>3400</v>
      </c>
      <c r="P77" s="166"/>
      <c r="Q77" s="46" t="s">
        <v>32</v>
      </c>
      <c r="R77" s="66" t="s">
        <v>154</v>
      </c>
      <c r="S77" s="133" t="str">
        <f t="shared" si="75"/>
        <v>CPT2012</v>
      </c>
      <c r="T77" s="133" t="str">
        <f t="shared" si="76"/>
        <v>C1.2.2.2.12012</v>
      </c>
      <c r="U77" s="133" t="s">
        <v>181</v>
      </c>
      <c r="V77" s="133" t="str">
        <f t="shared" si="77"/>
        <v>PXL Sensor Prototype</v>
      </c>
      <c r="W77" s="18"/>
      <c r="X77" s="18"/>
      <c r="Y77" s="18"/>
      <c r="Z77" s="18"/>
      <c r="AA77" s="18"/>
      <c r="AB77" s="30">
        <v>2012</v>
      </c>
      <c r="AC77" s="128">
        <f t="shared" si="78"/>
        <v>0</v>
      </c>
      <c r="AD77" s="128">
        <f t="shared" si="78"/>
        <v>0</v>
      </c>
      <c r="AE77" s="128">
        <f t="shared" si="78"/>
        <v>0</v>
      </c>
      <c r="AF77" s="128">
        <f t="shared" si="78"/>
        <v>0</v>
      </c>
      <c r="AG77" s="128">
        <f t="shared" si="78"/>
        <v>0</v>
      </c>
      <c r="AH77" s="236">
        <f t="shared" si="79"/>
        <v>0</v>
      </c>
      <c r="AI77" s="238"/>
      <c r="AJ77" s="244"/>
      <c r="AK77" s="244"/>
      <c r="AL77" s="162"/>
      <c r="AM77" s="127">
        <f t="shared" si="80"/>
        <v>0</v>
      </c>
      <c r="AN77" s="128">
        <f t="shared" si="80"/>
        <v>0</v>
      </c>
      <c r="AO77" s="128">
        <f t="shared" si="80"/>
        <v>8</v>
      </c>
      <c r="AP77" s="128">
        <f t="shared" si="80"/>
        <v>0</v>
      </c>
      <c r="AQ77" s="128">
        <f t="shared" si="80"/>
        <v>8</v>
      </c>
      <c r="AR77" s="128">
        <f t="shared" si="81"/>
        <v>3400</v>
      </c>
      <c r="AS77" s="238"/>
    </row>
    <row r="78" spans="1:45" s="129" customFormat="1" hidden="1">
      <c r="A78" s="42" t="s">
        <v>315</v>
      </c>
      <c r="B78" s="18" t="s">
        <v>8</v>
      </c>
      <c r="C78" s="161">
        <v>2</v>
      </c>
      <c r="D78" s="91" t="s">
        <v>8</v>
      </c>
      <c r="E78" s="162">
        <v>5000</v>
      </c>
      <c r="F78" s="163">
        <f t="shared" si="72"/>
        <v>10000</v>
      </c>
      <c r="G78" s="164">
        <v>0</v>
      </c>
      <c r="H78" s="164">
        <v>0</v>
      </c>
      <c r="I78" s="164">
        <v>0</v>
      </c>
      <c r="J78" s="164">
        <v>0</v>
      </c>
      <c r="K78" s="165">
        <v>32</v>
      </c>
      <c r="L78" s="91" t="s">
        <v>7</v>
      </c>
      <c r="M78" s="162">
        <f>IF(R78="PD",((Shop*G78)+(M_Tech*H78)+(CMM*I78)+(ENG*J78)+(DES*K78))*N78,((Shop_RD*G78)+(MTECH_RD*H78)+(CMM_RD*I78)+(ENG_RD*J78)+(DES_RD*K78))*N78)</f>
        <v>0</v>
      </c>
      <c r="N78" s="87">
        <v>0</v>
      </c>
      <c r="O78" s="166">
        <f>M78+(F78*N78)</f>
        <v>0</v>
      </c>
      <c r="P78" s="166"/>
      <c r="Q78" s="46" t="s">
        <v>31</v>
      </c>
      <c r="R78" s="66" t="s">
        <v>154</v>
      </c>
      <c r="S78" s="133" t="str">
        <f>CONCATENATE(Q78,R78,AB78)</f>
        <v>BPT2010</v>
      </c>
      <c r="T78" s="133" t="str">
        <f>CONCATENATE(Q78,U78,AB78)</f>
        <v>B1.2.2.2.12010</v>
      </c>
      <c r="U78" s="133" t="s">
        <v>181</v>
      </c>
      <c r="V78" s="133" t="str">
        <f t="shared" si="77"/>
        <v>PXL Sensor Prototype</v>
      </c>
      <c r="W78" s="18"/>
      <c r="X78" s="18"/>
      <c r="Y78" s="18"/>
      <c r="Z78" s="18"/>
      <c r="AA78" s="18"/>
      <c r="AB78" s="30">
        <v>2010</v>
      </c>
      <c r="AC78" s="128">
        <f>IF($Q78="B", (G78*$N78),0)</f>
        <v>0</v>
      </c>
      <c r="AD78" s="128">
        <f>IF($Q78="B", (H78*$N78),0)</f>
        <v>0</v>
      </c>
      <c r="AE78" s="128">
        <f>IF($Q78="B", (I78*$N78),0)</f>
        <v>0</v>
      </c>
      <c r="AF78" s="128">
        <f>IF($Q78="B", (J78*$N78),0)</f>
        <v>0</v>
      </c>
      <c r="AG78" s="128">
        <f>IF($Q78="B", (K78*$N78),0)</f>
        <v>0</v>
      </c>
      <c r="AH78" s="236">
        <f>IF($Q78="B", (F78*$N78),0)</f>
        <v>0</v>
      </c>
      <c r="AI78" s="238"/>
      <c r="AJ78" s="244"/>
      <c r="AK78" s="244"/>
      <c r="AL78" s="162"/>
      <c r="AM78" s="127">
        <f>IF($Q78="C", (G78*$N78),0)</f>
        <v>0</v>
      </c>
      <c r="AN78" s="128">
        <f>IF($Q78="C", (H78*$N78),0)</f>
        <v>0</v>
      </c>
      <c r="AO78" s="128">
        <f>IF($Q78="C", (I78*$N78),0)</f>
        <v>0</v>
      </c>
      <c r="AP78" s="128">
        <f>IF($Q78="C", (J78*$N78),0)</f>
        <v>0</v>
      </c>
      <c r="AQ78" s="128">
        <f>IF($Q78="C", (K78*$N78),0)</f>
        <v>0</v>
      </c>
      <c r="AR78" s="128">
        <f>IF($Q78="C", (F78*$N78),0)</f>
        <v>0</v>
      </c>
      <c r="AS78" s="238"/>
    </row>
    <row r="79" spans="1:45" s="129" customFormat="1">
      <c r="A79" s="42" t="s">
        <v>349</v>
      </c>
      <c r="B79" s="18" t="s">
        <v>8</v>
      </c>
      <c r="C79" s="161">
        <v>1</v>
      </c>
      <c r="D79" s="91" t="s">
        <v>8</v>
      </c>
      <c r="E79" s="162">
        <v>25000</v>
      </c>
      <c r="F79" s="163">
        <f t="shared" si="72"/>
        <v>25000</v>
      </c>
      <c r="G79" s="164">
        <v>0</v>
      </c>
      <c r="H79" s="164">
        <v>0</v>
      </c>
      <c r="I79" s="164">
        <v>0</v>
      </c>
      <c r="J79" s="164">
        <v>0</v>
      </c>
      <c r="K79" s="165">
        <v>0</v>
      </c>
      <c r="L79" s="91" t="s">
        <v>7</v>
      </c>
      <c r="M79" s="162">
        <f t="shared" si="73"/>
        <v>0</v>
      </c>
      <c r="N79" s="87">
        <v>1</v>
      </c>
      <c r="O79" s="166">
        <f t="shared" si="74"/>
        <v>25000</v>
      </c>
      <c r="P79" s="166"/>
      <c r="Q79" s="46" t="s">
        <v>32</v>
      </c>
      <c r="R79" s="66" t="s">
        <v>154</v>
      </c>
      <c r="S79" s="133" t="str">
        <f t="shared" si="75"/>
        <v>CPT2012</v>
      </c>
      <c r="T79" s="133" t="str">
        <f t="shared" si="76"/>
        <v>C1.2.2.2.12012</v>
      </c>
      <c r="U79" s="133" t="s">
        <v>181</v>
      </c>
      <c r="V79" s="133" t="str">
        <f t="shared" si="77"/>
        <v>PXL Sensor Prototype</v>
      </c>
      <c r="W79" s="18"/>
      <c r="X79" s="18"/>
      <c r="Y79" s="18"/>
      <c r="Z79" s="18"/>
      <c r="AA79" s="18"/>
      <c r="AB79" s="30">
        <v>2012</v>
      </c>
      <c r="AC79" s="128">
        <f t="shared" si="78"/>
        <v>0</v>
      </c>
      <c r="AD79" s="128">
        <f t="shared" si="78"/>
        <v>0</v>
      </c>
      <c r="AE79" s="128">
        <f t="shared" si="78"/>
        <v>0</v>
      </c>
      <c r="AF79" s="128">
        <f t="shared" si="78"/>
        <v>0</v>
      </c>
      <c r="AG79" s="128">
        <f t="shared" si="78"/>
        <v>0</v>
      </c>
      <c r="AH79" s="236">
        <f t="shared" si="79"/>
        <v>0</v>
      </c>
      <c r="AI79" s="238"/>
      <c r="AJ79" s="244"/>
      <c r="AK79" s="244"/>
      <c r="AL79" s="162"/>
      <c r="AM79" s="127">
        <f t="shared" si="80"/>
        <v>0</v>
      </c>
      <c r="AN79" s="128">
        <f t="shared" si="80"/>
        <v>0</v>
      </c>
      <c r="AO79" s="128">
        <f t="shared" si="80"/>
        <v>0</v>
      </c>
      <c r="AP79" s="128">
        <f t="shared" si="80"/>
        <v>0</v>
      </c>
      <c r="AQ79" s="128">
        <f t="shared" si="80"/>
        <v>0</v>
      </c>
      <c r="AR79" s="128">
        <f t="shared" si="81"/>
        <v>25000</v>
      </c>
      <c r="AS79" s="238"/>
    </row>
    <row r="80" spans="1:45" s="42" customFormat="1">
      <c r="A80" s="43" t="s">
        <v>262</v>
      </c>
      <c r="C80" s="181"/>
      <c r="E80" s="182"/>
      <c r="F80" s="183"/>
      <c r="G80" s="184"/>
      <c r="H80" s="184"/>
      <c r="I80" s="184"/>
      <c r="J80" s="184"/>
      <c r="K80" s="185"/>
      <c r="L80" s="222" t="s">
        <v>43</v>
      </c>
      <c r="M80" s="174">
        <f>SUMIF(Q70:Q79,"B",M70:M79)</f>
        <v>0</v>
      </c>
      <c r="N80" s="62" t="s">
        <v>43</v>
      </c>
      <c r="O80" s="174">
        <f>SUMIF(Q70:Q79,"B",O70:O79)</f>
        <v>313400</v>
      </c>
      <c r="P80" s="186"/>
      <c r="Q80" s="60"/>
      <c r="R80" s="68"/>
      <c r="S80" s="133"/>
      <c r="T80" s="133"/>
      <c r="U80" s="70"/>
      <c r="V80" s="70"/>
      <c r="W80" s="18"/>
      <c r="X80" s="18"/>
      <c r="Y80" s="18"/>
      <c r="Z80" s="18"/>
      <c r="AA80" s="18"/>
      <c r="AB80" s="61"/>
      <c r="AC80" s="128"/>
      <c r="AD80" s="128"/>
      <c r="AE80" s="128"/>
      <c r="AF80" s="128"/>
      <c r="AG80" s="128"/>
      <c r="AH80" s="236"/>
      <c r="AI80" s="237"/>
      <c r="AJ80" s="128"/>
      <c r="AK80" s="128"/>
      <c r="AL80" s="162"/>
      <c r="AM80" s="127"/>
      <c r="AN80" s="128"/>
      <c r="AO80" s="128"/>
      <c r="AP80" s="128"/>
      <c r="AQ80" s="128"/>
      <c r="AR80" s="128"/>
      <c r="AS80" s="237"/>
    </row>
    <row r="81" spans="1:45" s="129" customFormat="1">
      <c r="A81" s="42" t="s">
        <v>221</v>
      </c>
      <c r="B81" s="18" t="s">
        <v>8</v>
      </c>
      <c r="C81" s="161">
        <v>1</v>
      </c>
      <c r="D81" s="91" t="s">
        <v>2</v>
      </c>
      <c r="E81" s="162">
        <v>0</v>
      </c>
      <c r="F81" s="163">
        <f t="shared" ref="F81:F90" si="84">E81*C81</f>
        <v>0</v>
      </c>
      <c r="G81" s="164">
        <v>0</v>
      </c>
      <c r="H81" s="164">
        <v>0</v>
      </c>
      <c r="I81" s="164">
        <v>0</v>
      </c>
      <c r="J81" s="164">
        <v>4</v>
      </c>
      <c r="K81" s="165">
        <v>160</v>
      </c>
      <c r="L81" s="91" t="s">
        <v>7</v>
      </c>
      <c r="M81" s="162">
        <f t="shared" ref="M81:M90" si="85">IF(R81="PD",((Shop*G81)+(M_Tech*H81)+(CMM*I81)+(ENG*J81)+(DES*K81))*N81,((Shop_RD*G81)+(MTECH_RD*H81)+(CMM_RD*I81)+(ENG_RD*J81)+(DES_RD*K81))*N81)</f>
        <v>600</v>
      </c>
      <c r="N81" s="87">
        <v>1</v>
      </c>
      <c r="O81" s="166">
        <f t="shared" ref="O81:O90" si="86">M81+(F81*N81)</f>
        <v>600</v>
      </c>
      <c r="P81" s="166"/>
      <c r="Q81" s="46" t="s">
        <v>31</v>
      </c>
      <c r="R81" s="66" t="s">
        <v>154</v>
      </c>
      <c r="S81" s="133" t="str">
        <f t="shared" ref="S81:S90" si="87">CONCATENATE(Q81,R81,AB81)</f>
        <v>BPT2010</v>
      </c>
      <c r="T81" s="133" t="str">
        <f t="shared" ref="T81:T90" si="88">CONCATENATE(Q81,U81,AB81)</f>
        <v>B1.2.2.2.12010</v>
      </c>
      <c r="U81" s="133" t="s">
        <v>181</v>
      </c>
      <c r="V81" s="133" t="str">
        <f t="shared" ref="V81:V90" si="89">LOOKUP(U81,$B$345:$B$367,$A$345:$A$367)</f>
        <v>PXL Sensor Prototype</v>
      </c>
      <c r="W81" s="18"/>
      <c r="X81" s="18"/>
      <c r="Y81" s="18"/>
      <c r="Z81" s="18"/>
      <c r="AA81" s="18"/>
      <c r="AB81" s="30">
        <v>2010</v>
      </c>
      <c r="AC81" s="128">
        <f t="shared" ref="AC81:AG90" si="90">IF($Q81="B", (G81*$N81),0)</f>
        <v>0</v>
      </c>
      <c r="AD81" s="128">
        <f t="shared" si="90"/>
        <v>0</v>
      </c>
      <c r="AE81" s="128">
        <f t="shared" si="90"/>
        <v>0</v>
      </c>
      <c r="AF81" s="128">
        <f t="shared" si="90"/>
        <v>4</v>
      </c>
      <c r="AG81" s="128">
        <f t="shared" si="90"/>
        <v>160</v>
      </c>
      <c r="AH81" s="236">
        <f t="shared" ref="AH81:AH90" si="91">IF($Q81="B", (F81*$N81),0)</f>
        <v>0</v>
      </c>
      <c r="AI81" s="238"/>
      <c r="AJ81" s="244"/>
      <c r="AK81" s="244"/>
      <c r="AL81" s="162"/>
      <c r="AM81" s="127">
        <f t="shared" ref="AM81:AQ90" si="92">IF($Q81="C", (G81*$N81),0)</f>
        <v>0</v>
      </c>
      <c r="AN81" s="128">
        <f t="shared" si="92"/>
        <v>0</v>
      </c>
      <c r="AO81" s="128">
        <f t="shared" si="92"/>
        <v>0</v>
      </c>
      <c r="AP81" s="128">
        <f t="shared" si="92"/>
        <v>0</v>
      </c>
      <c r="AQ81" s="128">
        <f t="shared" si="92"/>
        <v>0</v>
      </c>
      <c r="AR81" s="128">
        <f t="shared" ref="AR81:AR90" si="93">IF($Q81="C", (F81*$N81),0)</f>
        <v>0</v>
      </c>
      <c r="AS81" s="238"/>
    </row>
    <row r="82" spans="1:45" s="129" customFormat="1">
      <c r="A82" s="42" t="s">
        <v>222</v>
      </c>
      <c r="B82" s="18" t="s">
        <v>8</v>
      </c>
      <c r="C82" s="161">
        <v>10</v>
      </c>
      <c r="D82" s="91" t="s">
        <v>2</v>
      </c>
      <c r="E82" s="162">
        <v>150</v>
      </c>
      <c r="F82" s="163">
        <f t="shared" si="84"/>
        <v>1500</v>
      </c>
      <c r="G82" s="164">
        <v>0</v>
      </c>
      <c r="H82" s="164">
        <v>0</v>
      </c>
      <c r="I82" s="164">
        <v>0</v>
      </c>
      <c r="J82" s="164">
        <v>0</v>
      </c>
      <c r="K82" s="165">
        <v>8</v>
      </c>
      <c r="L82" s="91" t="s">
        <v>7</v>
      </c>
      <c r="M82" s="162">
        <f t="shared" si="85"/>
        <v>0</v>
      </c>
      <c r="N82" s="87">
        <v>1</v>
      </c>
      <c r="O82" s="166">
        <f t="shared" si="86"/>
        <v>1500</v>
      </c>
      <c r="P82" s="166"/>
      <c r="Q82" s="46" t="s">
        <v>31</v>
      </c>
      <c r="R82" s="66" t="s">
        <v>154</v>
      </c>
      <c r="S82" s="133" t="str">
        <f t="shared" si="87"/>
        <v>BPT2010</v>
      </c>
      <c r="T82" s="133" t="str">
        <f t="shared" si="88"/>
        <v>B1.2.2.2.12010</v>
      </c>
      <c r="U82" s="133" t="s">
        <v>181</v>
      </c>
      <c r="V82" s="133" t="str">
        <f t="shared" si="89"/>
        <v>PXL Sensor Prototype</v>
      </c>
      <c r="W82" s="18"/>
      <c r="X82" s="18"/>
      <c r="Y82" s="18"/>
      <c r="Z82" s="18"/>
      <c r="AA82" s="18"/>
      <c r="AB82" s="30">
        <v>2010</v>
      </c>
      <c r="AC82" s="128">
        <f t="shared" si="90"/>
        <v>0</v>
      </c>
      <c r="AD82" s="128">
        <f t="shared" si="90"/>
        <v>0</v>
      </c>
      <c r="AE82" s="128">
        <f t="shared" si="90"/>
        <v>0</v>
      </c>
      <c r="AF82" s="128">
        <f t="shared" si="90"/>
        <v>0</v>
      </c>
      <c r="AG82" s="128">
        <f t="shared" si="90"/>
        <v>8</v>
      </c>
      <c r="AH82" s="236">
        <f t="shared" si="91"/>
        <v>1500</v>
      </c>
      <c r="AI82" s="238"/>
      <c r="AJ82" s="244"/>
      <c r="AK82" s="244"/>
      <c r="AL82" s="162"/>
      <c r="AM82" s="127">
        <f t="shared" si="92"/>
        <v>0</v>
      </c>
      <c r="AN82" s="128">
        <f t="shared" si="92"/>
        <v>0</v>
      </c>
      <c r="AO82" s="128">
        <f t="shared" si="92"/>
        <v>0</v>
      </c>
      <c r="AP82" s="128">
        <f t="shared" si="92"/>
        <v>0</v>
      </c>
      <c r="AQ82" s="128">
        <f t="shared" si="92"/>
        <v>0</v>
      </c>
      <c r="AR82" s="128">
        <f t="shared" si="93"/>
        <v>0</v>
      </c>
      <c r="AS82" s="238"/>
    </row>
    <row r="83" spans="1:45" s="129" customFormat="1">
      <c r="A83" s="42" t="s">
        <v>429</v>
      </c>
      <c r="B83" s="18" t="s">
        <v>8</v>
      </c>
      <c r="C83" s="161">
        <v>10</v>
      </c>
      <c r="D83" s="91" t="s">
        <v>2</v>
      </c>
      <c r="E83" s="162">
        <v>300</v>
      </c>
      <c r="F83" s="163">
        <f>E83*C83</f>
        <v>3000</v>
      </c>
      <c r="G83" s="164">
        <v>0</v>
      </c>
      <c r="H83" s="164">
        <v>0</v>
      </c>
      <c r="I83" s="164">
        <v>0</v>
      </c>
      <c r="J83" s="164">
        <v>0</v>
      </c>
      <c r="K83" s="165">
        <v>0</v>
      </c>
      <c r="L83" s="91" t="s">
        <v>7</v>
      </c>
      <c r="M83" s="162">
        <f>IF(R83="PD",((Shop*G83)+(M_Tech*H83)+(CMM*I83)+(ENG*J83)+(DES*K83))*N83,((Shop_RD*G83)+(MTECH_RD*H83)+(CMM_RD*I83)+(ENG_RD*J83)+(DES_RD*K83))*N83)</f>
        <v>0</v>
      </c>
      <c r="N83" s="87">
        <v>1</v>
      </c>
      <c r="O83" s="166">
        <f>M83+(F83*N83)</f>
        <v>3000</v>
      </c>
      <c r="P83" s="166"/>
      <c r="Q83" s="46" t="s">
        <v>31</v>
      </c>
      <c r="R83" s="66" t="s">
        <v>154</v>
      </c>
      <c r="S83" s="133" t="str">
        <f>CONCATENATE(Q83,R83,AB83)</f>
        <v>BPT2010</v>
      </c>
      <c r="T83" s="133" t="str">
        <f>CONCATENATE(Q83,U83,AB83)</f>
        <v>B1.2.2.2.12010</v>
      </c>
      <c r="U83" s="133" t="s">
        <v>181</v>
      </c>
      <c r="V83" s="133" t="str">
        <f>LOOKUP(U83,$B$345:$B$367,$A$345:$A$367)</f>
        <v>PXL Sensor Prototype</v>
      </c>
      <c r="W83" s="18"/>
      <c r="X83" s="18"/>
      <c r="Y83" s="18"/>
      <c r="Z83" s="18"/>
      <c r="AA83" s="18"/>
      <c r="AB83" s="30">
        <v>2010</v>
      </c>
      <c r="AC83" s="128">
        <f>IF($Q83="B", (G83*$N83),0)</f>
        <v>0</v>
      </c>
      <c r="AD83" s="128">
        <f>IF($Q83="B", (H83*$N83),0)</f>
        <v>0</v>
      </c>
      <c r="AE83" s="128">
        <f>IF($Q83="B", (I83*$N83),0)</f>
        <v>0</v>
      </c>
      <c r="AF83" s="128">
        <f>IF($Q83="B", (J83*$N83),0)</f>
        <v>0</v>
      </c>
      <c r="AG83" s="128">
        <f>IF($Q83="B", (K83*$N83),0)</f>
        <v>0</v>
      </c>
      <c r="AH83" s="236">
        <f>IF($Q83="B", (F83*$N83),0)</f>
        <v>3000</v>
      </c>
      <c r="AI83" s="238"/>
      <c r="AJ83" s="244"/>
      <c r="AK83" s="244"/>
      <c r="AL83" s="162"/>
      <c r="AM83" s="127">
        <f>IF($Q83="C", (G83*$N83),0)</f>
        <v>0</v>
      </c>
      <c r="AN83" s="128">
        <f>IF($Q83="C", (H83*$N83),0)</f>
        <v>0</v>
      </c>
      <c r="AO83" s="128">
        <f>IF($Q83="C", (I83*$N83),0)</f>
        <v>0</v>
      </c>
      <c r="AP83" s="128">
        <f>IF($Q83="C", (J83*$N83),0)</f>
        <v>0</v>
      </c>
      <c r="AQ83" s="128">
        <f>IF($Q83="C", (K83*$N83),0)</f>
        <v>0</v>
      </c>
      <c r="AR83" s="128">
        <f>IF($Q83="C", (F83*$N83),0)</f>
        <v>0</v>
      </c>
      <c r="AS83" s="238"/>
    </row>
    <row r="84" spans="1:45" s="129" customFormat="1">
      <c r="A84" s="42" t="s">
        <v>446</v>
      </c>
      <c r="B84" s="18" t="s">
        <v>8</v>
      </c>
      <c r="C84" s="161">
        <v>1</v>
      </c>
      <c r="D84" s="91" t="s">
        <v>2</v>
      </c>
      <c r="E84" s="162">
        <v>0</v>
      </c>
      <c r="F84" s="163">
        <f t="shared" si="84"/>
        <v>0</v>
      </c>
      <c r="G84" s="164">
        <v>0</v>
      </c>
      <c r="H84" s="164">
        <v>60</v>
      </c>
      <c r="I84" s="164">
        <v>8</v>
      </c>
      <c r="J84" s="164">
        <v>0</v>
      </c>
      <c r="K84" s="165">
        <v>8</v>
      </c>
      <c r="L84" s="91" t="s">
        <v>7</v>
      </c>
      <c r="M84" s="162">
        <f t="shared" si="85"/>
        <v>7020</v>
      </c>
      <c r="N84" s="87">
        <v>1</v>
      </c>
      <c r="O84" s="166">
        <f t="shared" si="86"/>
        <v>7020</v>
      </c>
      <c r="P84" s="166"/>
      <c r="Q84" s="46" t="s">
        <v>31</v>
      </c>
      <c r="R84" s="66" t="s">
        <v>154</v>
      </c>
      <c r="S84" s="133" t="str">
        <f t="shared" si="87"/>
        <v>BPT2010</v>
      </c>
      <c r="T84" s="133" t="str">
        <f t="shared" si="88"/>
        <v>B1.2.2.2.12010</v>
      </c>
      <c r="U84" s="133" t="s">
        <v>181</v>
      </c>
      <c r="V84" s="133" t="str">
        <f t="shared" si="89"/>
        <v>PXL Sensor Prototype</v>
      </c>
      <c r="W84" s="18"/>
      <c r="X84" s="18"/>
      <c r="Y84" s="18"/>
      <c r="Z84" s="18"/>
      <c r="AA84" s="18"/>
      <c r="AB84" s="30">
        <v>2010</v>
      </c>
      <c r="AC84" s="128">
        <f t="shared" si="90"/>
        <v>0</v>
      </c>
      <c r="AD84" s="128">
        <f t="shared" si="90"/>
        <v>60</v>
      </c>
      <c r="AE84" s="128">
        <f t="shared" si="90"/>
        <v>8</v>
      </c>
      <c r="AF84" s="128">
        <f t="shared" si="90"/>
        <v>0</v>
      </c>
      <c r="AG84" s="128">
        <f t="shared" si="90"/>
        <v>8</v>
      </c>
      <c r="AH84" s="236">
        <f t="shared" si="91"/>
        <v>0</v>
      </c>
      <c r="AI84" s="238"/>
      <c r="AJ84" s="244"/>
      <c r="AK84" s="244"/>
      <c r="AL84" s="162"/>
      <c r="AM84" s="127">
        <f t="shared" si="92"/>
        <v>0</v>
      </c>
      <c r="AN84" s="128">
        <f t="shared" si="92"/>
        <v>0</v>
      </c>
      <c r="AO84" s="128">
        <f t="shared" si="92"/>
        <v>0</v>
      </c>
      <c r="AP84" s="128">
        <f t="shared" si="92"/>
        <v>0</v>
      </c>
      <c r="AQ84" s="128">
        <f t="shared" si="92"/>
        <v>0</v>
      </c>
      <c r="AR84" s="128">
        <f t="shared" si="93"/>
        <v>0</v>
      </c>
      <c r="AS84" s="238"/>
    </row>
    <row r="85" spans="1:45" s="129" customFormat="1">
      <c r="A85" s="42" t="s">
        <v>323</v>
      </c>
      <c r="B85" s="18" t="s">
        <v>8</v>
      </c>
      <c r="C85" s="161">
        <v>1</v>
      </c>
      <c r="D85" s="91" t="s">
        <v>2</v>
      </c>
      <c r="E85" s="162">
        <v>0</v>
      </c>
      <c r="F85" s="163">
        <f>E85*C85</f>
        <v>0</v>
      </c>
      <c r="G85" s="164">
        <v>0</v>
      </c>
      <c r="H85" s="164">
        <v>0</v>
      </c>
      <c r="I85" s="164">
        <v>0</v>
      </c>
      <c r="J85" s="164">
        <v>4</v>
      </c>
      <c r="K85" s="165">
        <v>80</v>
      </c>
      <c r="L85" s="91" t="s">
        <v>7</v>
      </c>
      <c r="M85" s="162">
        <f>IF(R85="PD",((Shop*G85)+(M_Tech*H85)+(CMM*I85)+(ENG*J85)+(DES*K85))*N85,((Shop_RD*G85)+(MTECH_RD*H85)+(CMM_RD*I85)+(ENG_RD*J85)+(DES_RD*K85))*N85)</f>
        <v>600</v>
      </c>
      <c r="N85" s="87">
        <v>1</v>
      </c>
      <c r="O85" s="166">
        <f>M85+(F85*N85)</f>
        <v>600</v>
      </c>
      <c r="P85" s="166"/>
      <c r="Q85" s="46" t="s">
        <v>31</v>
      </c>
      <c r="R85" s="66" t="s">
        <v>154</v>
      </c>
      <c r="S85" s="133" t="str">
        <f>CONCATENATE(Q85,R85,AB85)</f>
        <v>BPT2011</v>
      </c>
      <c r="T85" s="133" t="str">
        <f>CONCATENATE(Q85,U85,AB85)</f>
        <v>B1.2.2.2.12011</v>
      </c>
      <c r="U85" s="133" t="s">
        <v>181</v>
      </c>
      <c r="V85" s="133" t="str">
        <f t="shared" si="89"/>
        <v>PXL Sensor Prototype</v>
      </c>
      <c r="W85" s="18"/>
      <c r="X85" s="18"/>
      <c r="Y85" s="18"/>
      <c r="Z85" s="18"/>
      <c r="AA85" s="18"/>
      <c r="AB85" s="30">
        <v>2011</v>
      </c>
      <c r="AC85" s="128">
        <f t="shared" ref="AC85:AG87" si="94">IF($Q85="B", (G85*$N85),0)</f>
        <v>0</v>
      </c>
      <c r="AD85" s="128">
        <f t="shared" si="94"/>
        <v>0</v>
      </c>
      <c r="AE85" s="128">
        <f t="shared" si="94"/>
        <v>0</v>
      </c>
      <c r="AF85" s="128">
        <f t="shared" si="94"/>
        <v>4</v>
      </c>
      <c r="AG85" s="128">
        <f t="shared" si="94"/>
        <v>80</v>
      </c>
      <c r="AH85" s="236">
        <f>IF($Q85="B", (F85*$N85),0)</f>
        <v>0</v>
      </c>
      <c r="AI85" s="238"/>
      <c r="AJ85" s="244"/>
      <c r="AK85" s="244"/>
      <c r="AL85" s="162"/>
      <c r="AM85" s="127">
        <f t="shared" ref="AM85:AQ87" si="95">IF($Q85="C", (G85*$N85),0)</f>
        <v>0</v>
      </c>
      <c r="AN85" s="128">
        <f t="shared" si="95"/>
        <v>0</v>
      </c>
      <c r="AO85" s="128">
        <f t="shared" si="95"/>
        <v>0</v>
      </c>
      <c r="AP85" s="128">
        <f t="shared" si="95"/>
        <v>0</v>
      </c>
      <c r="AQ85" s="128">
        <f t="shared" si="95"/>
        <v>0</v>
      </c>
      <c r="AR85" s="128">
        <f>IF($Q85="C", (F85*$N85),0)</f>
        <v>0</v>
      </c>
      <c r="AS85" s="238"/>
    </row>
    <row r="86" spans="1:45" s="129" customFormat="1">
      <c r="A86" s="42" t="s">
        <v>271</v>
      </c>
      <c r="B86" s="18" t="s">
        <v>8</v>
      </c>
      <c r="C86" s="161">
        <v>10</v>
      </c>
      <c r="D86" s="91" t="s">
        <v>2</v>
      </c>
      <c r="E86" s="162">
        <v>150</v>
      </c>
      <c r="F86" s="163">
        <f>E86*C86</f>
        <v>1500</v>
      </c>
      <c r="G86" s="164">
        <v>0</v>
      </c>
      <c r="H86" s="164">
        <v>0</v>
      </c>
      <c r="I86" s="164">
        <v>0</v>
      </c>
      <c r="J86" s="164">
        <v>0</v>
      </c>
      <c r="K86" s="165">
        <v>8</v>
      </c>
      <c r="L86" s="91" t="s">
        <v>7</v>
      </c>
      <c r="M86" s="162">
        <f>IF(R86="PD",((Shop*G86)+(M_Tech*H86)+(CMM*I86)+(ENG*J86)+(DES*K86))*N86,((Shop_RD*G86)+(MTECH_RD*H86)+(CMM_RD*I86)+(ENG_RD*J86)+(DES_RD*K86))*N86)</f>
        <v>0</v>
      </c>
      <c r="N86" s="87">
        <v>1</v>
      </c>
      <c r="O86" s="166">
        <f>M86+(F86*N86)</f>
        <v>1500</v>
      </c>
      <c r="P86" s="166"/>
      <c r="Q86" s="46" t="s">
        <v>31</v>
      </c>
      <c r="R86" s="66" t="s">
        <v>154</v>
      </c>
      <c r="S86" s="133" t="str">
        <f>CONCATENATE(Q86,R86,AB86)</f>
        <v>BPT2011</v>
      </c>
      <c r="T86" s="133" t="str">
        <f>CONCATENATE(Q86,U86,AB86)</f>
        <v>B1.2.2.2.12011</v>
      </c>
      <c r="U86" s="133" t="s">
        <v>181</v>
      </c>
      <c r="V86" s="133" t="str">
        <f t="shared" si="89"/>
        <v>PXL Sensor Prototype</v>
      </c>
      <c r="W86" s="18"/>
      <c r="X86" s="18"/>
      <c r="Y86" s="18"/>
      <c r="Z86" s="18"/>
      <c r="AA86" s="18"/>
      <c r="AB86" s="30">
        <v>2011</v>
      </c>
      <c r="AC86" s="128">
        <f t="shared" si="94"/>
        <v>0</v>
      </c>
      <c r="AD86" s="128">
        <f t="shared" si="94"/>
        <v>0</v>
      </c>
      <c r="AE86" s="128">
        <f t="shared" si="94"/>
        <v>0</v>
      </c>
      <c r="AF86" s="128">
        <f t="shared" si="94"/>
        <v>0</v>
      </c>
      <c r="AG86" s="128">
        <f t="shared" si="94"/>
        <v>8</v>
      </c>
      <c r="AH86" s="236">
        <f>IF($Q86="B", (F86*$N86),0)</f>
        <v>1500</v>
      </c>
      <c r="AI86" s="238"/>
      <c r="AJ86" s="244"/>
      <c r="AK86" s="244"/>
      <c r="AL86" s="162"/>
      <c r="AM86" s="127">
        <f t="shared" si="95"/>
        <v>0</v>
      </c>
      <c r="AN86" s="128">
        <f t="shared" si="95"/>
        <v>0</v>
      </c>
      <c r="AO86" s="128">
        <f t="shared" si="95"/>
        <v>0</v>
      </c>
      <c r="AP86" s="128">
        <f t="shared" si="95"/>
        <v>0</v>
      </c>
      <c r="AQ86" s="128">
        <f t="shared" si="95"/>
        <v>0</v>
      </c>
      <c r="AR86" s="128">
        <f>IF($Q86="C", (F86*$N86),0)</f>
        <v>0</v>
      </c>
      <c r="AS86" s="238"/>
    </row>
    <row r="87" spans="1:45" s="129" customFormat="1">
      <c r="A87" s="42" t="s">
        <v>272</v>
      </c>
      <c r="B87" s="18" t="s">
        <v>8</v>
      </c>
      <c r="C87" s="161">
        <v>10</v>
      </c>
      <c r="D87" s="91" t="s">
        <v>2</v>
      </c>
      <c r="E87" s="162">
        <v>300</v>
      </c>
      <c r="F87" s="163">
        <f>E87*C87</f>
        <v>3000</v>
      </c>
      <c r="G87" s="164">
        <v>0</v>
      </c>
      <c r="H87" s="164">
        <v>60</v>
      </c>
      <c r="I87" s="164">
        <v>8</v>
      </c>
      <c r="J87" s="164">
        <v>0</v>
      </c>
      <c r="K87" s="165">
        <v>8</v>
      </c>
      <c r="L87" s="91" t="s">
        <v>7</v>
      </c>
      <c r="M87" s="162">
        <f>IF(R87="PD",((Shop*G87)+(M_Tech*H87)+(CMM*I87)+(ENG*J87)+(DES*K87))*N87,((Shop_RD*G87)+(MTECH_RD*H87)+(CMM_RD*I87)+(ENG_RD*J87)+(DES_RD*K87))*N87)</f>
        <v>7020</v>
      </c>
      <c r="N87" s="87">
        <v>1</v>
      </c>
      <c r="O87" s="166">
        <f>M87+(F87*N87)</f>
        <v>10020</v>
      </c>
      <c r="P87" s="166"/>
      <c r="Q87" s="46" t="s">
        <v>31</v>
      </c>
      <c r="R87" s="66" t="s">
        <v>154</v>
      </c>
      <c r="S87" s="133" t="str">
        <f>CONCATENATE(Q87,R87,AB87)</f>
        <v>BPT2011</v>
      </c>
      <c r="T87" s="133" t="str">
        <f>CONCATENATE(Q87,U87,AB87)</f>
        <v>B1.2.2.2.12011</v>
      </c>
      <c r="U87" s="133" t="s">
        <v>181</v>
      </c>
      <c r="V87" s="133" t="str">
        <f t="shared" si="89"/>
        <v>PXL Sensor Prototype</v>
      </c>
      <c r="W87" s="18"/>
      <c r="X87" s="18"/>
      <c r="Y87" s="18"/>
      <c r="Z87" s="18"/>
      <c r="AA87" s="18"/>
      <c r="AB87" s="30">
        <v>2011</v>
      </c>
      <c r="AC87" s="128">
        <f t="shared" si="94"/>
        <v>0</v>
      </c>
      <c r="AD87" s="128">
        <f t="shared" si="94"/>
        <v>60</v>
      </c>
      <c r="AE87" s="128">
        <f t="shared" si="94"/>
        <v>8</v>
      </c>
      <c r="AF87" s="128">
        <f t="shared" si="94"/>
        <v>0</v>
      </c>
      <c r="AG87" s="128">
        <f t="shared" si="94"/>
        <v>8</v>
      </c>
      <c r="AH87" s="236">
        <f>IF($Q87="B", (F87*$N87),0)</f>
        <v>3000</v>
      </c>
      <c r="AI87" s="238"/>
      <c r="AJ87" s="244"/>
      <c r="AK87" s="244"/>
      <c r="AL87" s="162"/>
      <c r="AM87" s="127">
        <f t="shared" si="95"/>
        <v>0</v>
      </c>
      <c r="AN87" s="128">
        <f t="shared" si="95"/>
        <v>0</v>
      </c>
      <c r="AO87" s="128">
        <f t="shared" si="95"/>
        <v>0</v>
      </c>
      <c r="AP87" s="128">
        <f t="shared" si="95"/>
        <v>0</v>
      </c>
      <c r="AQ87" s="128">
        <f t="shared" si="95"/>
        <v>0</v>
      </c>
      <c r="AR87" s="128">
        <f>IF($Q87="C", (F87*$N87),0)</f>
        <v>0</v>
      </c>
      <c r="AS87" s="238"/>
    </row>
    <row r="88" spans="1:45" s="129" customFormat="1">
      <c r="A88" s="42" t="s">
        <v>227</v>
      </c>
      <c r="B88" s="18" t="s">
        <v>8</v>
      </c>
      <c r="C88" s="161">
        <v>1</v>
      </c>
      <c r="D88" s="91" t="s">
        <v>2</v>
      </c>
      <c r="E88" s="162">
        <v>700</v>
      </c>
      <c r="F88" s="163">
        <f t="shared" si="84"/>
        <v>700</v>
      </c>
      <c r="G88" s="164">
        <v>0</v>
      </c>
      <c r="H88" s="164">
        <v>8</v>
      </c>
      <c r="I88" s="164">
        <v>8</v>
      </c>
      <c r="J88" s="164">
        <v>4</v>
      </c>
      <c r="K88" s="334">
        <v>48</v>
      </c>
      <c r="L88" s="91" t="s">
        <v>7</v>
      </c>
      <c r="M88" s="162">
        <f t="shared" si="85"/>
        <v>1536</v>
      </c>
      <c r="N88" s="87">
        <v>1</v>
      </c>
      <c r="O88" s="166">
        <f t="shared" si="86"/>
        <v>2236</v>
      </c>
      <c r="P88" s="166"/>
      <c r="Q88" s="46" t="s">
        <v>31</v>
      </c>
      <c r="R88" s="66" t="s">
        <v>154</v>
      </c>
      <c r="S88" s="133" t="str">
        <f t="shared" si="87"/>
        <v>BPT2010</v>
      </c>
      <c r="T88" s="133" t="str">
        <f t="shared" si="88"/>
        <v>B1.2.2.2.12010</v>
      </c>
      <c r="U88" s="133" t="s">
        <v>181</v>
      </c>
      <c r="V88" s="133" t="str">
        <f t="shared" si="89"/>
        <v>PXL Sensor Prototype</v>
      </c>
      <c r="W88" s="18"/>
      <c r="X88" s="18"/>
      <c r="Y88" s="18"/>
      <c r="Z88" s="18"/>
      <c r="AA88" s="18"/>
      <c r="AB88" s="30">
        <v>2010</v>
      </c>
      <c r="AC88" s="128">
        <f t="shared" si="90"/>
        <v>0</v>
      </c>
      <c r="AD88" s="128">
        <f t="shared" si="90"/>
        <v>8</v>
      </c>
      <c r="AE88" s="128">
        <f t="shared" si="90"/>
        <v>8</v>
      </c>
      <c r="AF88" s="128">
        <f t="shared" si="90"/>
        <v>4</v>
      </c>
      <c r="AG88" s="128">
        <f t="shared" si="90"/>
        <v>48</v>
      </c>
      <c r="AH88" s="236">
        <f t="shared" si="91"/>
        <v>700</v>
      </c>
      <c r="AI88" s="238"/>
      <c r="AJ88" s="244"/>
      <c r="AK88" s="244"/>
      <c r="AL88" s="162"/>
      <c r="AM88" s="127">
        <f t="shared" si="92"/>
        <v>0</v>
      </c>
      <c r="AN88" s="128">
        <f t="shared" si="92"/>
        <v>0</v>
      </c>
      <c r="AO88" s="128">
        <f t="shared" si="92"/>
        <v>0</v>
      </c>
      <c r="AP88" s="128">
        <f t="shared" si="92"/>
        <v>0</v>
      </c>
      <c r="AQ88" s="128">
        <f t="shared" si="92"/>
        <v>0</v>
      </c>
      <c r="AR88" s="128">
        <f t="shared" si="93"/>
        <v>0</v>
      </c>
      <c r="AS88" s="238"/>
    </row>
    <row r="89" spans="1:45" s="129" customFormat="1">
      <c r="A89" s="42" t="s">
        <v>261</v>
      </c>
      <c r="B89" s="18" t="s">
        <v>8</v>
      </c>
      <c r="C89" s="161">
        <v>1</v>
      </c>
      <c r="D89" s="91" t="s">
        <v>2</v>
      </c>
      <c r="E89" s="162">
        <v>0</v>
      </c>
      <c r="F89" s="163">
        <f>E89*C89</f>
        <v>0</v>
      </c>
      <c r="G89" s="164">
        <v>0</v>
      </c>
      <c r="H89" s="164">
        <v>0</v>
      </c>
      <c r="I89" s="164">
        <v>360</v>
      </c>
      <c r="J89" s="164">
        <v>16</v>
      </c>
      <c r="K89" s="334">
        <v>80</v>
      </c>
      <c r="L89" s="91" t="s">
        <v>7</v>
      </c>
      <c r="M89" s="162">
        <f>IF(R89="PD",((Shop*G89)+(M_Tech*H89)+(CMM*I89)+(ENG*J89)+(DES*K89))*N89,((Shop_RD*G89)+(MTECH_RD*H89)+(CMM_RD*I89)+(ENG_RD*J89)+(DES_RD*K89))*N89)</f>
        <v>2400</v>
      </c>
      <c r="N89" s="87">
        <v>1</v>
      </c>
      <c r="O89" s="166">
        <f>M89+(F89*N89)</f>
        <v>2400</v>
      </c>
      <c r="P89" s="166"/>
      <c r="Q89" s="46" t="s">
        <v>31</v>
      </c>
      <c r="R89" s="66" t="s">
        <v>154</v>
      </c>
      <c r="S89" s="133" t="str">
        <f>CONCATENATE(Q89,R89,AB89)</f>
        <v>BPT2010</v>
      </c>
      <c r="T89" s="133" t="str">
        <f>CONCATENATE(Q89,U89,AB89)</f>
        <v>B1.2.2.2.12010</v>
      </c>
      <c r="U89" s="133" t="s">
        <v>181</v>
      </c>
      <c r="V89" s="133" t="str">
        <f t="shared" si="89"/>
        <v>PXL Sensor Prototype</v>
      </c>
      <c r="W89" s="18"/>
      <c r="X89" s="18"/>
      <c r="Y89" s="18"/>
      <c r="Z89" s="18"/>
      <c r="AA89" s="18"/>
      <c r="AB89" s="30">
        <v>2010</v>
      </c>
      <c r="AC89" s="128">
        <f>IF($Q89="B", (G89*$N89),0)</f>
        <v>0</v>
      </c>
      <c r="AD89" s="128">
        <f>IF($Q89="B", (H89*$N89),0)</f>
        <v>0</v>
      </c>
      <c r="AE89" s="128">
        <f>IF($Q89="B", (I89*$N89),0)</f>
        <v>360</v>
      </c>
      <c r="AF89" s="128">
        <f>IF($Q89="B", (J89*$N89),0)</f>
        <v>16</v>
      </c>
      <c r="AG89" s="128">
        <f>IF($Q89="B", (K89*$N89),0)</f>
        <v>80</v>
      </c>
      <c r="AH89" s="236">
        <f>IF($Q89="B", (F89*$N89),0)</f>
        <v>0</v>
      </c>
      <c r="AI89" s="238"/>
      <c r="AJ89" s="244"/>
      <c r="AK89" s="244"/>
      <c r="AL89" s="162"/>
      <c r="AM89" s="127">
        <f>IF($Q89="C", (G89*$N89),0)</f>
        <v>0</v>
      </c>
      <c r="AN89" s="128">
        <f>IF($Q89="C", (H89*$N89),0)</f>
        <v>0</v>
      </c>
      <c r="AO89" s="128">
        <f>IF($Q89="C", (I89*$N89),0)</f>
        <v>0</v>
      </c>
      <c r="AP89" s="128">
        <f>IF($Q89="C", (J89*$N89),0)</f>
        <v>0</v>
      </c>
      <c r="AQ89" s="128">
        <f>IF($Q89="C", (K89*$N89),0)</f>
        <v>0</v>
      </c>
      <c r="AR89" s="128">
        <f>IF($Q89="C", (F89*$N89),0)</f>
        <v>0</v>
      </c>
      <c r="AS89" s="238"/>
    </row>
    <row r="90" spans="1:45" s="129" customFormat="1">
      <c r="A90" s="42" t="s">
        <v>349</v>
      </c>
      <c r="B90" s="18" t="s">
        <v>8</v>
      </c>
      <c r="C90" s="161">
        <v>1</v>
      </c>
      <c r="D90" s="91" t="s">
        <v>2</v>
      </c>
      <c r="E90" s="162">
        <v>2000</v>
      </c>
      <c r="F90" s="163">
        <f t="shared" si="84"/>
        <v>2000</v>
      </c>
      <c r="G90" s="164">
        <v>0</v>
      </c>
      <c r="H90" s="164">
        <v>0</v>
      </c>
      <c r="I90" s="164">
        <v>0</v>
      </c>
      <c r="J90" s="164">
        <v>16</v>
      </c>
      <c r="K90" s="334">
        <v>0</v>
      </c>
      <c r="L90" s="91" t="s">
        <v>7</v>
      </c>
      <c r="M90" s="162">
        <f t="shared" si="85"/>
        <v>2400</v>
      </c>
      <c r="N90" s="87">
        <v>1</v>
      </c>
      <c r="O90" s="166">
        <f t="shared" si="86"/>
        <v>4400</v>
      </c>
      <c r="P90" s="166"/>
      <c r="Q90" s="46" t="s">
        <v>32</v>
      </c>
      <c r="R90" s="66" t="s">
        <v>154</v>
      </c>
      <c r="S90" s="133" t="str">
        <f t="shared" si="87"/>
        <v>CPT2011</v>
      </c>
      <c r="T90" s="133" t="str">
        <f t="shared" si="88"/>
        <v>C1.2.2.2.12011</v>
      </c>
      <c r="U90" s="133" t="s">
        <v>181</v>
      </c>
      <c r="V90" s="133" t="str">
        <f t="shared" si="89"/>
        <v>PXL Sensor Prototype</v>
      </c>
      <c r="W90" s="18"/>
      <c r="X90" s="18"/>
      <c r="Y90" s="18"/>
      <c r="Z90" s="18"/>
      <c r="AA90" s="18"/>
      <c r="AB90" s="30">
        <v>2011</v>
      </c>
      <c r="AC90" s="128">
        <f t="shared" si="90"/>
        <v>0</v>
      </c>
      <c r="AD90" s="128">
        <f t="shared" si="90"/>
        <v>0</v>
      </c>
      <c r="AE90" s="128">
        <f t="shared" si="90"/>
        <v>0</v>
      </c>
      <c r="AF90" s="128">
        <f t="shared" si="90"/>
        <v>0</v>
      </c>
      <c r="AG90" s="128">
        <f t="shared" si="90"/>
        <v>0</v>
      </c>
      <c r="AH90" s="236">
        <f t="shared" si="91"/>
        <v>0</v>
      </c>
      <c r="AI90" s="238"/>
      <c r="AJ90" s="244"/>
      <c r="AK90" s="244"/>
      <c r="AL90" s="162"/>
      <c r="AM90" s="127">
        <f t="shared" si="92"/>
        <v>0</v>
      </c>
      <c r="AN90" s="128">
        <f t="shared" si="92"/>
        <v>0</v>
      </c>
      <c r="AO90" s="128">
        <f t="shared" si="92"/>
        <v>0</v>
      </c>
      <c r="AP90" s="128">
        <f t="shared" si="92"/>
        <v>16</v>
      </c>
      <c r="AQ90" s="128">
        <f t="shared" si="92"/>
        <v>0</v>
      </c>
      <c r="AR90" s="128">
        <f t="shared" si="93"/>
        <v>2000</v>
      </c>
      <c r="AS90" s="238"/>
    </row>
    <row r="91" spans="1:45" s="59" customFormat="1">
      <c r="A91" s="43" t="s">
        <v>263</v>
      </c>
      <c r="C91" s="175"/>
      <c r="E91" s="176"/>
      <c r="F91" s="177"/>
      <c r="G91" s="178"/>
      <c r="H91" s="178"/>
      <c r="I91" s="178"/>
      <c r="J91" s="178"/>
      <c r="K91" s="179"/>
      <c r="L91" s="222" t="s">
        <v>43</v>
      </c>
      <c r="M91" s="174">
        <f>SUMIF(Q81:Q90,"B",M81:M90)</f>
        <v>19176</v>
      </c>
      <c r="N91" s="62" t="s">
        <v>43</v>
      </c>
      <c r="O91" s="174">
        <f>SUMIF(Q81:Q90,"B",O81:O90)</f>
        <v>28876</v>
      </c>
      <c r="P91" s="180"/>
      <c r="Q91" s="60"/>
      <c r="R91" s="68"/>
      <c r="S91" s="133"/>
      <c r="T91" s="133"/>
      <c r="U91" s="70"/>
      <c r="V91" s="70"/>
      <c r="W91"/>
      <c r="X91"/>
      <c r="Y91"/>
      <c r="Z91"/>
      <c r="AA91"/>
      <c r="AB91" s="61"/>
      <c r="AC91" s="3"/>
      <c r="AD91" s="3"/>
      <c r="AE91" s="3"/>
      <c r="AF91" s="3"/>
      <c r="AG91" s="3"/>
      <c r="AH91" s="159"/>
      <c r="AI91" s="241"/>
      <c r="AJ91" s="3"/>
      <c r="AK91" s="3"/>
      <c r="AL91" s="107"/>
      <c r="AM91" s="29"/>
      <c r="AN91" s="3"/>
      <c r="AO91" s="3"/>
      <c r="AP91" s="3"/>
      <c r="AQ91" s="3"/>
      <c r="AR91" s="3"/>
      <c r="AS91" s="241"/>
    </row>
    <row r="92" spans="1:45" s="18" customFormat="1">
      <c r="A92" s="42" t="s">
        <v>233</v>
      </c>
      <c r="B92" s="18" t="s">
        <v>8</v>
      </c>
      <c r="C92" s="161">
        <v>1</v>
      </c>
      <c r="D92" s="91" t="s">
        <v>2</v>
      </c>
      <c r="E92" s="162">
        <v>0</v>
      </c>
      <c r="F92" s="163">
        <f t="shared" ref="F92:F106" si="96">E92*C92</f>
        <v>0</v>
      </c>
      <c r="G92" s="164">
        <v>0</v>
      </c>
      <c r="H92" s="164">
        <v>0</v>
      </c>
      <c r="I92" s="164">
        <v>0</v>
      </c>
      <c r="J92" s="164">
        <v>8</v>
      </c>
      <c r="K92" s="165">
        <v>160</v>
      </c>
      <c r="L92" s="91" t="s">
        <v>7</v>
      </c>
      <c r="M92" s="162">
        <f t="shared" ref="M92:M106" si="97">IF(R92="PD",((Shop*G92)+(M_Tech*H92)+(CMM*I92)+(ENG*J92)+(DES*K92))*N92,((Shop_RD*G92)+(MTECH_RD*H92)+(CMM_RD*I92)+(ENG_RD*J92)+(DES_RD*K92))*N92)</f>
        <v>1200</v>
      </c>
      <c r="N92" s="87">
        <v>1</v>
      </c>
      <c r="O92" s="166">
        <f t="shared" ref="O92:O106" si="98">M92+(F92*N92)</f>
        <v>1200</v>
      </c>
      <c r="P92" s="166"/>
      <c r="Q92" s="46" t="s">
        <v>31</v>
      </c>
      <c r="R92" s="66" t="s">
        <v>154</v>
      </c>
      <c r="S92" s="133" t="str">
        <f t="shared" ref="S92:S106" si="99">CONCATENATE(Q92,R92,AB92)</f>
        <v>BPT2011</v>
      </c>
      <c r="T92" s="133" t="str">
        <f t="shared" ref="T92:T106" si="100">CONCATENATE(Q92,U92,AB92)</f>
        <v>B1.2.2.2.12011</v>
      </c>
      <c r="U92" s="133" t="s">
        <v>181</v>
      </c>
      <c r="V92" s="133" t="str">
        <f t="shared" ref="V92:V106" si="101">LOOKUP(U92,$B$345:$B$367,$A$345:$A$367)</f>
        <v>PXL Sensor Prototype</v>
      </c>
      <c r="AB92" s="30">
        <v>2011</v>
      </c>
      <c r="AC92" s="128">
        <f t="shared" ref="AC92:AC104" si="102">IF($Q92="B", (G92*$N92),0)</f>
        <v>0</v>
      </c>
      <c r="AD92" s="128">
        <f t="shared" ref="AD92:AD104" si="103">IF($Q92="B", (H92*$N92),0)</f>
        <v>0</v>
      </c>
      <c r="AE92" s="128">
        <f t="shared" ref="AE92:AE104" si="104">IF($Q92="B", (I92*$N92),0)</f>
        <v>0</v>
      </c>
      <c r="AF92" s="128">
        <f t="shared" ref="AF92:AF104" si="105">IF($Q92="B", (J92*$N92),0)</f>
        <v>8</v>
      </c>
      <c r="AG92" s="128">
        <f t="shared" ref="AG92:AG104" si="106">IF($Q92="B", (K92*$N92),0)</f>
        <v>160</v>
      </c>
      <c r="AH92" s="236">
        <f t="shared" ref="AH92:AH106" si="107">IF($Q92="B", (F92*$N92),0)</f>
        <v>0</v>
      </c>
      <c r="AI92" s="237"/>
      <c r="AJ92" s="128"/>
      <c r="AK92" s="128"/>
      <c r="AL92" s="162"/>
      <c r="AM92" s="127">
        <f t="shared" ref="AM92:AM104" si="108">IF($Q92="C", (G92*$N92),0)</f>
        <v>0</v>
      </c>
      <c r="AN92" s="128">
        <f t="shared" ref="AN92:AN104" si="109">IF($Q92="C", (H92*$N92),0)</f>
        <v>0</v>
      </c>
      <c r="AO92" s="128">
        <f t="shared" ref="AO92:AO104" si="110">IF($Q92="C", (I92*$N92),0)</f>
        <v>0</v>
      </c>
      <c r="AP92" s="128">
        <f t="shared" ref="AP92:AP104" si="111">IF($Q92="C", (J92*$N92),0)</f>
        <v>0</v>
      </c>
      <c r="AQ92" s="128">
        <f t="shared" ref="AQ92:AQ104" si="112">IF($Q92="C", (K92*$N92),0)</f>
        <v>0</v>
      </c>
      <c r="AR92" s="128">
        <f t="shared" ref="AR92:AR106" si="113">IF($Q92="C", (F92*$N92),0)</f>
        <v>0</v>
      </c>
      <c r="AS92" s="237"/>
    </row>
    <row r="93" spans="1:45" s="18" customFormat="1">
      <c r="A93" s="42" t="s">
        <v>234</v>
      </c>
      <c r="B93" s="18" t="s">
        <v>8</v>
      </c>
      <c r="C93" s="161">
        <v>3</v>
      </c>
      <c r="D93" s="91" t="s">
        <v>2</v>
      </c>
      <c r="E93" s="162">
        <v>750</v>
      </c>
      <c r="F93" s="163">
        <f t="shared" si="96"/>
        <v>2250</v>
      </c>
      <c r="G93" s="164">
        <v>0</v>
      </c>
      <c r="H93" s="164">
        <v>0</v>
      </c>
      <c r="I93" s="164">
        <v>0</v>
      </c>
      <c r="J93" s="164">
        <v>0</v>
      </c>
      <c r="K93" s="165">
        <v>8</v>
      </c>
      <c r="L93" s="91" t="s">
        <v>7</v>
      </c>
      <c r="M93" s="162">
        <f t="shared" si="97"/>
        <v>0</v>
      </c>
      <c r="N93" s="87">
        <v>1</v>
      </c>
      <c r="O93" s="166">
        <f t="shared" si="98"/>
        <v>2250</v>
      </c>
      <c r="P93" s="166"/>
      <c r="Q93" s="46" t="s">
        <v>31</v>
      </c>
      <c r="R93" s="66" t="s">
        <v>154</v>
      </c>
      <c r="S93" s="133" t="str">
        <f t="shared" si="99"/>
        <v>BPT2011</v>
      </c>
      <c r="T93" s="133" t="str">
        <f t="shared" si="100"/>
        <v>B1.2.2.2.12011</v>
      </c>
      <c r="U93" s="133" t="s">
        <v>181</v>
      </c>
      <c r="V93" s="133" t="str">
        <f t="shared" si="101"/>
        <v>PXL Sensor Prototype</v>
      </c>
      <c r="AB93" s="30">
        <v>2011</v>
      </c>
      <c r="AC93" s="128">
        <f>IF($Q93="B", (G93*$N93),0)</f>
        <v>0</v>
      </c>
      <c r="AD93" s="128">
        <f>IF($Q93="B", (H93*$N93),0)</f>
        <v>0</v>
      </c>
      <c r="AE93" s="128">
        <f>IF($Q93="B", (I93*$N93),0)</f>
        <v>0</v>
      </c>
      <c r="AF93" s="128">
        <f>IF($Q93="B", (J93*$N93),0)</f>
        <v>0</v>
      </c>
      <c r="AG93" s="128">
        <f>IF($Q93="B", (K93*$N93),0)</f>
        <v>8</v>
      </c>
      <c r="AH93" s="236">
        <f t="shared" si="107"/>
        <v>2250</v>
      </c>
      <c r="AI93" s="237"/>
      <c r="AJ93" s="128"/>
      <c r="AK93" s="128"/>
      <c r="AL93" s="162"/>
      <c r="AM93" s="127">
        <f>IF($Q93="C", (G93*$N93),0)</f>
        <v>0</v>
      </c>
      <c r="AN93" s="128">
        <f>IF($Q93="C", (H93*$N93),0)</f>
        <v>0</v>
      </c>
      <c r="AO93" s="128">
        <f>IF($Q93="C", (I93*$N93),0)</f>
        <v>0</v>
      </c>
      <c r="AP93" s="128">
        <f>IF($Q93="C", (J93*$N93),0)</f>
        <v>0</v>
      </c>
      <c r="AQ93" s="128">
        <f>IF($Q93="C", (K93*$N93),0)</f>
        <v>0</v>
      </c>
      <c r="AR93" s="128">
        <f t="shared" si="113"/>
        <v>0</v>
      </c>
      <c r="AS93" s="237"/>
    </row>
    <row r="94" spans="1:45" s="18" customFormat="1">
      <c r="A94" s="42" t="s">
        <v>235</v>
      </c>
      <c r="B94" s="18" t="s">
        <v>8</v>
      </c>
      <c r="C94" s="161">
        <v>5</v>
      </c>
      <c r="D94" s="91" t="s">
        <v>2</v>
      </c>
      <c r="E94" s="162">
        <v>300</v>
      </c>
      <c r="F94" s="163">
        <f>E94*C94</f>
        <v>1500</v>
      </c>
      <c r="G94" s="164">
        <v>0</v>
      </c>
      <c r="H94" s="164">
        <v>60</v>
      </c>
      <c r="I94" s="164">
        <v>8</v>
      </c>
      <c r="J94" s="164">
        <v>0</v>
      </c>
      <c r="K94" s="165">
        <v>8</v>
      </c>
      <c r="L94" s="91" t="s">
        <v>7</v>
      </c>
      <c r="M94" s="162">
        <f>IF(R94="PD",((Shop*G94)+(M_Tech*H94)+(CMM*I94)+(ENG*J94)+(DES*K94))*N94,((Shop_RD*G94)+(MTECH_RD*H94)+(CMM_RD*I94)+(ENG_RD*J94)+(DES_RD*K94))*N94)</f>
        <v>7020</v>
      </c>
      <c r="N94" s="87">
        <v>1</v>
      </c>
      <c r="O94" s="166">
        <f t="shared" si="98"/>
        <v>8520</v>
      </c>
      <c r="P94" s="166"/>
      <c r="Q94" s="46" t="s">
        <v>31</v>
      </c>
      <c r="R94" s="66" t="s">
        <v>154</v>
      </c>
      <c r="S94" s="133" t="str">
        <f>CONCATENATE(Q94,R94,AB94)</f>
        <v>BPT2011</v>
      </c>
      <c r="T94" s="133" t="str">
        <f t="shared" si="100"/>
        <v>B1.2.2.2.12011</v>
      </c>
      <c r="U94" s="133" t="s">
        <v>181</v>
      </c>
      <c r="V94" s="133" t="str">
        <f t="shared" si="101"/>
        <v>PXL Sensor Prototype</v>
      </c>
      <c r="AB94" s="30">
        <v>2011</v>
      </c>
      <c r="AC94" s="128">
        <f t="shared" si="102"/>
        <v>0</v>
      </c>
      <c r="AD94" s="128">
        <f t="shared" si="103"/>
        <v>60</v>
      </c>
      <c r="AE94" s="128">
        <f t="shared" si="104"/>
        <v>8</v>
      </c>
      <c r="AF94" s="128">
        <f t="shared" si="105"/>
        <v>0</v>
      </c>
      <c r="AG94" s="128">
        <f t="shared" si="106"/>
        <v>8</v>
      </c>
      <c r="AH94" s="236">
        <f>IF($Q94="B", (F94*$N94),0)</f>
        <v>1500</v>
      </c>
      <c r="AI94" s="237"/>
      <c r="AJ94" s="128"/>
      <c r="AK94" s="128"/>
      <c r="AL94" s="162"/>
      <c r="AM94" s="127">
        <f t="shared" si="108"/>
        <v>0</v>
      </c>
      <c r="AN94" s="128">
        <f t="shared" si="109"/>
        <v>0</v>
      </c>
      <c r="AO94" s="128">
        <f t="shared" si="110"/>
        <v>0</v>
      </c>
      <c r="AP94" s="128">
        <f t="shared" si="111"/>
        <v>0</v>
      </c>
      <c r="AQ94" s="128">
        <f t="shared" si="112"/>
        <v>0</v>
      </c>
      <c r="AR94" s="128">
        <f>IF($Q94="C", (F94*$N94),0)</f>
        <v>0</v>
      </c>
      <c r="AS94" s="237"/>
    </row>
    <row r="95" spans="1:45" s="18" customFormat="1">
      <c r="A95" s="42" t="s">
        <v>236</v>
      </c>
      <c r="B95" s="18" t="s">
        <v>8</v>
      </c>
      <c r="C95" s="161">
        <v>1</v>
      </c>
      <c r="D95" s="91" t="s">
        <v>2</v>
      </c>
      <c r="E95" s="162">
        <v>0</v>
      </c>
      <c r="F95" s="163">
        <f t="shared" si="96"/>
        <v>0</v>
      </c>
      <c r="G95" s="164">
        <v>0</v>
      </c>
      <c r="H95" s="164">
        <v>0</v>
      </c>
      <c r="I95" s="164">
        <v>8</v>
      </c>
      <c r="J95" s="164">
        <v>0</v>
      </c>
      <c r="K95" s="165">
        <v>40</v>
      </c>
      <c r="L95" s="91" t="s">
        <v>7</v>
      </c>
      <c r="M95" s="162">
        <f t="shared" si="97"/>
        <v>0</v>
      </c>
      <c r="N95" s="87">
        <v>1</v>
      </c>
      <c r="O95" s="166">
        <f t="shared" si="98"/>
        <v>0</v>
      </c>
      <c r="P95" s="166"/>
      <c r="Q95" s="46" t="s">
        <v>31</v>
      </c>
      <c r="R95" s="66" t="s">
        <v>154</v>
      </c>
      <c r="S95" s="133" t="str">
        <f t="shared" si="99"/>
        <v>BPT2011</v>
      </c>
      <c r="T95" s="133" t="str">
        <f t="shared" si="100"/>
        <v>B1.2.2.2.12011</v>
      </c>
      <c r="U95" s="133" t="s">
        <v>181</v>
      </c>
      <c r="V95" s="133" t="str">
        <f t="shared" si="101"/>
        <v>PXL Sensor Prototype</v>
      </c>
      <c r="AB95" s="30">
        <v>2011</v>
      </c>
      <c r="AC95" s="128">
        <f>IF($Q95="B", (G95*$N95),0)</f>
        <v>0</v>
      </c>
      <c r="AD95" s="128">
        <f>IF($Q95="B", (H95*$N95),0)</f>
        <v>0</v>
      </c>
      <c r="AE95" s="128">
        <f>IF($Q95="B", (I95*$N95),0)</f>
        <v>8</v>
      </c>
      <c r="AF95" s="128">
        <f>IF($Q95="B", (J95*$N95),0)</f>
        <v>0</v>
      </c>
      <c r="AG95" s="128">
        <f>IF($Q95="B", (K95*$N95),0)</f>
        <v>40</v>
      </c>
      <c r="AH95" s="236">
        <f t="shared" si="107"/>
        <v>0</v>
      </c>
      <c r="AI95" s="237"/>
      <c r="AJ95" s="128"/>
      <c r="AK95" s="128"/>
      <c r="AL95" s="162"/>
      <c r="AM95" s="127">
        <f>IF($Q95="C", (G95*$N95),0)</f>
        <v>0</v>
      </c>
      <c r="AN95" s="128">
        <f>IF($Q95="C", (H95*$N95),0)</f>
        <v>0</v>
      </c>
      <c r="AO95" s="128">
        <f>IF($Q95="C", (I95*$N95),0)</f>
        <v>0</v>
      </c>
      <c r="AP95" s="128">
        <f>IF($Q95="C", (J95*$N95),0)</f>
        <v>0</v>
      </c>
      <c r="AQ95" s="128">
        <f>IF($Q95="C", (K95*$N95),0)</f>
        <v>0</v>
      </c>
      <c r="AR95" s="128">
        <f t="shared" si="113"/>
        <v>0</v>
      </c>
      <c r="AS95" s="237"/>
    </row>
    <row r="96" spans="1:45" s="18" customFormat="1">
      <c r="A96" s="42" t="s">
        <v>237</v>
      </c>
      <c r="B96" s="18" t="s">
        <v>8</v>
      </c>
      <c r="C96" s="161">
        <v>10</v>
      </c>
      <c r="D96" s="91" t="s">
        <v>2</v>
      </c>
      <c r="E96" s="162">
        <v>150</v>
      </c>
      <c r="F96" s="163">
        <f>E96*C96</f>
        <v>1500</v>
      </c>
      <c r="G96" s="164">
        <v>0</v>
      </c>
      <c r="H96" s="164">
        <v>0</v>
      </c>
      <c r="I96" s="164">
        <v>8</v>
      </c>
      <c r="J96" s="164">
        <v>0</v>
      </c>
      <c r="K96" s="165">
        <v>8</v>
      </c>
      <c r="L96" s="91" t="s">
        <v>7</v>
      </c>
      <c r="M96" s="162">
        <f>IF(R96="PD",((Shop*G96)+(M_Tech*H96)+(CMM*I96)+(ENG*J96)+(DES*K96))*N96,((Shop_RD*G96)+(MTECH_RD*H96)+(CMM_RD*I96)+(ENG_RD*J96)+(DES_RD*K96))*N96)</f>
        <v>0</v>
      </c>
      <c r="N96" s="87">
        <v>1</v>
      </c>
      <c r="O96" s="166">
        <f t="shared" si="98"/>
        <v>1500</v>
      </c>
      <c r="P96" s="166"/>
      <c r="Q96" s="46" t="s">
        <v>31</v>
      </c>
      <c r="R96" s="66" t="s">
        <v>154</v>
      </c>
      <c r="S96" s="133" t="str">
        <f>CONCATENATE(Q96,R96,AB96)</f>
        <v>BPT2011</v>
      </c>
      <c r="T96" s="133" t="str">
        <f t="shared" si="100"/>
        <v>B1.2.2.2.12011</v>
      </c>
      <c r="U96" s="133" t="s">
        <v>181</v>
      </c>
      <c r="V96" s="133" t="str">
        <f t="shared" si="101"/>
        <v>PXL Sensor Prototype</v>
      </c>
      <c r="AB96" s="30">
        <v>2011</v>
      </c>
      <c r="AC96" s="128">
        <f t="shared" si="102"/>
        <v>0</v>
      </c>
      <c r="AD96" s="128">
        <f t="shared" si="103"/>
        <v>0</v>
      </c>
      <c r="AE96" s="128">
        <f t="shared" si="104"/>
        <v>8</v>
      </c>
      <c r="AF96" s="128">
        <f t="shared" si="105"/>
        <v>0</v>
      </c>
      <c r="AG96" s="128">
        <f t="shared" si="106"/>
        <v>8</v>
      </c>
      <c r="AH96" s="236">
        <f>IF($Q96="B", (F96*$N96),0)</f>
        <v>1500</v>
      </c>
      <c r="AI96" s="237"/>
      <c r="AJ96" s="128"/>
      <c r="AK96" s="128"/>
      <c r="AL96" s="162"/>
      <c r="AM96" s="127">
        <f t="shared" si="108"/>
        <v>0</v>
      </c>
      <c r="AN96" s="128">
        <f t="shared" si="109"/>
        <v>0</v>
      </c>
      <c r="AO96" s="128">
        <f t="shared" si="110"/>
        <v>0</v>
      </c>
      <c r="AP96" s="128">
        <f t="shared" si="111"/>
        <v>0</v>
      </c>
      <c r="AQ96" s="128">
        <f t="shared" si="112"/>
        <v>0</v>
      </c>
      <c r="AR96" s="128">
        <f>IF($Q96="C", (F96*$N96),0)</f>
        <v>0</v>
      </c>
      <c r="AS96" s="237"/>
    </row>
    <row r="97" spans="1:45" s="18" customFormat="1">
      <c r="A97" s="42" t="s">
        <v>238</v>
      </c>
      <c r="B97" s="18" t="s">
        <v>8</v>
      </c>
      <c r="C97" s="161">
        <v>1</v>
      </c>
      <c r="D97" s="91" t="s">
        <v>2</v>
      </c>
      <c r="E97" s="162">
        <v>500</v>
      </c>
      <c r="F97" s="163">
        <f t="shared" si="96"/>
        <v>500</v>
      </c>
      <c r="G97" s="164">
        <v>0</v>
      </c>
      <c r="H97" s="164">
        <v>60</v>
      </c>
      <c r="I97" s="164">
        <v>8</v>
      </c>
      <c r="J97" s="164">
        <v>8</v>
      </c>
      <c r="K97" s="165">
        <v>8</v>
      </c>
      <c r="L97" s="91" t="s">
        <v>7</v>
      </c>
      <c r="M97" s="162">
        <f t="shared" si="97"/>
        <v>8220</v>
      </c>
      <c r="N97" s="87">
        <v>1</v>
      </c>
      <c r="O97" s="166">
        <f t="shared" si="98"/>
        <v>8720</v>
      </c>
      <c r="P97" s="166"/>
      <c r="Q97" s="46" t="s">
        <v>31</v>
      </c>
      <c r="R97" s="66" t="s">
        <v>154</v>
      </c>
      <c r="S97" s="133" t="str">
        <f t="shared" si="99"/>
        <v>BPT2011</v>
      </c>
      <c r="T97" s="133" t="str">
        <f t="shared" si="100"/>
        <v>B1.2.2.2.12011</v>
      </c>
      <c r="U97" s="133" t="s">
        <v>181</v>
      </c>
      <c r="V97" s="133" t="str">
        <f t="shared" si="101"/>
        <v>PXL Sensor Prototype</v>
      </c>
      <c r="AB97" s="30">
        <v>2011</v>
      </c>
      <c r="AC97" s="128">
        <f t="shared" ref="AC97:AG98" si="114">IF($Q97="B", (G97*$N97),0)</f>
        <v>0</v>
      </c>
      <c r="AD97" s="128">
        <f t="shared" si="114"/>
        <v>60</v>
      </c>
      <c r="AE97" s="128">
        <f t="shared" si="114"/>
        <v>8</v>
      </c>
      <c r="AF97" s="128">
        <f t="shared" si="114"/>
        <v>8</v>
      </c>
      <c r="AG97" s="128">
        <f t="shared" si="114"/>
        <v>8</v>
      </c>
      <c r="AH97" s="236">
        <f t="shared" si="107"/>
        <v>500</v>
      </c>
      <c r="AI97" s="237"/>
      <c r="AJ97" s="128"/>
      <c r="AK97" s="128"/>
      <c r="AL97" s="162"/>
      <c r="AM97" s="127">
        <f t="shared" ref="AM97:AQ98" si="115">IF($Q97="C", (G97*$N97),0)</f>
        <v>0</v>
      </c>
      <c r="AN97" s="128">
        <f t="shared" si="115"/>
        <v>0</v>
      </c>
      <c r="AO97" s="128">
        <f t="shared" si="115"/>
        <v>0</v>
      </c>
      <c r="AP97" s="128">
        <f t="shared" si="115"/>
        <v>0</v>
      </c>
      <c r="AQ97" s="128">
        <f t="shared" si="115"/>
        <v>0</v>
      </c>
      <c r="AR97" s="128">
        <f t="shared" si="113"/>
        <v>0</v>
      </c>
      <c r="AS97" s="237"/>
    </row>
    <row r="98" spans="1:45" s="18" customFormat="1">
      <c r="A98" s="42" t="s">
        <v>231</v>
      </c>
      <c r="B98" s="18" t="s">
        <v>8</v>
      </c>
      <c r="C98" s="161">
        <v>1</v>
      </c>
      <c r="D98" s="91" t="s">
        <v>2</v>
      </c>
      <c r="E98" s="162">
        <v>700</v>
      </c>
      <c r="F98" s="163">
        <f t="shared" si="96"/>
        <v>700</v>
      </c>
      <c r="G98" s="164">
        <v>0</v>
      </c>
      <c r="H98" s="164">
        <v>16</v>
      </c>
      <c r="I98" s="164">
        <v>24</v>
      </c>
      <c r="J98" s="164">
        <v>0</v>
      </c>
      <c r="K98" s="165">
        <v>24</v>
      </c>
      <c r="L98" s="91" t="s">
        <v>7</v>
      </c>
      <c r="M98" s="162">
        <f t="shared" si="97"/>
        <v>1872</v>
      </c>
      <c r="N98" s="87">
        <v>1</v>
      </c>
      <c r="O98" s="166">
        <f t="shared" si="98"/>
        <v>2572</v>
      </c>
      <c r="P98" s="166"/>
      <c r="Q98" s="46" t="s">
        <v>31</v>
      </c>
      <c r="R98" s="66" t="s">
        <v>154</v>
      </c>
      <c r="S98" s="133" t="str">
        <f t="shared" si="99"/>
        <v>BPT2011</v>
      </c>
      <c r="T98" s="133" t="str">
        <f t="shared" si="100"/>
        <v>B1.2.2.2.12011</v>
      </c>
      <c r="U98" s="133" t="s">
        <v>181</v>
      </c>
      <c r="V98" s="133" t="str">
        <f t="shared" si="101"/>
        <v>PXL Sensor Prototype</v>
      </c>
      <c r="AB98" s="30">
        <v>2011</v>
      </c>
      <c r="AC98" s="128">
        <f t="shared" si="114"/>
        <v>0</v>
      </c>
      <c r="AD98" s="128">
        <f t="shared" si="114"/>
        <v>16</v>
      </c>
      <c r="AE98" s="128">
        <f t="shared" si="114"/>
        <v>24</v>
      </c>
      <c r="AF98" s="128">
        <f t="shared" si="114"/>
        <v>0</v>
      </c>
      <c r="AG98" s="128">
        <f t="shared" si="114"/>
        <v>24</v>
      </c>
      <c r="AH98" s="236">
        <f t="shared" si="107"/>
        <v>700</v>
      </c>
      <c r="AI98" s="237"/>
      <c r="AJ98" s="128"/>
      <c r="AK98" s="128"/>
      <c r="AL98" s="162"/>
      <c r="AM98" s="127">
        <f t="shared" si="115"/>
        <v>0</v>
      </c>
      <c r="AN98" s="128">
        <f t="shared" si="115"/>
        <v>0</v>
      </c>
      <c r="AO98" s="128">
        <f t="shared" si="115"/>
        <v>0</v>
      </c>
      <c r="AP98" s="128">
        <f t="shared" si="115"/>
        <v>0</v>
      </c>
      <c r="AQ98" s="128">
        <f t="shared" si="115"/>
        <v>0</v>
      </c>
      <c r="AR98" s="128">
        <f t="shared" si="113"/>
        <v>0</v>
      </c>
      <c r="AS98" s="237"/>
    </row>
    <row r="99" spans="1:45" s="18" customFormat="1">
      <c r="A99" s="42" t="s">
        <v>232</v>
      </c>
      <c r="B99" s="18" t="s">
        <v>8</v>
      </c>
      <c r="C99" s="161">
        <v>1</v>
      </c>
      <c r="D99" s="91" t="s">
        <v>2</v>
      </c>
      <c r="E99" s="162">
        <v>500</v>
      </c>
      <c r="F99" s="163">
        <f t="shared" si="96"/>
        <v>500</v>
      </c>
      <c r="G99" s="164">
        <v>0</v>
      </c>
      <c r="H99" s="164">
        <v>16</v>
      </c>
      <c r="I99" s="164">
        <v>24</v>
      </c>
      <c r="J99" s="164">
        <v>0</v>
      </c>
      <c r="K99" s="165">
        <v>24</v>
      </c>
      <c r="L99" s="91" t="s">
        <v>7</v>
      </c>
      <c r="M99" s="162">
        <f t="shared" si="97"/>
        <v>1872</v>
      </c>
      <c r="N99" s="87">
        <v>1</v>
      </c>
      <c r="O99" s="166">
        <f t="shared" si="98"/>
        <v>2372</v>
      </c>
      <c r="P99" s="166"/>
      <c r="Q99" s="46" t="s">
        <v>31</v>
      </c>
      <c r="R99" s="66" t="s">
        <v>154</v>
      </c>
      <c r="S99" s="133" t="str">
        <f t="shared" si="99"/>
        <v>BPT2011</v>
      </c>
      <c r="T99" s="133" t="str">
        <f t="shared" si="100"/>
        <v>B1.2.2.2.12011</v>
      </c>
      <c r="U99" s="133" t="s">
        <v>181</v>
      </c>
      <c r="V99" s="133" t="str">
        <f t="shared" si="101"/>
        <v>PXL Sensor Prototype</v>
      </c>
      <c r="AB99" s="30">
        <v>2011</v>
      </c>
      <c r="AC99" s="128">
        <f t="shared" si="102"/>
        <v>0</v>
      </c>
      <c r="AD99" s="128">
        <f t="shared" si="103"/>
        <v>16</v>
      </c>
      <c r="AE99" s="128">
        <f t="shared" si="104"/>
        <v>24</v>
      </c>
      <c r="AF99" s="128">
        <f t="shared" si="105"/>
        <v>0</v>
      </c>
      <c r="AG99" s="128">
        <f t="shared" si="106"/>
        <v>24</v>
      </c>
      <c r="AH99" s="236">
        <f t="shared" si="107"/>
        <v>500</v>
      </c>
      <c r="AI99" s="237"/>
      <c r="AJ99" s="128"/>
      <c r="AK99" s="128"/>
      <c r="AL99" s="162"/>
      <c r="AM99" s="127">
        <f t="shared" si="108"/>
        <v>0</v>
      </c>
      <c r="AN99" s="128">
        <f t="shared" si="109"/>
        <v>0</v>
      </c>
      <c r="AO99" s="128">
        <f t="shared" si="110"/>
        <v>0</v>
      </c>
      <c r="AP99" s="128">
        <f t="shared" si="111"/>
        <v>0</v>
      </c>
      <c r="AQ99" s="128">
        <f t="shared" si="112"/>
        <v>0</v>
      </c>
      <c r="AR99" s="128">
        <f t="shared" si="113"/>
        <v>0</v>
      </c>
      <c r="AS99" s="237"/>
    </row>
    <row r="100" spans="1:45" s="18" customFormat="1">
      <c r="A100" s="42" t="s">
        <v>228</v>
      </c>
      <c r="B100" s="18" t="s">
        <v>8</v>
      </c>
      <c r="C100" s="161">
        <v>1</v>
      </c>
      <c r="D100" s="91" t="s">
        <v>2</v>
      </c>
      <c r="E100" s="162">
        <v>2000</v>
      </c>
      <c r="F100" s="163">
        <f t="shared" si="96"/>
        <v>2000</v>
      </c>
      <c r="G100" s="164">
        <v>40</v>
      </c>
      <c r="H100" s="164">
        <v>40</v>
      </c>
      <c r="I100" s="164">
        <v>40</v>
      </c>
      <c r="J100" s="164">
        <v>8</v>
      </c>
      <c r="K100" s="165">
        <v>40</v>
      </c>
      <c r="L100" s="91" t="s">
        <v>7</v>
      </c>
      <c r="M100" s="162">
        <f t="shared" si="97"/>
        <v>10920</v>
      </c>
      <c r="N100" s="87">
        <v>1</v>
      </c>
      <c r="O100" s="166">
        <f t="shared" si="98"/>
        <v>12920</v>
      </c>
      <c r="P100" s="166"/>
      <c r="Q100" s="46" t="s">
        <v>31</v>
      </c>
      <c r="R100" s="66" t="s">
        <v>154</v>
      </c>
      <c r="S100" s="133" t="str">
        <f t="shared" si="99"/>
        <v>BPT2011</v>
      </c>
      <c r="T100" s="133" t="str">
        <f t="shared" si="100"/>
        <v>B1.2.2.2.12011</v>
      </c>
      <c r="U100" s="133" t="s">
        <v>181</v>
      </c>
      <c r="V100" s="133" t="str">
        <f t="shared" si="101"/>
        <v>PXL Sensor Prototype</v>
      </c>
      <c r="AB100" s="30">
        <v>2011</v>
      </c>
      <c r="AC100" s="128">
        <f t="shared" si="102"/>
        <v>40</v>
      </c>
      <c r="AD100" s="128">
        <f t="shared" si="103"/>
        <v>40</v>
      </c>
      <c r="AE100" s="128">
        <f t="shared" si="104"/>
        <v>40</v>
      </c>
      <c r="AF100" s="128">
        <f t="shared" si="105"/>
        <v>8</v>
      </c>
      <c r="AG100" s="128">
        <f t="shared" si="106"/>
        <v>40</v>
      </c>
      <c r="AH100" s="236">
        <f t="shared" si="107"/>
        <v>2000</v>
      </c>
      <c r="AI100" s="237"/>
      <c r="AJ100" s="128"/>
      <c r="AK100" s="128"/>
      <c r="AL100" s="162"/>
      <c r="AM100" s="127">
        <f t="shared" si="108"/>
        <v>0</v>
      </c>
      <c r="AN100" s="128">
        <f t="shared" si="109"/>
        <v>0</v>
      </c>
      <c r="AO100" s="128">
        <f t="shared" si="110"/>
        <v>0</v>
      </c>
      <c r="AP100" s="128">
        <f t="shared" si="111"/>
        <v>0</v>
      </c>
      <c r="AQ100" s="128">
        <f t="shared" si="112"/>
        <v>0</v>
      </c>
      <c r="AR100" s="128">
        <f t="shared" si="113"/>
        <v>0</v>
      </c>
      <c r="AS100" s="237"/>
    </row>
    <row r="101" spans="1:45" s="18" customFormat="1">
      <c r="A101" s="42" t="s">
        <v>375</v>
      </c>
      <c r="B101" s="18" t="s">
        <v>8</v>
      </c>
      <c r="C101" s="161">
        <v>1</v>
      </c>
      <c r="D101" s="91" t="s">
        <v>2</v>
      </c>
      <c r="E101" s="162">
        <v>5000</v>
      </c>
      <c r="F101" s="163">
        <f>E101*C101</f>
        <v>5000</v>
      </c>
      <c r="G101" s="164">
        <v>32</v>
      </c>
      <c r="H101" s="164">
        <v>40</v>
      </c>
      <c r="I101" s="164">
        <v>80</v>
      </c>
      <c r="J101" s="164">
        <v>16</v>
      </c>
      <c r="K101" s="165">
        <v>40</v>
      </c>
      <c r="L101" s="91" t="s">
        <v>7</v>
      </c>
      <c r="M101" s="162">
        <f>IF(R101="PD",((Shop*G101)+(M_Tech*H101)+(CMM*I101)+(ENG*J101)+(DES*K101))*N101,((Shop_RD*G101)+(MTECH_RD*H101)+(CMM_RD*I101)+(ENG_RD*J101)+(DES_RD*K101))*N101)</f>
        <v>11112</v>
      </c>
      <c r="N101" s="87">
        <v>1</v>
      </c>
      <c r="O101" s="166">
        <f>M101+(F101*N101)</f>
        <v>16112</v>
      </c>
      <c r="P101" s="166"/>
      <c r="Q101" s="46" t="s">
        <v>31</v>
      </c>
      <c r="R101" s="66" t="s">
        <v>154</v>
      </c>
      <c r="S101" s="133" t="str">
        <f>CONCATENATE(Q101,R101,AB101)</f>
        <v>BPT2011</v>
      </c>
      <c r="T101" s="133" t="str">
        <f>CONCATENATE(Q101,U101,AB101)</f>
        <v>B1.2.2.2.12011</v>
      </c>
      <c r="U101" s="133" t="s">
        <v>181</v>
      </c>
      <c r="V101" s="133" t="str">
        <f t="shared" si="101"/>
        <v>PXL Sensor Prototype</v>
      </c>
      <c r="AB101" s="30">
        <v>2011</v>
      </c>
      <c r="AC101" s="128">
        <f t="shared" si="102"/>
        <v>32</v>
      </c>
      <c r="AD101" s="128">
        <f t="shared" si="103"/>
        <v>40</v>
      </c>
      <c r="AE101" s="128">
        <f t="shared" si="104"/>
        <v>80</v>
      </c>
      <c r="AF101" s="128">
        <f t="shared" si="105"/>
        <v>16</v>
      </c>
      <c r="AG101" s="128">
        <f t="shared" si="106"/>
        <v>40</v>
      </c>
      <c r="AH101" s="236">
        <f>IF($Q101="B", (F101*$N101),0)</f>
        <v>5000</v>
      </c>
      <c r="AI101" s="237"/>
      <c r="AJ101" s="128"/>
      <c r="AK101" s="128"/>
      <c r="AL101" s="162"/>
      <c r="AM101" s="127">
        <f t="shared" si="108"/>
        <v>0</v>
      </c>
      <c r="AN101" s="128">
        <f t="shared" si="109"/>
        <v>0</v>
      </c>
      <c r="AO101" s="128">
        <f t="shared" si="110"/>
        <v>0</v>
      </c>
      <c r="AP101" s="128">
        <f t="shared" si="111"/>
        <v>0</v>
      </c>
      <c r="AQ101" s="128">
        <f t="shared" si="112"/>
        <v>0</v>
      </c>
      <c r="AR101" s="128">
        <f>IF($Q101="C", (F101*$N101),0)</f>
        <v>0</v>
      </c>
      <c r="AS101" s="237"/>
    </row>
    <row r="102" spans="1:45" s="18" customFormat="1">
      <c r="A102" s="42" t="s">
        <v>229</v>
      </c>
      <c r="B102" s="18" t="s">
        <v>8</v>
      </c>
      <c r="C102" s="161">
        <v>1</v>
      </c>
      <c r="D102" s="91" t="s">
        <v>2</v>
      </c>
      <c r="E102" s="162">
        <v>0</v>
      </c>
      <c r="F102" s="163">
        <f t="shared" si="96"/>
        <v>0</v>
      </c>
      <c r="G102" s="164">
        <v>0</v>
      </c>
      <c r="H102" s="164">
        <v>0</v>
      </c>
      <c r="I102" s="164">
        <v>100</v>
      </c>
      <c r="J102" s="164">
        <v>0</v>
      </c>
      <c r="K102" s="165">
        <v>40</v>
      </c>
      <c r="L102" s="91" t="s">
        <v>7</v>
      </c>
      <c r="M102" s="162">
        <f t="shared" si="97"/>
        <v>0</v>
      </c>
      <c r="N102" s="87">
        <v>1</v>
      </c>
      <c r="O102" s="166">
        <f t="shared" si="98"/>
        <v>0</v>
      </c>
      <c r="P102" s="166"/>
      <c r="Q102" s="46" t="s">
        <v>31</v>
      </c>
      <c r="R102" s="66" t="s">
        <v>154</v>
      </c>
      <c r="S102" s="133" t="str">
        <f t="shared" si="99"/>
        <v>BPT2011</v>
      </c>
      <c r="T102" s="133" t="str">
        <f t="shared" si="100"/>
        <v>B1.2.2.2.12011</v>
      </c>
      <c r="U102" s="133" t="s">
        <v>181</v>
      </c>
      <c r="V102" s="133" t="str">
        <f t="shared" si="101"/>
        <v>PXL Sensor Prototype</v>
      </c>
      <c r="AB102" s="30">
        <v>2011</v>
      </c>
      <c r="AC102" s="128">
        <f t="shared" ref="AC102:AG103" si="116">IF($Q102="B", (G102*$N102),0)</f>
        <v>0</v>
      </c>
      <c r="AD102" s="128">
        <f t="shared" si="116"/>
        <v>0</v>
      </c>
      <c r="AE102" s="128">
        <f t="shared" si="116"/>
        <v>100</v>
      </c>
      <c r="AF102" s="128">
        <f t="shared" si="116"/>
        <v>0</v>
      </c>
      <c r="AG102" s="128">
        <f t="shared" si="116"/>
        <v>40</v>
      </c>
      <c r="AH102" s="236">
        <f t="shared" si="107"/>
        <v>0</v>
      </c>
      <c r="AI102" s="237"/>
      <c r="AJ102" s="128"/>
      <c r="AK102" s="128"/>
      <c r="AL102" s="162"/>
      <c r="AM102" s="127">
        <f t="shared" ref="AM102:AQ103" si="117">IF($Q102="C", (G102*$N102),0)</f>
        <v>0</v>
      </c>
      <c r="AN102" s="128">
        <f t="shared" si="117"/>
        <v>0</v>
      </c>
      <c r="AO102" s="128">
        <f t="shared" si="117"/>
        <v>0</v>
      </c>
      <c r="AP102" s="128">
        <f t="shared" si="117"/>
        <v>0</v>
      </c>
      <c r="AQ102" s="128">
        <f t="shared" si="117"/>
        <v>0</v>
      </c>
      <c r="AR102" s="128">
        <f t="shared" si="113"/>
        <v>0</v>
      </c>
      <c r="AS102" s="237"/>
    </row>
    <row r="103" spans="1:45" s="18" customFormat="1">
      <c r="A103" s="42" t="s">
        <v>239</v>
      </c>
      <c r="B103" s="18" t="s">
        <v>8</v>
      </c>
      <c r="C103" s="161">
        <v>1</v>
      </c>
      <c r="D103" s="91" t="s">
        <v>2</v>
      </c>
      <c r="E103" s="162">
        <v>1000</v>
      </c>
      <c r="F103" s="163">
        <f t="shared" si="96"/>
        <v>1000</v>
      </c>
      <c r="G103" s="164">
        <v>0</v>
      </c>
      <c r="H103" s="164">
        <v>0</v>
      </c>
      <c r="I103" s="164">
        <v>80</v>
      </c>
      <c r="J103" s="164">
        <v>24</v>
      </c>
      <c r="K103" s="165">
        <v>40</v>
      </c>
      <c r="L103" s="91" t="s">
        <v>7</v>
      </c>
      <c r="M103" s="162">
        <f t="shared" si="97"/>
        <v>3600</v>
      </c>
      <c r="N103" s="87">
        <v>1</v>
      </c>
      <c r="O103" s="166">
        <f t="shared" si="98"/>
        <v>4600</v>
      </c>
      <c r="P103" s="166"/>
      <c r="Q103" s="46" t="s">
        <v>31</v>
      </c>
      <c r="R103" s="66" t="s">
        <v>154</v>
      </c>
      <c r="S103" s="133" t="str">
        <f t="shared" si="99"/>
        <v>BPT2011</v>
      </c>
      <c r="T103" s="133" t="str">
        <f t="shared" si="100"/>
        <v>B1.2.2.2.12011</v>
      </c>
      <c r="U103" s="133" t="s">
        <v>181</v>
      </c>
      <c r="V103" s="133" t="str">
        <f t="shared" si="101"/>
        <v>PXL Sensor Prototype</v>
      </c>
      <c r="AB103" s="30">
        <v>2011</v>
      </c>
      <c r="AC103" s="128">
        <f t="shared" si="116"/>
        <v>0</v>
      </c>
      <c r="AD103" s="128">
        <f t="shared" si="116"/>
        <v>0</v>
      </c>
      <c r="AE103" s="128">
        <f t="shared" si="116"/>
        <v>80</v>
      </c>
      <c r="AF103" s="128">
        <f t="shared" si="116"/>
        <v>24</v>
      </c>
      <c r="AG103" s="128">
        <f t="shared" si="116"/>
        <v>40</v>
      </c>
      <c r="AH103" s="236">
        <f t="shared" si="107"/>
        <v>1000</v>
      </c>
      <c r="AI103" s="237"/>
      <c r="AJ103" s="128"/>
      <c r="AK103" s="128"/>
      <c r="AL103" s="162"/>
      <c r="AM103" s="127">
        <f t="shared" si="117"/>
        <v>0</v>
      </c>
      <c r="AN103" s="128">
        <f t="shared" si="117"/>
        <v>0</v>
      </c>
      <c r="AO103" s="128">
        <f t="shared" si="117"/>
        <v>0</v>
      </c>
      <c r="AP103" s="128">
        <f t="shared" si="117"/>
        <v>0</v>
      </c>
      <c r="AQ103" s="128">
        <f t="shared" si="117"/>
        <v>0</v>
      </c>
      <c r="AR103" s="128">
        <f t="shared" si="113"/>
        <v>0</v>
      </c>
      <c r="AS103" s="237"/>
    </row>
    <row r="104" spans="1:45" s="18" customFormat="1">
      <c r="A104" s="42" t="s">
        <v>264</v>
      </c>
      <c r="B104" s="18" t="s">
        <v>8</v>
      </c>
      <c r="C104" s="161">
        <v>1</v>
      </c>
      <c r="D104" s="91" t="s">
        <v>2</v>
      </c>
      <c r="E104" s="162">
        <v>0</v>
      </c>
      <c r="F104" s="163">
        <f t="shared" si="96"/>
        <v>0</v>
      </c>
      <c r="G104" s="164">
        <v>0</v>
      </c>
      <c r="H104" s="164">
        <v>0</v>
      </c>
      <c r="I104" s="164">
        <v>160</v>
      </c>
      <c r="J104" s="164">
        <v>8</v>
      </c>
      <c r="K104" s="165">
        <v>80</v>
      </c>
      <c r="L104" s="91" t="s">
        <v>7</v>
      </c>
      <c r="M104" s="162">
        <f t="shared" si="97"/>
        <v>1200</v>
      </c>
      <c r="N104" s="87">
        <v>1</v>
      </c>
      <c r="O104" s="166">
        <f t="shared" si="98"/>
        <v>1200</v>
      </c>
      <c r="P104" s="166"/>
      <c r="Q104" s="46" t="s">
        <v>31</v>
      </c>
      <c r="R104" s="66" t="s">
        <v>154</v>
      </c>
      <c r="S104" s="133" t="str">
        <f t="shared" si="99"/>
        <v>BPT2011</v>
      </c>
      <c r="T104" s="133" t="str">
        <f t="shared" si="100"/>
        <v>B1.2.2.2.12011</v>
      </c>
      <c r="U104" s="133" t="s">
        <v>181</v>
      </c>
      <c r="V104" s="133" t="str">
        <f t="shared" si="101"/>
        <v>PXL Sensor Prototype</v>
      </c>
      <c r="AB104" s="30">
        <v>2011</v>
      </c>
      <c r="AC104" s="128">
        <f t="shared" si="102"/>
        <v>0</v>
      </c>
      <c r="AD104" s="128">
        <f t="shared" si="103"/>
        <v>0</v>
      </c>
      <c r="AE104" s="128">
        <f t="shared" si="104"/>
        <v>160</v>
      </c>
      <c r="AF104" s="128">
        <f t="shared" si="105"/>
        <v>8</v>
      </c>
      <c r="AG104" s="128">
        <f t="shared" si="106"/>
        <v>80</v>
      </c>
      <c r="AH104" s="236">
        <f t="shared" si="107"/>
        <v>0</v>
      </c>
      <c r="AI104" s="237"/>
      <c r="AJ104" s="128"/>
      <c r="AK104" s="128"/>
      <c r="AL104" s="162"/>
      <c r="AM104" s="127">
        <f t="shared" si="108"/>
        <v>0</v>
      </c>
      <c r="AN104" s="128">
        <f t="shared" si="109"/>
        <v>0</v>
      </c>
      <c r="AO104" s="128">
        <f t="shared" si="110"/>
        <v>0</v>
      </c>
      <c r="AP104" s="128">
        <f t="shared" si="111"/>
        <v>0</v>
      </c>
      <c r="AQ104" s="128">
        <f t="shared" si="112"/>
        <v>0</v>
      </c>
      <c r="AR104" s="128">
        <f t="shared" si="113"/>
        <v>0</v>
      </c>
      <c r="AS104" s="237"/>
    </row>
    <row r="105" spans="1:45" s="18" customFormat="1">
      <c r="A105" s="42" t="s">
        <v>315</v>
      </c>
      <c r="B105" s="18" t="s">
        <v>8</v>
      </c>
      <c r="C105" s="161">
        <v>1</v>
      </c>
      <c r="D105" s="91" t="s">
        <v>2</v>
      </c>
      <c r="E105" s="162">
        <v>4500</v>
      </c>
      <c r="F105" s="163">
        <f>E105*C105</f>
        <v>4500</v>
      </c>
      <c r="G105" s="164">
        <v>0</v>
      </c>
      <c r="H105" s="164">
        <v>0</v>
      </c>
      <c r="I105" s="164">
        <v>80</v>
      </c>
      <c r="J105" s="164">
        <v>0</v>
      </c>
      <c r="K105" s="165">
        <v>40</v>
      </c>
      <c r="L105" s="91" t="s">
        <v>7</v>
      </c>
      <c r="M105" s="162">
        <f>IF(R105="PD",((Shop*G105)+(M_Tech*H105)+(CMM*I105)+(ENG*J105)+(DES*K105))*N105,((Shop_RD*G105)+(MTECH_RD*H105)+(CMM_RD*I105)+(ENG_RD*J105)+(DES_RD*K105))*N105)</f>
        <v>0</v>
      </c>
      <c r="N105" s="87">
        <v>1</v>
      </c>
      <c r="O105" s="166">
        <f>M105+(F105*N105)</f>
        <v>4500</v>
      </c>
      <c r="P105" s="166"/>
      <c r="Q105" s="46" t="s">
        <v>31</v>
      </c>
      <c r="R105" s="66" t="s">
        <v>154</v>
      </c>
      <c r="S105" s="133" t="str">
        <f>CONCATENATE(Q105,R105,AB105)</f>
        <v>BPT2011</v>
      </c>
      <c r="T105" s="133" t="str">
        <f>CONCATENATE(Q105,U105,AB105)</f>
        <v>B1.2.2.2.12011</v>
      </c>
      <c r="U105" s="133" t="s">
        <v>181</v>
      </c>
      <c r="V105" s="133" t="str">
        <f t="shared" si="101"/>
        <v>PXL Sensor Prototype</v>
      </c>
      <c r="AB105" s="30">
        <v>2011</v>
      </c>
      <c r="AC105" s="128">
        <f t="shared" ref="AC105:AG106" si="118">IF($Q105="B", (G105*$N105),0)</f>
        <v>0</v>
      </c>
      <c r="AD105" s="128">
        <f t="shared" si="118"/>
        <v>0</v>
      </c>
      <c r="AE105" s="128">
        <f t="shared" si="118"/>
        <v>80</v>
      </c>
      <c r="AF105" s="128">
        <f t="shared" si="118"/>
        <v>0</v>
      </c>
      <c r="AG105" s="128">
        <f t="shared" si="118"/>
        <v>40</v>
      </c>
      <c r="AH105" s="236">
        <f>IF($Q105="B", (F105*$N105),0)</f>
        <v>4500</v>
      </c>
      <c r="AI105" s="237"/>
      <c r="AJ105" s="128"/>
      <c r="AK105" s="128"/>
      <c r="AL105" s="162"/>
      <c r="AM105" s="127">
        <f t="shared" ref="AM105:AQ106" si="119">IF($Q105="C", (G105*$N105),0)</f>
        <v>0</v>
      </c>
      <c r="AN105" s="128">
        <f t="shared" si="119"/>
        <v>0</v>
      </c>
      <c r="AO105" s="128">
        <f t="shared" si="119"/>
        <v>0</v>
      </c>
      <c r="AP105" s="128">
        <f t="shared" si="119"/>
        <v>0</v>
      </c>
      <c r="AQ105" s="128">
        <f t="shared" si="119"/>
        <v>0</v>
      </c>
      <c r="AR105" s="128">
        <f>IF($Q105="C", (F105*$N105),0)</f>
        <v>0</v>
      </c>
      <c r="AS105" s="237"/>
    </row>
    <row r="106" spans="1:45" s="18" customFormat="1">
      <c r="A106" s="42" t="s">
        <v>349</v>
      </c>
      <c r="B106" s="18" t="s">
        <v>8</v>
      </c>
      <c r="C106" s="161">
        <v>1</v>
      </c>
      <c r="D106" s="91" t="s">
        <v>2</v>
      </c>
      <c r="E106" s="162">
        <v>4500</v>
      </c>
      <c r="F106" s="163">
        <f t="shared" si="96"/>
        <v>4500</v>
      </c>
      <c r="G106" s="164">
        <v>20</v>
      </c>
      <c r="H106" s="164">
        <v>16</v>
      </c>
      <c r="I106" s="164">
        <v>0</v>
      </c>
      <c r="J106" s="164">
        <v>8</v>
      </c>
      <c r="K106" s="165">
        <v>0</v>
      </c>
      <c r="L106" s="91" t="s">
        <v>7</v>
      </c>
      <c r="M106" s="162">
        <f t="shared" si="97"/>
        <v>5592</v>
      </c>
      <c r="N106" s="87">
        <v>1</v>
      </c>
      <c r="O106" s="166">
        <f t="shared" si="98"/>
        <v>10092</v>
      </c>
      <c r="P106" s="166"/>
      <c r="Q106" s="46" t="s">
        <v>32</v>
      </c>
      <c r="R106" s="66" t="s">
        <v>154</v>
      </c>
      <c r="S106" s="133" t="str">
        <f t="shared" si="99"/>
        <v>CPT2011</v>
      </c>
      <c r="T106" s="133" t="str">
        <f t="shared" si="100"/>
        <v>C1.2.2.2.12011</v>
      </c>
      <c r="U106" s="133" t="s">
        <v>181</v>
      </c>
      <c r="V106" s="133" t="str">
        <f t="shared" si="101"/>
        <v>PXL Sensor Prototype</v>
      </c>
      <c r="AB106" s="30">
        <v>2011</v>
      </c>
      <c r="AC106" s="128">
        <f t="shared" si="118"/>
        <v>0</v>
      </c>
      <c r="AD106" s="128">
        <f t="shared" si="118"/>
        <v>0</v>
      </c>
      <c r="AE106" s="128">
        <f t="shared" si="118"/>
        <v>0</v>
      </c>
      <c r="AF106" s="128">
        <f t="shared" si="118"/>
        <v>0</v>
      </c>
      <c r="AG106" s="128">
        <f t="shared" si="118"/>
        <v>0</v>
      </c>
      <c r="AH106" s="236">
        <f t="shared" si="107"/>
        <v>0</v>
      </c>
      <c r="AI106" s="237"/>
      <c r="AJ106" s="128"/>
      <c r="AK106" s="128"/>
      <c r="AL106" s="162"/>
      <c r="AM106" s="127">
        <f t="shared" si="119"/>
        <v>20</v>
      </c>
      <c r="AN106" s="128">
        <f t="shared" si="119"/>
        <v>16</v>
      </c>
      <c r="AO106" s="128">
        <f t="shared" si="119"/>
        <v>0</v>
      </c>
      <c r="AP106" s="128">
        <f t="shared" si="119"/>
        <v>8</v>
      </c>
      <c r="AQ106" s="128">
        <f t="shared" si="119"/>
        <v>0</v>
      </c>
      <c r="AR106" s="128">
        <f t="shared" si="113"/>
        <v>4500</v>
      </c>
      <c r="AS106" s="237"/>
    </row>
    <row r="107" spans="1:45" s="45" customFormat="1">
      <c r="A107" s="43" t="s">
        <v>184</v>
      </c>
      <c r="C107" s="187"/>
      <c r="D107" s="106"/>
      <c r="E107" s="55"/>
      <c r="F107" s="56"/>
      <c r="G107" s="57"/>
      <c r="H107" s="57"/>
      <c r="I107" s="57"/>
      <c r="J107" s="57"/>
      <c r="K107" s="58"/>
      <c r="L107" s="222" t="s">
        <v>43</v>
      </c>
      <c r="M107" s="174">
        <f>SUMIF(Q94:Q106,"B",M94:M106)</f>
        <v>45816</v>
      </c>
      <c r="N107" s="62" t="s">
        <v>43</v>
      </c>
      <c r="O107" s="188"/>
      <c r="P107" s="188"/>
      <c r="Q107" s="46"/>
      <c r="R107" s="66"/>
      <c r="S107" s="133"/>
      <c r="T107" s="133"/>
      <c r="U107" s="133"/>
      <c r="V107" s="133"/>
      <c r="W107"/>
      <c r="X107"/>
      <c r="Y107"/>
      <c r="Z107"/>
      <c r="AA107"/>
      <c r="AB107" s="49"/>
      <c r="AC107" s="50"/>
      <c r="AD107" s="50"/>
      <c r="AE107" s="51"/>
      <c r="AF107" s="50"/>
      <c r="AG107" s="50"/>
      <c r="AH107" s="35"/>
      <c r="AI107" s="245"/>
      <c r="AJ107" s="50"/>
      <c r="AK107" s="50"/>
      <c r="AL107" s="107"/>
      <c r="AM107" s="52"/>
      <c r="AN107" s="50"/>
      <c r="AO107" s="50"/>
      <c r="AP107" s="50"/>
      <c r="AQ107" s="50"/>
      <c r="AR107" s="50"/>
      <c r="AS107" s="245"/>
    </row>
    <row r="108" spans="1:45" s="18" customFormat="1">
      <c r="A108" s="42" t="s">
        <v>419</v>
      </c>
      <c r="B108" s="18" t="s">
        <v>215</v>
      </c>
      <c r="C108" s="161">
        <v>12</v>
      </c>
      <c r="D108" s="91" t="s">
        <v>216</v>
      </c>
      <c r="E108" s="162">
        <v>5600</v>
      </c>
      <c r="F108" s="163">
        <f t="shared" ref="F108:F114" si="120">E108*C108</f>
        <v>67200</v>
      </c>
      <c r="G108" s="164">
        <v>0</v>
      </c>
      <c r="H108" s="164">
        <v>24</v>
      </c>
      <c r="I108" s="164">
        <v>0</v>
      </c>
      <c r="J108" s="164">
        <v>32</v>
      </c>
      <c r="K108" s="165">
        <v>0</v>
      </c>
      <c r="L108" s="91" t="s">
        <v>7</v>
      </c>
      <c r="M108" s="162">
        <f t="shared" ref="M108:M114" si="121">IF(R108="PD",((Shop*G108)+(M_Tech*H108)+(CMM*I108)+(ENG*J108)+(DES*K108))*N108,((Shop_RD*G108)+(MTECH_RD*H108)+(CMM_RD*I108)+(ENG_RD*J108)+(DES_RD*K108))*N108)</f>
        <v>6162.4800000000014</v>
      </c>
      <c r="N108" s="87">
        <v>1</v>
      </c>
      <c r="O108" s="166">
        <f t="shared" ref="O108:O114" si="122">M108+(F108*N108)</f>
        <v>73362.48</v>
      </c>
      <c r="P108" s="166"/>
      <c r="Q108" s="46" t="s">
        <v>31</v>
      </c>
      <c r="R108" s="66" t="s">
        <v>49</v>
      </c>
      <c r="S108" s="133" t="str">
        <f t="shared" ref="S108:S114" si="123">CONCATENATE(Q108,R108,AB108)</f>
        <v>BPD2012</v>
      </c>
      <c r="T108" s="133" t="str">
        <f t="shared" ref="T108:T114" si="124">CONCATENATE(Q108,U108,AB108)</f>
        <v>B1.2.2.2.22012</v>
      </c>
      <c r="U108" s="133" t="s">
        <v>183</v>
      </c>
      <c r="V108" s="133" t="str">
        <f t="shared" ref="V108:V116" si="125">LOOKUP(U108,$B$345:$B$367,$A$345:$A$367)</f>
        <v>PXL Sensor Production</v>
      </c>
      <c r="AB108" s="30">
        <v>2012</v>
      </c>
      <c r="AC108" s="128">
        <f t="shared" ref="AC108:AG110" si="126">IF($Q108="B", (G108*$N108),0)</f>
        <v>0</v>
      </c>
      <c r="AD108" s="128">
        <f t="shared" si="126"/>
        <v>24</v>
      </c>
      <c r="AE108" s="128">
        <f t="shared" si="126"/>
        <v>0</v>
      </c>
      <c r="AF108" s="128">
        <f t="shared" si="126"/>
        <v>32</v>
      </c>
      <c r="AG108" s="128">
        <f t="shared" si="126"/>
        <v>0</v>
      </c>
      <c r="AH108" s="236">
        <f t="shared" ref="AH108:AH114" si="127">IF($Q108="B", (F108*$N108),0)</f>
        <v>67200</v>
      </c>
      <c r="AI108" s="237"/>
      <c r="AJ108" s="128"/>
      <c r="AK108" s="128"/>
      <c r="AL108" s="162"/>
      <c r="AM108" s="127">
        <f t="shared" ref="AM108:AQ110" si="128">IF($Q108="C", (G108*$N108),0)</f>
        <v>0</v>
      </c>
      <c r="AN108" s="128">
        <f t="shared" si="128"/>
        <v>0</v>
      </c>
      <c r="AO108" s="128">
        <f t="shared" si="128"/>
        <v>0</v>
      </c>
      <c r="AP108" s="128">
        <f t="shared" si="128"/>
        <v>0</v>
      </c>
      <c r="AQ108" s="128">
        <f t="shared" si="128"/>
        <v>0</v>
      </c>
      <c r="AR108" s="128">
        <f t="shared" ref="AR108:AR114" si="129">IF($Q108="C", (F108*$N108),0)</f>
        <v>0</v>
      </c>
      <c r="AS108" s="237"/>
    </row>
    <row r="109" spans="1:45" s="18" customFormat="1">
      <c r="A109" s="42" t="s">
        <v>420</v>
      </c>
      <c r="B109" s="18" t="s">
        <v>215</v>
      </c>
      <c r="C109" s="161">
        <v>48</v>
      </c>
      <c r="D109" s="91" t="s">
        <v>216</v>
      </c>
      <c r="E109" s="162">
        <v>5600</v>
      </c>
      <c r="F109" s="163">
        <f>E109*C109</f>
        <v>268800</v>
      </c>
      <c r="G109" s="164">
        <v>0</v>
      </c>
      <c r="H109" s="164">
        <v>24</v>
      </c>
      <c r="I109" s="164">
        <v>0</v>
      </c>
      <c r="J109" s="164">
        <v>32</v>
      </c>
      <c r="K109" s="165">
        <v>0</v>
      </c>
      <c r="L109" s="91" t="s">
        <v>7</v>
      </c>
      <c r="M109" s="162">
        <f>IF(R109="PD",((Shop*G109)+(M_Tech*H109)+(CMM*I109)+(ENG*J109)+(DES*K109))*N109,((Shop_RD*G109)+(MTECH_RD*H109)+(CMM_RD*I109)+(ENG_RD*J109)+(DES_RD*K109))*N109)</f>
        <v>6162.4800000000014</v>
      </c>
      <c r="N109" s="87">
        <v>1</v>
      </c>
      <c r="O109" s="166">
        <f>M109+(F109*N109)</f>
        <v>274962.48</v>
      </c>
      <c r="P109" s="166"/>
      <c r="Q109" s="46" t="s">
        <v>31</v>
      </c>
      <c r="R109" s="66" t="s">
        <v>49</v>
      </c>
      <c r="S109" s="133" t="str">
        <f>CONCATENATE(Q109,R109,AB109)</f>
        <v>BPD2013</v>
      </c>
      <c r="T109" s="133" t="str">
        <f>CONCATENATE(Q109,U109,AB109)</f>
        <v>B1.2.2.2.22013</v>
      </c>
      <c r="U109" s="133" t="s">
        <v>183</v>
      </c>
      <c r="V109" s="133" t="str">
        <f t="shared" si="125"/>
        <v>PXL Sensor Production</v>
      </c>
      <c r="AB109" s="30">
        <v>2013</v>
      </c>
      <c r="AC109" s="128">
        <f>IF($Q109="B", (G109*$N109),0)</f>
        <v>0</v>
      </c>
      <c r="AD109" s="128">
        <f>IF($Q109="B", (H109*$N109),0)</f>
        <v>24</v>
      </c>
      <c r="AE109" s="128">
        <f>IF($Q109="B", (I109*$N109),0)</f>
        <v>0</v>
      </c>
      <c r="AF109" s="128">
        <f>IF($Q109="B", (J109*$N109),0)</f>
        <v>32</v>
      </c>
      <c r="AG109" s="128">
        <f>IF($Q109="B", (K109*$N109),0)</f>
        <v>0</v>
      </c>
      <c r="AH109" s="236">
        <f>IF($Q109="B", (F109*$N109),0)</f>
        <v>268800</v>
      </c>
      <c r="AI109" s="237"/>
      <c r="AJ109" s="128"/>
      <c r="AK109" s="128"/>
      <c r="AL109" s="162"/>
      <c r="AM109" s="127">
        <f>IF($Q109="C", (G109*$N109),0)</f>
        <v>0</v>
      </c>
      <c r="AN109" s="128">
        <f>IF($Q109="C", (H109*$N109),0)</f>
        <v>0</v>
      </c>
      <c r="AO109" s="128">
        <f>IF($Q109="C", (I109*$N109),0)</f>
        <v>0</v>
      </c>
      <c r="AP109" s="128">
        <f>IF($Q109="C", (J109*$N109),0)</f>
        <v>0</v>
      </c>
      <c r="AQ109" s="128">
        <f>IF($Q109="C", (K109*$N109),0)</f>
        <v>0</v>
      </c>
      <c r="AR109" s="128">
        <f>IF($Q109="C", (F109*$N109),0)</f>
        <v>0</v>
      </c>
      <c r="AS109" s="237"/>
    </row>
    <row r="110" spans="1:45" s="18" customFormat="1" hidden="1">
      <c r="A110" s="42" t="s">
        <v>421</v>
      </c>
      <c r="B110" s="18" t="s">
        <v>215</v>
      </c>
      <c r="C110" s="161">
        <v>0</v>
      </c>
      <c r="D110" s="91" t="s">
        <v>216</v>
      </c>
      <c r="E110" s="162">
        <v>5600</v>
      </c>
      <c r="F110" s="163">
        <f t="shared" si="120"/>
        <v>0</v>
      </c>
      <c r="G110" s="164">
        <v>0</v>
      </c>
      <c r="H110" s="164">
        <v>24</v>
      </c>
      <c r="I110" s="164">
        <v>0</v>
      </c>
      <c r="J110" s="164">
        <v>32</v>
      </c>
      <c r="K110" s="165">
        <v>0</v>
      </c>
      <c r="L110" s="91" t="s">
        <v>7</v>
      </c>
      <c r="M110" s="162">
        <f t="shared" si="121"/>
        <v>0</v>
      </c>
      <c r="N110" s="87">
        <v>0</v>
      </c>
      <c r="O110" s="166">
        <f t="shared" si="122"/>
        <v>0</v>
      </c>
      <c r="P110" s="166"/>
      <c r="Q110" s="46" t="s">
        <v>31</v>
      </c>
      <c r="R110" s="66" t="s">
        <v>49</v>
      </c>
      <c r="S110" s="133" t="str">
        <f t="shared" si="123"/>
        <v>BPD2014</v>
      </c>
      <c r="T110" s="133" t="str">
        <f t="shared" si="124"/>
        <v>B1.2.2.2.22014</v>
      </c>
      <c r="U110" s="133" t="s">
        <v>183</v>
      </c>
      <c r="V110" s="133" t="str">
        <f t="shared" si="125"/>
        <v>PXL Sensor Production</v>
      </c>
      <c r="AB110" s="30">
        <v>2014</v>
      </c>
      <c r="AC110" s="128">
        <f t="shared" si="126"/>
        <v>0</v>
      </c>
      <c r="AD110" s="128">
        <f t="shared" si="126"/>
        <v>0</v>
      </c>
      <c r="AE110" s="128">
        <f t="shared" si="126"/>
        <v>0</v>
      </c>
      <c r="AF110" s="128">
        <f t="shared" si="126"/>
        <v>0</v>
      </c>
      <c r="AG110" s="128">
        <f t="shared" si="126"/>
        <v>0</v>
      </c>
      <c r="AH110" s="236">
        <f t="shared" si="127"/>
        <v>0</v>
      </c>
      <c r="AI110" s="237"/>
      <c r="AJ110" s="128"/>
      <c r="AK110" s="128"/>
      <c r="AL110" s="162"/>
      <c r="AM110" s="127">
        <f t="shared" si="128"/>
        <v>0</v>
      </c>
      <c r="AN110" s="128">
        <f t="shared" si="128"/>
        <v>0</v>
      </c>
      <c r="AO110" s="128">
        <f t="shared" si="128"/>
        <v>0</v>
      </c>
      <c r="AP110" s="128">
        <f t="shared" si="128"/>
        <v>0</v>
      </c>
      <c r="AQ110" s="128">
        <f t="shared" si="128"/>
        <v>0</v>
      </c>
      <c r="AR110" s="128">
        <f t="shared" si="129"/>
        <v>0</v>
      </c>
      <c r="AS110" s="237"/>
    </row>
    <row r="111" spans="1:45" s="18" customFormat="1">
      <c r="A111" s="42" t="s">
        <v>356</v>
      </c>
      <c r="B111" s="18" t="s">
        <v>8</v>
      </c>
      <c r="C111" s="161">
        <v>1</v>
      </c>
      <c r="D111" s="91" t="s">
        <v>2</v>
      </c>
      <c r="E111" s="162">
        <v>0</v>
      </c>
      <c r="F111" s="163">
        <f t="shared" si="120"/>
        <v>0</v>
      </c>
      <c r="G111" s="164">
        <v>0</v>
      </c>
      <c r="H111" s="164">
        <v>24</v>
      </c>
      <c r="I111" s="164">
        <v>0</v>
      </c>
      <c r="J111" s="164">
        <v>16</v>
      </c>
      <c r="K111" s="165">
        <v>0</v>
      </c>
      <c r="L111" s="91" t="s">
        <v>7</v>
      </c>
      <c r="M111" s="162">
        <f t="shared" si="121"/>
        <v>4218.4800000000005</v>
      </c>
      <c r="N111" s="87">
        <v>1</v>
      </c>
      <c r="O111" s="166">
        <f t="shared" si="122"/>
        <v>4218.4800000000005</v>
      </c>
      <c r="P111" s="166"/>
      <c r="Q111" s="46" t="s">
        <v>31</v>
      </c>
      <c r="R111" s="66" t="s">
        <v>49</v>
      </c>
      <c r="S111" s="133" t="str">
        <f t="shared" si="123"/>
        <v>BPD2012</v>
      </c>
      <c r="T111" s="133" t="str">
        <f t="shared" si="124"/>
        <v>B1.2.2.2.22012</v>
      </c>
      <c r="U111" s="133" t="s">
        <v>183</v>
      </c>
      <c r="V111" s="133" t="str">
        <f t="shared" si="125"/>
        <v>PXL Sensor Production</v>
      </c>
      <c r="AB111" s="30">
        <v>2012</v>
      </c>
      <c r="AC111" s="128">
        <f t="shared" ref="AC111:AG114" si="130">IF($Q111="B", (G111*$N111),0)</f>
        <v>0</v>
      </c>
      <c r="AD111" s="128">
        <f t="shared" si="130"/>
        <v>24</v>
      </c>
      <c r="AE111" s="128">
        <f t="shared" si="130"/>
        <v>0</v>
      </c>
      <c r="AF111" s="128">
        <f t="shared" si="130"/>
        <v>16</v>
      </c>
      <c r="AG111" s="128">
        <f t="shared" si="130"/>
        <v>0</v>
      </c>
      <c r="AH111" s="236">
        <f t="shared" si="127"/>
        <v>0</v>
      </c>
      <c r="AI111" s="237"/>
      <c r="AJ111" s="128"/>
      <c r="AK111" s="128"/>
      <c r="AL111" s="162"/>
      <c r="AM111" s="127">
        <f t="shared" ref="AM111:AQ114" si="131">IF($Q111="C", (G111*$N111),0)</f>
        <v>0</v>
      </c>
      <c r="AN111" s="128">
        <f t="shared" si="131"/>
        <v>0</v>
      </c>
      <c r="AO111" s="128">
        <f t="shared" si="131"/>
        <v>0</v>
      </c>
      <c r="AP111" s="128">
        <f t="shared" si="131"/>
        <v>0</v>
      </c>
      <c r="AQ111" s="128">
        <f t="shared" si="131"/>
        <v>0</v>
      </c>
      <c r="AR111" s="128">
        <f t="shared" si="129"/>
        <v>0</v>
      </c>
      <c r="AS111" s="237"/>
    </row>
    <row r="112" spans="1:45" s="18" customFormat="1">
      <c r="A112" s="42" t="s">
        <v>422</v>
      </c>
      <c r="B112" s="18" t="s">
        <v>65</v>
      </c>
      <c r="C112" s="161">
        <v>12</v>
      </c>
      <c r="D112" s="91" t="s">
        <v>2</v>
      </c>
      <c r="E112" s="162">
        <v>650</v>
      </c>
      <c r="F112" s="163">
        <f t="shared" si="120"/>
        <v>7800</v>
      </c>
      <c r="G112" s="164">
        <v>0</v>
      </c>
      <c r="H112" s="164">
        <v>8</v>
      </c>
      <c r="I112" s="164">
        <v>80</v>
      </c>
      <c r="J112" s="164">
        <v>8</v>
      </c>
      <c r="K112" s="165">
        <v>80</v>
      </c>
      <c r="L112" s="91" t="s">
        <v>7</v>
      </c>
      <c r="M112" s="162">
        <f t="shared" si="121"/>
        <v>1730.1600000000003</v>
      </c>
      <c r="N112" s="87">
        <v>1</v>
      </c>
      <c r="O112" s="166">
        <f t="shared" si="122"/>
        <v>9530.16</v>
      </c>
      <c r="P112" s="166"/>
      <c r="Q112" s="46" t="s">
        <v>31</v>
      </c>
      <c r="R112" s="66" t="s">
        <v>49</v>
      </c>
      <c r="S112" s="133" t="str">
        <f t="shared" si="123"/>
        <v>BPD2012</v>
      </c>
      <c r="T112" s="133" t="str">
        <f t="shared" si="124"/>
        <v>B1.2.2.2.22012</v>
      </c>
      <c r="U112" s="133" t="s">
        <v>183</v>
      </c>
      <c r="V112" s="133" t="str">
        <f t="shared" si="125"/>
        <v>PXL Sensor Production</v>
      </c>
      <c r="AB112" s="30">
        <v>2012</v>
      </c>
      <c r="AC112" s="128">
        <f t="shared" ref="AC112:AG113" si="132">IF($Q112="B", (G112*$N112),0)</f>
        <v>0</v>
      </c>
      <c r="AD112" s="128">
        <f t="shared" si="132"/>
        <v>8</v>
      </c>
      <c r="AE112" s="128">
        <f t="shared" si="132"/>
        <v>80</v>
      </c>
      <c r="AF112" s="128">
        <f t="shared" si="132"/>
        <v>8</v>
      </c>
      <c r="AG112" s="128">
        <f t="shared" si="132"/>
        <v>80</v>
      </c>
      <c r="AH112" s="236">
        <f t="shared" si="127"/>
        <v>7800</v>
      </c>
      <c r="AI112" s="237"/>
      <c r="AJ112" s="128"/>
      <c r="AK112" s="128"/>
      <c r="AL112" s="162"/>
      <c r="AM112" s="127">
        <f t="shared" ref="AM112:AQ113" si="133">IF($Q112="C", (G112*$N112),0)</f>
        <v>0</v>
      </c>
      <c r="AN112" s="128">
        <f t="shared" si="133"/>
        <v>0</v>
      </c>
      <c r="AO112" s="128">
        <f t="shared" si="133"/>
        <v>0</v>
      </c>
      <c r="AP112" s="128">
        <f t="shared" si="133"/>
        <v>0</v>
      </c>
      <c r="AQ112" s="128">
        <f t="shared" si="133"/>
        <v>0</v>
      </c>
      <c r="AR112" s="128">
        <f t="shared" si="129"/>
        <v>0</v>
      </c>
      <c r="AS112" s="237"/>
    </row>
    <row r="113" spans="1:45" s="18" customFormat="1">
      <c r="A113" s="42" t="s">
        <v>423</v>
      </c>
      <c r="B113" s="18" t="s">
        <v>65</v>
      </c>
      <c r="C113" s="161">
        <v>48</v>
      </c>
      <c r="D113" s="91" t="s">
        <v>2</v>
      </c>
      <c r="E113" s="162">
        <v>650</v>
      </c>
      <c r="F113" s="163">
        <f>E113*C113</f>
        <v>31200</v>
      </c>
      <c r="G113" s="164">
        <v>0</v>
      </c>
      <c r="H113" s="164">
        <v>8</v>
      </c>
      <c r="I113" s="164">
        <v>80</v>
      </c>
      <c r="J113" s="164">
        <v>8</v>
      </c>
      <c r="K113" s="165">
        <v>80</v>
      </c>
      <c r="L113" s="91" t="s">
        <v>7</v>
      </c>
      <c r="M113" s="162">
        <f>IF(R113="PD",((Shop*G113)+(M_Tech*H113)+(CMM*I113)+(ENG*J113)+(DES*K113))*N113,((Shop_RD*G113)+(MTECH_RD*H113)+(CMM_RD*I113)+(ENG_RD*J113)+(DES_RD*K113))*N113)</f>
        <v>1730.1600000000003</v>
      </c>
      <c r="N113" s="87">
        <v>1</v>
      </c>
      <c r="O113" s="166">
        <f>M113+(F113*N113)</f>
        <v>32930.160000000003</v>
      </c>
      <c r="P113" s="166"/>
      <c r="Q113" s="46" t="s">
        <v>31</v>
      </c>
      <c r="R113" s="66" t="s">
        <v>49</v>
      </c>
      <c r="S113" s="133" t="str">
        <f>CONCATENATE(Q113,R113,AB113)</f>
        <v>BPD2013</v>
      </c>
      <c r="T113" s="133" t="str">
        <f>CONCATENATE(Q113,U113,AB113)</f>
        <v>B1.2.2.2.22013</v>
      </c>
      <c r="U113" s="133" t="s">
        <v>183</v>
      </c>
      <c r="V113" s="133" t="str">
        <f t="shared" si="125"/>
        <v>PXL Sensor Production</v>
      </c>
      <c r="AB113" s="30">
        <v>2013</v>
      </c>
      <c r="AC113" s="128">
        <f t="shared" si="132"/>
        <v>0</v>
      </c>
      <c r="AD113" s="128">
        <f t="shared" si="132"/>
        <v>8</v>
      </c>
      <c r="AE113" s="128">
        <f t="shared" si="132"/>
        <v>80</v>
      </c>
      <c r="AF113" s="128">
        <f t="shared" si="132"/>
        <v>8</v>
      </c>
      <c r="AG113" s="128">
        <f t="shared" si="132"/>
        <v>80</v>
      </c>
      <c r="AH113" s="236">
        <f>IF($Q113="B", (F113*$N113),0)</f>
        <v>31200</v>
      </c>
      <c r="AI113" s="237"/>
      <c r="AJ113" s="128"/>
      <c r="AK113" s="128"/>
      <c r="AL113" s="162"/>
      <c r="AM113" s="127">
        <f t="shared" si="133"/>
        <v>0</v>
      </c>
      <c r="AN113" s="128">
        <f t="shared" si="133"/>
        <v>0</v>
      </c>
      <c r="AO113" s="128">
        <f t="shared" si="133"/>
        <v>0</v>
      </c>
      <c r="AP113" s="128">
        <f t="shared" si="133"/>
        <v>0</v>
      </c>
      <c r="AQ113" s="128">
        <f t="shared" si="133"/>
        <v>0</v>
      </c>
      <c r="AR113" s="128">
        <f>IF($Q113="C", (F113*$N113),0)</f>
        <v>0</v>
      </c>
      <c r="AS113" s="237"/>
    </row>
    <row r="114" spans="1:45" s="18" customFormat="1" hidden="1">
      <c r="A114" s="42" t="s">
        <v>424</v>
      </c>
      <c r="B114" s="18" t="s">
        <v>65</v>
      </c>
      <c r="C114" s="161">
        <v>0</v>
      </c>
      <c r="D114" s="91" t="s">
        <v>2</v>
      </c>
      <c r="E114" s="162">
        <v>650</v>
      </c>
      <c r="F114" s="163">
        <f t="shared" si="120"/>
        <v>0</v>
      </c>
      <c r="G114" s="164">
        <v>0</v>
      </c>
      <c r="H114" s="164">
        <v>8</v>
      </c>
      <c r="I114" s="164">
        <v>80</v>
      </c>
      <c r="J114" s="164">
        <v>8</v>
      </c>
      <c r="K114" s="165">
        <v>80</v>
      </c>
      <c r="L114" s="91" t="s">
        <v>7</v>
      </c>
      <c r="M114" s="162">
        <f t="shared" si="121"/>
        <v>0</v>
      </c>
      <c r="N114" s="87">
        <v>0</v>
      </c>
      <c r="O114" s="166">
        <f t="shared" si="122"/>
        <v>0</v>
      </c>
      <c r="P114" s="166"/>
      <c r="Q114" s="46" t="s">
        <v>31</v>
      </c>
      <c r="R114" s="66" t="s">
        <v>49</v>
      </c>
      <c r="S114" s="133" t="str">
        <f t="shared" si="123"/>
        <v>BPD2014</v>
      </c>
      <c r="T114" s="133" t="str">
        <f t="shared" si="124"/>
        <v>B1.2.2.2.22014</v>
      </c>
      <c r="U114" s="133" t="s">
        <v>183</v>
      </c>
      <c r="V114" s="133" t="str">
        <f t="shared" si="125"/>
        <v>PXL Sensor Production</v>
      </c>
      <c r="AB114" s="30">
        <v>2014</v>
      </c>
      <c r="AC114" s="128">
        <f t="shared" si="130"/>
        <v>0</v>
      </c>
      <c r="AD114" s="128">
        <f t="shared" si="130"/>
        <v>0</v>
      </c>
      <c r="AE114" s="128">
        <f t="shared" si="130"/>
        <v>0</v>
      </c>
      <c r="AF114" s="128">
        <f t="shared" si="130"/>
        <v>0</v>
      </c>
      <c r="AG114" s="128">
        <f t="shared" si="130"/>
        <v>0</v>
      </c>
      <c r="AH114" s="236">
        <f t="shared" si="127"/>
        <v>0</v>
      </c>
      <c r="AI114" s="237"/>
      <c r="AJ114" s="128"/>
      <c r="AK114" s="128"/>
      <c r="AL114" s="162"/>
      <c r="AM114" s="127">
        <f t="shared" si="131"/>
        <v>0</v>
      </c>
      <c r="AN114" s="128">
        <f t="shared" si="131"/>
        <v>0</v>
      </c>
      <c r="AO114" s="128">
        <f t="shared" si="131"/>
        <v>0</v>
      </c>
      <c r="AP114" s="128">
        <f t="shared" si="131"/>
        <v>0</v>
      </c>
      <c r="AQ114" s="128">
        <f t="shared" si="131"/>
        <v>0</v>
      </c>
      <c r="AR114" s="128">
        <f t="shared" si="129"/>
        <v>0</v>
      </c>
      <c r="AS114" s="237"/>
    </row>
    <row r="115" spans="1:45" s="18" customFormat="1">
      <c r="A115" s="42" t="s">
        <v>416</v>
      </c>
      <c r="B115" s="18" t="s">
        <v>8</v>
      </c>
      <c r="C115" s="161">
        <v>1</v>
      </c>
      <c r="D115" s="91" t="s">
        <v>2</v>
      </c>
      <c r="E115" s="162">
        <v>10000</v>
      </c>
      <c r="F115" s="163">
        <f>E115*C115</f>
        <v>10000</v>
      </c>
      <c r="G115" s="164">
        <v>0</v>
      </c>
      <c r="H115" s="164">
        <v>8</v>
      </c>
      <c r="I115" s="164">
        <v>0</v>
      </c>
      <c r="J115" s="164">
        <v>8</v>
      </c>
      <c r="K115" s="165">
        <v>0</v>
      </c>
      <c r="L115" s="91" t="s">
        <v>7</v>
      </c>
      <c r="M115" s="162">
        <f>IF(R115="PD",((Shop*G115)+(M_Tech*H115)+(CMM*I115)+(ENG*J115)+(DES*K115))*N115,((Shop_RD*G115)+(MTECH_RD*H115)+(CMM_RD*I115)+(ENG_RD*J115)+(DES_RD*K115))*N115)</f>
        <v>1730.1600000000003</v>
      </c>
      <c r="N115" s="87">
        <v>1</v>
      </c>
      <c r="O115" s="166">
        <f>M115+(F115*N115)</f>
        <v>11730.16</v>
      </c>
      <c r="P115" s="166"/>
      <c r="Q115" s="46" t="s">
        <v>32</v>
      </c>
      <c r="R115" s="66" t="s">
        <v>49</v>
      </c>
      <c r="S115" s="133" t="str">
        <f>CONCATENATE(Q115,R115,AB115)</f>
        <v>CPD2012</v>
      </c>
      <c r="T115" s="133" t="str">
        <f>CONCATENATE(Q115,U115,AB115)</f>
        <v>C1.2.2.2.22012</v>
      </c>
      <c r="U115" s="133" t="s">
        <v>183</v>
      </c>
      <c r="V115" s="133" t="str">
        <f t="shared" si="125"/>
        <v>PXL Sensor Production</v>
      </c>
      <c r="AB115" s="30">
        <v>2012</v>
      </c>
      <c r="AC115" s="128">
        <f t="shared" ref="AC115:AG116" si="134">IF($Q115="B", (G115*$N115),0)</f>
        <v>0</v>
      </c>
      <c r="AD115" s="128">
        <f t="shared" si="134"/>
        <v>0</v>
      </c>
      <c r="AE115" s="128">
        <f t="shared" si="134"/>
        <v>0</v>
      </c>
      <c r="AF115" s="128">
        <f t="shared" si="134"/>
        <v>0</v>
      </c>
      <c r="AG115" s="128">
        <f t="shared" si="134"/>
        <v>0</v>
      </c>
      <c r="AH115" s="236">
        <f>IF($Q115="B", (F115*$N115),0)</f>
        <v>0</v>
      </c>
      <c r="AI115" s="237"/>
      <c r="AJ115" s="128"/>
      <c r="AK115" s="128"/>
      <c r="AL115" s="162"/>
      <c r="AM115" s="127">
        <f t="shared" ref="AM115:AQ116" si="135">IF($Q115="C", (G115*$N115),0)</f>
        <v>0</v>
      </c>
      <c r="AN115" s="128">
        <f t="shared" si="135"/>
        <v>8</v>
      </c>
      <c r="AO115" s="128">
        <f t="shared" si="135"/>
        <v>0</v>
      </c>
      <c r="AP115" s="128">
        <f t="shared" si="135"/>
        <v>8</v>
      </c>
      <c r="AQ115" s="128">
        <f t="shared" si="135"/>
        <v>0</v>
      </c>
      <c r="AR115" s="128">
        <f>IF($Q115="C", (F115*$N115),0)</f>
        <v>10000</v>
      </c>
      <c r="AS115" s="237"/>
    </row>
    <row r="116" spans="1:45" s="18" customFormat="1">
      <c r="A116" s="42" t="s">
        <v>415</v>
      </c>
      <c r="B116" s="18" t="s">
        <v>8</v>
      </c>
      <c r="C116" s="161">
        <v>1</v>
      </c>
      <c r="D116" s="91" t="s">
        <v>2</v>
      </c>
      <c r="E116" s="162">
        <v>10000</v>
      </c>
      <c r="F116" s="163">
        <f>E116*C116</f>
        <v>10000</v>
      </c>
      <c r="G116" s="164">
        <v>0</v>
      </c>
      <c r="H116" s="164">
        <v>8</v>
      </c>
      <c r="I116" s="164">
        <v>0</v>
      </c>
      <c r="J116" s="164">
        <v>8</v>
      </c>
      <c r="K116" s="165">
        <v>0</v>
      </c>
      <c r="L116" s="91" t="s">
        <v>7</v>
      </c>
      <c r="M116" s="162">
        <f>IF(R116="PD",((Shop*G116)+(M_Tech*H116)+(CMM*I116)+(ENG*J116)+(DES*K116))*N116,((Shop_RD*G116)+(MTECH_RD*H116)+(CMM_RD*I116)+(ENG_RD*J116)+(DES_RD*K116))*N116)</f>
        <v>1730.1600000000003</v>
      </c>
      <c r="N116" s="87">
        <v>1</v>
      </c>
      <c r="O116" s="166">
        <f>M116+(F116*N116)</f>
        <v>11730.16</v>
      </c>
      <c r="P116" s="166"/>
      <c r="Q116" s="46" t="s">
        <v>32</v>
      </c>
      <c r="R116" s="66" t="s">
        <v>49</v>
      </c>
      <c r="S116" s="133" t="str">
        <f>CONCATENATE(Q116,R116,AB116)</f>
        <v>CPD2013</v>
      </c>
      <c r="T116" s="133" t="str">
        <f>CONCATENATE(Q116,U116,AB116)</f>
        <v>C1.2.2.2.22013</v>
      </c>
      <c r="U116" s="133" t="s">
        <v>183</v>
      </c>
      <c r="V116" s="133" t="str">
        <f t="shared" si="125"/>
        <v>PXL Sensor Production</v>
      </c>
      <c r="AB116" s="30">
        <v>2013</v>
      </c>
      <c r="AC116" s="128">
        <f t="shared" si="134"/>
        <v>0</v>
      </c>
      <c r="AD116" s="128">
        <f t="shared" si="134"/>
        <v>0</v>
      </c>
      <c r="AE116" s="128">
        <f t="shared" si="134"/>
        <v>0</v>
      </c>
      <c r="AF116" s="128">
        <f t="shared" si="134"/>
        <v>0</v>
      </c>
      <c r="AG116" s="128">
        <f t="shared" si="134"/>
        <v>0</v>
      </c>
      <c r="AH116" s="236">
        <f>IF($Q116="B", (F116*$N116),0)</f>
        <v>0</v>
      </c>
      <c r="AI116" s="237"/>
      <c r="AJ116" s="128"/>
      <c r="AK116" s="128"/>
      <c r="AL116" s="162"/>
      <c r="AM116" s="127">
        <f t="shared" si="135"/>
        <v>0</v>
      </c>
      <c r="AN116" s="128">
        <f t="shared" si="135"/>
        <v>8</v>
      </c>
      <c r="AO116" s="128">
        <f t="shared" si="135"/>
        <v>0</v>
      </c>
      <c r="AP116" s="128">
        <f t="shared" si="135"/>
        <v>8</v>
      </c>
      <c r="AQ116" s="128">
        <f t="shared" si="135"/>
        <v>0</v>
      </c>
      <c r="AR116" s="128">
        <f>IF($Q116="C", (F116*$N116),0)</f>
        <v>10000</v>
      </c>
      <c r="AS116" s="237"/>
    </row>
    <row r="117" spans="1:45" s="45" customFormat="1">
      <c r="A117" s="43" t="s">
        <v>265</v>
      </c>
      <c r="C117" s="187"/>
      <c r="D117" s="106"/>
      <c r="E117" s="55"/>
      <c r="F117" s="56"/>
      <c r="G117" s="57"/>
      <c r="H117" s="57"/>
      <c r="I117" s="57"/>
      <c r="J117" s="57"/>
      <c r="K117" s="58"/>
      <c r="L117" s="222" t="s">
        <v>43</v>
      </c>
      <c r="M117" s="174">
        <f>SUMIF(Q92:Q106,"B",M92:M106)</f>
        <v>47016</v>
      </c>
      <c r="N117" s="62" t="s">
        <v>43</v>
      </c>
      <c r="O117" s="188"/>
      <c r="P117" s="188"/>
      <c r="Q117" s="46"/>
      <c r="R117" s="66"/>
      <c r="S117" s="133"/>
      <c r="T117" s="133"/>
      <c r="U117" s="133"/>
      <c r="V117" s="133"/>
      <c r="W117" s="18"/>
      <c r="X117" s="18"/>
      <c r="Y117" s="18"/>
      <c r="Z117" s="18"/>
      <c r="AA117" s="18"/>
      <c r="AB117" s="49"/>
      <c r="AC117" s="50"/>
      <c r="AD117" s="50"/>
      <c r="AE117" s="51"/>
      <c r="AF117" s="50"/>
      <c r="AG117" s="50"/>
      <c r="AH117" s="35"/>
      <c r="AI117" s="245"/>
      <c r="AJ117" s="50"/>
      <c r="AK117" s="50"/>
      <c r="AL117" s="162"/>
      <c r="AM117" s="52"/>
      <c r="AN117" s="50"/>
      <c r="AO117" s="50"/>
      <c r="AP117" s="50"/>
      <c r="AQ117" s="50"/>
      <c r="AR117" s="50"/>
      <c r="AS117" s="245"/>
    </row>
    <row r="118" spans="1:45" s="18" customFormat="1">
      <c r="A118" s="42" t="s">
        <v>245</v>
      </c>
      <c r="B118" s="18" t="s">
        <v>8</v>
      </c>
      <c r="C118" s="161">
        <v>1</v>
      </c>
      <c r="D118" s="91" t="s">
        <v>2</v>
      </c>
      <c r="E118" s="162">
        <v>0</v>
      </c>
      <c r="F118" s="163">
        <f t="shared" ref="F118:F130" si="136">E118*C118</f>
        <v>0</v>
      </c>
      <c r="G118" s="164">
        <v>0</v>
      </c>
      <c r="H118" s="164">
        <v>120</v>
      </c>
      <c r="I118" s="164">
        <v>24</v>
      </c>
      <c r="J118" s="164">
        <v>60</v>
      </c>
      <c r="K118" s="165">
        <v>24</v>
      </c>
      <c r="L118" s="91" t="s">
        <v>7</v>
      </c>
      <c r="M118" s="162">
        <f t="shared" ref="M118:M130" si="137">IF(R118="PD",((Shop*G118)+(M_Tech*H118)+(CMM*I118)+(ENG*J118)+(DES*K118))*N118,((Shop_RD*G118)+(MTECH_RD*H118)+(CMM_RD*I118)+(ENG_RD*J118)+(DES_RD*K118))*N118)</f>
        <v>18662.400000000001</v>
      </c>
      <c r="N118" s="87">
        <v>1</v>
      </c>
      <c r="O118" s="166">
        <f t="shared" ref="O118:O130" si="138">M118+(F118*N118)</f>
        <v>18662.400000000001</v>
      </c>
      <c r="P118" s="166"/>
      <c r="Q118" s="46" t="s">
        <v>31</v>
      </c>
      <c r="R118" s="66" t="s">
        <v>49</v>
      </c>
      <c r="S118" s="133" t="str">
        <f t="shared" ref="S118:S130" si="139">CONCATENATE(Q118,R118,AB118)</f>
        <v>BPD2011</v>
      </c>
      <c r="T118" s="133" t="str">
        <f t="shared" ref="T118:T130" si="140">CONCATENATE(Q118,U118,AB118)</f>
        <v>B1.2.2.2.22011</v>
      </c>
      <c r="U118" s="133" t="s">
        <v>183</v>
      </c>
      <c r="V118" s="133" t="str">
        <f t="shared" ref="V118:V130" si="141">LOOKUP(U118,$B$345:$B$367,$A$345:$A$367)</f>
        <v>PXL Sensor Production</v>
      </c>
      <c r="AB118" s="30">
        <v>2011</v>
      </c>
      <c r="AC118" s="128">
        <f t="shared" ref="AC118:AC130" si="142">IF($Q118="B", (G118*$N118),0)</f>
        <v>0</v>
      </c>
      <c r="AD118" s="128">
        <f t="shared" ref="AD118:AD130" si="143">IF($Q118="B", (H118*$N118),0)</f>
        <v>120</v>
      </c>
      <c r="AE118" s="128">
        <f t="shared" ref="AE118:AE130" si="144">IF($Q118="B", (I118*$N118),0)</f>
        <v>24</v>
      </c>
      <c r="AF118" s="128">
        <f t="shared" ref="AF118:AF130" si="145">IF($Q118="B", (J118*$N118),0)</f>
        <v>60</v>
      </c>
      <c r="AG118" s="128">
        <f t="shared" ref="AG118:AG130" si="146">IF($Q118="B", (K118*$N118),0)</f>
        <v>24</v>
      </c>
      <c r="AH118" s="236">
        <f t="shared" ref="AH118:AH130" si="147">IF($Q118="B", (F118*$N118),0)</f>
        <v>0</v>
      </c>
      <c r="AI118" s="237"/>
      <c r="AJ118" s="128"/>
      <c r="AK118" s="128"/>
      <c r="AL118" s="162"/>
      <c r="AM118" s="127">
        <f t="shared" ref="AM118:AM130" si="148">IF($Q118="C", (G118*$N118),0)</f>
        <v>0</v>
      </c>
      <c r="AN118" s="128">
        <f t="shared" ref="AN118:AN130" si="149">IF($Q118="C", (H118*$N118),0)</f>
        <v>0</v>
      </c>
      <c r="AO118" s="128">
        <f t="shared" ref="AO118:AO130" si="150">IF($Q118="C", (I118*$N118),0)</f>
        <v>0</v>
      </c>
      <c r="AP118" s="128">
        <f t="shared" ref="AP118:AP130" si="151">IF($Q118="C", (J118*$N118),0)</f>
        <v>0</v>
      </c>
      <c r="AQ118" s="128">
        <f t="shared" ref="AQ118:AQ130" si="152">IF($Q118="C", (K118*$N118),0)</f>
        <v>0</v>
      </c>
      <c r="AR118" s="128">
        <f t="shared" ref="AR118:AR130" si="153">IF($Q118="C", (F118*$N118),0)</f>
        <v>0</v>
      </c>
      <c r="AS118" s="237"/>
    </row>
    <row r="119" spans="1:45" s="18" customFormat="1">
      <c r="A119" s="42" t="s">
        <v>246</v>
      </c>
      <c r="B119" s="18" t="s">
        <v>8</v>
      </c>
      <c r="C119" s="161">
        <v>3</v>
      </c>
      <c r="D119" s="91" t="s">
        <v>2</v>
      </c>
      <c r="E119" s="162">
        <v>750</v>
      </c>
      <c r="F119" s="163">
        <f t="shared" si="136"/>
        <v>2250</v>
      </c>
      <c r="G119" s="164">
        <v>0</v>
      </c>
      <c r="H119" s="164">
        <v>0</v>
      </c>
      <c r="I119" s="164">
        <v>0</v>
      </c>
      <c r="J119" s="164">
        <v>16</v>
      </c>
      <c r="K119" s="165">
        <v>16</v>
      </c>
      <c r="L119" s="91" t="s">
        <v>7</v>
      </c>
      <c r="M119" s="162">
        <f t="shared" si="137"/>
        <v>1944.0000000000002</v>
      </c>
      <c r="N119" s="87">
        <v>1</v>
      </c>
      <c r="O119" s="166">
        <f t="shared" si="138"/>
        <v>4194</v>
      </c>
      <c r="P119" s="166"/>
      <c r="Q119" s="46" t="s">
        <v>31</v>
      </c>
      <c r="R119" s="66" t="s">
        <v>49</v>
      </c>
      <c r="S119" s="133" t="str">
        <f t="shared" si="139"/>
        <v>BPD2011</v>
      </c>
      <c r="T119" s="133" t="str">
        <f t="shared" si="140"/>
        <v>B1.2.2.2.22011</v>
      </c>
      <c r="U119" s="133" t="s">
        <v>183</v>
      </c>
      <c r="V119" s="133" t="str">
        <f t="shared" si="141"/>
        <v>PXL Sensor Production</v>
      </c>
      <c r="AB119" s="30">
        <v>2011</v>
      </c>
      <c r="AC119" s="128">
        <f t="shared" si="142"/>
        <v>0</v>
      </c>
      <c r="AD119" s="128">
        <f t="shared" si="143"/>
        <v>0</v>
      </c>
      <c r="AE119" s="128">
        <f t="shared" si="144"/>
        <v>0</v>
      </c>
      <c r="AF119" s="128">
        <f t="shared" si="145"/>
        <v>16</v>
      </c>
      <c r="AG119" s="128">
        <f t="shared" si="146"/>
        <v>16</v>
      </c>
      <c r="AH119" s="236">
        <f t="shared" si="147"/>
        <v>2250</v>
      </c>
      <c r="AI119" s="237"/>
      <c r="AJ119" s="128"/>
      <c r="AK119" s="128"/>
      <c r="AL119" s="162"/>
      <c r="AM119" s="127">
        <f t="shared" si="148"/>
        <v>0</v>
      </c>
      <c r="AN119" s="128">
        <f t="shared" si="149"/>
        <v>0</v>
      </c>
      <c r="AO119" s="128">
        <f t="shared" si="150"/>
        <v>0</v>
      </c>
      <c r="AP119" s="128">
        <f t="shared" si="151"/>
        <v>0</v>
      </c>
      <c r="AQ119" s="128">
        <f t="shared" si="152"/>
        <v>0</v>
      </c>
      <c r="AR119" s="128">
        <f t="shared" si="153"/>
        <v>0</v>
      </c>
      <c r="AS119" s="237"/>
    </row>
    <row r="120" spans="1:45" s="18" customFormat="1">
      <c r="A120" s="42" t="s">
        <v>247</v>
      </c>
      <c r="B120" s="18" t="s">
        <v>8</v>
      </c>
      <c r="C120" s="161">
        <v>3</v>
      </c>
      <c r="D120" s="91" t="s">
        <v>2</v>
      </c>
      <c r="E120" s="162">
        <v>400</v>
      </c>
      <c r="F120" s="163">
        <f t="shared" si="136"/>
        <v>1200</v>
      </c>
      <c r="G120" s="164">
        <v>0</v>
      </c>
      <c r="H120" s="164">
        <v>40</v>
      </c>
      <c r="I120" s="164">
        <v>20</v>
      </c>
      <c r="J120" s="164">
        <v>16</v>
      </c>
      <c r="K120" s="165">
        <v>40</v>
      </c>
      <c r="L120" s="91" t="s">
        <v>7</v>
      </c>
      <c r="M120" s="162">
        <f t="shared" si="137"/>
        <v>5734.8</v>
      </c>
      <c r="N120" s="87">
        <v>1</v>
      </c>
      <c r="O120" s="166">
        <f t="shared" si="138"/>
        <v>6934.8</v>
      </c>
      <c r="P120" s="166"/>
      <c r="Q120" s="46" t="s">
        <v>31</v>
      </c>
      <c r="R120" s="66" t="s">
        <v>49</v>
      </c>
      <c r="S120" s="133" t="str">
        <f t="shared" si="139"/>
        <v>BPD2011</v>
      </c>
      <c r="T120" s="133" t="str">
        <f t="shared" si="140"/>
        <v>B1.2.2.2.22011</v>
      </c>
      <c r="U120" s="133" t="s">
        <v>183</v>
      </c>
      <c r="V120" s="133" t="str">
        <f t="shared" si="141"/>
        <v>PXL Sensor Production</v>
      </c>
      <c r="AB120" s="30">
        <v>2011</v>
      </c>
      <c r="AC120" s="128">
        <f t="shared" si="142"/>
        <v>0</v>
      </c>
      <c r="AD120" s="128">
        <f t="shared" si="143"/>
        <v>40</v>
      </c>
      <c r="AE120" s="128">
        <f t="shared" si="144"/>
        <v>20</v>
      </c>
      <c r="AF120" s="128">
        <f t="shared" si="145"/>
        <v>16</v>
      </c>
      <c r="AG120" s="128">
        <f t="shared" si="146"/>
        <v>40</v>
      </c>
      <c r="AH120" s="236">
        <f t="shared" si="147"/>
        <v>1200</v>
      </c>
      <c r="AI120" s="237"/>
      <c r="AJ120" s="128"/>
      <c r="AK120" s="128"/>
      <c r="AL120" s="162"/>
      <c r="AM120" s="127">
        <f t="shared" si="148"/>
        <v>0</v>
      </c>
      <c r="AN120" s="128">
        <f t="shared" si="149"/>
        <v>0</v>
      </c>
      <c r="AO120" s="128">
        <f t="shared" si="150"/>
        <v>0</v>
      </c>
      <c r="AP120" s="128">
        <f t="shared" si="151"/>
        <v>0</v>
      </c>
      <c r="AQ120" s="128">
        <f t="shared" si="152"/>
        <v>0</v>
      </c>
      <c r="AR120" s="128">
        <f t="shared" si="153"/>
        <v>0</v>
      </c>
      <c r="AS120" s="237"/>
    </row>
    <row r="121" spans="1:45" s="18" customFormat="1">
      <c r="A121" s="42" t="s">
        <v>248</v>
      </c>
      <c r="B121" s="18" t="s">
        <v>8</v>
      </c>
      <c r="C121" s="161">
        <v>1</v>
      </c>
      <c r="D121" s="91" t="s">
        <v>2</v>
      </c>
      <c r="E121" s="162">
        <v>105</v>
      </c>
      <c r="F121" s="163">
        <f t="shared" si="136"/>
        <v>105</v>
      </c>
      <c r="G121" s="164">
        <v>0</v>
      </c>
      <c r="H121" s="164">
        <v>40</v>
      </c>
      <c r="I121" s="164">
        <v>24</v>
      </c>
      <c r="J121" s="164">
        <v>40</v>
      </c>
      <c r="K121" s="165">
        <v>40</v>
      </c>
      <c r="L121" s="91" t="s">
        <v>7</v>
      </c>
      <c r="M121" s="162">
        <f t="shared" si="137"/>
        <v>8650.8000000000011</v>
      </c>
      <c r="N121" s="87">
        <v>1</v>
      </c>
      <c r="O121" s="166">
        <f t="shared" si="138"/>
        <v>8755.8000000000011</v>
      </c>
      <c r="P121" s="166"/>
      <c r="Q121" s="46" t="s">
        <v>31</v>
      </c>
      <c r="R121" s="66" t="s">
        <v>49</v>
      </c>
      <c r="S121" s="133" t="str">
        <f t="shared" si="139"/>
        <v>BPD2012</v>
      </c>
      <c r="T121" s="133" t="str">
        <f t="shared" si="140"/>
        <v>B1.2.2.2.22012</v>
      </c>
      <c r="U121" s="133" t="s">
        <v>183</v>
      </c>
      <c r="V121" s="133" t="str">
        <f t="shared" si="141"/>
        <v>PXL Sensor Production</v>
      </c>
      <c r="AB121" s="30">
        <v>2012</v>
      </c>
      <c r="AC121" s="128">
        <f t="shared" si="142"/>
        <v>0</v>
      </c>
      <c r="AD121" s="128">
        <f t="shared" si="143"/>
        <v>40</v>
      </c>
      <c r="AE121" s="128">
        <f t="shared" si="144"/>
        <v>24</v>
      </c>
      <c r="AF121" s="128">
        <f t="shared" si="145"/>
        <v>40</v>
      </c>
      <c r="AG121" s="128">
        <f t="shared" si="146"/>
        <v>40</v>
      </c>
      <c r="AH121" s="236">
        <f t="shared" si="147"/>
        <v>105</v>
      </c>
      <c r="AI121" s="237"/>
      <c r="AJ121" s="128"/>
      <c r="AK121" s="128"/>
      <c r="AL121" s="162"/>
      <c r="AM121" s="127">
        <f t="shared" si="148"/>
        <v>0</v>
      </c>
      <c r="AN121" s="128">
        <f t="shared" si="149"/>
        <v>0</v>
      </c>
      <c r="AO121" s="128">
        <f t="shared" si="150"/>
        <v>0</v>
      </c>
      <c r="AP121" s="128">
        <f t="shared" si="151"/>
        <v>0</v>
      </c>
      <c r="AQ121" s="128">
        <f t="shared" si="152"/>
        <v>0</v>
      </c>
      <c r="AR121" s="128">
        <f t="shared" si="153"/>
        <v>0</v>
      </c>
      <c r="AS121" s="237"/>
    </row>
    <row r="122" spans="1:45" s="18" customFormat="1">
      <c r="A122" s="42" t="s">
        <v>249</v>
      </c>
      <c r="B122" s="18" t="s">
        <v>8</v>
      </c>
      <c r="C122" s="161">
        <v>1</v>
      </c>
      <c r="D122" s="91" t="s">
        <v>2</v>
      </c>
      <c r="E122" s="162">
        <v>0</v>
      </c>
      <c r="F122" s="163">
        <f t="shared" si="136"/>
        <v>0</v>
      </c>
      <c r="G122" s="164">
        <v>0</v>
      </c>
      <c r="H122" s="164">
        <v>0</v>
      </c>
      <c r="I122" s="164">
        <v>0</v>
      </c>
      <c r="J122" s="164">
        <v>32</v>
      </c>
      <c r="K122" s="165">
        <v>24</v>
      </c>
      <c r="L122" s="91" t="s">
        <v>7</v>
      </c>
      <c r="M122" s="162">
        <f t="shared" si="137"/>
        <v>3888.0000000000005</v>
      </c>
      <c r="N122" s="87">
        <v>1</v>
      </c>
      <c r="O122" s="166">
        <f t="shared" si="138"/>
        <v>3888.0000000000005</v>
      </c>
      <c r="P122" s="166"/>
      <c r="Q122" s="46" t="s">
        <v>31</v>
      </c>
      <c r="R122" s="66" t="s">
        <v>49</v>
      </c>
      <c r="S122" s="133" t="str">
        <f t="shared" si="139"/>
        <v>BPD2012</v>
      </c>
      <c r="T122" s="133" t="str">
        <f t="shared" si="140"/>
        <v>B1.2.2.2.22012</v>
      </c>
      <c r="U122" s="133" t="s">
        <v>183</v>
      </c>
      <c r="V122" s="133" t="str">
        <f t="shared" si="141"/>
        <v>PXL Sensor Production</v>
      </c>
      <c r="AB122" s="30">
        <v>2012</v>
      </c>
      <c r="AC122" s="128">
        <f t="shared" si="142"/>
        <v>0</v>
      </c>
      <c r="AD122" s="128">
        <f t="shared" si="143"/>
        <v>0</v>
      </c>
      <c r="AE122" s="128">
        <f t="shared" si="144"/>
        <v>0</v>
      </c>
      <c r="AF122" s="128">
        <f t="shared" si="145"/>
        <v>32</v>
      </c>
      <c r="AG122" s="128">
        <f t="shared" si="146"/>
        <v>24</v>
      </c>
      <c r="AH122" s="236">
        <f t="shared" si="147"/>
        <v>0</v>
      </c>
      <c r="AI122" s="237"/>
      <c r="AJ122" s="128"/>
      <c r="AK122" s="128"/>
      <c r="AL122" s="162"/>
      <c r="AM122" s="127">
        <f t="shared" si="148"/>
        <v>0</v>
      </c>
      <c r="AN122" s="128">
        <f t="shared" si="149"/>
        <v>0</v>
      </c>
      <c r="AO122" s="128">
        <f t="shared" si="150"/>
        <v>0</v>
      </c>
      <c r="AP122" s="128">
        <f t="shared" si="151"/>
        <v>0</v>
      </c>
      <c r="AQ122" s="128">
        <f t="shared" si="152"/>
        <v>0</v>
      </c>
      <c r="AR122" s="128">
        <f t="shared" si="153"/>
        <v>0</v>
      </c>
      <c r="AS122" s="237"/>
    </row>
    <row r="123" spans="1:45" s="18" customFormat="1">
      <c r="A123" s="42" t="s">
        <v>250</v>
      </c>
      <c r="B123" s="18" t="s">
        <v>8</v>
      </c>
      <c r="C123" s="161">
        <v>1</v>
      </c>
      <c r="D123" s="91" t="s">
        <v>2</v>
      </c>
      <c r="E123" s="162">
        <v>105</v>
      </c>
      <c r="F123" s="163">
        <f t="shared" si="136"/>
        <v>105</v>
      </c>
      <c r="G123" s="164">
        <v>0</v>
      </c>
      <c r="H123" s="164">
        <v>40</v>
      </c>
      <c r="I123" s="164">
        <v>24</v>
      </c>
      <c r="J123" s="164">
        <v>16</v>
      </c>
      <c r="K123" s="165">
        <v>40</v>
      </c>
      <c r="L123" s="91" t="s">
        <v>7</v>
      </c>
      <c r="M123" s="162">
        <f t="shared" si="137"/>
        <v>5734.8</v>
      </c>
      <c r="N123" s="87">
        <v>1</v>
      </c>
      <c r="O123" s="166">
        <f t="shared" si="138"/>
        <v>5839.8</v>
      </c>
      <c r="P123" s="166"/>
      <c r="Q123" s="46" t="s">
        <v>31</v>
      </c>
      <c r="R123" s="66" t="s">
        <v>49</v>
      </c>
      <c r="S123" s="133" t="str">
        <f t="shared" si="139"/>
        <v>BPD2012</v>
      </c>
      <c r="T123" s="133" t="str">
        <f t="shared" si="140"/>
        <v>B1.2.2.2.22012</v>
      </c>
      <c r="U123" s="133" t="s">
        <v>183</v>
      </c>
      <c r="V123" s="133" t="str">
        <f t="shared" si="141"/>
        <v>PXL Sensor Production</v>
      </c>
      <c r="AB123" s="30">
        <v>2012</v>
      </c>
      <c r="AC123" s="128">
        <f t="shared" si="142"/>
        <v>0</v>
      </c>
      <c r="AD123" s="128">
        <f t="shared" si="143"/>
        <v>40</v>
      </c>
      <c r="AE123" s="128">
        <f t="shared" si="144"/>
        <v>24</v>
      </c>
      <c r="AF123" s="128">
        <f t="shared" si="145"/>
        <v>16</v>
      </c>
      <c r="AG123" s="128">
        <f t="shared" si="146"/>
        <v>40</v>
      </c>
      <c r="AH123" s="236">
        <f t="shared" si="147"/>
        <v>105</v>
      </c>
      <c r="AI123" s="237"/>
      <c r="AJ123" s="128"/>
      <c r="AK123" s="128"/>
      <c r="AL123" s="162"/>
      <c r="AM123" s="127">
        <f t="shared" si="148"/>
        <v>0</v>
      </c>
      <c r="AN123" s="128">
        <f t="shared" si="149"/>
        <v>0</v>
      </c>
      <c r="AO123" s="128">
        <f t="shared" si="150"/>
        <v>0</v>
      </c>
      <c r="AP123" s="128">
        <f t="shared" si="151"/>
        <v>0</v>
      </c>
      <c r="AQ123" s="128">
        <f t="shared" si="152"/>
        <v>0</v>
      </c>
      <c r="AR123" s="128">
        <f t="shared" si="153"/>
        <v>0</v>
      </c>
      <c r="AS123" s="237"/>
    </row>
    <row r="124" spans="1:45" s="18" customFormat="1">
      <c r="A124" s="42" t="s">
        <v>266</v>
      </c>
      <c r="B124" s="18" t="s">
        <v>8</v>
      </c>
      <c r="C124" s="161">
        <v>1</v>
      </c>
      <c r="D124" s="91" t="s">
        <v>2</v>
      </c>
      <c r="E124" s="162">
        <v>0</v>
      </c>
      <c r="F124" s="163">
        <f t="shared" si="136"/>
        <v>0</v>
      </c>
      <c r="G124" s="164">
        <v>0</v>
      </c>
      <c r="H124" s="164">
        <v>0</v>
      </c>
      <c r="I124" s="164">
        <v>100</v>
      </c>
      <c r="J124" s="164">
        <v>40</v>
      </c>
      <c r="K124" s="165">
        <v>40</v>
      </c>
      <c r="L124" s="91" t="s">
        <v>7</v>
      </c>
      <c r="M124" s="162">
        <f t="shared" si="137"/>
        <v>4860.0000000000009</v>
      </c>
      <c r="N124" s="87">
        <v>1</v>
      </c>
      <c r="O124" s="166">
        <f t="shared" si="138"/>
        <v>4860.0000000000009</v>
      </c>
      <c r="P124" s="166"/>
      <c r="Q124" s="46" t="s">
        <v>31</v>
      </c>
      <c r="R124" s="66" t="s">
        <v>49</v>
      </c>
      <c r="S124" s="133" t="str">
        <f t="shared" si="139"/>
        <v>BPD2011</v>
      </c>
      <c r="T124" s="133" t="str">
        <f t="shared" si="140"/>
        <v>B1.2.2.2.22011</v>
      </c>
      <c r="U124" s="133" t="s">
        <v>183</v>
      </c>
      <c r="V124" s="133" t="str">
        <f t="shared" si="141"/>
        <v>PXL Sensor Production</v>
      </c>
      <c r="AB124" s="30">
        <v>2011</v>
      </c>
      <c r="AC124" s="128">
        <f t="shared" si="142"/>
        <v>0</v>
      </c>
      <c r="AD124" s="128">
        <f t="shared" si="143"/>
        <v>0</v>
      </c>
      <c r="AE124" s="128">
        <f t="shared" si="144"/>
        <v>100</v>
      </c>
      <c r="AF124" s="128">
        <f t="shared" si="145"/>
        <v>40</v>
      </c>
      <c r="AG124" s="128">
        <f t="shared" si="146"/>
        <v>40</v>
      </c>
      <c r="AH124" s="236">
        <f t="shared" si="147"/>
        <v>0</v>
      </c>
      <c r="AI124" s="237"/>
      <c r="AJ124" s="128"/>
      <c r="AK124" s="128"/>
      <c r="AL124" s="162"/>
      <c r="AM124" s="127">
        <f t="shared" si="148"/>
        <v>0</v>
      </c>
      <c r="AN124" s="128">
        <f t="shared" si="149"/>
        <v>0</v>
      </c>
      <c r="AO124" s="128">
        <f t="shared" si="150"/>
        <v>0</v>
      </c>
      <c r="AP124" s="128">
        <f t="shared" si="151"/>
        <v>0</v>
      </c>
      <c r="AQ124" s="128">
        <f t="shared" si="152"/>
        <v>0</v>
      </c>
      <c r="AR124" s="128">
        <f t="shared" si="153"/>
        <v>0</v>
      </c>
      <c r="AS124" s="237"/>
    </row>
    <row r="125" spans="1:45" s="18" customFormat="1">
      <c r="A125" s="42" t="s">
        <v>252</v>
      </c>
      <c r="B125" s="18" t="s">
        <v>8</v>
      </c>
      <c r="C125" s="161">
        <v>1</v>
      </c>
      <c r="D125" s="91" t="s">
        <v>2</v>
      </c>
      <c r="E125" s="162">
        <v>700</v>
      </c>
      <c r="F125" s="163">
        <f t="shared" si="136"/>
        <v>700</v>
      </c>
      <c r="G125" s="164">
        <v>0</v>
      </c>
      <c r="H125" s="164">
        <v>16</v>
      </c>
      <c r="I125" s="164">
        <v>8</v>
      </c>
      <c r="J125" s="164">
        <v>0</v>
      </c>
      <c r="K125" s="165">
        <v>8</v>
      </c>
      <c r="L125" s="91" t="s">
        <v>7</v>
      </c>
      <c r="M125" s="162">
        <f t="shared" si="137"/>
        <v>1516.3200000000002</v>
      </c>
      <c r="N125" s="87">
        <v>1</v>
      </c>
      <c r="O125" s="166">
        <f t="shared" si="138"/>
        <v>2216.3200000000002</v>
      </c>
      <c r="P125" s="166"/>
      <c r="Q125" s="46" t="s">
        <v>31</v>
      </c>
      <c r="R125" s="66" t="s">
        <v>49</v>
      </c>
      <c r="S125" s="133" t="str">
        <f t="shared" si="139"/>
        <v>BPD2011</v>
      </c>
      <c r="T125" s="133" t="str">
        <f t="shared" si="140"/>
        <v>B1.2.2.2.22011</v>
      </c>
      <c r="U125" s="133" t="s">
        <v>183</v>
      </c>
      <c r="V125" s="133" t="str">
        <f t="shared" si="141"/>
        <v>PXL Sensor Production</v>
      </c>
      <c r="AB125" s="30">
        <v>2011</v>
      </c>
      <c r="AC125" s="128">
        <f t="shared" si="142"/>
        <v>0</v>
      </c>
      <c r="AD125" s="128">
        <f t="shared" si="143"/>
        <v>16</v>
      </c>
      <c r="AE125" s="128">
        <f t="shared" si="144"/>
        <v>8</v>
      </c>
      <c r="AF125" s="128">
        <f t="shared" si="145"/>
        <v>0</v>
      </c>
      <c r="AG125" s="128">
        <f t="shared" si="146"/>
        <v>8</v>
      </c>
      <c r="AH125" s="236">
        <f t="shared" si="147"/>
        <v>700</v>
      </c>
      <c r="AI125" s="237"/>
      <c r="AJ125" s="128"/>
      <c r="AK125" s="128"/>
      <c r="AL125" s="162"/>
      <c r="AM125" s="127">
        <f t="shared" si="148"/>
        <v>0</v>
      </c>
      <c r="AN125" s="128">
        <f t="shared" si="149"/>
        <v>0</v>
      </c>
      <c r="AO125" s="128">
        <f t="shared" si="150"/>
        <v>0</v>
      </c>
      <c r="AP125" s="128">
        <f t="shared" si="151"/>
        <v>0</v>
      </c>
      <c r="AQ125" s="128">
        <f t="shared" si="152"/>
        <v>0</v>
      </c>
      <c r="AR125" s="128">
        <f t="shared" si="153"/>
        <v>0</v>
      </c>
      <c r="AS125" s="237"/>
    </row>
    <row r="126" spans="1:45" s="18" customFormat="1">
      <c r="A126" s="42" t="s">
        <v>267</v>
      </c>
      <c r="B126" s="18" t="s">
        <v>8</v>
      </c>
      <c r="C126" s="161">
        <v>1</v>
      </c>
      <c r="D126" s="91" t="s">
        <v>2</v>
      </c>
      <c r="E126" s="162">
        <v>1500</v>
      </c>
      <c r="F126" s="163">
        <f t="shared" si="136"/>
        <v>1500</v>
      </c>
      <c r="G126" s="164">
        <v>40</v>
      </c>
      <c r="H126" s="164">
        <v>80</v>
      </c>
      <c r="I126" s="164">
        <v>40</v>
      </c>
      <c r="J126" s="164">
        <v>24</v>
      </c>
      <c r="K126" s="165">
        <v>40</v>
      </c>
      <c r="L126" s="91" t="s">
        <v>7</v>
      </c>
      <c r="M126" s="162">
        <f t="shared" si="137"/>
        <v>14580</v>
      </c>
      <c r="N126" s="87">
        <v>1</v>
      </c>
      <c r="O126" s="166">
        <f t="shared" si="138"/>
        <v>16080</v>
      </c>
      <c r="P126" s="166"/>
      <c r="Q126" s="46" t="s">
        <v>31</v>
      </c>
      <c r="R126" s="66" t="s">
        <v>49</v>
      </c>
      <c r="S126" s="133" t="str">
        <f t="shared" si="139"/>
        <v>BPD2011</v>
      </c>
      <c r="T126" s="133" t="str">
        <f t="shared" si="140"/>
        <v>B1.2.2.2.22011</v>
      </c>
      <c r="U126" s="133" t="s">
        <v>183</v>
      </c>
      <c r="V126" s="133" t="str">
        <f t="shared" si="141"/>
        <v>PXL Sensor Production</v>
      </c>
      <c r="AB126" s="30">
        <v>2011</v>
      </c>
      <c r="AC126" s="128">
        <f t="shared" si="142"/>
        <v>40</v>
      </c>
      <c r="AD126" s="128">
        <f t="shared" si="143"/>
        <v>80</v>
      </c>
      <c r="AE126" s="128">
        <f t="shared" si="144"/>
        <v>40</v>
      </c>
      <c r="AF126" s="128">
        <f t="shared" si="145"/>
        <v>24</v>
      </c>
      <c r="AG126" s="128">
        <f t="shared" si="146"/>
        <v>40</v>
      </c>
      <c r="AH126" s="236">
        <f t="shared" si="147"/>
        <v>1500</v>
      </c>
      <c r="AI126" s="237"/>
      <c r="AJ126" s="128"/>
      <c r="AK126" s="128"/>
      <c r="AL126" s="162"/>
      <c r="AM126" s="127">
        <f t="shared" si="148"/>
        <v>0</v>
      </c>
      <c r="AN126" s="128">
        <f t="shared" si="149"/>
        <v>0</v>
      </c>
      <c r="AO126" s="128">
        <f t="shared" si="150"/>
        <v>0</v>
      </c>
      <c r="AP126" s="128">
        <f t="shared" si="151"/>
        <v>0</v>
      </c>
      <c r="AQ126" s="128">
        <f t="shared" si="152"/>
        <v>0</v>
      </c>
      <c r="AR126" s="128">
        <f t="shared" si="153"/>
        <v>0</v>
      </c>
      <c r="AS126" s="237"/>
    </row>
    <row r="127" spans="1:45" s="18" customFormat="1">
      <c r="A127" s="42" t="s">
        <v>256</v>
      </c>
      <c r="B127" s="18" t="s">
        <v>8</v>
      </c>
      <c r="C127" s="161">
        <v>1</v>
      </c>
      <c r="D127" s="91" t="s">
        <v>2</v>
      </c>
      <c r="E127" s="162">
        <v>2000</v>
      </c>
      <c r="F127" s="163">
        <f>E127*C127</f>
        <v>2000</v>
      </c>
      <c r="G127" s="164">
        <v>24</v>
      </c>
      <c r="H127" s="164">
        <v>40</v>
      </c>
      <c r="I127" s="164">
        <v>40</v>
      </c>
      <c r="J127" s="164">
        <v>24</v>
      </c>
      <c r="K127" s="165">
        <v>40</v>
      </c>
      <c r="L127" s="91" t="s">
        <v>7</v>
      </c>
      <c r="M127" s="162">
        <f>IF(R127="PD",((Shop*G127)+(M_Tech*H127)+(CMM*I127)+(ENG*J127)+(DES*K127))*N127,((Shop_RD*G127)+(MTECH_RD*H127)+(CMM_RD*I127)+(ENG_RD*J127)+(DES_RD*K127))*N127)</f>
        <v>9156.24</v>
      </c>
      <c r="N127" s="87">
        <v>1</v>
      </c>
      <c r="O127" s="166">
        <f t="shared" si="138"/>
        <v>11156.24</v>
      </c>
      <c r="P127" s="166"/>
      <c r="Q127" s="46" t="s">
        <v>31</v>
      </c>
      <c r="R127" s="66" t="s">
        <v>49</v>
      </c>
      <c r="S127" s="133" t="str">
        <f>CONCATENATE(Q127,R127,AB127)</f>
        <v>BPD2011</v>
      </c>
      <c r="T127" s="133" t="str">
        <f t="shared" si="140"/>
        <v>B1.2.2.2.22011</v>
      </c>
      <c r="U127" s="133" t="s">
        <v>183</v>
      </c>
      <c r="V127" s="133" t="str">
        <f t="shared" si="141"/>
        <v>PXL Sensor Production</v>
      </c>
      <c r="AB127" s="30">
        <v>2011</v>
      </c>
      <c r="AC127" s="128">
        <f t="shared" ref="AC127:AG129" si="154">IF($Q127="B", (G127*$N127),0)</f>
        <v>24</v>
      </c>
      <c r="AD127" s="128">
        <f t="shared" si="154"/>
        <v>40</v>
      </c>
      <c r="AE127" s="128">
        <f t="shared" si="154"/>
        <v>40</v>
      </c>
      <c r="AF127" s="128">
        <f t="shared" si="154"/>
        <v>24</v>
      </c>
      <c r="AG127" s="128">
        <f t="shared" si="154"/>
        <v>40</v>
      </c>
      <c r="AH127" s="236">
        <f>IF($Q127="B", (F127*$N127),0)</f>
        <v>2000</v>
      </c>
      <c r="AI127" s="237"/>
      <c r="AJ127" s="128"/>
      <c r="AK127" s="128"/>
      <c r="AL127" s="162"/>
      <c r="AM127" s="127">
        <f t="shared" ref="AM127:AQ129" si="155">IF($Q127="C", (G127*$N127),0)</f>
        <v>0</v>
      </c>
      <c r="AN127" s="128">
        <f t="shared" si="155"/>
        <v>0</v>
      </c>
      <c r="AO127" s="128">
        <f t="shared" si="155"/>
        <v>0</v>
      </c>
      <c r="AP127" s="128">
        <f t="shared" si="155"/>
        <v>0</v>
      </c>
      <c r="AQ127" s="128">
        <f t="shared" si="155"/>
        <v>0</v>
      </c>
      <c r="AR127" s="128">
        <f>IF($Q127="C", (F127*$N127),0)</f>
        <v>0</v>
      </c>
      <c r="AS127" s="237"/>
    </row>
    <row r="128" spans="1:45" s="18" customFormat="1">
      <c r="A128" s="42" t="s">
        <v>443</v>
      </c>
      <c r="B128" s="18" t="s">
        <v>8</v>
      </c>
      <c r="C128" s="161">
        <v>1</v>
      </c>
      <c r="D128" s="91" t="s">
        <v>2</v>
      </c>
      <c r="E128" s="162">
        <v>1500</v>
      </c>
      <c r="F128" s="163">
        <f>E128*C128</f>
        <v>1500</v>
      </c>
      <c r="G128" s="164">
        <v>0</v>
      </c>
      <c r="H128" s="164">
        <v>20</v>
      </c>
      <c r="I128" s="164">
        <v>100</v>
      </c>
      <c r="J128" s="164">
        <v>16</v>
      </c>
      <c r="K128" s="165">
        <v>40</v>
      </c>
      <c r="L128" s="91" t="s">
        <v>7</v>
      </c>
      <c r="M128" s="162">
        <f>IF(R128="PD",((Shop*G128)+(M_Tech*H128)+(CMM*I128)+(ENG*J128)+(DES*K128))*N128,((Shop_RD*G128)+(MTECH_RD*H128)+(CMM_RD*I128)+(ENG_RD*J128)+(DES_RD*K128))*N128)</f>
        <v>3839.4000000000005</v>
      </c>
      <c r="N128" s="87">
        <v>1</v>
      </c>
      <c r="O128" s="166">
        <f>M128+(F128*N128)</f>
        <v>5339.4000000000005</v>
      </c>
      <c r="P128" s="166"/>
      <c r="Q128" s="46" t="s">
        <v>31</v>
      </c>
      <c r="R128" s="66" t="s">
        <v>49</v>
      </c>
      <c r="S128" s="133" t="str">
        <f>CONCATENATE(Q128,R128,AB128)</f>
        <v>BPD2012</v>
      </c>
      <c r="T128" s="133" t="str">
        <f>CONCATENATE(Q128,U128,AB128)</f>
        <v>B1.2.2.2.22012</v>
      </c>
      <c r="U128" s="133" t="s">
        <v>183</v>
      </c>
      <c r="V128" s="133" t="str">
        <f t="shared" si="141"/>
        <v>PXL Sensor Production</v>
      </c>
      <c r="AB128" s="30">
        <v>2012</v>
      </c>
      <c r="AC128" s="128">
        <f>IF($Q128="B", (G128*$N128),0)</f>
        <v>0</v>
      </c>
      <c r="AD128" s="128">
        <f>IF($Q128="B", (H128*$N128),0)</f>
        <v>20</v>
      </c>
      <c r="AE128" s="128">
        <f>IF($Q128="B", (I128*$N128),0)</f>
        <v>100</v>
      </c>
      <c r="AF128" s="128">
        <f>IF($Q128="B", (J128*$N128),0)</f>
        <v>16</v>
      </c>
      <c r="AG128" s="128">
        <f>IF($Q128="B", (K128*$N128),0)</f>
        <v>40</v>
      </c>
      <c r="AH128" s="236">
        <f>IF($Q128="B", (F128*$N128),0)</f>
        <v>1500</v>
      </c>
      <c r="AI128" s="237"/>
      <c r="AJ128" s="128"/>
      <c r="AK128" s="128"/>
      <c r="AL128" s="162"/>
      <c r="AM128" s="127">
        <f>IF($Q128="C", (G128*$N128),0)</f>
        <v>0</v>
      </c>
      <c r="AN128" s="128">
        <f>IF($Q128="C", (H128*$N128),0)</f>
        <v>0</v>
      </c>
      <c r="AO128" s="128">
        <f>IF($Q128="C", (I128*$N128),0)</f>
        <v>0</v>
      </c>
      <c r="AP128" s="128">
        <f>IF($Q128="C", (J128*$N128),0)</f>
        <v>0</v>
      </c>
      <c r="AQ128" s="128">
        <f>IF($Q128="C", (K128*$N128),0)</f>
        <v>0</v>
      </c>
      <c r="AR128" s="128">
        <f>IF($Q128="C", (F128*$N128),0)</f>
        <v>0</v>
      </c>
      <c r="AS128" s="237"/>
    </row>
    <row r="129" spans="1:45" s="18" customFormat="1">
      <c r="A129" s="42" t="s">
        <v>444</v>
      </c>
      <c r="B129" s="18" t="s">
        <v>8</v>
      </c>
      <c r="C129" s="161">
        <v>1</v>
      </c>
      <c r="D129" s="91" t="s">
        <v>2</v>
      </c>
      <c r="E129" s="162">
        <v>1500</v>
      </c>
      <c r="F129" s="163">
        <f>E129*C129</f>
        <v>1500</v>
      </c>
      <c r="G129" s="164">
        <v>0</v>
      </c>
      <c r="H129" s="164">
        <v>20</v>
      </c>
      <c r="I129" s="164">
        <v>300</v>
      </c>
      <c r="J129" s="164">
        <v>16</v>
      </c>
      <c r="K129" s="165">
        <v>40</v>
      </c>
      <c r="L129" s="91" t="s">
        <v>7</v>
      </c>
      <c r="M129" s="162">
        <f>IF(R129="PD",((Shop*G129)+(M_Tech*H129)+(CMM*I129)+(ENG*J129)+(DES*K129))*N129,((Shop_RD*G129)+(MTECH_RD*H129)+(CMM_RD*I129)+(ENG_RD*J129)+(DES_RD*K129))*N129)</f>
        <v>3839.4000000000005</v>
      </c>
      <c r="N129" s="87">
        <v>1</v>
      </c>
      <c r="O129" s="166">
        <f t="shared" si="138"/>
        <v>5339.4000000000005</v>
      </c>
      <c r="P129" s="166"/>
      <c r="Q129" s="46" t="s">
        <v>31</v>
      </c>
      <c r="R129" s="66" t="s">
        <v>49</v>
      </c>
      <c r="S129" s="133" t="str">
        <f>CONCATENATE(Q129,R129,AB129)</f>
        <v>BPD2013</v>
      </c>
      <c r="T129" s="133" t="str">
        <f t="shared" si="140"/>
        <v>B1.2.2.2.22013</v>
      </c>
      <c r="U129" s="133" t="s">
        <v>183</v>
      </c>
      <c r="V129" s="133" t="str">
        <f t="shared" si="141"/>
        <v>PXL Sensor Production</v>
      </c>
      <c r="AB129" s="30">
        <v>2013</v>
      </c>
      <c r="AC129" s="128">
        <f t="shared" si="154"/>
        <v>0</v>
      </c>
      <c r="AD129" s="128">
        <f t="shared" si="154"/>
        <v>20</v>
      </c>
      <c r="AE129" s="128">
        <f t="shared" si="154"/>
        <v>300</v>
      </c>
      <c r="AF129" s="128">
        <f t="shared" si="154"/>
        <v>16</v>
      </c>
      <c r="AG129" s="128">
        <f t="shared" si="154"/>
        <v>40</v>
      </c>
      <c r="AH129" s="236">
        <f>IF($Q129="B", (F129*$N129),0)</f>
        <v>1500</v>
      </c>
      <c r="AI129" s="237"/>
      <c r="AJ129" s="128"/>
      <c r="AK129" s="128"/>
      <c r="AL129" s="162"/>
      <c r="AM129" s="127">
        <f t="shared" si="155"/>
        <v>0</v>
      </c>
      <c r="AN129" s="128">
        <f t="shared" si="155"/>
        <v>0</v>
      </c>
      <c r="AO129" s="128">
        <f t="shared" si="155"/>
        <v>0</v>
      </c>
      <c r="AP129" s="128">
        <f t="shared" si="155"/>
        <v>0</v>
      </c>
      <c r="AQ129" s="128">
        <f t="shared" si="155"/>
        <v>0</v>
      </c>
      <c r="AR129" s="128">
        <f>IF($Q129="C", (F129*$N129),0)</f>
        <v>0</v>
      </c>
      <c r="AS129" s="237"/>
    </row>
    <row r="130" spans="1:45" s="18" customFormat="1">
      <c r="A130" s="42" t="s">
        <v>349</v>
      </c>
      <c r="B130" s="18" t="s">
        <v>8</v>
      </c>
      <c r="C130" s="161">
        <v>1</v>
      </c>
      <c r="D130" s="91" t="s">
        <v>2</v>
      </c>
      <c r="E130" s="162">
        <v>1500</v>
      </c>
      <c r="F130" s="163">
        <f t="shared" si="136"/>
        <v>1500</v>
      </c>
      <c r="G130" s="164">
        <v>16</v>
      </c>
      <c r="H130" s="164">
        <v>80</v>
      </c>
      <c r="I130" s="164">
        <v>0</v>
      </c>
      <c r="J130" s="164">
        <v>80</v>
      </c>
      <c r="K130" s="165">
        <v>0</v>
      </c>
      <c r="L130" s="91" t="s">
        <v>7</v>
      </c>
      <c r="M130" s="162">
        <f t="shared" si="137"/>
        <v>18934.560000000005</v>
      </c>
      <c r="N130" s="87">
        <v>1</v>
      </c>
      <c r="O130" s="166">
        <f t="shared" si="138"/>
        <v>20434.560000000005</v>
      </c>
      <c r="P130" s="166"/>
      <c r="Q130" s="46" t="s">
        <v>32</v>
      </c>
      <c r="R130" s="66" t="s">
        <v>49</v>
      </c>
      <c r="S130" s="133" t="str">
        <f t="shared" si="139"/>
        <v>CPD2013</v>
      </c>
      <c r="T130" s="133" t="str">
        <f t="shared" si="140"/>
        <v>C1.2.2.2.22013</v>
      </c>
      <c r="U130" s="133" t="s">
        <v>183</v>
      </c>
      <c r="V130" s="133" t="str">
        <f t="shared" si="141"/>
        <v>PXL Sensor Production</v>
      </c>
      <c r="AB130" s="30">
        <v>2013</v>
      </c>
      <c r="AC130" s="128">
        <f t="shared" si="142"/>
        <v>0</v>
      </c>
      <c r="AD130" s="128">
        <f t="shared" si="143"/>
        <v>0</v>
      </c>
      <c r="AE130" s="128">
        <f t="shared" si="144"/>
        <v>0</v>
      </c>
      <c r="AF130" s="128">
        <f t="shared" si="145"/>
        <v>0</v>
      </c>
      <c r="AG130" s="128">
        <f t="shared" si="146"/>
        <v>0</v>
      </c>
      <c r="AH130" s="236">
        <f t="shared" si="147"/>
        <v>0</v>
      </c>
      <c r="AI130" s="237"/>
      <c r="AJ130" s="128"/>
      <c r="AK130" s="128"/>
      <c r="AL130" s="162"/>
      <c r="AM130" s="127">
        <f t="shared" si="148"/>
        <v>16</v>
      </c>
      <c r="AN130" s="128">
        <f t="shared" si="149"/>
        <v>80</v>
      </c>
      <c r="AO130" s="128">
        <f t="shared" si="150"/>
        <v>0</v>
      </c>
      <c r="AP130" s="128">
        <f t="shared" si="151"/>
        <v>80</v>
      </c>
      <c r="AQ130" s="128">
        <f t="shared" si="152"/>
        <v>0</v>
      </c>
      <c r="AR130" s="128">
        <f t="shared" si="153"/>
        <v>1500</v>
      </c>
      <c r="AS130" s="237"/>
    </row>
    <row r="131" spans="1:45" s="45" customFormat="1">
      <c r="A131" s="43"/>
      <c r="C131" s="187"/>
      <c r="D131" s="106"/>
      <c r="E131" s="55"/>
      <c r="F131" s="56"/>
      <c r="G131" s="57"/>
      <c r="H131" s="57"/>
      <c r="I131" s="57"/>
      <c r="J131" s="57"/>
      <c r="K131" s="58"/>
      <c r="L131" s="222" t="s">
        <v>43</v>
      </c>
      <c r="M131" s="174">
        <f>SUMIF(Q118:Q130,"B",M118:M130)</f>
        <v>82406.159999999989</v>
      </c>
      <c r="N131" s="62" t="s">
        <v>43</v>
      </c>
      <c r="O131" s="188"/>
      <c r="P131" s="188"/>
      <c r="Q131" s="46"/>
      <c r="R131" s="66"/>
      <c r="S131" s="133"/>
      <c r="T131" s="133"/>
      <c r="U131" s="133"/>
      <c r="V131" s="133"/>
      <c r="W131"/>
      <c r="X131"/>
      <c r="Y131"/>
      <c r="Z131"/>
      <c r="AA131"/>
      <c r="AB131" s="49"/>
      <c r="AC131" s="50"/>
      <c r="AD131" s="50"/>
      <c r="AE131" s="51"/>
      <c r="AF131" s="50"/>
      <c r="AG131" s="50"/>
      <c r="AH131" s="35"/>
      <c r="AI131" s="245"/>
      <c r="AJ131" s="50"/>
      <c r="AK131" s="50"/>
      <c r="AL131" s="107"/>
      <c r="AM131" s="52"/>
      <c r="AN131" s="50"/>
      <c r="AO131" s="50"/>
      <c r="AP131" s="50"/>
      <c r="AQ131" s="50"/>
      <c r="AR131" s="50"/>
      <c r="AS131" s="245"/>
    </row>
    <row r="132" spans="1:45">
      <c r="A132" s="19" t="s">
        <v>158</v>
      </c>
      <c r="B132" s="2"/>
      <c r="C132" s="167"/>
      <c r="D132" s="13"/>
      <c r="E132" s="168"/>
      <c r="F132" s="169"/>
      <c r="G132" s="167"/>
      <c r="H132" s="167"/>
      <c r="I132" s="167"/>
      <c r="J132" s="167"/>
      <c r="K132" s="170"/>
      <c r="L132" s="13"/>
      <c r="M132" s="168">
        <f>SUMIF(Q70:Q131,"B",M70:M131)</f>
        <v>168601.92</v>
      </c>
      <c r="N132" s="362" t="s">
        <v>42</v>
      </c>
      <c r="O132" s="363"/>
      <c r="P132" s="364"/>
      <c r="Q132" s="47"/>
      <c r="R132" s="69"/>
      <c r="S132" s="134"/>
      <c r="T132" s="134"/>
      <c r="U132" s="134"/>
      <c r="V132" s="134"/>
      <c r="W132" s="2"/>
      <c r="X132" s="2"/>
      <c r="Y132" s="2"/>
      <c r="Z132" s="2"/>
      <c r="AA132" s="2"/>
      <c r="AB132" s="31"/>
      <c r="AC132" s="4">
        <f>SUM(AC70:AC131)</f>
        <v>136</v>
      </c>
      <c r="AD132" s="4">
        <f>SUM(AD70:AD131)</f>
        <v>864</v>
      </c>
      <c r="AE132" s="4">
        <f>SUM(AE70:AE131)</f>
        <v>1852</v>
      </c>
      <c r="AF132" s="4">
        <f>SUM(AF70:AF131)</f>
        <v>496</v>
      </c>
      <c r="AG132" s="4">
        <f>SUM(AG70:AG131)</f>
        <v>1608</v>
      </c>
      <c r="AH132" s="168"/>
      <c r="AI132" s="169">
        <f>SUM(AH70:AH131)</f>
        <v>728410</v>
      </c>
      <c r="AJ132" s="168">
        <f>(Shop*AC132)+M_Tech*AD132+CMM*AE132+ENG*AF132+DES*AG132+AI132</f>
        <v>884435.44000000006</v>
      </c>
      <c r="AK132" s="168"/>
      <c r="AL132" s="169">
        <f>Shop*AM132+M_Tech*AN132+CMM*AO132+ENG*AP132+DES*AQ132+AS132</f>
        <v>240268.4</v>
      </c>
      <c r="AM132" s="4">
        <f>SUM(AM70:AM131)</f>
        <v>36</v>
      </c>
      <c r="AN132" s="4">
        <f>SUM(AN70:AN131)</f>
        <v>112</v>
      </c>
      <c r="AO132" s="4">
        <f>SUM(AO70:AO131)</f>
        <v>8</v>
      </c>
      <c r="AP132" s="4">
        <f>SUM(AP70:AP131)</f>
        <v>120</v>
      </c>
      <c r="AQ132" s="4">
        <f>SUM(AQ70:AQ131)</f>
        <v>40</v>
      </c>
      <c r="AR132" s="168"/>
      <c r="AS132" s="169">
        <f>SUM(AR70:AR131)</f>
        <v>211400</v>
      </c>
    </row>
    <row r="133" spans="1:45">
      <c r="F133" s="160"/>
      <c r="G133" s="158"/>
      <c r="H133" s="158"/>
      <c r="I133" s="158"/>
      <c r="J133" s="158"/>
      <c r="K133" s="171"/>
      <c r="M133" s="107"/>
      <c r="N133" s="6"/>
      <c r="O133" s="172"/>
      <c r="P133" s="172"/>
      <c r="Q133" s="32"/>
      <c r="R133" s="67"/>
      <c r="S133" s="135"/>
      <c r="T133" s="135"/>
      <c r="U133" s="135"/>
      <c r="V133" s="135"/>
      <c r="W133"/>
      <c r="X133"/>
      <c r="Y133"/>
      <c r="Z133"/>
      <c r="AA133"/>
      <c r="AB133" s="33"/>
      <c r="AC133" s="28"/>
      <c r="AD133" s="28"/>
      <c r="AE133" s="28"/>
      <c r="AF133" s="28"/>
      <c r="AG133" s="28"/>
      <c r="AH133" s="239"/>
      <c r="AI133" s="240"/>
      <c r="AJ133" s="5"/>
      <c r="AK133" s="5"/>
      <c r="AM133" s="29"/>
      <c r="AN133" s="3"/>
      <c r="AO133" s="3"/>
      <c r="AP133" s="3"/>
      <c r="AQ133" s="3"/>
      <c r="AR133" s="3"/>
      <c r="AS133" s="241"/>
    </row>
    <row r="134" spans="1:45" ht="15.75">
      <c r="A134" s="44" t="s">
        <v>186</v>
      </c>
      <c r="F134" s="160"/>
      <c r="G134" s="158"/>
      <c r="H134" s="158"/>
      <c r="I134" s="158"/>
      <c r="J134" s="158"/>
      <c r="K134" s="171"/>
      <c r="M134" s="107"/>
      <c r="N134" s="6"/>
      <c r="O134" s="172"/>
      <c r="P134" s="172"/>
      <c r="Q134" s="46"/>
      <c r="R134" s="66"/>
      <c r="S134" s="133"/>
      <c r="T134" s="133"/>
      <c r="U134" s="133"/>
      <c r="V134" s="133"/>
      <c r="W134"/>
      <c r="X134"/>
      <c r="Y134"/>
      <c r="Z134"/>
      <c r="AA134"/>
      <c r="AB134" s="30"/>
      <c r="AC134" s="3"/>
      <c r="AD134" s="3"/>
      <c r="AE134" s="3"/>
      <c r="AF134" s="3"/>
      <c r="AG134" s="3"/>
      <c r="AH134" s="159"/>
      <c r="AI134" s="241"/>
      <c r="AJ134" s="3"/>
      <c r="AK134" s="3"/>
      <c r="AM134" s="29"/>
      <c r="AN134" s="3"/>
      <c r="AO134" s="3"/>
      <c r="AP134" s="3"/>
      <c r="AQ134" s="3"/>
      <c r="AR134" s="3"/>
      <c r="AS134" s="241"/>
    </row>
    <row r="135" spans="1:45" s="59" customFormat="1">
      <c r="A135" s="43" t="s">
        <v>268</v>
      </c>
      <c r="C135" s="175"/>
      <c r="E135" s="176"/>
      <c r="F135" s="177"/>
      <c r="G135" s="178"/>
      <c r="H135" s="178"/>
      <c r="I135" s="178"/>
      <c r="J135" s="178"/>
      <c r="K135" s="179"/>
      <c r="L135" s="222"/>
      <c r="M135" s="174"/>
      <c r="N135" s="62">
        <v>1</v>
      </c>
      <c r="O135" s="174"/>
      <c r="P135" s="180"/>
      <c r="Q135" s="60"/>
      <c r="R135" s="68"/>
      <c r="S135" s="133"/>
      <c r="T135" s="133"/>
      <c r="U135" s="70"/>
      <c r="V135" s="70"/>
      <c r="W135"/>
      <c r="X135"/>
      <c r="Y135"/>
      <c r="Z135"/>
      <c r="AA135"/>
      <c r="AB135" s="61"/>
      <c r="AC135" s="3"/>
      <c r="AD135" s="3"/>
      <c r="AE135" s="3"/>
      <c r="AF135" s="3"/>
      <c r="AG135" s="3"/>
      <c r="AH135" s="159"/>
      <c r="AI135" s="241"/>
      <c r="AJ135" s="3"/>
      <c r="AK135" s="3"/>
      <c r="AL135" s="107"/>
      <c r="AM135" s="29"/>
      <c r="AN135" s="3"/>
      <c r="AO135" s="3"/>
      <c r="AP135" s="3"/>
      <c r="AQ135" s="3"/>
      <c r="AR135" s="3"/>
      <c r="AS135" s="241"/>
    </row>
    <row r="136" spans="1:45" s="129" customFormat="1">
      <c r="A136" s="42" t="s">
        <v>269</v>
      </c>
      <c r="B136" s="18" t="s">
        <v>8</v>
      </c>
      <c r="C136" s="161">
        <v>1</v>
      </c>
      <c r="D136" s="91" t="s">
        <v>2</v>
      </c>
      <c r="E136" s="162">
        <v>0</v>
      </c>
      <c r="F136" s="163">
        <f t="shared" ref="F136:F146" si="156">E136*C136</f>
        <v>0</v>
      </c>
      <c r="G136" s="164">
        <v>0</v>
      </c>
      <c r="H136" s="164">
        <v>0</v>
      </c>
      <c r="I136" s="164">
        <v>16</v>
      </c>
      <c r="J136" s="164">
        <v>24</v>
      </c>
      <c r="K136" s="334">
        <v>200</v>
      </c>
      <c r="L136" s="91" t="s">
        <v>7</v>
      </c>
      <c r="M136" s="162">
        <f t="shared" ref="M136:M146" si="157">IF(R136="PD",((Shop*G136)+(M_Tech*H136)+(CMM*I136)+(ENG*J136)+(DES*K136))*N136,((Shop_RD*G136)+(MTECH_RD*H136)+(CMM_RD*I136)+(ENG_RD*J136)+(DES_RD*K136))*N136)</f>
        <v>3600</v>
      </c>
      <c r="N136" s="87">
        <v>1</v>
      </c>
      <c r="O136" s="166">
        <f t="shared" ref="O136:O146" si="158">M136+(F136*N136)</f>
        <v>3600</v>
      </c>
      <c r="P136" s="166"/>
      <c r="Q136" s="46" t="s">
        <v>31</v>
      </c>
      <c r="R136" s="66" t="s">
        <v>154</v>
      </c>
      <c r="S136" s="133" t="str">
        <f t="shared" ref="S136:S146" si="159">CONCATENATE(Q136,R136,AB136)</f>
        <v>BPT2010</v>
      </c>
      <c r="T136" s="133" t="str">
        <f t="shared" ref="T136:T146" si="160">CONCATENATE(Q136,U136,AB136)</f>
        <v>B1.2.2.3.12010</v>
      </c>
      <c r="U136" s="133" t="s">
        <v>187</v>
      </c>
      <c r="V136" s="133" t="str">
        <f t="shared" ref="V136:V146" si="161">LOOKUP(U136,$B$345:$B$367,$A$345:$A$367)</f>
        <v>Infrastructure Test Cable</v>
      </c>
      <c r="W136" s="18"/>
      <c r="X136" s="18"/>
      <c r="Y136" s="18"/>
      <c r="Z136" s="18"/>
      <c r="AA136" s="18"/>
      <c r="AB136" s="30">
        <v>2010</v>
      </c>
      <c r="AC136" s="128">
        <f t="shared" ref="AC136:AG146" si="162">IF($Q136="B", (G136*$N136),0)</f>
        <v>0</v>
      </c>
      <c r="AD136" s="128">
        <f t="shared" si="162"/>
        <v>0</v>
      </c>
      <c r="AE136" s="128">
        <f t="shared" si="162"/>
        <v>16</v>
      </c>
      <c r="AF136" s="128">
        <f t="shared" si="162"/>
        <v>24</v>
      </c>
      <c r="AG136" s="128">
        <f t="shared" si="162"/>
        <v>200</v>
      </c>
      <c r="AH136" s="236">
        <f t="shared" ref="AH136:AH146" si="163">IF($Q136="B", (F136*$N136),0)</f>
        <v>0</v>
      </c>
      <c r="AI136" s="238"/>
      <c r="AJ136" s="244"/>
      <c r="AK136" s="244"/>
      <c r="AL136" s="162"/>
      <c r="AM136" s="127">
        <f t="shared" ref="AM136:AQ139" si="164">IF($Q136="C", (G136*$N136),0)</f>
        <v>0</v>
      </c>
      <c r="AN136" s="128">
        <f t="shared" si="164"/>
        <v>0</v>
      </c>
      <c r="AO136" s="128">
        <f t="shared" si="164"/>
        <v>0</v>
      </c>
      <c r="AP136" s="128">
        <f t="shared" si="164"/>
        <v>0</v>
      </c>
      <c r="AQ136" s="128">
        <f t="shared" si="164"/>
        <v>0</v>
      </c>
      <c r="AR136" s="128">
        <f t="shared" ref="AR136:AR146" si="165">IF($Q136="C", (F136*$N136),0)</f>
        <v>0</v>
      </c>
      <c r="AS136" s="238"/>
    </row>
    <row r="137" spans="1:45" s="129" customFormat="1">
      <c r="A137" s="42" t="s">
        <v>222</v>
      </c>
      <c r="B137" s="18" t="s">
        <v>8</v>
      </c>
      <c r="C137" s="161">
        <v>5</v>
      </c>
      <c r="D137" s="91" t="s">
        <v>2</v>
      </c>
      <c r="E137" s="162">
        <v>350</v>
      </c>
      <c r="F137" s="163">
        <f t="shared" si="156"/>
        <v>1750</v>
      </c>
      <c r="G137" s="164">
        <v>0</v>
      </c>
      <c r="H137" s="164">
        <v>0</v>
      </c>
      <c r="I137" s="164">
        <v>0</v>
      </c>
      <c r="J137" s="164">
        <v>8</v>
      </c>
      <c r="K137" s="334">
        <v>8</v>
      </c>
      <c r="L137" s="91" t="s">
        <v>7</v>
      </c>
      <c r="M137" s="162">
        <f t="shared" si="157"/>
        <v>1200</v>
      </c>
      <c r="N137" s="87">
        <v>1</v>
      </c>
      <c r="O137" s="166">
        <f t="shared" si="158"/>
        <v>2950</v>
      </c>
      <c r="P137" s="166"/>
      <c r="Q137" s="46" t="s">
        <v>31</v>
      </c>
      <c r="R137" s="66" t="s">
        <v>154</v>
      </c>
      <c r="S137" s="133" t="str">
        <f t="shared" si="159"/>
        <v>BPT2010</v>
      </c>
      <c r="T137" s="133" t="str">
        <f t="shared" si="160"/>
        <v>B1.2.2.3.12010</v>
      </c>
      <c r="U137" s="133" t="s">
        <v>187</v>
      </c>
      <c r="V137" s="133" t="str">
        <f t="shared" si="161"/>
        <v>Infrastructure Test Cable</v>
      </c>
      <c r="W137" s="18"/>
      <c r="X137" s="18"/>
      <c r="Y137" s="18"/>
      <c r="Z137" s="18"/>
      <c r="AA137" s="18"/>
      <c r="AB137" s="30">
        <v>2010</v>
      </c>
      <c r="AC137" s="128">
        <f t="shared" si="162"/>
        <v>0</v>
      </c>
      <c r="AD137" s="128">
        <f t="shared" si="162"/>
        <v>0</v>
      </c>
      <c r="AE137" s="128">
        <f t="shared" si="162"/>
        <v>0</v>
      </c>
      <c r="AF137" s="128">
        <f t="shared" si="162"/>
        <v>8</v>
      </c>
      <c r="AG137" s="128">
        <f t="shared" si="162"/>
        <v>8</v>
      </c>
      <c r="AH137" s="236">
        <f t="shared" si="163"/>
        <v>1750</v>
      </c>
      <c r="AI137" s="238"/>
      <c r="AJ137" s="244"/>
      <c r="AK137" s="244"/>
      <c r="AL137" s="162"/>
      <c r="AM137" s="127">
        <f t="shared" si="164"/>
        <v>0</v>
      </c>
      <c r="AN137" s="128">
        <f t="shared" si="164"/>
        <v>0</v>
      </c>
      <c r="AO137" s="128">
        <f t="shared" si="164"/>
        <v>0</v>
      </c>
      <c r="AP137" s="128">
        <f t="shared" si="164"/>
        <v>0</v>
      </c>
      <c r="AQ137" s="128">
        <f t="shared" si="164"/>
        <v>0</v>
      </c>
      <c r="AR137" s="128">
        <f t="shared" si="165"/>
        <v>0</v>
      </c>
      <c r="AS137" s="238"/>
    </row>
    <row r="138" spans="1:45" s="129" customFormat="1">
      <c r="A138" s="42" t="s">
        <v>426</v>
      </c>
      <c r="B138" s="18" t="s">
        <v>8</v>
      </c>
      <c r="C138" s="161">
        <v>5</v>
      </c>
      <c r="D138" s="91" t="s">
        <v>2</v>
      </c>
      <c r="E138" s="162">
        <v>600</v>
      </c>
      <c r="F138" s="163">
        <f>E138*C138</f>
        <v>3000</v>
      </c>
      <c r="G138" s="164">
        <v>0</v>
      </c>
      <c r="H138" s="164">
        <v>0</v>
      </c>
      <c r="I138" s="164">
        <v>0</v>
      </c>
      <c r="J138" s="164">
        <v>0</v>
      </c>
      <c r="K138" s="334">
        <v>80</v>
      </c>
      <c r="L138" s="91" t="s">
        <v>7</v>
      </c>
      <c r="M138" s="162">
        <f>IF(R138="PD",((Shop*G138)+(M_Tech*H138)+(CMM*I138)+(ENG*J138)+(DES*K138))*N138,((Shop_RD*G138)+(MTECH_RD*H138)+(CMM_RD*I138)+(ENG_RD*J138)+(DES_RD*K138))*N138)</f>
        <v>0</v>
      </c>
      <c r="N138" s="87">
        <v>1</v>
      </c>
      <c r="O138" s="166">
        <f>M138+(F138*N138)</f>
        <v>3000</v>
      </c>
      <c r="P138" s="166"/>
      <c r="Q138" s="46" t="s">
        <v>31</v>
      </c>
      <c r="R138" s="66" t="s">
        <v>154</v>
      </c>
      <c r="S138" s="133" t="str">
        <f>CONCATENATE(Q138,R138,AB138)</f>
        <v>BPT2010</v>
      </c>
      <c r="T138" s="133" t="str">
        <f>CONCATENATE(Q138,U138,AB138)</f>
        <v>B1.2.2.3.12010</v>
      </c>
      <c r="U138" s="133" t="s">
        <v>187</v>
      </c>
      <c r="V138" s="133" t="str">
        <f t="shared" si="161"/>
        <v>Infrastructure Test Cable</v>
      </c>
      <c r="W138" s="18"/>
      <c r="X138" s="18"/>
      <c r="Y138" s="18"/>
      <c r="Z138" s="18"/>
      <c r="AA138" s="18"/>
      <c r="AB138" s="30">
        <v>2010</v>
      </c>
      <c r="AC138" s="128">
        <f>IF($Q138="B", (G138*$N138),0)</f>
        <v>0</v>
      </c>
      <c r="AD138" s="128">
        <f>IF($Q138="B", (H138*$N138),0)</f>
        <v>0</v>
      </c>
      <c r="AE138" s="128">
        <f>IF($Q138="B", (I138*$N138),0)</f>
        <v>0</v>
      </c>
      <c r="AF138" s="128">
        <f>IF($Q138="B", (J138*$N138),0)</f>
        <v>0</v>
      </c>
      <c r="AG138" s="128">
        <f>IF($Q138="B", (K138*$N138),0)</f>
        <v>80</v>
      </c>
      <c r="AH138" s="236">
        <f>IF($Q138="B", (F138*$N138),0)</f>
        <v>3000</v>
      </c>
      <c r="AI138" s="238"/>
      <c r="AJ138" s="244"/>
      <c r="AK138" s="244"/>
      <c r="AL138" s="162"/>
      <c r="AM138" s="127">
        <f>IF($Q138="C", (G138*$N138),0)</f>
        <v>0</v>
      </c>
      <c r="AN138" s="128">
        <f>IF($Q138="C", (H138*$N138),0)</f>
        <v>0</v>
      </c>
      <c r="AO138" s="128">
        <f>IF($Q138="C", (I138*$N138),0)</f>
        <v>0</v>
      </c>
      <c r="AP138" s="128">
        <f>IF($Q138="C", (J138*$N138),0)</f>
        <v>0</v>
      </c>
      <c r="AQ138" s="128">
        <f>IF($Q138="C", (K138*$N138),0)</f>
        <v>0</v>
      </c>
      <c r="AR138" s="128">
        <f>IF($Q138="C", (F138*$N138),0)</f>
        <v>0</v>
      </c>
      <c r="AS138" s="238"/>
    </row>
    <row r="139" spans="1:45" s="129" customFormat="1">
      <c r="A139" s="42" t="s">
        <v>434</v>
      </c>
      <c r="B139" s="18" t="s">
        <v>8</v>
      </c>
      <c r="C139" s="161">
        <v>5</v>
      </c>
      <c r="D139" s="91" t="s">
        <v>2</v>
      </c>
      <c r="E139" s="162">
        <v>600</v>
      </c>
      <c r="F139" s="163">
        <f t="shared" si="156"/>
        <v>3000</v>
      </c>
      <c r="G139" s="164">
        <v>0</v>
      </c>
      <c r="H139" s="164">
        <v>60</v>
      </c>
      <c r="I139" s="164">
        <v>40</v>
      </c>
      <c r="J139" s="164">
        <v>0</v>
      </c>
      <c r="K139" s="334">
        <v>40</v>
      </c>
      <c r="L139" s="91" t="s">
        <v>7</v>
      </c>
      <c r="M139" s="162">
        <f t="shared" si="157"/>
        <v>7020</v>
      </c>
      <c r="N139" s="87">
        <v>1</v>
      </c>
      <c r="O139" s="166">
        <f t="shared" si="158"/>
        <v>10020</v>
      </c>
      <c r="P139" s="166"/>
      <c r="Q139" s="46" t="s">
        <v>31</v>
      </c>
      <c r="R139" s="66" t="s">
        <v>154</v>
      </c>
      <c r="S139" s="133" t="str">
        <f t="shared" si="159"/>
        <v>BPT2010</v>
      </c>
      <c r="T139" s="133" t="str">
        <f t="shared" si="160"/>
        <v>B1.2.2.3.12010</v>
      </c>
      <c r="U139" s="133" t="s">
        <v>187</v>
      </c>
      <c r="V139" s="133" t="str">
        <f t="shared" si="161"/>
        <v>Infrastructure Test Cable</v>
      </c>
      <c r="W139" s="18"/>
      <c r="X139" s="18"/>
      <c r="Y139" s="18"/>
      <c r="Z139" s="18"/>
      <c r="AA139" s="18"/>
      <c r="AB139" s="30">
        <v>2010</v>
      </c>
      <c r="AC139" s="128">
        <f t="shared" si="162"/>
        <v>0</v>
      </c>
      <c r="AD139" s="128">
        <f t="shared" si="162"/>
        <v>60</v>
      </c>
      <c r="AE139" s="128">
        <f t="shared" si="162"/>
        <v>40</v>
      </c>
      <c r="AF139" s="128">
        <f t="shared" si="162"/>
        <v>0</v>
      </c>
      <c r="AG139" s="128">
        <f t="shared" si="162"/>
        <v>40</v>
      </c>
      <c r="AH139" s="236">
        <f t="shared" si="163"/>
        <v>3000</v>
      </c>
      <c r="AI139" s="238"/>
      <c r="AJ139" s="244"/>
      <c r="AK139" s="244"/>
      <c r="AL139" s="162"/>
      <c r="AM139" s="127">
        <f t="shared" si="164"/>
        <v>0</v>
      </c>
      <c r="AN139" s="128">
        <f t="shared" si="164"/>
        <v>0</v>
      </c>
      <c r="AO139" s="128">
        <f t="shared" si="164"/>
        <v>0</v>
      </c>
      <c r="AP139" s="128">
        <f t="shared" si="164"/>
        <v>0</v>
      </c>
      <c r="AQ139" s="128">
        <f t="shared" si="164"/>
        <v>0</v>
      </c>
      <c r="AR139" s="128">
        <f t="shared" si="165"/>
        <v>0</v>
      </c>
      <c r="AS139" s="238"/>
    </row>
    <row r="140" spans="1:45" s="129" customFormat="1">
      <c r="A140" s="42" t="s">
        <v>270</v>
      </c>
      <c r="B140" s="18" t="s">
        <v>8</v>
      </c>
      <c r="C140" s="161">
        <v>1</v>
      </c>
      <c r="D140" s="91" t="s">
        <v>8</v>
      </c>
      <c r="E140" s="162">
        <v>0</v>
      </c>
      <c r="F140" s="163">
        <f t="shared" si="156"/>
        <v>0</v>
      </c>
      <c r="G140" s="164">
        <v>0</v>
      </c>
      <c r="H140" s="164">
        <v>0</v>
      </c>
      <c r="I140" s="164">
        <v>16</v>
      </c>
      <c r="J140" s="164">
        <v>8</v>
      </c>
      <c r="K140" s="334">
        <v>124</v>
      </c>
      <c r="L140" s="91" t="s">
        <v>7</v>
      </c>
      <c r="M140" s="162">
        <f t="shared" si="157"/>
        <v>1200</v>
      </c>
      <c r="N140" s="87">
        <v>1</v>
      </c>
      <c r="O140" s="166">
        <f t="shared" si="158"/>
        <v>1200</v>
      </c>
      <c r="P140" s="166"/>
      <c r="Q140" s="46" t="s">
        <v>31</v>
      </c>
      <c r="R140" s="66" t="s">
        <v>154</v>
      </c>
      <c r="S140" s="133" t="str">
        <f t="shared" si="159"/>
        <v>BPT2010</v>
      </c>
      <c r="T140" s="133" t="str">
        <f t="shared" si="160"/>
        <v>B1.2.2.3.12010</v>
      </c>
      <c r="U140" s="133" t="s">
        <v>187</v>
      </c>
      <c r="V140" s="133" t="str">
        <f t="shared" si="161"/>
        <v>Infrastructure Test Cable</v>
      </c>
      <c r="W140" s="18"/>
      <c r="X140" s="18"/>
      <c r="Y140" s="18"/>
      <c r="Z140" s="18"/>
      <c r="AA140" s="18"/>
      <c r="AB140" s="30">
        <v>2010</v>
      </c>
      <c r="AC140" s="128">
        <f t="shared" si="162"/>
        <v>0</v>
      </c>
      <c r="AD140" s="128">
        <f t="shared" si="162"/>
        <v>0</v>
      </c>
      <c r="AE140" s="128">
        <f t="shared" si="162"/>
        <v>16</v>
      </c>
      <c r="AF140" s="128">
        <f t="shared" si="162"/>
        <v>8</v>
      </c>
      <c r="AG140" s="128">
        <f t="shared" si="162"/>
        <v>124</v>
      </c>
      <c r="AH140" s="236">
        <f t="shared" si="163"/>
        <v>0</v>
      </c>
      <c r="AI140" s="238"/>
      <c r="AJ140" s="244"/>
      <c r="AK140" s="244"/>
      <c r="AL140" s="162"/>
      <c r="AM140" s="127">
        <f t="shared" ref="AM140:AQ146" si="166">IF($Q140="C", (G140*$N140),0)</f>
        <v>0</v>
      </c>
      <c r="AN140" s="128">
        <f t="shared" si="166"/>
        <v>0</v>
      </c>
      <c r="AO140" s="128">
        <f t="shared" si="166"/>
        <v>0</v>
      </c>
      <c r="AP140" s="128">
        <f t="shared" si="166"/>
        <v>0</v>
      </c>
      <c r="AQ140" s="128">
        <f t="shared" si="166"/>
        <v>0</v>
      </c>
      <c r="AR140" s="128">
        <f t="shared" si="165"/>
        <v>0</v>
      </c>
      <c r="AS140" s="238"/>
    </row>
    <row r="141" spans="1:45" s="129" customFormat="1">
      <c r="A141" s="42" t="s">
        <v>271</v>
      </c>
      <c r="B141" s="18" t="s">
        <v>8</v>
      </c>
      <c r="C141" s="161">
        <v>5</v>
      </c>
      <c r="D141" s="91" t="s">
        <v>8</v>
      </c>
      <c r="E141" s="162">
        <v>350</v>
      </c>
      <c r="F141" s="163">
        <f t="shared" si="156"/>
        <v>1750</v>
      </c>
      <c r="G141" s="164">
        <v>0</v>
      </c>
      <c r="H141" s="164">
        <v>0</v>
      </c>
      <c r="I141" s="164">
        <v>0</v>
      </c>
      <c r="J141" s="164">
        <v>0</v>
      </c>
      <c r="K141" s="334">
        <v>24</v>
      </c>
      <c r="L141" s="91" t="s">
        <v>7</v>
      </c>
      <c r="M141" s="162">
        <f t="shared" si="157"/>
        <v>0</v>
      </c>
      <c r="N141" s="87">
        <v>1</v>
      </c>
      <c r="O141" s="166">
        <f t="shared" si="158"/>
        <v>1750</v>
      </c>
      <c r="P141" s="166"/>
      <c r="Q141" s="46" t="s">
        <v>31</v>
      </c>
      <c r="R141" s="66" t="s">
        <v>154</v>
      </c>
      <c r="S141" s="133" t="str">
        <f t="shared" si="159"/>
        <v>BPT2010</v>
      </c>
      <c r="T141" s="133" t="str">
        <f t="shared" si="160"/>
        <v>B1.2.2.3.12010</v>
      </c>
      <c r="U141" s="133" t="s">
        <v>187</v>
      </c>
      <c r="V141" s="133" t="str">
        <f t="shared" si="161"/>
        <v>Infrastructure Test Cable</v>
      </c>
      <c r="W141" s="18"/>
      <c r="X141" s="18"/>
      <c r="Y141" s="18"/>
      <c r="Z141" s="18"/>
      <c r="AA141" s="18"/>
      <c r="AB141" s="30">
        <v>2010</v>
      </c>
      <c r="AC141" s="128">
        <f t="shared" si="162"/>
        <v>0</v>
      </c>
      <c r="AD141" s="128">
        <f t="shared" si="162"/>
        <v>0</v>
      </c>
      <c r="AE141" s="128">
        <f t="shared" si="162"/>
        <v>0</v>
      </c>
      <c r="AF141" s="128">
        <f t="shared" si="162"/>
        <v>0</v>
      </c>
      <c r="AG141" s="128">
        <f t="shared" si="162"/>
        <v>24</v>
      </c>
      <c r="AH141" s="236">
        <f t="shared" si="163"/>
        <v>1750</v>
      </c>
      <c r="AI141" s="238"/>
      <c r="AJ141" s="244"/>
      <c r="AK141" s="244"/>
      <c r="AL141" s="162"/>
      <c r="AM141" s="127">
        <f t="shared" si="166"/>
        <v>0</v>
      </c>
      <c r="AN141" s="128">
        <f t="shared" si="166"/>
        <v>0</v>
      </c>
      <c r="AO141" s="128">
        <f t="shared" si="166"/>
        <v>0</v>
      </c>
      <c r="AP141" s="128">
        <f t="shared" si="166"/>
        <v>0</v>
      </c>
      <c r="AQ141" s="128">
        <f t="shared" si="166"/>
        <v>0</v>
      </c>
      <c r="AR141" s="128">
        <f t="shared" si="165"/>
        <v>0</v>
      </c>
      <c r="AS141" s="238"/>
    </row>
    <row r="142" spans="1:45" s="129" customFormat="1">
      <c r="A142" s="42" t="s">
        <v>272</v>
      </c>
      <c r="B142" s="18" t="s">
        <v>8</v>
      </c>
      <c r="C142" s="161">
        <v>1</v>
      </c>
      <c r="D142" s="91" t="s">
        <v>8</v>
      </c>
      <c r="E142" s="162">
        <v>0</v>
      </c>
      <c r="F142" s="163">
        <f>E142*C142</f>
        <v>0</v>
      </c>
      <c r="G142" s="164">
        <v>0</v>
      </c>
      <c r="H142" s="164">
        <v>60</v>
      </c>
      <c r="I142" s="164">
        <v>0</v>
      </c>
      <c r="J142" s="164">
        <v>0</v>
      </c>
      <c r="K142" s="334">
        <v>80</v>
      </c>
      <c r="L142" s="91" t="s">
        <v>7</v>
      </c>
      <c r="M142" s="162">
        <f>IF(R142="PD",((Shop*G142)+(M_Tech*H142)+(CMM*I142)+(ENG*J142)+(DES*K142))*N142,((Shop_RD*G142)+(MTECH_RD*H142)+(CMM_RD*I142)+(ENG_RD*J142)+(DES_RD*K142))*N142)</f>
        <v>7020</v>
      </c>
      <c r="N142" s="87">
        <v>1</v>
      </c>
      <c r="O142" s="166">
        <f>M142+(F142*N142)</f>
        <v>7020</v>
      </c>
      <c r="P142" s="166"/>
      <c r="Q142" s="46" t="s">
        <v>31</v>
      </c>
      <c r="R142" s="66" t="s">
        <v>154</v>
      </c>
      <c r="S142" s="133" t="str">
        <f>CONCATENATE(Q142,R142,AB142)</f>
        <v>BPT2010</v>
      </c>
      <c r="T142" s="133" t="str">
        <f>CONCATENATE(Q142,U142,AB142)</f>
        <v>B1.2.2.3.12010</v>
      </c>
      <c r="U142" s="133" t="s">
        <v>187</v>
      </c>
      <c r="V142" s="133" t="str">
        <f t="shared" si="161"/>
        <v>Infrastructure Test Cable</v>
      </c>
      <c r="W142" s="18"/>
      <c r="X142" s="18"/>
      <c r="Y142" s="18"/>
      <c r="Z142" s="18"/>
      <c r="AA142" s="18"/>
      <c r="AB142" s="30">
        <v>2010</v>
      </c>
      <c r="AC142" s="128">
        <f>IF($Q142="B", (G142*$N142),0)</f>
        <v>0</v>
      </c>
      <c r="AD142" s="128">
        <f>IF($Q142="B", (H142*$N142),0)</f>
        <v>60</v>
      </c>
      <c r="AE142" s="128">
        <f>IF($Q142="B", (I142*$N142),0)</f>
        <v>0</v>
      </c>
      <c r="AF142" s="128">
        <f>IF($Q142="B", (J142*$N142),0)</f>
        <v>0</v>
      </c>
      <c r="AG142" s="128">
        <f>IF($Q142="B", (K142*$N142),0)</f>
        <v>80</v>
      </c>
      <c r="AH142" s="236">
        <f>IF($Q142="B", (F142*$N142),0)</f>
        <v>0</v>
      </c>
      <c r="AI142" s="238"/>
      <c r="AJ142" s="244"/>
      <c r="AK142" s="244"/>
      <c r="AL142" s="162"/>
      <c r="AM142" s="127">
        <f>IF($Q142="C", (G142*$N142),0)</f>
        <v>0</v>
      </c>
      <c r="AN142" s="128">
        <f>IF($Q142="C", (H142*$N142),0)</f>
        <v>0</v>
      </c>
      <c r="AO142" s="128">
        <f>IF($Q142="C", (I142*$N142),0)</f>
        <v>0</v>
      </c>
      <c r="AP142" s="128">
        <f>IF($Q142="C", (J142*$N142),0)</f>
        <v>0</v>
      </c>
      <c r="AQ142" s="128">
        <f>IF($Q142="C", (K142*$N142),0)</f>
        <v>0</v>
      </c>
      <c r="AR142" s="128">
        <f>IF($Q142="C", (F142*$N142),0)</f>
        <v>0</v>
      </c>
      <c r="AS142" s="238"/>
    </row>
    <row r="143" spans="1:45" s="129" customFormat="1">
      <c r="A143" s="42" t="s">
        <v>273</v>
      </c>
      <c r="B143" s="18" t="s">
        <v>8</v>
      </c>
      <c r="C143" s="161">
        <v>1</v>
      </c>
      <c r="D143" s="91" t="s">
        <v>8</v>
      </c>
      <c r="E143" s="162">
        <v>0</v>
      </c>
      <c r="F143" s="163">
        <f t="shared" si="156"/>
        <v>0</v>
      </c>
      <c r="G143" s="164">
        <v>0</v>
      </c>
      <c r="H143" s="164">
        <v>0</v>
      </c>
      <c r="I143" s="164">
        <v>120</v>
      </c>
      <c r="J143" s="164">
        <v>24</v>
      </c>
      <c r="K143" s="334">
        <v>80</v>
      </c>
      <c r="L143" s="91" t="s">
        <v>7</v>
      </c>
      <c r="M143" s="162">
        <f t="shared" si="157"/>
        <v>3600</v>
      </c>
      <c r="N143" s="87">
        <v>1</v>
      </c>
      <c r="O143" s="166">
        <f t="shared" si="158"/>
        <v>3600</v>
      </c>
      <c r="P143" s="166"/>
      <c r="Q143" s="46" t="s">
        <v>31</v>
      </c>
      <c r="R143" s="66" t="s">
        <v>154</v>
      </c>
      <c r="S143" s="133" t="str">
        <f t="shared" si="159"/>
        <v>BPT2010</v>
      </c>
      <c r="T143" s="133" t="str">
        <f t="shared" si="160"/>
        <v>B1.2.2.3.12010</v>
      </c>
      <c r="U143" s="133" t="s">
        <v>187</v>
      </c>
      <c r="V143" s="133" t="str">
        <f t="shared" si="161"/>
        <v>Infrastructure Test Cable</v>
      </c>
      <c r="W143" s="18"/>
      <c r="X143" s="18"/>
      <c r="Y143" s="18"/>
      <c r="Z143" s="18"/>
      <c r="AA143" s="18"/>
      <c r="AB143" s="30">
        <v>2010</v>
      </c>
      <c r="AC143" s="128">
        <f t="shared" si="162"/>
        <v>0</v>
      </c>
      <c r="AD143" s="128">
        <f t="shared" si="162"/>
        <v>0</v>
      </c>
      <c r="AE143" s="128">
        <f t="shared" si="162"/>
        <v>120</v>
      </c>
      <c r="AF143" s="128">
        <f t="shared" si="162"/>
        <v>24</v>
      </c>
      <c r="AG143" s="128">
        <f t="shared" si="162"/>
        <v>80</v>
      </c>
      <c r="AH143" s="236">
        <f t="shared" si="163"/>
        <v>0</v>
      </c>
      <c r="AI143" s="238"/>
      <c r="AJ143" s="244"/>
      <c r="AK143" s="244"/>
      <c r="AL143" s="162"/>
      <c r="AM143" s="127">
        <f t="shared" si="166"/>
        <v>0</v>
      </c>
      <c r="AN143" s="128">
        <f t="shared" si="166"/>
        <v>0</v>
      </c>
      <c r="AO143" s="128">
        <f t="shared" si="166"/>
        <v>0</v>
      </c>
      <c r="AP143" s="128">
        <f t="shared" si="166"/>
        <v>0</v>
      </c>
      <c r="AQ143" s="128">
        <f t="shared" si="166"/>
        <v>0</v>
      </c>
      <c r="AR143" s="128">
        <f t="shared" si="165"/>
        <v>0</v>
      </c>
      <c r="AS143" s="238"/>
    </row>
    <row r="144" spans="1:45" s="129" customFormat="1">
      <c r="A144" s="42" t="s">
        <v>252</v>
      </c>
      <c r="B144" s="18" t="s">
        <v>8</v>
      </c>
      <c r="C144" s="161">
        <v>1</v>
      </c>
      <c r="D144" s="91" t="s">
        <v>8</v>
      </c>
      <c r="E144" s="162">
        <v>700</v>
      </c>
      <c r="F144" s="163">
        <f t="shared" si="156"/>
        <v>700</v>
      </c>
      <c r="G144" s="164">
        <v>0</v>
      </c>
      <c r="H144" s="164">
        <v>16</v>
      </c>
      <c r="I144" s="164">
        <v>24</v>
      </c>
      <c r="J144" s="164">
        <v>8</v>
      </c>
      <c r="K144" s="334">
        <v>24</v>
      </c>
      <c r="L144" s="91" t="s">
        <v>7</v>
      </c>
      <c r="M144" s="162">
        <f t="shared" si="157"/>
        <v>3072</v>
      </c>
      <c r="N144" s="87">
        <v>1</v>
      </c>
      <c r="O144" s="166">
        <f t="shared" si="158"/>
        <v>3772</v>
      </c>
      <c r="P144" s="166"/>
      <c r="Q144" s="46" t="s">
        <v>31</v>
      </c>
      <c r="R144" s="66" t="s">
        <v>154</v>
      </c>
      <c r="S144" s="133" t="str">
        <f t="shared" si="159"/>
        <v>BPT2010</v>
      </c>
      <c r="T144" s="133" t="str">
        <f t="shared" si="160"/>
        <v>B1.2.2.3.12010</v>
      </c>
      <c r="U144" s="133" t="s">
        <v>187</v>
      </c>
      <c r="V144" s="133" t="str">
        <f t="shared" si="161"/>
        <v>Infrastructure Test Cable</v>
      </c>
      <c r="W144" s="18"/>
      <c r="X144" s="18"/>
      <c r="Y144" s="18"/>
      <c r="Z144" s="18"/>
      <c r="AA144" s="18"/>
      <c r="AB144" s="30">
        <v>2010</v>
      </c>
      <c r="AC144" s="128">
        <f t="shared" si="162"/>
        <v>0</v>
      </c>
      <c r="AD144" s="128">
        <f t="shared" si="162"/>
        <v>16</v>
      </c>
      <c r="AE144" s="128">
        <f t="shared" si="162"/>
        <v>24</v>
      </c>
      <c r="AF144" s="128">
        <f t="shared" si="162"/>
        <v>8</v>
      </c>
      <c r="AG144" s="128">
        <f t="shared" si="162"/>
        <v>24</v>
      </c>
      <c r="AH144" s="236">
        <f t="shared" si="163"/>
        <v>700</v>
      </c>
      <c r="AI144" s="238"/>
      <c r="AJ144" s="244"/>
      <c r="AK144" s="244"/>
      <c r="AL144" s="162"/>
      <c r="AM144" s="127">
        <f t="shared" si="166"/>
        <v>0</v>
      </c>
      <c r="AN144" s="128">
        <f t="shared" si="166"/>
        <v>0</v>
      </c>
      <c r="AO144" s="128">
        <f t="shared" si="166"/>
        <v>0</v>
      </c>
      <c r="AP144" s="128">
        <f t="shared" si="166"/>
        <v>0</v>
      </c>
      <c r="AQ144" s="128">
        <f t="shared" si="166"/>
        <v>0</v>
      </c>
      <c r="AR144" s="128">
        <f t="shared" si="165"/>
        <v>0</v>
      </c>
      <c r="AS144" s="238"/>
    </row>
    <row r="145" spans="1:45" s="129" customFormat="1">
      <c r="A145" s="42" t="s">
        <v>274</v>
      </c>
      <c r="B145" s="18" t="s">
        <v>8</v>
      </c>
      <c r="C145" s="161">
        <v>1</v>
      </c>
      <c r="D145" s="91" t="s">
        <v>8</v>
      </c>
      <c r="E145" s="162">
        <v>0</v>
      </c>
      <c r="F145" s="163">
        <f>E145*C145</f>
        <v>0</v>
      </c>
      <c r="G145" s="164">
        <v>0</v>
      </c>
      <c r="H145" s="164">
        <v>0</v>
      </c>
      <c r="I145" s="164">
        <v>180</v>
      </c>
      <c r="J145" s="164">
        <v>24</v>
      </c>
      <c r="K145" s="334">
        <v>80</v>
      </c>
      <c r="L145" s="91" t="s">
        <v>7</v>
      </c>
      <c r="M145" s="162">
        <f>IF(R145="PD",((Shop*G145)+(M_Tech*H145)+(CMM*I145)+(ENG*J145)+(DES*K145))*N145,((Shop_RD*G145)+(MTECH_RD*H145)+(CMM_RD*I145)+(ENG_RD*J145)+(DES_RD*K145))*N145)</f>
        <v>3600</v>
      </c>
      <c r="N145" s="87">
        <v>1</v>
      </c>
      <c r="O145" s="166">
        <f>M145+(F145*N145)</f>
        <v>3600</v>
      </c>
      <c r="P145" s="166"/>
      <c r="Q145" s="46" t="s">
        <v>31</v>
      </c>
      <c r="R145" s="66" t="s">
        <v>154</v>
      </c>
      <c r="S145" s="133" t="str">
        <f>CONCATENATE(Q145,R145,AB145)</f>
        <v>BPT2010</v>
      </c>
      <c r="T145" s="133" t="str">
        <f>CONCATENATE(Q145,U145,AB145)</f>
        <v>B1.2.2.3.12010</v>
      </c>
      <c r="U145" s="133" t="s">
        <v>187</v>
      </c>
      <c r="V145" s="133" t="str">
        <f t="shared" si="161"/>
        <v>Infrastructure Test Cable</v>
      </c>
      <c r="W145" s="18"/>
      <c r="X145" s="18"/>
      <c r="Y145" s="18"/>
      <c r="Z145" s="18"/>
      <c r="AA145" s="18"/>
      <c r="AB145" s="30">
        <v>2010</v>
      </c>
      <c r="AC145" s="128">
        <f>IF($Q145="B", (G145*$N145),0)</f>
        <v>0</v>
      </c>
      <c r="AD145" s="128">
        <f>IF($Q145="B", (H145*$N145),0)</f>
        <v>0</v>
      </c>
      <c r="AE145" s="128">
        <f>IF($Q145="B", (I145*$N145),0)</f>
        <v>180</v>
      </c>
      <c r="AF145" s="128">
        <f>IF($Q145="B", (J145*$N145),0)</f>
        <v>24</v>
      </c>
      <c r="AG145" s="128">
        <f>IF($Q145="B", (K145*$N145),0)</f>
        <v>80</v>
      </c>
      <c r="AH145" s="236">
        <f>IF($Q145="B", (F145*$N145),0)</f>
        <v>0</v>
      </c>
      <c r="AI145" s="238"/>
      <c r="AJ145" s="244"/>
      <c r="AK145" s="244"/>
      <c r="AL145" s="162"/>
      <c r="AM145" s="127">
        <f>IF($Q145="C", (G145*$N145),0)</f>
        <v>0</v>
      </c>
      <c r="AN145" s="128">
        <f>IF($Q145="C", (H145*$N145),0)</f>
        <v>0</v>
      </c>
      <c r="AO145" s="128">
        <f>IF($Q145="C", (I145*$N145),0)</f>
        <v>0</v>
      </c>
      <c r="AP145" s="128">
        <f>IF($Q145="C", (J145*$N145),0)</f>
        <v>0</v>
      </c>
      <c r="AQ145" s="128">
        <f>IF($Q145="C", (K145*$N145),0)</f>
        <v>0</v>
      </c>
      <c r="AR145" s="128">
        <f>IF($Q145="C", (F145*$N145),0)</f>
        <v>0</v>
      </c>
      <c r="AS145" s="238"/>
    </row>
    <row r="146" spans="1:45" s="129" customFormat="1">
      <c r="A146" s="42" t="s">
        <v>349</v>
      </c>
      <c r="B146" s="18" t="s">
        <v>8</v>
      </c>
      <c r="C146" s="161">
        <v>1</v>
      </c>
      <c r="D146" s="91" t="s">
        <v>8</v>
      </c>
      <c r="E146" s="162">
        <v>1500</v>
      </c>
      <c r="F146" s="163">
        <f t="shared" si="156"/>
        <v>1500</v>
      </c>
      <c r="G146" s="164">
        <v>0</v>
      </c>
      <c r="H146" s="164">
        <v>24</v>
      </c>
      <c r="I146" s="164">
        <v>0</v>
      </c>
      <c r="J146" s="164">
        <v>4</v>
      </c>
      <c r="K146" s="334">
        <v>0</v>
      </c>
      <c r="L146" s="91" t="s">
        <v>7</v>
      </c>
      <c r="M146" s="162">
        <f t="shared" si="157"/>
        <v>3408</v>
      </c>
      <c r="N146" s="87">
        <v>1</v>
      </c>
      <c r="O146" s="166">
        <f t="shared" si="158"/>
        <v>4908</v>
      </c>
      <c r="P146" s="166"/>
      <c r="Q146" s="46" t="s">
        <v>32</v>
      </c>
      <c r="R146" s="66" t="s">
        <v>154</v>
      </c>
      <c r="S146" s="133" t="str">
        <f t="shared" si="159"/>
        <v>CPT2010</v>
      </c>
      <c r="T146" s="133" t="str">
        <f t="shared" si="160"/>
        <v>C1.2.2.3.12010</v>
      </c>
      <c r="U146" s="133" t="s">
        <v>187</v>
      </c>
      <c r="V146" s="133" t="str">
        <f t="shared" si="161"/>
        <v>Infrastructure Test Cable</v>
      </c>
      <c r="W146" s="18"/>
      <c r="X146" s="18"/>
      <c r="Y146" s="18"/>
      <c r="Z146" s="18"/>
      <c r="AA146" s="18"/>
      <c r="AB146" s="30">
        <v>2010</v>
      </c>
      <c r="AC146" s="128">
        <f t="shared" si="162"/>
        <v>0</v>
      </c>
      <c r="AD146" s="128">
        <f t="shared" si="162"/>
        <v>0</v>
      </c>
      <c r="AE146" s="128">
        <f t="shared" si="162"/>
        <v>0</v>
      </c>
      <c r="AF146" s="128">
        <f t="shared" si="162"/>
        <v>0</v>
      </c>
      <c r="AG146" s="128">
        <f t="shared" si="162"/>
        <v>0</v>
      </c>
      <c r="AH146" s="236">
        <f t="shared" si="163"/>
        <v>0</v>
      </c>
      <c r="AI146" s="238"/>
      <c r="AJ146" s="244"/>
      <c r="AK146" s="244"/>
      <c r="AL146" s="162"/>
      <c r="AM146" s="127">
        <f t="shared" si="166"/>
        <v>0</v>
      </c>
      <c r="AN146" s="128">
        <f t="shared" si="166"/>
        <v>24</v>
      </c>
      <c r="AO146" s="128">
        <f t="shared" si="166"/>
        <v>0</v>
      </c>
      <c r="AP146" s="128">
        <f t="shared" si="166"/>
        <v>4</v>
      </c>
      <c r="AQ146" s="128">
        <f t="shared" si="166"/>
        <v>0</v>
      </c>
      <c r="AR146" s="128">
        <f t="shared" si="165"/>
        <v>1500</v>
      </c>
      <c r="AS146" s="238"/>
    </row>
    <row r="147" spans="1:45" s="42" customFormat="1">
      <c r="A147" s="43" t="s">
        <v>190</v>
      </c>
      <c r="C147" s="181"/>
      <c r="E147" s="182"/>
      <c r="F147" s="183"/>
      <c r="G147" s="184"/>
      <c r="H147" s="184"/>
      <c r="I147" s="184"/>
      <c r="J147" s="184"/>
      <c r="K147" s="335"/>
      <c r="L147" s="222" t="s">
        <v>43</v>
      </c>
      <c r="M147" s="174">
        <f>SUMIF(Q136:Q146,"B",M136:M146)</f>
        <v>30312</v>
      </c>
      <c r="N147" s="62" t="s">
        <v>43</v>
      </c>
      <c r="O147" s="174"/>
      <c r="P147" s="186"/>
      <c r="Q147" s="60"/>
      <c r="R147" s="68"/>
      <c r="S147" s="133"/>
      <c r="T147" s="133"/>
      <c r="U147" s="70"/>
      <c r="V147" s="70"/>
      <c r="W147" s="18"/>
      <c r="X147" s="18"/>
      <c r="Y147" s="18"/>
      <c r="Z147" s="18"/>
      <c r="AA147" s="18"/>
      <c r="AB147" s="30"/>
      <c r="AC147" s="128"/>
      <c r="AD147" s="128"/>
      <c r="AE147" s="128"/>
      <c r="AF147" s="128"/>
      <c r="AG147" s="128"/>
      <c r="AH147" s="236"/>
      <c r="AI147" s="237"/>
      <c r="AJ147" s="128"/>
      <c r="AK147" s="128"/>
      <c r="AL147" s="162"/>
      <c r="AM147" s="127"/>
      <c r="AN147" s="128"/>
      <c r="AO147" s="128"/>
      <c r="AP147" s="128"/>
      <c r="AQ147" s="128"/>
      <c r="AR147" s="128"/>
      <c r="AS147" s="237"/>
    </row>
    <row r="148" spans="1:45" s="129" customFormat="1">
      <c r="A148" s="42" t="s">
        <v>269</v>
      </c>
      <c r="B148" s="18" t="s">
        <v>8</v>
      </c>
      <c r="C148" s="161">
        <v>1</v>
      </c>
      <c r="D148" s="91" t="s">
        <v>8</v>
      </c>
      <c r="E148" s="162">
        <v>0</v>
      </c>
      <c r="F148" s="163">
        <f t="shared" ref="F148:F157" si="167">E148*C148</f>
        <v>0</v>
      </c>
      <c r="G148" s="164">
        <v>0</v>
      </c>
      <c r="H148" s="164">
        <v>0</v>
      </c>
      <c r="I148" s="164">
        <v>16</v>
      </c>
      <c r="J148" s="164">
        <v>16</v>
      </c>
      <c r="K148" s="334">
        <v>160</v>
      </c>
      <c r="L148" s="91" t="s">
        <v>7</v>
      </c>
      <c r="M148" s="162">
        <f t="shared" ref="M148:M157" si="168">IF(R148="PD",((Shop*G148)+(M_Tech*H148)+(CMM*I148)+(ENG*J148)+(DES*K148))*N148,((Shop_RD*G148)+(MTECH_RD*H148)+(CMM_RD*I148)+(ENG_RD*J148)+(DES_RD*K148))*N148)</f>
        <v>2400</v>
      </c>
      <c r="N148" s="87">
        <v>1</v>
      </c>
      <c r="O148" s="166">
        <f t="shared" ref="O148:O157" si="169">M148+(F148*N148)</f>
        <v>2400</v>
      </c>
      <c r="P148" s="166"/>
      <c r="Q148" s="46" t="s">
        <v>31</v>
      </c>
      <c r="R148" s="66" t="s">
        <v>154</v>
      </c>
      <c r="S148" s="133" t="str">
        <f t="shared" ref="S148:S157" si="170">CONCATENATE(Q148,R148,AB148)</f>
        <v>BPT2010</v>
      </c>
      <c r="T148" s="133" t="str">
        <f t="shared" ref="T148:T157" si="171">CONCATENATE(Q148,U148,AB148)</f>
        <v>B1.2.2.3.22010</v>
      </c>
      <c r="U148" s="133" t="s">
        <v>189</v>
      </c>
      <c r="V148" s="133" t="str">
        <f t="shared" ref="V148:V157" si="172">LOOKUP(U148,$B$345:$B$367,$A$345:$A$367)</f>
        <v>Prototype Ladder Cable (FR-4)</v>
      </c>
      <c r="W148" s="18"/>
      <c r="X148" s="18"/>
      <c r="Y148" s="18"/>
      <c r="Z148" s="18"/>
      <c r="AA148" s="18"/>
      <c r="AB148" s="30">
        <v>2010</v>
      </c>
      <c r="AC148" s="128">
        <f t="shared" ref="AC148:AG157" si="173">IF($Q148="B", (G148*$N148),0)</f>
        <v>0</v>
      </c>
      <c r="AD148" s="128">
        <f t="shared" si="173"/>
        <v>0</v>
      </c>
      <c r="AE148" s="128">
        <f t="shared" si="173"/>
        <v>16</v>
      </c>
      <c r="AF148" s="128">
        <f t="shared" si="173"/>
        <v>16</v>
      </c>
      <c r="AG148" s="128">
        <f t="shared" si="173"/>
        <v>160</v>
      </c>
      <c r="AH148" s="236">
        <f t="shared" ref="AH148:AH157" si="174">IF($Q148="B", (F148*$N148),0)</f>
        <v>0</v>
      </c>
      <c r="AI148" s="238"/>
      <c r="AJ148" s="244"/>
      <c r="AK148" s="244"/>
      <c r="AL148" s="162"/>
      <c r="AM148" s="127">
        <f>IF($Q148="C", (G148*$N148),0)</f>
        <v>0</v>
      </c>
      <c r="AN148" s="128">
        <f>IF($Q148="C", (H148*$N148),0)</f>
        <v>0</v>
      </c>
      <c r="AO148" s="128">
        <f>IF($Q148="C", (I148*$N148),0)</f>
        <v>0</v>
      </c>
      <c r="AP148" s="128">
        <f>IF($Q148="C", (J148*$N148),0)</f>
        <v>0</v>
      </c>
      <c r="AQ148" s="128">
        <f>IF($Q148="C", (K148*$N148),0)</f>
        <v>0</v>
      </c>
      <c r="AR148" s="128">
        <f t="shared" ref="AR148:AR157" si="175">IF($Q148="C", (F148*$N148),0)</f>
        <v>0</v>
      </c>
      <c r="AS148" s="238"/>
    </row>
    <row r="149" spans="1:45" s="129" customFormat="1">
      <c r="A149" s="42" t="s">
        <v>222</v>
      </c>
      <c r="B149" s="18" t="s">
        <v>8</v>
      </c>
      <c r="C149" s="161">
        <v>5</v>
      </c>
      <c r="D149" s="91" t="s">
        <v>2</v>
      </c>
      <c r="E149" s="162">
        <v>200</v>
      </c>
      <c r="F149" s="163">
        <f t="shared" si="167"/>
        <v>1000</v>
      </c>
      <c r="G149" s="164">
        <v>0</v>
      </c>
      <c r="H149" s="164">
        <v>0</v>
      </c>
      <c r="I149" s="164">
        <v>0</v>
      </c>
      <c r="J149" s="164">
        <v>0</v>
      </c>
      <c r="K149" s="334">
        <v>16</v>
      </c>
      <c r="L149" s="91" t="s">
        <v>7</v>
      </c>
      <c r="M149" s="162">
        <f t="shared" si="168"/>
        <v>0</v>
      </c>
      <c r="N149" s="87">
        <v>1</v>
      </c>
      <c r="O149" s="166">
        <f t="shared" si="169"/>
        <v>1000</v>
      </c>
      <c r="P149" s="166"/>
      <c r="Q149" s="46" t="s">
        <v>31</v>
      </c>
      <c r="R149" s="66" t="s">
        <v>154</v>
      </c>
      <c r="S149" s="133" t="str">
        <f t="shared" si="170"/>
        <v>BPT2010</v>
      </c>
      <c r="T149" s="133" t="str">
        <f t="shared" si="171"/>
        <v>B1.2.2.3.22010</v>
      </c>
      <c r="U149" s="133" t="s">
        <v>189</v>
      </c>
      <c r="V149" s="133" t="str">
        <f t="shared" si="172"/>
        <v>Prototype Ladder Cable (FR-4)</v>
      </c>
      <c r="W149" s="18"/>
      <c r="X149" s="18"/>
      <c r="Y149" s="18"/>
      <c r="Z149" s="18"/>
      <c r="AA149" s="18"/>
      <c r="AB149" s="30">
        <v>2010</v>
      </c>
      <c r="AC149" s="128">
        <f t="shared" si="173"/>
        <v>0</v>
      </c>
      <c r="AD149" s="128">
        <f t="shared" si="173"/>
        <v>0</v>
      </c>
      <c r="AE149" s="128">
        <f t="shared" si="173"/>
        <v>0</v>
      </c>
      <c r="AF149" s="128">
        <f t="shared" si="173"/>
        <v>0</v>
      </c>
      <c r="AG149" s="128">
        <f t="shared" si="173"/>
        <v>16</v>
      </c>
      <c r="AH149" s="236">
        <f t="shared" si="174"/>
        <v>1000</v>
      </c>
      <c r="AI149" s="238"/>
      <c r="AJ149" s="244"/>
      <c r="AK149" s="244"/>
      <c r="AL149" s="162"/>
      <c r="AM149" s="127">
        <f t="shared" ref="AM149:AQ157" si="176">IF($Q149="C", (G149*$N149),0)</f>
        <v>0</v>
      </c>
      <c r="AN149" s="128">
        <f t="shared" si="176"/>
        <v>0</v>
      </c>
      <c r="AO149" s="128">
        <f t="shared" si="176"/>
        <v>0</v>
      </c>
      <c r="AP149" s="128">
        <f t="shared" si="176"/>
        <v>0</v>
      </c>
      <c r="AQ149" s="128">
        <f t="shared" si="176"/>
        <v>0</v>
      </c>
      <c r="AR149" s="128">
        <f t="shared" si="175"/>
        <v>0</v>
      </c>
      <c r="AS149" s="238"/>
    </row>
    <row r="150" spans="1:45" s="129" customFormat="1">
      <c r="A150" s="42" t="s">
        <v>426</v>
      </c>
      <c r="B150" s="18" t="s">
        <v>8</v>
      </c>
      <c r="C150" s="161">
        <v>5</v>
      </c>
      <c r="D150" s="91" t="s">
        <v>8</v>
      </c>
      <c r="E150" s="162">
        <v>200</v>
      </c>
      <c r="F150" s="163">
        <f>E150*C150</f>
        <v>1000</v>
      </c>
      <c r="G150" s="164">
        <v>0</v>
      </c>
      <c r="H150" s="164">
        <v>0</v>
      </c>
      <c r="I150" s="164">
        <v>0</v>
      </c>
      <c r="J150" s="164">
        <v>0</v>
      </c>
      <c r="K150" s="334">
        <v>0</v>
      </c>
      <c r="L150" s="91" t="s">
        <v>7</v>
      </c>
      <c r="M150" s="162">
        <f>IF(R150="PD",((Shop*G150)+(M_Tech*H150)+(CMM*I150)+(ENG*J150)+(DES*K150))*N150,((Shop_RD*G150)+(MTECH_RD*H150)+(CMM_RD*I150)+(ENG_RD*J150)+(DES_RD*K150))*N150)</f>
        <v>0</v>
      </c>
      <c r="N150" s="87">
        <v>1</v>
      </c>
      <c r="O150" s="166">
        <f>M150+(F150*N150)</f>
        <v>1000</v>
      </c>
      <c r="P150" s="166"/>
      <c r="Q150" s="46" t="s">
        <v>31</v>
      </c>
      <c r="R150" s="66" t="s">
        <v>154</v>
      </c>
      <c r="S150" s="133" t="str">
        <f>CONCATENATE(Q150,R150,AB150)</f>
        <v>BPT2010</v>
      </c>
      <c r="T150" s="133" t="str">
        <f>CONCATENATE(Q150,U150,AB150)</f>
        <v>B1.2.2.3.22010</v>
      </c>
      <c r="U150" s="133" t="s">
        <v>189</v>
      </c>
      <c r="V150" s="133" t="str">
        <f t="shared" si="172"/>
        <v>Prototype Ladder Cable (FR-4)</v>
      </c>
      <c r="W150" s="18"/>
      <c r="X150" s="18"/>
      <c r="Y150" s="18"/>
      <c r="Z150" s="18"/>
      <c r="AA150" s="18"/>
      <c r="AB150" s="30">
        <v>2010</v>
      </c>
      <c r="AC150" s="128">
        <f>IF($Q150="B", (G150*$N150),0)</f>
        <v>0</v>
      </c>
      <c r="AD150" s="128">
        <f>IF($Q150="B", (H150*$N150),0)</f>
        <v>0</v>
      </c>
      <c r="AE150" s="128">
        <f>IF($Q150="B", (I150*$N150),0)</f>
        <v>0</v>
      </c>
      <c r="AF150" s="128">
        <f>IF($Q150="B", (J150*$N150),0)</f>
        <v>0</v>
      </c>
      <c r="AG150" s="128">
        <f>IF($Q150="B", (K150*$N150),0)</f>
        <v>0</v>
      </c>
      <c r="AH150" s="236">
        <f>IF($Q150="B", (F150*$N150),0)</f>
        <v>1000</v>
      </c>
      <c r="AI150" s="238"/>
      <c r="AJ150" s="244"/>
      <c r="AK150" s="244"/>
      <c r="AL150" s="162"/>
      <c r="AM150" s="127">
        <f>IF($Q150="C", (G150*$N150),0)</f>
        <v>0</v>
      </c>
      <c r="AN150" s="128">
        <f>IF($Q150="C", (H150*$N150),0)</f>
        <v>0</v>
      </c>
      <c r="AO150" s="128">
        <f>IF($Q150="C", (I150*$N150),0)</f>
        <v>0</v>
      </c>
      <c r="AP150" s="128">
        <f>IF($Q150="C", (J150*$N150),0)</f>
        <v>0</v>
      </c>
      <c r="AQ150" s="128">
        <f>IF($Q150="C", (K150*$N150),0)</f>
        <v>0</v>
      </c>
      <c r="AR150" s="128">
        <f>IF($Q150="C", (F150*$N150),0)</f>
        <v>0</v>
      </c>
      <c r="AS150" s="238"/>
    </row>
    <row r="151" spans="1:45" s="129" customFormat="1">
      <c r="A151" s="42" t="s">
        <v>434</v>
      </c>
      <c r="B151" s="18" t="s">
        <v>8</v>
      </c>
      <c r="C151" s="161">
        <v>5</v>
      </c>
      <c r="D151" s="91" t="s">
        <v>8</v>
      </c>
      <c r="E151" s="162">
        <v>200</v>
      </c>
      <c r="F151" s="163">
        <f t="shared" si="167"/>
        <v>1000</v>
      </c>
      <c r="G151" s="164">
        <v>0</v>
      </c>
      <c r="H151" s="164">
        <v>60</v>
      </c>
      <c r="I151" s="164">
        <v>24</v>
      </c>
      <c r="J151" s="164">
        <v>0</v>
      </c>
      <c r="K151" s="334">
        <v>40</v>
      </c>
      <c r="L151" s="91" t="s">
        <v>7</v>
      </c>
      <c r="M151" s="162">
        <f t="shared" si="168"/>
        <v>7020</v>
      </c>
      <c r="N151" s="87">
        <v>1</v>
      </c>
      <c r="O151" s="166">
        <f t="shared" si="169"/>
        <v>8020</v>
      </c>
      <c r="P151" s="166"/>
      <c r="Q151" s="46" t="s">
        <v>31</v>
      </c>
      <c r="R151" s="66" t="s">
        <v>154</v>
      </c>
      <c r="S151" s="133" t="str">
        <f t="shared" si="170"/>
        <v>BPT2010</v>
      </c>
      <c r="T151" s="133" t="str">
        <f t="shared" si="171"/>
        <v>B1.2.2.3.22010</v>
      </c>
      <c r="U151" s="133" t="s">
        <v>189</v>
      </c>
      <c r="V151" s="133" t="str">
        <f t="shared" si="172"/>
        <v>Prototype Ladder Cable (FR-4)</v>
      </c>
      <c r="W151" s="18"/>
      <c r="X151" s="18"/>
      <c r="Y151" s="18"/>
      <c r="Z151" s="18"/>
      <c r="AA151" s="18"/>
      <c r="AB151" s="30">
        <v>2010</v>
      </c>
      <c r="AC151" s="128">
        <f t="shared" si="173"/>
        <v>0</v>
      </c>
      <c r="AD151" s="128">
        <f t="shared" si="173"/>
        <v>60</v>
      </c>
      <c r="AE151" s="128">
        <f t="shared" si="173"/>
        <v>24</v>
      </c>
      <c r="AF151" s="128">
        <f t="shared" si="173"/>
        <v>0</v>
      </c>
      <c r="AG151" s="128">
        <f t="shared" si="173"/>
        <v>40</v>
      </c>
      <c r="AH151" s="236">
        <f t="shared" si="174"/>
        <v>1000</v>
      </c>
      <c r="AI151" s="238"/>
      <c r="AJ151" s="244"/>
      <c r="AK151" s="244"/>
      <c r="AL151" s="162"/>
      <c r="AM151" s="127">
        <f t="shared" si="176"/>
        <v>0</v>
      </c>
      <c r="AN151" s="128">
        <f t="shared" si="176"/>
        <v>0</v>
      </c>
      <c r="AO151" s="128">
        <f t="shared" si="176"/>
        <v>0</v>
      </c>
      <c r="AP151" s="128">
        <f t="shared" si="176"/>
        <v>0</v>
      </c>
      <c r="AQ151" s="128">
        <f t="shared" si="176"/>
        <v>0</v>
      </c>
      <c r="AR151" s="128">
        <f t="shared" si="175"/>
        <v>0</v>
      </c>
      <c r="AS151" s="238"/>
    </row>
    <row r="152" spans="1:45" s="129" customFormat="1">
      <c r="A152" s="42" t="s">
        <v>270</v>
      </c>
      <c r="B152" s="18" t="s">
        <v>8</v>
      </c>
      <c r="C152" s="161">
        <v>1</v>
      </c>
      <c r="D152" s="91" t="s">
        <v>8</v>
      </c>
      <c r="E152" s="162">
        <v>0</v>
      </c>
      <c r="F152" s="163">
        <f t="shared" si="167"/>
        <v>0</v>
      </c>
      <c r="G152" s="164">
        <v>0</v>
      </c>
      <c r="H152" s="164">
        <v>0</v>
      </c>
      <c r="I152" s="164">
        <v>0</v>
      </c>
      <c r="J152" s="164">
        <v>8</v>
      </c>
      <c r="K152" s="334">
        <v>0</v>
      </c>
      <c r="L152" s="91" t="s">
        <v>7</v>
      </c>
      <c r="M152" s="162">
        <f t="shared" si="168"/>
        <v>1200</v>
      </c>
      <c r="N152" s="87">
        <v>1</v>
      </c>
      <c r="O152" s="166">
        <f t="shared" si="169"/>
        <v>1200</v>
      </c>
      <c r="P152" s="166"/>
      <c r="Q152" s="46" t="s">
        <v>32</v>
      </c>
      <c r="R152" s="66" t="s">
        <v>154</v>
      </c>
      <c r="S152" s="133" t="str">
        <f t="shared" si="170"/>
        <v>CPT2010</v>
      </c>
      <c r="T152" s="133" t="str">
        <f t="shared" si="171"/>
        <v>C1.2.2.3.22010</v>
      </c>
      <c r="U152" s="133" t="s">
        <v>189</v>
      </c>
      <c r="V152" s="133" t="str">
        <f t="shared" si="172"/>
        <v>Prototype Ladder Cable (FR-4)</v>
      </c>
      <c r="W152" s="18"/>
      <c r="X152" s="18"/>
      <c r="Y152" s="18"/>
      <c r="Z152" s="18"/>
      <c r="AA152" s="18"/>
      <c r="AB152" s="30">
        <v>2010</v>
      </c>
      <c r="AC152" s="128">
        <f>IF($Q152="B", (G152*$N152),0)</f>
        <v>0</v>
      </c>
      <c r="AD152" s="128">
        <f>IF($Q152="B", (H152*$N152),0)</f>
        <v>0</v>
      </c>
      <c r="AE152" s="128">
        <f>IF($Q152="B", (I152*$N152),0)</f>
        <v>0</v>
      </c>
      <c r="AF152" s="128">
        <f>IF($Q152="B", (J152*$N152),0)</f>
        <v>0</v>
      </c>
      <c r="AG152" s="128">
        <f>IF($Q152="B", (K152*$N152),0)</f>
        <v>0</v>
      </c>
      <c r="AH152" s="236">
        <f t="shared" si="174"/>
        <v>0</v>
      </c>
      <c r="AI152" s="238"/>
      <c r="AJ152" s="244"/>
      <c r="AK152" s="244"/>
      <c r="AL152" s="162"/>
      <c r="AM152" s="127">
        <f>IF($Q152="C", (G152*$N152),0)</f>
        <v>0</v>
      </c>
      <c r="AN152" s="128">
        <f>IF($Q152="C", (H152*$N152),0)</f>
        <v>0</v>
      </c>
      <c r="AO152" s="128">
        <f>IF($Q152="C", (I152*$N152),0)</f>
        <v>0</v>
      </c>
      <c r="AP152" s="128">
        <f>IF($Q152="C", (J152*$N152),0)</f>
        <v>8</v>
      </c>
      <c r="AQ152" s="128">
        <f>IF($Q152="C", (K152*$N152),0)</f>
        <v>0</v>
      </c>
      <c r="AR152" s="128">
        <f t="shared" si="175"/>
        <v>0</v>
      </c>
      <c r="AS152" s="238"/>
    </row>
    <row r="153" spans="1:45" s="129" customFormat="1">
      <c r="A153" s="42" t="s">
        <v>271</v>
      </c>
      <c r="B153" s="18" t="s">
        <v>8</v>
      </c>
      <c r="C153" s="161">
        <v>5</v>
      </c>
      <c r="D153" s="91" t="s">
        <v>8</v>
      </c>
      <c r="E153" s="162">
        <v>200</v>
      </c>
      <c r="F153" s="163">
        <f t="shared" si="167"/>
        <v>1000</v>
      </c>
      <c r="G153" s="164">
        <v>0</v>
      </c>
      <c r="H153" s="164">
        <v>0</v>
      </c>
      <c r="I153" s="164">
        <v>0</v>
      </c>
      <c r="J153" s="164">
        <v>0</v>
      </c>
      <c r="K153" s="334">
        <v>0</v>
      </c>
      <c r="L153" s="91" t="s">
        <v>7</v>
      </c>
      <c r="M153" s="162">
        <f t="shared" si="168"/>
        <v>0</v>
      </c>
      <c r="N153" s="87">
        <v>1</v>
      </c>
      <c r="O153" s="166">
        <f t="shared" si="169"/>
        <v>1000</v>
      </c>
      <c r="P153" s="166"/>
      <c r="Q153" s="46" t="s">
        <v>32</v>
      </c>
      <c r="R153" s="66" t="s">
        <v>154</v>
      </c>
      <c r="S153" s="133" t="str">
        <f t="shared" si="170"/>
        <v>CPT2010</v>
      </c>
      <c r="T153" s="133" t="str">
        <f t="shared" si="171"/>
        <v>C1.2.2.3.22010</v>
      </c>
      <c r="U153" s="133" t="s">
        <v>189</v>
      </c>
      <c r="V153" s="133" t="str">
        <f t="shared" si="172"/>
        <v>Prototype Ladder Cable (FR-4)</v>
      </c>
      <c r="W153" s="18"/>
      <c r="X153" s="18"/>
      <c r="Y153" s="18"/>
      <c r="Z153" s="18"/>
      <c r="AA153" s="18"/>
      <c r="AB153" s="30">
        <v>2010</v>
      </c>
      <c r="AC153" s="128">
        <f t="shared" si="173"/>
        <v>0</v>
      </c>
      <c r="AD153" s="128">
        <f t="shared" si="173"/>
        <v>0</v>
      </c>
      <c r="AE153" s="128">
        <f t="shared" si="173"/>
        <v>0</v>
      </c>
      <c r="AF153" s="128">
        <f t="shared" si="173"/>
        <v>0</v>
      </c>
      <c r="AG153" s="128">
        <f t="shared" si="173"/>
        <v>0</v>
      </c>
      <c r="AH153" s="236">
        <f t="shared" si="174"/>
        <v>0</v>
      </c>
      <c r="AI153" s="238"/>
      <c r="AJ153" s="244"/>
      <c r="AK153" s="244"/>
      <c r="AL153" s="162"/>
      <c r="AM153" s="127">
        <f t="shared" si="176"/>
        <v>0</v>
      </c>
      <c r="AN153" s="128">
        <f t="shared" si="176"/>
        <v>0</v>
      </c>
      <c r="AO153" s="128">
        <f t="shared" si="176"/>
        <v>0</v>
      </c>
      <c r="AP153" s="128">
        <f t="shared" si="176"/>
        <v>0</v>
      </c>
      <c r="AQ153" s="128">
        <f t="shared" si="176"/>
        <v>0</v>
      </c>
      <c r="AR153" s="128">
        <f t="shared" si="175"/>
        <v>1000</v>
      </c>
      <c r="AS153" s="238"/>
    </row>
    <row r="154" spans="1:45" s="129" customFormat="1">
      <c r="A154" s="42" t="s">
        <v>447</v>
      </c>
      <c r="B154" s="18" t="s">
        <v>8</v>
      </c>
      <c r="C154" s="161">
        <v>5</v>
      </c>
      <c r="D154" s="91" t="s">
        <v>8</v>
      </c>
      <c r="E154" s="162">
        <v>200</v>
      </c>
      <c r="F154" s="163">
        <f t="shared" si="167"/>
        <v>1000</v>
      </c>
      <c r="G154" s="164">
        <v>0</v>
      </c>
      <c r="H154" s="164">
        <v>60</v>
      </c>
      <c r="I154" s="164">
        <v>0</v>
      </c>
      <c r="J154" s="164">
        <v>0</v>
      </c>
      <c r="K154" s="334">
        <v>0</v>
      </c>
      <c r="L154" s="91" t="s">
        <v>7</v>
      </c>
      <c r="M154" s="162">
        <f t="shared" si="168"/>
        <v>7020</v>
      </c>
      <c r="N154" s="87">
        <v>1</v>
      </c>
      <c r="O154" s="166">
        <f t="shared" si="169"/>
        <v>8020</v>
      </c>
      <c r="P154" s="166"/>
      <c r="Q154" s="46" t="s">
        <v>32</v>
      </c>
      <c r="R154" s="66" t="s">
        <v>154</v>
      </c>
      <c r="S154" s="133" t="str">
        <f t="shared" si="170"/>
        <v>CPT2010</v>
      </c>
      <c r="T154" s="133" t="str">
        <f t="shared" si="171"/>
        <v>C1.2.2.3.22010</v>
      </c>
      <c r="U154" s="133" t="s">
        <v>189</v>
      </c>
      <c r="V154" s="133" t="str">
        <f t="shared" si="172"/>
        <v>Prototype Ladder Cable (FR-4)</v>
      </c>
      <c r="W154" s="18"/>
      <c r="X154" s="18"/>
      <c r="Y154" s="18"/>
      <c r="Z154" s="18"/>
      <c r="AA154" s="18"/>
      <c r="AB154" s="30">
        <v>2010</v>
      </c>
      <c r="AC154" s="128">
        <f>IF($Q154="B", (G154*$N154),0)</f>
        <v>0</v>
      </c>
      <c r="AD154" s="128">
        <f>IF($Q154="B", (H154*$N154),0)</f>
        <v>0</v>
      </c>
      <c r="AE154" s="128">
        <f>IF($Q154="B", (I154*$N154),0)</f>
        <v>0</v>
      </c>
      <c r="AF154" s="128">
        <f>IF($Q154="B", (J154*$N154),0)</f>
        <v>0</v>
      </c>
      <c r="AG154" s="128">
        <f>IF($Q154="B", (K154*$N154),0)</f>
        <v>0</v>
      </c>
      <c r="AH154" s="236">
        <f t="shared" si="174"/>
        <v>0</v>
      </c>
      <c r="AI154" s="238"/>
      <c r="AJ154" s="244"/>
      <c r="AK154" s="244"/>
      <c r="AL154" s="162"/>
      <c r="AM154" s="127">
        <f>IF($Q154="C", (G154*$N154),0)</f>
        <v>0</v>
      </c>
      <c r="AN154" s="128">
        <f>IF($Q154="C", (H154*$N154),0)</f>
        <v>60</v>
      </c>
      <c r="AO154" s="128">
        <f>IF($Q154="C", (I154*$N154),0)</f>
        <v>0</v>
      </c>
      <c r="AP154" s="128">
        <f>IF($Q154="C", (J154*$N154),0)</f>
        <v>0</v>
      </c>
      <c r="AQ154" s="128">
        <f>IF($Q154="C", (K154*$N154),0)</f>
        <v>0</v>
      </c>
      <c r="AR154" s="128">
        <f t="shared" si="175"/>
        <v>1000</v>
      </c>
      <c r="AS154" s="238"/>
    </row>
    <row r="155" spans="1:45" s="129" customFormat="1">
      <c r="A155" s="42" t="s">
        <v>252</v>
      </c>
      <c r="B155" s="18" t="s">
        <v>8</v>
      </c>
      <c r="C155" s="161">
        <v>1</v>
      </c>
      <c r="D155" s="91" t="s">
        <v>8</v>
      </c>
      <c r="E155" s="162">
        <v>700</v>
      </c>
      <c r="F155" s="163">
        <f t="shared" si="167"/>
        <v>700</v>
      </c>
      <c r="G155" s="164">
        <v>0</v>
      </c>
      <c r="H155" s="164">
        <v>16</v>
      </c>
      <c r="I155" s="164">
        <v>24</v>
      </c>
      <c r="J155" s="164">
        <v>0</v>
      </c>
      <c r="K155" s="334">
        <v>32</v>
      </c>
      <c r="L155" s="91" t="s">
        <v>7</v>
      </c>
      <c r="M155" s="162">
        <f t="shared" si="168"/>
        <v>1872</v>
      </c>
      <c r="N155" s="87">
        <v>1</v>
      </c>
      <c r="O155" s="166">
        <f t="shared" si="169"/>
        <v>2572</v>
      </c>
      <c r="P155" s="166"/>
      <c r="Q155" s="46" t="s">
        <v>31</v>
      </c>
      <c r="R155" s="66" t="s">
        <v>154</v>
      </c>
      <c r="S155" s="133" t="str">
        <f t="shared" si="170"/>
        <v>BPT2010</v>
      </c>
      <c r="T155" s="133" t="str">
        <f t="shared" si="171"/>
        <v>B1.2.2.3.22010</v>
      </c>
      <c r="U155" s="133" t="s">
        <v>189</v>
      </c>
      <c r="V155" s="133" t="str">
        <f t="shared" si="172"/>
        <v>Prototype Ladder Cable (FR-4)</v>
      </c>
      <c r="W155" s="18"/>
      <c r="X155" s="18"/>
      <c r="Y155" s="18"/>
      <c r="Z155" s="18"/>
      <c r="AA155" s="18"/>
      <c r="AB155" s="30">
        <v>2010</v>
      </c>
      <c r="AC155" s="128">
        <f t="shared" si="173"/>
        <v>0</v>
      </c>
      <c r="AD155" s="128">
        <f t="shared" si="173"/>
        <v>16</v>
      </c>
      <c r="AE155" s="128">
        <f t="shared" si="173"/>
        <v>24</v>
      </c>
      <c r="AF155" s="128">
        <f t="shared" si="173"/>
        <v>0</v>
      </c>
      <c r="AG155" s="128">
        <f t="shared" si="173"/>
        <v>32</v>
      </c>
      <c r="AH155" s="236">
        <f t="shared" si="174"/>
        <v>700</v>
      </c>
      <c r="AI155" s="238"/>
      <c r="AJ155" s="244"/>
      <c r="AK155" s="244"/>
      <c r="AL155" s="162"/>
      <c r="AM155" s="127">
        <f t="shared" si="176"/>
        <v>0</v>
      </c>
      <c r="AN155" s="128">
        <f t="shared" si="176"/>
        <v>0</v>
      </c>
      <c r="AO155" s="128">
        <f t="shared" si="176"/>
        <v>0</v>
      </c>
      <c r="AP155" s="128">
        <f t="shared" si="176"/>
        <v>0</v>
      </c>
      <c r="AQ155" s="128">
        <f t="shared" si="176"/>
        <v>0</v>
      </c>
      <c r="AR155" s="128">
        <f t="shared" si="175"/>
        <v>0</v>
      </c>
      <c r="AS155" s="238"/>
    </row>
    <row r="156" spans="1:45" s="129" customFormat="1">
      <c r="A156" s="42" t="s">
        <v>274</v>
      </c>
      <c r="B156" s="18" t="s">
        <v>8</v>
      </c>
      <c r="C156" s="161">
        <v>1</v>
      </c>
      <c r="D156" s="91" t="s">
        <v>2</v>
      </c>
      <c r="E156" s="162">
        <v>8</v>
      </c>
      <c r="F156" s="163">
        <f t="shared" si="167"/>
        <v>8</v>
      </c>
      <c r="G156" s="164">
        <v>0</v>
      </c>
      <c r="H156" s="164">
        <v>0</v>
      </c>
      <c r="I156" s="164">
        <v>120</v>
      </c>
      <c r="J156" s="164">
        <v>16</v>
      </c>
      <c r="K156" s="334">
        <v>80</v>
      </c>
      <c r="L156" s="91" t="s">
        <v>7</v>
      </c>
      <c r="M156" s="162">
        <f t="shared" si="168"/>
        <v>2400</v>
      </c>
      <c r="N156" s="87">
        <v>1</v>
      </c>
      <c r="O156" s="166">
        <f t="shared" si="169"/>
        <v>2408</v>
      </c>
      <c r="P156" s="166"/>
      <c r="Q156" s="46" t="s">
        <v>31</v>
      </c>
      <c r="R156" s="66" t="s">
        <v>154</v>
      </c>
      <c r="S156" s="133" t="str">
        <f t="shared" si="170"/>
        <v>BPT2010</v>
      </c>
      <c r="T156" s="133" t="str">
        <f t="shared" si="171"/>
        <v>B1.2.2.3.22010</v>
      </c>
      <c r="U156" s="133" t="s">
        <v>189</v>
      </c>
      <c r="V156" s="133" t="str">
        <f t="shared" si="172"/>
        <v>Prototype Ladder Cable (FR-4)</v>
      </c>
      <c r="W156" s="18"/>
      <c r="X156" s="18"/>
      <c r="Y156" s="18"/>
      <c r="Z156" s="18"/>
      <c r="AA156" s="18"/>
      <c r="AB156" s="30">
        <v>2010</v>
      </c>
      <c r="AC156" s="128">
        <f t="shared" si="173"/>
        <v>0</v>
      </c>
      <c r="AD156" s="128">
        <f t="shared" si="173"/>
        <v>0</v>
      </c>
      <c r="AE156" s="128">
        <f t="shared" si="173"/>
        <v>120</v>
      </c>
      <c r="AF156" s="128">
        <f t="shared" si="173"/>
        <v>16</v>
      </c>
      <c r="AG156" s="128">
        <f t="shared" si="173"/>
        <v>80</v>
      </c>
      <c r="AH156" s="236">
        <f t="shared" si="174"/>
        <v>8</v>
      </c>
      <c r="AI156" s="238"/>
      <c r="AJ156" s="244"/>
      <c r="AK156" s="244"/>
      <c r="AL156" s="162"/>
      <c r="AM156" s="127">
        <f t="shared" si="176"/>
        <v>0</v>
      </c>
      <c r="AN156" s="128">
        <f t="shared" si="176"/>
        <v>0</v>
      </c>
      <c r="AO156" s="128">
        <f t="shared" si="176"/>
        <v>0</v>
      </c>
      <c r="AP156" s="128">
        <f t="shared" si="176"/>
        <v>0</v>
      </c>
      <c r="AQ156" s="128">
        <f t="shared" si="176"/>
        <v>0</v>
      </c>
      <c r="AR156" s="128">
        <f t="shared" si="175"/>
        <v>0</v>
      </c>
      <c r="AS156" s="238"/>
    </row>
    <row r="157" spans="1:45" s="129" customFormat="1">
      <c r="A157" s="42" t="s">
        <v>349</v>
      </c>
      <c r="B157" s="18" t="s">
        <v>8</v>
      </c>
      <c r="C157" s="161">
        <v>1</v>
      </c>
      <c r="D157" s="91" t="s">
        <v>8</v>
      </c>
      <c r="E157" s="162">
        <v>1000</v>
      </c>
      <c r="F157" s="163">
        <f t="shared" si="167"/>
        <v>1000</v>
      </c>
      <c r="G157" s="164">
        <v>0</v>
      </c>
      <c r="H157" s="164">
        <v>40</v>
      </c>
      <c r="I157" s="164">
        <v>0</v>
      </c>
      <c r="J157" s="164">
        <v>4</v>
      </c>
      <c r="K157" s="334">
        <v>0</v>
      </c>
      <c r="L157" s="91" t="s">
        <v>7</v>
      </c>
      <c r="M157" s="162">
        <f t="shared" si="168"/>
        <v>5280</v>
      </c>
      <c r="N157" s="87">
        <v>1</v>
      </c>
      <c r="O157" s="166">
        <f t="shared" si="169"/>
        <v>6280</v>
      </c>
      <c r="P157" s="166"/>
      <c r="Q157" s="46" t="s">
        <v>32</v>
      </c>
      <c r="R157" s="66" t="s">
        <v>154</v>
      </c>
      <c r="S157" s="133" t="str">
        <f t="shared" si="170"/>
        <v>CPT2010</v>
      </c>
      <c r="T157" s="133" t="str">
        <f t="shared" si="171"/>
        <v>C1.2.2.3.22010</v>
      </c>
      <c r="U157" s="133" t="s">
        <v>189</v>
      </c>
      <c r="V157" s="133" t="str">
        <f t="shared" si="172"/>
        <v>Prototype Ladder Cable (FR-4)</v>
      </c>
      <c r="W157" s="18"/>
      <c r="X157" s="18"/>
      <c r="Y157" s="18"/>
      <c r="Z157" s="18"/>
      <c r="AA157" s="18"/>
      <c r="AB157" s="30">
        <v>2010</v>
      </c>
      <c r="AC157" s="128">
        <f t="shared" si="173"/>
        <v>0</v>
      </c>
      <c r="AD157" s="128">
        <f t="shared" si="173"/>
        <v>0</v>
      </c>
      <c r="AE157" s="128">
        <f t="shared" si="173"/>
        <v>0</v>
      </c>
      <c r="AF157" s="128">
        <f t="shared" si="173"/>
        <v>0</v>
      </c>
      <c r="AG157" s="128">
        <f t="shared" si="173"/>
        <v>0</v>
      </c>
      <c r="AH157" s="236">
        <f t="shared" si="174"/>
        <v>0</v>
      </c>
      <c r="AI157" s="238"/>
      <c r="AJ157" s="244"/>
      <c r="AK157" s="244"/>
      <c r="AL157" s="162"/>
      <c r="AM157" s="127">
        <f t="shared" si="176"/>
        <v>0</v>
      </c>
      <c r="AN157" s="128">
        <f t="shared" si="176"/>
        <v>40</v>
      </c>
      <c r="AO157" s="128">
        <f t="shared" si="176"/>
        <v>0</v>
      </c>
      <c r="AP157" s="128">
        <f t="shared" si="176"/>
        <v>4</v>
      </c>
      <c r="AQ157" s="128">
        <f t="shared" si="176"/>
        <v>0</v>
      </c>
      <c r="AR157" s="128">
        <f t="shared" si="175"/>
        <v>1000</v>
      </c>
      <c r="AS157" s="238"/>
    </row>
    <row r="158" spans="1:45" s="42" customFormat="1">
      <c r="A158" s="43" t="s">
        <v>275</v>
      </c>
      <c r="C158" s="181"/>
      <c r="E158" s="182"/>
      <c r="F158" s="183"/>
      <c r="G158" s="184"/>
      <c r="H158" s="184"/>
      <c r="I158" s="184"/>
      <c r="J158" s="184"/>
      <c r="K158" s="335"/>
      <c r="L158" s="222" t="s">
        <v>43</v>
      </c>
      <c r="M158" s="174">
        <f>SUMIF(Q148:Q157,"B",M148:M157)</f>
        <v>13692</v>
      </c>
      <c r="N158" s="62" t="s">
        <v>43</v>
      </c>
      <c r="O158" s="174"/>
      <c r="P158" s="186"/>
      <c r="Q158" s="60"/>
      <c r="R158" s="68"/>
      <c r="S158" s="133"/>
      <c r="T158" s="133"/>
      <c r="U158" s="70"/>
      <c r="V158" s="70"/>
      <c r="W158" s="18"/>
      <c r="X158" s="18"/>
      <c r="Y158" s="18"/>
      <c r="Z158" s="18"/>
      <c r="AA158" s="18"/>
      <c r="AB158" s="30"/>
      <c r="AC158" s="128"/>
      <c r="AD158" s="128"/>
      <c r="AE158" s="128"/>
      <c r="AF158" s="128"/>
      <c r="AG158" s="128"/>
      <c r="AH158" s="236"/>
      <c r="AI158" s="237"/>
      <c r="AJ158" s="128"/>
      <c r="AK158" s="128"/>
      <c r="AL158" s="162"/>
      <c r="AM158" s="127"/>
      <c r="AN158" s="128"/>
      <c r="AO158" s="128"/>
      <c r="AP158" s="128"/>
      <c r="AQ158" s="128"/>
      <c r="AR158" s="128"/>
      <c r="AS158" s="237"/>
    </row>
    <row r="159" spans="1:45" s="129" customFormat="1">
      <c r="A159" s="42" t="s">
        <v>269</v>
      </c>
      <c r="B159" s="18" t="s">
        <v>8</v>
      </c>
      <c r="C159" s="161">
        <v>1</v>
      </c>
      <c r="D159" s="91" t="s">
        <v>2</v>
      </c>
      <c r="E159" s="162">
        <v>0</v>
      </c>
      <c r="F159" s="163">
        <f t="shared" ref="F159:F170" si="177">E159*C159</f>
        <v>0</v>
      </c>
      <c r="G159" s="164">
        <v>0</v>
      </c>
      <c r="H159" s="164">
        <v>0</v>
      </c>
      <c r="I159" s="164">
        <v>16</v>
      </c>
      <c r="J159" s="164">
        <v>16</v>
      </c>
      <c r="K159" s="334">
        <v>100</v>
      </c>
      <c r="L159" s="91" t="s">
        <v>7</v>
      </c>
      <c r="M159" s="162">
        <f t="shared" ref="M159:M170" si="178">IF(R159="PD",((Shop*G159)+(M_Tech*H159)+(CMM*I159)+(ENG*J159)+(DES*K159))*N159,((Shop_RD*G159)+(MTECH_RD*H159)+(CMM_RD*I159)+(ENG_RD*J159)+(DES_RD*K159))*N159)</f>
        <v>2400</v>
      </c>
      <c r="N159" s="87">
        <v>1</v>
      </c>
      <c r="O159" s="166">
        <f t="shared" ref="O159:O170" si="179">M159+(F159*N159)</f>
        <v>2400</v>
      </c>
      <c r="P159" s="166"/>
      <c r="Q159" s="46" t="s">
        <v>31</v>
      </c>
      <c r="R159" s="66" t="s">
        <v>154</v>
      </c>
      <c r="S159" s="133" t="str">
        <f t="shared" ref="S159:S170" si="180">CONCATENATE(Q159,R159,AB159)</f>
        <v>BPT2011</v>
      </c>
      <c r="T159" s="133" t="str">
        <f t="shared" ref="T159:T170" si="181">CONCATENATE(Q159,U159,AB159)</f>
        <v>B1.2.2.3.32011</v>
      </c>
      <c r="U159" s="133" t="s">
        <v>191</v>
      </c>
      <c r="V159" s="133" t="str">
        <f t="shared" ref="V159:V180" si="182">LOOKUP(U159,$B$345:$B$367,$A$345:$A$367)</f>
        <v>Ladder Cable (Kapton + Cu conductor)</v>
      </c>
      <c r="W159" s="18"/>
      <c r="X159" s="18"/>
      <c r="Y159" s="18"/>
      <c r="Z159" s="18"/>
      <c r="AA159" s="18"/>
      <c r="AB159" s="30">
        <v>2011</v>
      </c>
      <c r="AC159" s="128">
        <f t="shared" ref="AC159:AG162" si="183">IF($Q159="B", (G159*$N159),0)</f>
        <v>0</v>
      </c>
      <c r="AD159" s="128">
        <f t="shared" si="183"/>
        <v>0</v>
      </c>
      <c r="AE159" s="128">
        <f t="shared" si="183"/>
        <v>16</v>
      </c>
      <c r="AF159" s="128">
        <f t="shared" si="183"/>
        <v>16</v>
      </c>
      <c r="AG159" s="128">
        <f t="shared" si="183"/>
        <v>100</v>
      </c>
      <c r="AH159" s="236">
        <f t="shared" ref="AH159:AH170" si="184">IF($Q159="B", (F159*$N159),0)</f>
        <v>0</v>
      </c>
      <c r="AI159" s="238"/>
      <c r="AJ159" s="244"/>
      <c r="AK159" s="244"/>
      <c r="AL159" s="162"/>
      <c r="AM159" s="127">
        <f>IF($Q159="C", (G159*$N159),0)</f>
        <v>0</v>
      </c>
      <c r="AN159" s="128">
        <f>IF($Q159="C", (H159*$N159),0)</f>
        <v>0</v>
      </c>
      <c r="AO159" s="128">
        <f>IF($Q159="C", (I159*$N159),0)</f>
        <v>0</v>
      </c>
      <c r="AP159" s="128">
        <f>IF($Q159="C", (J159*$N159),0)</f>
        <v>0</v>
      </c>
      <c r="AQ159" s="128">
        <f>IF($Q159="C", (K159*$N159),0)</f>
        <v>0</v>
      </c>
      <c r="AR159" s="128">
        <f t="shared" ref="AR159:AR170" si="185">IF($Q159="C", (F159*$N159),0)</f>
        <v>0</v>
      </c>
      <c r="AS159" s="238"/>
    </row>
    <row r="160" spans="1:45" s="129" customFormat="1">
      <c r="A160" s="42" t="s">
        <v>222</v>
      </c>
      <c r="B160" s="18" t="s">
        <v>8</v>
      </c>
      <c r="C160" s="161">
        <v>5</v>
      </c>
      <c r="D160" s="91" t="s">
        <v>2</v>
      </c>
      <c r="E160" s="162">
        <v>500</v>
      </c>
      <c r="F160" s="163">
        <f t="shared" si="177"/>
        <v>2500</v>
      </c>
      <c r="G160" s="164">
        <v>0</v>
      </c>
      <c r="H160" s="164">
        <v>0</v>
      </c>
      <c r="I160" s="164">
        <v>0</v>
      </c>
      <c r="J160" s="164">
        <v>0</v>
      </c>
      <c r="K160" s="334">
        <v>16</v>
      </c>
      <c r="L160" s="91" t="s">
        <v>7</v>
      </c>
      <c r="M160" s="162">
        <f t="shared" si="178"/>
        <v>0</v>
      </c>
      <c r="N160" s="87">
        <v>1</v>
      </c>
      <c r="O160" s="166">
        <f t="shared" si="179"/>
        <v>2500</v>
      </c>
      <c r="P160" s="166"/>
      <c r="Q160" s="46" t="s">
        <v>31</v>
      </c>
      <c r="R160" s="66" t="s">
        <v>154</v>
      </c>
      <c r="S160" s="133" t="str">
        <f t="shared" si="180"/>
        <v>BPT2011</v>
      </c>
      <c r="T160" s="133" t="str">
        <f t="shared" si="181"/>
        <v>B1.2.2.3.32011</v>
      </c>
      <c r="U160" s="133" t="s">
        <v>191</v>
      </c>
      <c r="V160" s="133" t="str">
        <f t="shared" si="182"/>
        <v>Ladder Cable (Kapton + Cu conductor)</v>
      </c>
      <c r="W160" s="18"/>
      <c r="X160" s="18"/>
      <c r="Y160" s="18"/>
      <c r="Z160" s="18"/>
      <c r="AA160" s="18"/>
      <c r="AB160" s="30">
        <v>2011</v>
      </c>
      <c r="AC160" s="128">
        <f t="shared" si="183"/>
        <v>0</v>
      </c>
      <c r="AD160" s="128">
        <f t="shared" si="183"/>
        <v>0</v>
      </c>
      <c r="AE160" s="128">
        <f t="shared" si="183"/>
        <v>0</v>
      </c>
      <c r="AF160" s="128">
        <f t="shared" si="183"/>
        <v>0</v>
      </c>
      <c r="AG160" s="128">
        <f t="shared" si="183"/>
        <v>16</v>
      </c>
      <c r="AH160" s="236">
        <f t="shared" si="184"/>
        <v>2500</v>
      </c>
      <c r="AI160" s="238"/>
      <c r="AJ160" s="244"/>
      <c r="AK160" s="244"/>
      <c r="AL160" s="162"/>
      <c r="AM160" s="127">
        <f t="shared" ref="AM160:AQ170" si="186">IF($Q160="C", (G160*$N160),0)</f>
        <v>0</v>
      </c>
      <c r="AN160" s="128">
        <f t="shared" si="186"/>
        <v>0</v>
      </c>
      <c r="AO160" s="128">
        <f t="shared" si="186"/>
        <v>0</v>
      </c>
      <c r="AP160" s="128">
        <f t="shared" si="186"/>
        <v>0</v>
      </c>
      <c r="AQ160" s="128">
        <f t="shared" si="186"/>
        <v>0</v>
      </c>
      <c r="AR160" s="128">
        <f t="shared" si="185"/>
        <v>0</v>
      </c>
      <c r="AS160" s="238"/>
    </row>
    <row r="161" spans="1:45" s="129" customFormat="1">
      <c r="A161" s="42" t="s">
        <v>426</v>
      </c>
      <c r="B161" s="18" t="s">
        <v>8</v>
      </c>
      <c r="C161" s="161">
        <v>5</v>
      </c>
      <c r="D161" s="91" t="s">
        <v>2</v>
      </c>
      <c r="E161" s="162">
        <v>200</v>
      </c>
      <c r="F161" s="163">
        <f>E161*C161</f>
        <v>1000</v>
      </c>
      <c r="G161" s="164">
        <v>0</v>
      </c>
      <c r="H161" s="164">
        <v>0</v>
      </c>
      <c r="I161" s="164">
        <v>0</v>
      </c>
      <c r="J161" s="164">
        <v>0</v>
      </c>
      <c r="K161" s="334">
        <v>0</v>
      </c>
      <c r="L161" s="91" t="s">
        <v>7</v>
      </c>
      <c r="M161" s="162">
        <f>IF(R161="PD",((Shop*G161)+(M_Tech*H161)+(CMM*I161)+(ENG*J161)+(DES*K161))*N161,((Shop_RD*G161)+(MTECH_RD*H161)+(CMM_RD*I161)+(ENG_RD*J161)+(DES_RD*K161))*N161)</f>
        <v>0</v>
      </c>
      <c r="N161" s="87">
        <v>1</v>
      </c>
      <c r="O161" s="166">
        <f t="shared" si="179"/>
        <v>1000</v>
      </c>
      <c r="P161" s="166"/>
      <c r="Q161" s="46" t="s">
        <v>31</v>
      </c>
      <c r="R161" s="66" t="s">
        <v>154</v>
      </c>
      <c r="S161" s="133" t="str">
        <f>CONCATENATE(Q161,R161,AB161)</f>
        <v>BPT2011</v>
      </c>
      <c r="T161" s="133" t="str">
        <f t="shared" si="181"/>
        <v>B1.2.2.3.32011</v>
      </c>
      <c r="U161" s="133" t="s">
        <v>191</v>
      </c>
      <c r="V161" s="133" t="str">
        <f t="shared" si="182"/>
        <v>Ladder Cable (Kapton + Cu conductor)</v>
      </c>
      <c r="W161" s="18"/>
      <c r="X161" s="18"/>
      <c r="Y161" s="18"/>
      <c r="Z161" s="18"/>
      <c r="AA161" s="18"/>
      <c r="AB161" s="30">
        <v>2011</v>
      </c>
      <c r="AC161" s="128">
        <f t="shared" si="183"/>
        <v>0</v>
      </c>
      <c r="AD161" s="128">
        <f t="shared" si="183"/>
        <v>0</v>
      </c>
      <c r="AE161" s="128">
        <f t="shared" si="183"/>
        <v>0</v>
      </c>
      <c r="AF161" s="128">
        <f t="shared" si="183"/>
        <v>0</v>
      </c>
      <c r="AG161" s="128">
        <f t="shared" si="183"/>
        <v>0</v>
      </c>
      <c r="AH161" s="236">
        <f t="shared" si="184"/>
        <v>1000</v>
      </c>
      <c r="AI161" s="238"/>
      <c r="AJ161" s="244"/>
      <c r="AK161" s="244"/>
      <c r="AL161" s="162"/>
      <c r="AM161" s="127">
        <f>IF($Q161="C", (G161*$N161),0)</f>
        <v>0</v>
      </c>
      <c r="AN161" s="128">
        <f>IF($Q161="C", (H161*$N161),0)</f>
        <v>0</v>
      </c>
      <c r="AO161" s="128">
        <f>IF($Q161="C", (I161*$N161),0)</f>
        <v>0</v>
      </c>
      <c r="AP161" s="128">
        <f>IF($Q161="C", (J161*$N161),0)</f>
        <v>0</v>
      </c>
      <c r="AQ161" s="128">
        <f>IF($Q161="C", (K161*$N161),0)</f>
        <v>0</v>
      </c>
      <c r="AR161" s="128">
        <f>IF($Q161="C", (F161*$N161),0)</f>
        <v>0</v>
      </c>
      <c r="AS161" s="238"/>
    </row>
    <row r="162" spans="1:45" s="129" customFormat="1">
      <c r="A162" s="42" t="s">
        <v>434</v>
      </c>
      <c r="B162" s="18" t="s">
        <v>8</v>
      </c>
      <c r="C162" s="161">
        <v>5</v>
      </c>
      <c r="D162" s="91" t="s">
        <v>2</v>
      </c>
      <c r="E162" s="162">
        <v>0</v>
      </c>
      <c r="F162" s="163">
        <f t="shared" si="177"/>
        <v>0</v>
      </c>
      <c r="G162" s="164">
        <v>0</v>
      </c>
      <c r="H162" s="164">
        <v>60</v>
      </c>
      <c r="I162" s="164">
        <v>24</v>
      </c>
      <c r="J162" s="164">
        <v>8</v>
      </c>
      <c r="K162" s="334">
        <v>40</v>
      </c>
      <c r="L162" s="91" t="s">
        <v>7</v>
      </c>
      <c r="M162" s="162">
        <f t="shared" si="178"/>
        <v>8220</v>
      </c>
      <c r="N162" s="87">
        <v>1</v>
      </c>
      <c r="O162" s="166">
        <f t="shared" si="179"/>
        <v>8220</v>
      </c>
      <c r="P162" s="166"/>
      <c r="Q162" s="46" t="s">
        <v>31</v>
      </c>
      <c r="R162" s="66" t="s">
        <v>154</v>
      </c>
      <c r="S162" s="133" t="str">
        <f t="shared" si="180"/>
        <v>BPT2011</v>
      </c>
      <c r="T162" s="133" t="str">
        <f t="shared" si="181"/>
        <v>B1.2.2.3.32011</v>
      </c>
      <c r="U162" s="133" t="s">
        <v>191</v>
      </c>
      <c r="V162" s="133" t="str">
        <f t="shared" si="182"/>
        <v>Ladder Cable (Kapton + Cu conductor)</v>
      </c>
      <c r="W162" s="18"/>
      <c r="X162" s="18"/>
      <c r="Y162" s="18"/>
      <c r="Z162" s="18"/>
      <c r="AA162" s="18"/>
      <c r="AB162" s="30">
        <v>2011</v>
      </c>
      <c r="AC162" s="128">
        <f t="shared" si="183"/>
        <v>0</v>
      </c>
      <c r="AD162" s="128">
        <f t="shared" si="183"/>
        <v>60</v>
      </c>
      <c r="AE162" s="128">
        <f t="shared" si="183"/>
        <v>24</v>
      </c>
      <c r="AF162" s="128">
        <f t="shared" si="183"/>
        <v>8</v>
      </c>
      <c r="AG162" s="128">
        <f t="shared" si="183"/>
        <v>40</v>
      </c>
      <c r="AH162" s="236">
        <f t="shared" si="184"/>
        <v>0</v>
      </c>
      <c r="AI162" s="238"/>
      <c r="AJ162" s="244"/>
      <c r="AK162" s="244"/>
      <c r="AL162" s="162"/>
      <c r="AM162" s="127">
        <f t="shared" si="186"/>
        <v>0</v>
      </c>
      <c r="AN162" s="128">
        <f t="shared" si="186"/>
        <v>0</v>
      </c>
      <c r="AO162" s="128">
        <f t="shared" si="186"/>
        <v>0</v>
      </c>
      <c r="AP162" s="128">
        <f t="shared" si="186"/>
        <v>0</v>
      </c>
      <c r="AQ162" s="128">
        <f t="shared" si="186"/>
        <v>0</v>
      </c>
      <c r="AR162" s="128">
        <f t="shared" si="185"/>
        <v>0</v>
      </c>
      <c r="AS162" s="238"/>
    </row>
    <row r="163" spans="1:45" s="129" customFormat="1">
      <c r="A163" s="42" t="s">
        <v>270</v>
      </c>
      <c r="B163" s="18" t="s">
        <v>8</v>
      </c>
      <c r="C163" s="161">
        <v>1</v>
      </c>
      <c r="D163" s="91" t="s">
        <v>2</v>
      </c>
      <c r="E163" s="162">
        <v>0</v>
      </c>
      <c r="F163" s="163">
        <f t="shared" si="177"/>
        <v>0</v>
      </c>
      <c r="G163" s="164">
        <v>0</v>
      </c>
      <c r="H163" s="164">
        <v>0</v>
      </c>
      <c r="I163" s="164">
        <v>16</v>
      </c>
      <c r="J163" s="164">
        <v>16</v>
      </c>
      <c r="K163" s="334">
        <v>80</v>
      </c>
      <c r="L163" s="91" t="s">
        <v>7</v>
      </c>
      <c r="M163" s="162">
        <f t="shared" si="178"/>
        <v>2400</v>
      </c>
      <c r="N163" s="87">
        <v>1</v>
      </c>
      <c r="O163" s="166">
        <f t="shared" si="179"/>
        <v>2400</v>
      </c>
      <c r="P163" s="166"/>
      <c r="Q163" s="46" t="s">
        <v>31</v>
      </c>
      <c r="R163" s="66" t="s">
        <v>154</v>
      </c>
      <c r="S163" s="133" t="str">
        <f t="shared" si="180"/>
        <v>BPT2011</v>
      </c>
      <c r="T163" s="133" t="str">
        <f t="shared" si="181"/>
        <v>B1.2.2.3.32011</v>
      </c>
      <c r="U163" s="133" t="s">
        <v>191</v>
      </c>
      <c r="V163" s="133" t="str">
        <f t="shared" si="182"/>
        <v>Ladder Cable (Kapton + Cu conductor)</v>
      </c>
      <c r="W163" s="18"/>
      <c r="X163" s="18"/>
      <c r="Y163" s="18"/>
      <c r="Z163" s="18"/>
      <c r="AA163" s="18"/>
      <c r="AB163" s="30">
        <v>2011</v>
      </c>
      <c r="AC163" s="128">
        <f t="shared" ref="AC163:AG169" si="187">IF($Q163="B", (G163*$N163),0)</f>
        <v>0</v>
      </c>
      <c r="AD163" s="128">
        <f t="shared" si="187"/>
        <v>0</v>
      </c>
      <c r="AE163" s="128">
        <f t="shared" si="187"/>
        <v>16</v>
      </c>
      <c r="AF163" s="128">
        <f t="shared" si="187"/>
        <v>16</v>
      </c>
      <c r="AG163" s="128">
        <f t="shared" si="187"/>
        <v>80</v>
      </c>
      <c r="AH163" s="236">
        <f t="shared" si="184"/>
        <v>0</v>
      </c>
      <c r="AI163" s="238"/>
      <c r="AJ163" s="244"/>
      <c r="AK163" s="244"/>
      <c r="AL163" s="162"/>
      <c r="AM163" s="127">
        <f t="shared" si="186"/>
        <v>0</v>
      </c>
      <c r="AN163" s="128">
        <f t="shared" si="186"/>
        <v>0</v>
      </c>
      <c r="AO163" s="128">
        <f t="shared" si="186"/>
        <v>0</v>
      </c>
      <c r="AP163" s="128">
        <f t="shared" si="186"/>
        <v>0</v>
      </c>
      <c r="AQ163" s="128">
        <f t="shared" si="186"/>
        <v>0</v>
      </c>
      <c r="AR163" s="128">
        <f t="shared" si="185"/>
        <v>0</v>
      </c>
      <c r="AS163" s="238"/>
    </row>
    <row r="164" spans="1:45" s="129" customFormat="1">
      <c r="A164" s="42" t="s">
        <v>271</v>
      </c>
      <c r="B164" s="18" t="s">
        <v>8</v>
      </c>
      <c r="C164" s="161">
        <v>5</v>
      </c>
      <c r="D164" s="91" t="s">
        <v>2</v>
      </c>
      <c r="E164" s="162">
        <v>500</v>
      </c>
      <c r="F164" s="163">
        <f>E164*C164</f>
        <v>2500</v>
      </c>
      <c r="G164" s="164">
        <v>0</v>
      </c>
      <c r="H164" s="164">
        <v>0</v>
      </c>
      <c r="I164" s="164">
        <v>0</v>
      </c>
      <c r="J164" s="164">
        <v>0</v>
      </c>
      <c r="K164" s="334">
        <v>16</v>
      </c>
      <c r="L164" s="91" t="s">
        <v>7</v>
      </c>
      <c r="M164" s="162">
        <f>IF(R164="PD",((Shop*G164)+(M_Tech*H164)+(CMM*I164)+(ENG*J164)+(DES*K164))*N164,((Shop_RD*G164)+(MTECH_RD*H164)+(CMM_RD*I164)+(ENG_RD*J164)+(DES_RD*K164))*N164)</f>
        <v>0</v>
      </c>
      <c r="N164" s="87">
        <v>1</v>
      </c>
      <c r="O164" s="166">
        <f t="shared" si="179"/>
        <v>2500</v>
      </c>
      <c r="P164" s="166"/>
      <c r="Q164" s="46" t="s">
        <v>31</v>
      </c>
      <c r="R164" s="66" t="s">
        <v>154</v>
      </c>
      <c r="S164" s="133" t="str">
        <f>CONCATENATE(Q164,R164,AB164)</f>
        <v>BPT2011</v>
      </c>
      <c r="T164" s="133" t="str">
        <f t="shared" si="181"/>
        <v>B1.2.2.3.32011</v>
      </c>
      <c r="U164" s="133" t="s">
        <v>191</v>
      </c>
      <c r="V164" s="133" t="str">
        <f t="shared" si="182"/>
        <v>Ladder Cable (Kapton + Cu conductor)</v>
      </c>
      <c r="W164" s="18"/>
      <c r="X164" s="18"/>
      <c r="Y164" s="18"/>
      <c r="Z164" s="18"/>
      <c r="AA164" s="18"/>
      <c r="AB164" s="30">
        <v>2011</v>
      </c>
      <c r="AC164" s="128">
        <f t="shared" ref="AC164:AG165" si="188">IF($Q164="B", (G164*$N164),0)</f>
        <v>0</v>
      </c>
      <c r="AD164" s="128">
        <f t="shared" si="188"/>
        <v>0</v>
      </c>
      <c r="AE164" s="128">
        <f t="shared" si="188"/>
        <v>0</v>
      </c>
      <c r="AF164" s="128">
        <f t="shared" si="188"/>
        <v>0</v>
      </c>
      <c r="AG164" s="128">
        <f t="shared" si="188"/>
        <v>16</v>
      </c>
      <c r="AH164" s="236">
        <f t="shared" si="184"/>
        <v>2500</v>
      </c>
      <c r="AI164" s="238"/>
      <c r="AJ164" s="244"/>
      <c r="AK164" s="244"/>
      <c r="AL164" s="162"/>
      <c r="AM164" s="127">
        <f t="shared" ref="AM164:AQ165" si="189">IF($Q164="C", (G164*$N164),0)</f>
        <v>0</v>
      </c>
      <c r="AN164" s="128">
        <f t="shared" si="189"/>
        <v>0</v>
      </c>
      <c r="AO164" s="128">
        <f t="shared" si="189"/>
        <v>0</v>
      </c>
      <c r="AP164" s="128">
        <f t="shared" si="189"/>
        <v>0</v>
      </c>
      <c r="AQ164" s="128">
        <f t="shared" si="189"/>
        <v>0</v>
      </c>
      <c r="AR164" s="128">
        <f>IF($Q164="C", (F164*$N164),0)</f>
        <v>0</v>
      </c>
      <c r="AS164" s="238"/>
    </row>
    <row r="165" spans="1:45" s="129" customFormat="1">
      <c r="A165" s="42" t="s">
        <v>427</v>
      </c>
      <c r="B165" s="18" t="s">
        <v>8</v>
      </c>
      <c r="C165" s="161">
        <v>5</v>
      </c>
      <c r="D165" s="91" t="s">
        <v>2</v>
      </c>
      <c r="E165" s="162">
        <v>200</v>
      </c>
      <c r="F165" s="163">
        <f>E165*C165</f>
        <v>1000</v>
      </c>
      <c r="G165" s="164">
        <v>0</v>
      </c>
      <c r="H165" s="164">
        <v>0</v>
      </c>
      <c r="I165" s="164">
        <v>40</v>
      </c>
      <c r="J165" s="164">
        <v>8</v>
      </c>
      <c r="K165" s="334">
        <v>40</v>
      </c>
      <c r="L165" s="91" t="s">
        <v>7</v>
      </c>
      <c r="M165" s="162">
        <f>IF(R165="PD",((Shop*G165)+(M_Tech*H165)+(CMM*I165)+(ENG*J165)+(DES*K165))*N165,((Shop_RD*G165)+(MTECH_RD*H165)+(CMM_RD*I165)+(ENG_RD*J165)+(DES_RD*K165))*N165)</f>
        <v>1200</v>
      </c>
      <c r="N165" s="87">
        <v>1</v>
      </c>
      <c r="O165" s="166">
        <f t="shared" si="179"/>
        <v>2200</v>
      </c>
      <c r="P165" s="166"/>
      <c r="Q165" s="46" t="s">
        <v>31</v>
      </c>
      <c r="R165" s="66" t="s">
        <v>154</v>
      </c>
      <c r="S165" s="133" t="str">
        <f>CONCATENATE(Q165,R165,AB165)</f>
        <v>BPT2011</v>
      </c>
      <c r="T165" s="133" t="str">
        <f t="shared" si="181"/>
        <v>B1.2.2.3.32011</v>
      </c>
      <c r="U165" s="133" t="s">
        <v>191</v>
      </c>
      <c r="V165" s="133" t="str">
        <f t="shared" si="182"/>
        <v>Ladder Cable (Kapton + Cu conductor)</v>
      </c>
      <c r="W165" s="18"/>
      <c r="X165" s="18"/>
      <c r="Y165" s="18"/>
      <c r="Z165" s="18"/>
      <c r="AA165" s="18"/>
      <c r="AB165" s="30">
        <v>2011</v>
      </c>
      <c r="AC165" s="128">
        <f t="shared" si="188"/>
        <v>0</v>
      </c>
      <c r="AD165" s="128">
        <f t="shared" si="188"/>
        <v>0</v>
      </c>
      <c r="AE165" s="128">
        <f t="shared" si="188"/>
        <v>40</v>
      </c>
      <c r="AF165" s="128">
        <f t="shared" si="188"/>
        <v>8</v>
      </c>
      <c r="AG165" s="128">
        <f t="shared" si="188"/>
        <v>40</v>
      </c>
      <c r="AH165" s="236">
        <f t="shared" si="184"/>
        <v>1000</v>
      </c>
      <c r="AI165" s="238"/>
      <c r="AJ165" s="244"/>
      <c r="AK165" s="244"/>
      <c r="AL165" s="162"/>
      <c r="AM165" s="127">
        <f t="shared" si="189"/>
        <v>0</v>
      </c>
      <c r="AN165" s="128">
        <f t="shared" si="189"/>
        <v>0</v>
      </c>
      <c r="AO165" s="128">
        <f t="shared" si="189"/>
        <v>0</v>
      </c>
      <c r="AP165" s="128">
        <f t="shared" si="189"/>
        <v>0</v>
      </c>
      <c r="AQ165" s="128">
        <f t="shared" si="189"/>
        <v>0</v>
      </c>
      <c r="AR165" s="128">
        <f>IF($Q165="C", (F165*$N165),0)</f>
        <v>0</v>
      </c>
      <c r="AS165" s="238"/>
    </row>
    <row r="166" spans="1:45" s="129" customFormat="1">
      <c r="A166" s="42" t="s">
        <v>436</v>
      </c>
      <c r="B166" s="18" t="s">
        <v>8</v>
      </c>
      <c r="C166" s="161">
        <v>5</v>
      </c>
      <c r="D166" s="91" t="s">
        <v>2</v>
      </c>
      <c r="E166" s="162">
        <v>200</v>
      </c>
      <c r="F166" s="163">
        <f t="shared" si="177"/>
        <v>1000</v>
      </c>
      <c r="G166" s="164">
        <v>0</v>
      </c>
      <c r="H166" s="164">
        <v>60</v>
      </c>
      <c r="I166" s="164">
        <v>24</v>
      </c>
      <c r="J166" s="164">
        <v>8</v>
      </c>
      <c r="K166" s="334">
        <v>40</v>
      </c>
      <c r="L166" s="91" t="s">
        <v>7</v>
      </c>
      <c r="M166" s="162">
        <f t="shared" si="178"/>
        <v>8220</v>
      </c>
      <c r="N166" s="87">
        <v>1</v>
      </c>
      <c r="O166" s="166">
        <f t="shared" si="179"/>
        <v>9220</v>
      </c>
      <c r="P166" s="166"/>
      <c r="Q166" s="46" t="s">
        <v>31</v>
      </c>
      <c r="R166" s="66" t="s">
        <v>154</v>
      </c>
      <c r="S166" s="133" t="str">
        <f t="shared" si="180"/>
        <v>BPT2011</v>
      </c>
      <c r="T166" s="133" t="str">
        <f t="shared" si="181"/>
        <v>B1.2.2.3.32011</v>
      </c>
      <c r="U166" s="133" t="s">
        <v>191</v>
      </c>
      <c r="V166" s="133" t="str">
        <f t="shared" si="182"/>
        <v>Ladder Cable (Kapton + Cu conductor)</v>
      </c>
      <c r="W166" s="18"/>
      <c r="X166" s="18"/>
      <c r="Y166" s="18"/>
      <c r="Z166" s="18"/>
      <c r="AA166" s="18"/>
      <c r="AB166" s="30">
        <v>2011</v>
      </c>
      <c r="AC166" s="128">
        <f t="shared" si="187"/>
        <v>0</v>
      </c>
      <c r="AD166" s="128">
        <f t="shared" si="187"/>
        <v>60</v>
      </c>
      <c r="AE166" s="128">
        <f t="shared" si="187"/>
        <v>24</v>
      </c>
      <c r="AF166" s="128">
        <f t="shared" si="187"/>
        <v>8</v>
      </c>
      <c r="AG166" s="128">
        <f t="shared" si="187"/>
        <v>40</v>
      </c>
      <c r="AH166" s="236">
        <f t="shared" si="184"/>
        <v>1000</v>
      </c>
      <c r="AI166" s="238"/>
      <c r="AJ166" s="244"/>
      <c r="AK166" s="244"/>
      <c r="AL166" s="162"/>
      <c r="AM166" s="127">
        <f t="shared" si="186"/>
        <v>0</v>
      </c>
      <c r="AN166" s="128">
        <f t="shared" si="186"/>
        <v>0</v>
      </c>
      <c r="AO166" s="128">
        <f t="shared" si="186"/>
        <v>0</v>
      </c>
      <c r="AP166" s="128">
        <f t="shared" si="186"/>
        <v>0</v>
      </c>
      <c r="AQ166" s="128">
        <f t="shared" si="186"/>
        <v>0</v>
      </c>
      <c r="AR166" s="128">
        <f t="shared" si="185"/>
        <v>0</v>
      </c>
      <c r="AS166" s="238"/>
    </row>
    <row r="167" spans="1:45" s="129" customFormat="1">
      <c r="A167" s="42" t="s">
        <v>252</v>
      </c>
      <c r="B167" s="18" t="s">
        <v>8</v>
      </c>
      <c r="C167" s="161">
        <v>1</v>
      </c>
      <c r="D167" s="91" t="s">
        <v>2</v>
      </c>
      <c r="E167" s="162">
        <v>700</v>
      </c>
      <c r="F167" s="163">
        <f>E167*C167</f>
        <v>700</v>
      </c>
      <c r="G167" s="164">
        <v>0</v>
      </c>
      <c r="H167" s="164">
        <v>16</v>
      </c>
      <c r="I167" s="164">
        <v>24</v>
      </c>
      <c r="J167" s="164">
        <v>0</v>
      </c>
      <c r="K167" s="334">
        <v>32</v>
      </c>
      <c r="L167" s="91" t="s">
        <v>7</v>
      </c>
      <c r="M167" s="162">
        <f>IF(R167="PD",((Shop*G167)+(M_Tech*H167)+(CMM*I167)+(ENG*J167)+(DES*K167))*N167,((Shop_RD*G167)+(MTECH_RD*H167)+(CMM_RD*I167)+(ENG_RD*J167)+(DES_RD*K167))*N167)</f>
        <v>1872</v>
      </c>
      <c r="N167" s="87">
        <v>1</v>
      </c>
      <c r="O167" s="166">
        <f t="shared" si="179"/>
        <v>2572</v>
      </c>
      <c r="P167" s="166"/>
      <c r="Q167" s="46" t="s">
        <v>31</v>
      </c>
      <c r="R167" s="66" t="s">
        <v>154</v>
      </c>
      <c r="S167" s="133" t="str">
        <f>CONCATENATE(Q167,R167,AB167)</f>
        <v>BPT2011</v>
      </c>
      <c r="T167" s="133" t="str">
        <f t="shared" si="181"/>
        <v>B1.2.2.3.32011</v>
      </c>
      <c r="U167" s="133" t="s">
        <v>191</v>
      </c>
      <c r="V167" s="133" t="str">
        <f t="shared" si="182"/>
        <v>Ladder Cable (Kapton + Cu conductor)</v>
      </c>
      <c r="W167" s="18"/>
      <c r="X167" s="18"/>
      <c r="Y167" s="18"/>
      <c r="Z167" s="18"/>
      <c r="AA167" s="18"/>
      <c r="AB167" s="30">
        <v>2011</v>
      </c>
      <c r="AC167" s="128">
        <f>IF($Q167="B", (G167*$N167),0)</f>
        <v>0</v>
      </c>
      <c r="AD167" s="128">
        <f>IF($Q167="B", (H167*$N167),0)</f>
        <v>16</v>
      </c>
      <c r="AE167" s="128">
        <f>IF($Q167="B", (I167*$N167),0)</f>
        <v>24</v>
      </c>
      <c r="AF167" s="128">
        <f>IF($Q167="B", (J167*$N167),0)</f>
        <v>0</v>
      </c>
      <c r="AG167" s="128">
        <f>IF($Q167="B", (K167*$N167),0)</f>
        <v>32</v>
      </c>
      <c r="AH167" s="236">
        <f t="shared" si="184"/>
        <v>700</v>
      </c>
      <c r="AI167" s="238"/>
      <c r="AJ167" s="244"/>
      <c r="AK167" s="244"/>
      <c r="AL167" s="162"/>
      <c r="AM167" s="127">
        <f>IF($Q167="C", (G167*$N167),0)</f>
        <v>0</v>
      </c>
      <c r="AN167" s="128">
        <f>IF($Q167="C", (H167*$N167),0)</f>
        <v>0</v>
      </c>
      <c r="AO167" s="128">
        <f>IF($Q167="C", (I167*$N167),0)</f>
        <v>0</v>
      </c>
      <c r="AP167" s="128">
        <f>IF($Q167="C", (J167*$N167),0)</f>
        <v>0</v>
      </c>
      <c r="AQ167" s="128">
        <f>IF($Q167="C", (K167*$N167),0)</f>
        <v>0</v>
      </c>
      <c r="AR167" s="128">
        <f>IF($Q167="C", (F167*$N167),0)</f>
        <v>0</v>
      </c>
      <c r="AS167" s="238"/>
    </row>
    <row r="168" spans="1:45" s="129" customFormat="1">
      <c r="A168" s="42" t="s">
        <v>274</v>
      </c>
      <c r="B168" s="18" t="s">
        <v>8</v>
      </c>
      <c r="C168" s="161">
        <v>1</v>
      </c>
      <c r="D168" s="91" t="s">
        <v>2</v>
      </c>
      <c r="E168" s="162">
        <v>0</v>
      </c>
      <c r="F168" s="163">
        <f t="shared" si="177"/>
        <v>0</v>
      </c>
      <c r="G168" s="164">
        <v>0</v>
      </c>
      <c r="H168" s="164">
        <v>0</v>
      </c>
      <c r="I168" s="164">
        <v>120</v>
      </c>
      <c r="J168" s="164">
        <v>8</v>
      </c>
      <c r="K168" s="334">
        <v>80</v>
      </c>
      <c r="L168" s="91" t="s">
        <v>7</v>
      </c>
      <c r="M168" s="162">
        <f t="shared" si="178"/>
        <v>1200</v>
      </c>
      <c r="N168" s="87">
        <v>1</v>
      </c>
      <c r="O168" s="166">
        <f t="shared" si="179"/>
        <v>1200</v>
      </c>
      <c r="P168" s="166"/>
      <c r="Q168" s="46" t="s">
        <v>31</v>
      </c>
      <c r="R168" s="66" t="s">
        <v>154</v>
      </c>
      <c r="S168" s="133" t="str">
        <f t="shared" si="180"/>
        <v>BPT2011</v>
      </c>
      <c r="T168" s="133" t="str">
        <f t="shared" si="181"/>
        <v>B1.2.2.3.32011</v>
      </c>
      <c r="U168" s="133" t="s">
        <v>191</v>
      </c>
      <c r="V168" s="133" t="str">
        <f t="shared" si="182"/>
        <v>Ladder Cable (Kapton + Cu conductor)</v>
      </c>
      <c r="W168" s="18"/>
      <c r="X168" s="18"/>
      <c r="Y168" s="18"/>
      <c r="Z168" s="18"/>
      <c r="AA168" s="18"/>
      <c r="AB168" s="30">
        <v>2011</v>
      </c>
      <c r="AC168" s="128">
        <f t="shared" si="187"/>
        <v>0</v>
      </c>
      <c r="AD168" s="128">
        <f t="shared" si="187"/>
        <v>0</v>
      </c>
      <c r="AE168" s="128">
        <f t="shared" si="187"/>
        <v>120</v>
      </c>
      <c r="AF168" s="128">
        <f t="shared" si="187"/>
        <v>8</v>
      </c>
      <c r="AG168" s="128">
        <f t="shared" si="187"/>
        <v>80</v>
      </c>
      <c r="AH168" s="236">
        <f t="shared" si="184"/>
        <v>0</v>
      </c>
      <c r="AI168" s="238"/>
      <c r="AJ168" s="244"/>
      <c r="AK168" s="244"/>
      <c r="AL168" s="162"/>
      <c r="AM168" s="127">
        <f t="shared" si="186"/>
        <v>0</v>
      </c>
      <c r="AN168" s="128">
        <f t="shared" si="186"/>
        <v>0</v>
      </c>
      <c r="AO168" s="128">
        <f t="shared" si="186"/>
        <v>0</v>
      </c>
      <c r="AP168" s="128">
        <f t="shared" si="186"/>
        <v>0</v>
      </c>
      <c r="AQ168" s="128">
        <f t="shared" si="186"/>
        <v>0</v>
      </c>
      <c r="AR168" s="128">
        <f t="shared" si="185"/>
        <v>0</v>
      </c>
      <c r="AS168" s="238"/>
    </row>
    <row r="169" spans="1:45" s="129" customFormat="1">
      <c r="A169" s="42" t="s">
        <v>349</v>
      </c>
      <c r="B169" s="18" t="s">
        <v>8</v>
      </c>
      <c r="C169" s="161">
        <v>1</v>
      </c>
      <c r="D169" s="91" t="s">
        <v>2</v>
      </c>
      <c r="E169" s="162">
        <v>1000</v>
      </c>
      <c r="F169" s="163">
        <f>E169*C169</f>
        <v>1000</v>
      </c>
      <c r="G169" s="164">
        <v>0</v>
      </c>
      <c r="H169" s="164">
        <v>0</v>
      </c>
      <c r="I169" s="164">
        <v>0</v>
      </c>
      <c r="J169" s="164">
        <v>0</v>
      </c>
      <c r="K169" s="334">
        <v>0</v>
      </c>
      <c r="L169" s="91" t="s">
        <v>7</v>
      </c>
      <c r="M169" s="162">
        <f>IF(R169="PD",((Shop*G169)+(M_Tech*H169)+(CMM*I169)+(ENG*J169)+(DES*K169))*N169,((Shop_RD*G169)+(MTECH_RD*H169)+(CMM_RD*I169)+(ENG_RD*J169)+(DES_RD*K169))*N169)</f>
        <v>0</v>
      </c>
      <c r="N169" s="87">
        <v>1</v>
      </c>
      <c r="O169" s="166">
        <f t="shared" si="179"/>
        <v>1000</v>
      </c>
      <c r="P169" s="166"/>
      <c r="Q169" s="46" t="s">
        <v>32</v>
      </c>
      <c r="R169" s="66" t="s">
        <v>154</v>
      </c>
      <c r="S169" s="133" t="str">
        <f>CONCATENATE(Q169,R169,AB169)</f>
        <v>CPT2011</v>
      </c>
      <c r="T169" s="133" t="str">
        <f t="shared" si="181"/>
        <v>C1.2.2.3.32011</v>
      </c>
      <c r="U169" s="133" t="s">
        <v>191</v>
      </c>
      <c r="V169" s="133" t="str">
        <f t="shared" si="182"/>
        <v>Ladder Cable (Kapton + Cu conductor)</v>
      </c>
      <c r="W169" s="18"/>
      <c r="X169" s="18"/>
      <c r="Y169" s="18"/>
      <c r="Z169" s="18"/>
      <c r="AA169" s="18"/>
      <c r="AB169" s="30">
        <v>2011</v>
      </c>
      <c r="AC169" s="128">
        <f t="shared" si="187"/>
        <v>0</v>
      </c>
      <c r="AD169" s="128">
        <f t="shared" si="187"/>
        <v>0</v>
      </c>
      <c r="AE169" s="128">
        <f t="shared" si="187"/>
        <v>0</v>
      </c>
      <c r="AF169" s="128">
        <f t="shared" si="187"/>
        <v>0</v>
      </c>
      <c r="AG169" s="128">
        <f t="shared" si="187"/>
        <v>0</v>
      </c>
      <c r="AH169" s="236">
        <f t="shared" si="184"/>
        <v>0</v>
      </c>
      <c r="AI169" s="238"/>
      <c r="AJ169" s="244"/>
      <c r="AK169" s="244"/>
      <c r="AL169" s="162"/>
      <c r="AM169" s="127">
        <f>IF($Q169="C", (G169*$N169),0)</f>
        <v>0</v>
      </c>
      <c r="AN169" s="128">
        <f>IF($Q169="C", (H169*$N169),0)</f>
        <v>0</v>
      </c>
      <c r="AO169" s="128">
        <f>IF($Q169="C", (I169*$N169),0)</f>
        <v>0</v>
      </c>
      <c r="AP169" s="128">
        <f>IF($Q169="C", (J169*$N169),0)</f>
        <v>0</v>
      </c>
      <c r="AQ169" s="128">
        <f>IF($Q169="C", (K169*$N169),0)</f>
        <v>0</v>
      </c>
      <c r="AR169" s="128">
        <f>IF($Q169="C", (F169*$N169),0)</f>
        <v>1000</v>
      </c>
      <c r="AS169" s="238"/>
    </row>
    <row r="170" spans="1:45" s="129" customFormat="1">
      <c r="A170" s="42" t="s">
        <v>435</v>
      </c>
      <c r="B170" s="18" t="s">
        <v>8</v>
      </c>
      <c r="C170" s="161">
        <v>1</v>
      </c>
      <c r="D170" s="91" t="s">
        <v>2</v>
      </c>
      <c r="E170" s="162">
        <v>0</v>
      </c>
      <c r="F170" s="163">
        <f t="shared" si="177"/>
        <v>0</v>
      </c>
      <c r="G170" s="164">
        <v>0</v>
      </c>
      <c r="H170" s="164">
        <v>40</v>
      </c>
      <c r="I170" s="164">
        <v>0</v>
      </c>
      <c r="J170" s="164">
        <v>0</v>
      </c>
      <c r="K170" s="334">
        <v>0</v>
      </c>
      <c r="L170" s="91" t="s">
        <v>7</v>
      </c>
      <c r="M170" s="162">
        <f t="shared" si="178"/>
        <v>4680</v>
      </c>
      <c r="N170" s="87">
        <v>1</v>
      </c>
      <c r="O170" s="166">
        <f t="shared" si="179"/>
        <v>4680</v>
      </c>
      <c r="P170" s="166"/>
      <c r="Q170" s="46" t="s">
        <v>32</v>
      </c>
      <c r="R170" s="66" t="s">
        <v>154</v>
      </c>
      <c r="S170" s="133" t="str">
        <f t="shared" si="180"/>
        <v>CPT2011</v>
      </c>
      <c r="T170" s="133" t="str">
        <f t="shared" si="181"/>
        <v>C1.2.2.3.32011</v>
      </c>
      <c r="U170" s="133" t="s">
        <v>191</v>
      </c>
      <c r="V170" s="133" t="str">
        <f t="shared" si="182"/>
        <v>Ladder Cable (Kapton + Cu conductor)</v>
      </c>
      <c r="W170" s="18"/>
      <c r="X170" s="18"/>
      <c r="Y170" s="18"/>
      <c r="Z170" s="18"/>
      <c r="AA170" s="18"/>
      <c r="AB170" s="30">
        <v>2011</v>
      </c>
      <c r="AC170" s="128">
        <f>IF($Q170="B", (G170*$N170),0)</f>
        <v>0</v>
      </c>
      <c r="AD170" s="128">
        <f>IF($Q170="B", (H170*$N170),0)</f>
        <v>0</v>
      </c>
      <c r="AE170" s="128">
        <f>IF($Q170="B", (I170*$N170),0)</f>
        <v>0</v>
      </c>
      <c r="AF170" s="128">
        <f>IF($Q170="B", (J170*$N170),0)</f>
        <v>0</v>
      </c>
      <c r="AG170" s="128">
        <f>IF($Q170="B", (K170*$N170),0)</f>
        <v>0</v>
      </c>
      <c r="AH170" s="236">
        <f t="shared" si="184"/>
        <v>0</v>
      </c>
      <c r="AI170" s="238"/>
      <c r="AJ170" s="244"/>
      <c r="AK170" s="244"/>
      <c r="AL170" s="162"/>
      <c r="AM170" s="127">
        <f t="shared" si="186"/>
        <v>0</v>
      </c>
      <c r="AN170" s="128">
        <f t="shared" si="186"/>
        <v>40</v>
      </c>
      <c r="AO170" s="128">
        <f t="shared" si="186"/>
        <v>0</v>
      </c>
      <c r="AP170" s="128">
        <f t="shared" si="186"/>
        <v>0</v>
      </c>
      <c r="AQ170" s="128">
        <f t="shared" si="186"/>
        <v>0</v>
      </c>
      <c r="AR170" s="128">
        <f t="shared" si="185"/>
        <v>0</v>
      </c>
      <c r="AS170" s="238"/>
    </row>
    <row r="171" spans="1:45" s="42" customFormat="1" hidden="1">
      <c r="A171" s="43" t="s">
        <v>276</v>
      </c>
      <c r="C171" s="181"/>
      <c r="E171" s="182"/>
      <c r="F171" s="183"/>
      <c r="G171" s="184"/>
      <c r="H171" s="184"/>
      <c r="I171" s="184"/>
      <c r="J171" s="184"/>
      <c r="K171" s="185"/>
      <c r="L171" s="222" t="s">
        <v>43</v>
      </c>
      <c r="M171" s="174">
        <f>SUMIF(Q159:Q170,"B",M159:M170)</f>
        <v>25512</v>
      </c>
      <c r="N171" s="62" t="s">
        <v>43</v>
      </c>
      <c r="O171" s="174"/>
      <c r="P171" s="186"/>
      <c r="Q171" s="60"/>
      <c r="R171" s="68"/>
      <c r="S171" s="133"/>
      <c r="T171" s="133"/>
      <c r="U171" s="70"/>
      <c r="V171" s="70"/>
      <c r="W171" s="18"/>
      <c r="X171" s="18"/>
      <c r="Y171" s="18"/>
      <c r="Z171" s="18"/>
      <c r="AA171" s="18"/>
      <c r="AB171" s="30"/>
      <c r="AC171" s="128"/>
      <c r="AD171" s="128"/>
      <c r="AE171" s="128"/>
      <c r="AF171" s="128"/>
      <c r="AG171" s="128"/>
      <c r="AH171" s="236"/>
      <c r="AI171" s="237"/>
      <c r="AJ171" s="128"/>
      <c r="AK171" s="128"/>
      <c r="AL171" s="162"/>
      <c r="AM171" s="127"/>
      <c r="AN171" s="128"/>
      <c r="AO171" s="128"/>
      <c r="AP171" s="128"/>
      <c r="AQ171" s="128"/>
      <c r="AR171" s="128"/>
      <c r="AS171" s="237"/>
    </row>
    <row r="172" spans="1:45" s="129" customFormat="1" hidden="1">
      <c r="A172" s="42" t="s">
        <v>269</v>
      </c>
      <c r="B172" s="18" t="s">
        <v>8</v>
      </c>
      <c r="C172" s="161">
        <v>1</v>
      </c>
      <c r="D172" s="91" t="s">
        <v>2</v>
      </c>
      <c r="E172" s="162">
        <v>0</v>
      </c>
      <c r="F172" s="163">
        <f t="shared" ref="F172:F180" si="190">E172*C172</f>
        <v>0</v>
      </c>
      <c r="G172" s="164">
        <v>0</v>
      </c>
      <c r="H172" s="164">
        <v>0</v>
      </c>
      <c r="I172" s="164">
        <v>16</v>
      </c>
      <c r="J172" s="164">
        <v>24</v>
      </c>
      <c r="K172" s="165">
        <v>160</v>
      </c>
      <c r="L172" s="91" t="s">
        <v>7</v>
      </c>
      <c r="M172" s="162">
        <f t="shared" ref="M172:M180" si="191">IF(R172="PD",((Shop*G172)+(M_Tech*H172)+(CMM*I172)+(ENG*J172)+(DES*K172))*N172,((Shop_RD*G172)+(MTECH_RD*H172)+(CMM_RD*I172)+(ENG_RD*J172)+(DES_RD*K172))*N172)</f>
        <v>0</v>
      </c>
      <c r="N172" s="87">
        <v>0</v>
      </c>
      <c r="O172" s="166">
        <f t="shared" ref="O172:O177" si="192">M172+(F172*N172)</f>
        <v>0</v>
      </c>
      <c r="P172" s="166"/>
      <c r="Q172" s="46" t="s">
        <v>31</v>
      </c>
      <c r="R172" s="66" t="s">
        <v>154</v>
      </c>
      <c r="S172" s="133" t="str">
        <f t="shared" ref="S172:S180" si="193">CONCATENATE(Q172,R172,AB172)</f>
        <v>BPT2011</v>
      </c>
      <c r="T172" s="133" t="str">
        <f t="shared" ref="T172:T177" si="194">CONCATENATE(Q172,U172,AB172)</f>
        <v>B1.2.3.3.42011</v>
      </c>
      <c r="U172" s="133" t="s">
        <v>193</v>
      </c>
      <c r="V172" s="133" t="str">
        <f t="shared" si="182"/>
        <v>PXL Sensor Ladder Production</v>
      </c>
      <c r="W172" s="18"/>
      <c r="X172" s="18"/>
      <c r="Y172" s="18"/>
      <c r="Z172" s="18"/>
      <c r="AA172" s="18"/>
      <c r="AB172" s="30">
        <v>2011</v>
      </c>
      <c r="AC172" s="128">
        <f t="shared" ref="AC172:AC180" si="195">IF($Q172="B", (G172*$N172),0)</f>
        <v>0</v>
      </c>
      <c r="AD172" s="128">
        <f t="shared" ref="AD172:AD180" si="196">IF($Q172="B", (H172*$N172),0)</f>
        <v>0</v>
      </c>
      <c r="AE172" s="128">
        <f t="shared" ref="AE172:AE180" si="197">IF($Q172="B", (I172*$N172),0)</f>
        <v>0</v>
      </c>
      <c r="AF172" s="128">
        <f t="shared" ref="AF172:AF180" si="198">IF($Q172="B", (J172*$N172),0)</f>
        <v>0</v>
      </c>
      <c r="AG172" s="128">
        <f t="shared" ref="AG172:AG180" si="199">IF($Q172="B", (K172*$N172),0)</f>
        <v>0</v>
      </c>
      <c r="AH172" s="236">
        <f t="shared" ref="AH172:AH177" si="200">IF($Q172="B", (F172*$N172),0)</f>
        <v>0</v>
      </c>
      <c r="AI172" s="238"/>
      <c r="AJ172" s="244"/>
      <c r="AK172" s="244"/>
      <c r="AL172" s="162"/>
      <c r="AM172" s="127">
        <f>IF($Q172="C", (G172*$N172),0)</f>
        <v>0</v>
      </c>
      <c r="AN172" s="128">
        <f>IF($Q172="C", (H172*$N172),0)</f>
        <v>0</v>
      </c>
      <c r="AO172" s="128">
        <f>IF($Q172="C", (I172*$N172),0)</f>
        <v>0</v>
      </c>
      <c r="AP172" s="128">
        <f>IF($Q172="C", (J172*$N172),0)</f>
        <v>0</v>
      </c>
      <c r="AQ172" s="128">
        <f>IF($Q172="C", (K172*$N172),0)</f>
        <v>0</v>
      </c>
      <c r="AR172" s="128">
        <f t="shared" ref="AR172:AR180" si="201">IF($Q172="C", (F172*$N172),0)</f>
        <v>0</v>
      </c>
      <c r="AS172" s="238"/>
    </row>
    <row r="173" spans="1:45" s="129" customFormat="1" hidden="1">
      <c r="A173" s="42" t="s">
        <v>222</v>
      </c>
      <c r="B173" s="18" t="s">
        <v>8</v>
      </c>
      <c r="C173" s="161">
        <v>5</v>
      </c>
      <c r="D173" s="91" t="s">
        <v>2</v>
      </c>
      <c r="E173" s="162">
        <v>1500</v>
      </c>
      <c r="F173" s="163">
        <f t="shared" si="190"/>
        <v>7500</v>
      </c>
      <c r="G173" s="164">
        <v>0</v>
      </c>
      <c r="H173" s="164">
        <v>0</v>
      </c>
      <c r="I173" s="164">
        <v>40</v>
      </c>
      <c r="J173" s="164">
        <v>40</v>
      </c>
      <c r="K173" s="165">
        <v>40</v>
      </c>
      <c r="L173" s="91" t="s">
        <v>7</v>
      </c>
      <c r="M173" s="162">
        <f t="shared" si="191"/>
        <v>0</v>
      </c>
      <c r="N173" s="87">
        <v>0</v>
      </c>
      <c r="O173" s="166">
        <f t="shared" si="192"/>
        <v>0</v>
      </c>
      <c r="P173" s="166"/>
      <c r="Q173" s="46" t="s">
        <v>31</v>
      </c>
      <c r="R173" s="66" t="s">
        <v>154</v>
      </c>
      <c r="S173" s="133" t="str">
        <f t="shared" si="193"/>
        <v>BPT2011</v>
      </c>
      <c r="T173" s="133" t="str">
        <f t="shared" si="194"/>
        <v>B1.2.3.3.42011</v>
      </c>
      <c r="U173" s="133" t="s">
        <v>193</v>
      </c>
      <c r="V173" s="133" t="str">
        <f t="shared" si="182"/>
        <v>PXL Sensor Ladder Production</v>
      </c>
      <c r="W173" s="18"/>
      <c r="X173" s="18"/>
      <c r="Y173" s="18"/>
      <c r="Z173" s="18"/>
      <c r="AA173" s="18"/>
      <c r="AB173" s="30">
        <v>2011</v>
      </c>
      <c r="AC173" s="128">
        <f t="shared" si="195"/>
        <v>0</v>
      </c>
      <c r="AD173" s="128">
        <f t="shared" si="196"/>
        <v>0</v>
      </c>
      <c r="AE173" s="128">
        <f t="shared" si="197"/>
        <v>0</v>
      </c>
      <c r="AF173" s="128">
        <f t="shared" si="198"/>
        <v>0</v>
      </c>
      <c r="AG173" s="128">
        <f t="shared" si="199"/>
        <v>0</v>
      </c>
      <c r="AH173" s="236">
        <f t="shared" si="200"/>
        <v>0</v>
      </c>
      <c r="AI173" s="238"/>
      <c r="AJ173" s="244"/>
      <c r="AK173" s="244"/>
      <c r="AL173" s="162"/>
      <c r="AM173" s="127">
        <f t="shared" ref="AM173:AM180" si="202">IF($Q173="C", (G173*$N173),0)</f>
        <v>0</v>
      </c>
      <c r="AN173" s="128">
        <f t="shared" ref="AN173:AN180" si="203">IF($Q173="C", (H173*$N173),0)</f>
        <v>0</v>
      </c>
      <c r="AO173" s="128">
        <f t="shared" ref="AO173:AO180" si="204">IF($Q173="C", (I173*$N173),0)</f>
        <v>0</v>
      </c>
      <c r="AP173" s="128">
        <f t="shared" ref="AP173:AP180" si="205">IF($Q173="C", (J173*$N173),0)</f>
        <v>0</v>
      </c>
      <c r="AQ173" s="128">
        <f t="shared" ref="AQ173:AQ180" si="206">IF($Q173="C", (K173*$N173),0)</f>
        <v>0</v>
      </c>
      <c r="AR173" s="128">
        <f t="shared" si="201"/>
        <v>0</v>
      </c>
      <c r="AS173" s="238"/>
    </row>
    <row r="174" spans="1:45" s="129" customFormat="1" hidden="1">
      <c r="A174" s="42" t="s">
        <v>224</v>
      </c>
      <c r="B174" s="18" t="s">
        <v>8</v>
      </c>
      <c r="C174" s="161">
        <v>5</v>
      </c>
      <c r="D174" s="91" t="s">
        <v>2</v>
      </c>
      <c r="E174" s="162">
        <v>300</v>
      </c>
      <c r="F174" s="163">
        <f>E174*C174</f>
        <v>1500</v>
      </c>
      <c r="G174" s="164">
        <v>0</v>
      </c>
      <c r="H174" s="164">
        <v>80</v>
      </c>
      <c r="I174" s="164">
        <v>24</v>
      </c>
      <c r="J174" s="164">
        <v>8</v>
      </c>
      <c r="K174" s="165">
        <v>80</v>
      </c>
      <c r="L174" s="91" t="s">
        <v>7</v>
      </c>
      <c r="M174" s="162">
        <f>IF(R174="PD",((Shop*G174)+(M_Tech*H174)+(CMM*I174)+(ENG*J174)+(DES*K174))*N174,((Shop_RD*G174)+(MTECH_RD*H174)+(CMM_RD*I174)+(ENG_RD*J174)+(DES_RD*K174))*N174)</f>
        <v>0</v>
      </c>
      <c r="N174" s="87">
        <v>0</v>
      </c>
      <c r="O174" s="166">
        <f>M174+(F174*N174)</f>
        <v>0</v>
      </c>
      <c r="P174" s="166"/>
      <c r="Q174" s="46" t="s">
        <v>31</v>
      </c>
      <c r="R174" s="66" t="s">
        <v>154</v>
      </c>
      <c r="S174" s="133" t="str">
        <f>CONCATENATE(Q174,R174,AB174)</f>
        <v>BPT2011</v>
      </c>
      <c r="T174" s="133" t="str">
        <f>CONCATENATE(Q174,U174,AB174)</f>
        <v>B1.2.3.3.42011</v>
      </c>
      <c r="U174" s="133" t="s">
        <v>193</v>
      </c>
      <c r="V174" s="133" t="str">
        <f t="shared" si="182"/>
        <v>PXL Sensor Ladder Production</v>
      </c>
      <c r="W174" s="18"/>
      <c r="X174" s="18"/>
      <c r="Y174" s="18"/>
      <c r="Z174" s="18"/>
      <c r="AA174" s="18"/>
      <c r="AB174" s="30">
        <v>2011</v>
      </c>
      <c r="AC174" s="128">
        <f>IF($Q174="B", (G174*$N174),0)</f>
        <v>0</v>
      </c>
      <c r="AD174" s="128">
        <f>IF($Q174="B", (H174*$N174),0)</f>
        <v>0</v>
      </c>
      <c r="AE174" s="128">
        <f>IF($Q174="B", (I174*$N174),0)</f>
        <v>0</v>
      </c>
      <c r="AF174" s="128">
        <f>IF($Q174="B", (J174*$N174),0)</f>
        <v>0</v>
      </c>
      <c r="AG174" s="128">
        <f>IF($Q174="B", (K174*$N174),0)</f>
        <v>0</v>
      </c>
      <c r="AH174" s="236">
        <f>IF($Q174="B", (F174*$N174),0)</f>
        <v>0</v>
      </c>
      <c r="AI174" s="238"/>
      <c r="AJ174" s="244"/>
      <c r="AK174" s="244"/>
      <c r="AL174" s="162"/>
      <c r="AM174" s="127">
        <f>IF($Q174="C", (G174*$N174),0)</f>
        <v>0</v>
      </c>
      <c r="AN174" s="128">
        <f>IF($Q174="C", (H174*$N174),0)</f>
        <v>0</v>
      </c>
      <c r="AO174" s="128">
        <f>IF($Q174="C", (I174*$N174),0)</f>
        <v>0</v>
      </c>
      <c r="AP174" s="128">
        <f>IF($Q174="C", (J174*$N174),0)</f>
        <v>0</v>
      </c>
      <c r="AQ174" s="128">
        <f>IF($Q174="C", (K174*$N174),0)</f>
        <v>0</v>
      </c>
      <c r="AR174" s="128">
        <f>IF($Q174="C", (F174*$N174),0)</f>
        <v>0</v>
      </c>
      <c r="AS174" s="238"/>
    </row>
    <row r="175" spans="1:45" s="129" customFormat="1" hidden="1">
      <c r="A175" s="42" t="s">
        <v>270</v>
      </c>
      <c r="B175" s="18" t="s">
        <v>8</v>
      </c>
      <c r="C175" s="161">
        <v>1</v>
      </c>
      <c r="D175" s="91" t="s">
        <v>2</v>
      </c>
      <c r="E175" s="162">
        <v>0</v>
      </c>
      <c r="F175" s="163">
        <f t="shared" si="190"/>
        <v>0</v>
      </c>
      <c r="G175" s="164">
        <v>0</v>
      </c>
      <c r="H175" s="164">
        <v>0</v>
      </c>
      <c r="I175" s="164">
        <v>16</v>
      </c>
      <c r="J175" s="164">
        <v>16</v>
      </c>
      <c r="K175" s="165">
        <v>80</v>
      </c>
      <c r="L175" s="91" t="s">
        <v>7</v>
      </c>
      <c r="M175" s="162">
        <f t="shared" si="191"/>
        <v>0</v>
      </c>
      <c r="N175" s="87">
        <v>0</v>
      </c>
      <c r="O175" s="166">
        <f t="shared" si="192"/>
        <v>0</v>
      </c>
      <c r="P175" s="166"/>
      <c r="Q175" s="46" t="s">
        <v>31</v>
      </c>
      <c r="R175" s="66" t="s">
        <v>154</v>
      </c>
      <c r="S175" s="133" t="str">
        <f t="shared" si="193"/>
        <v>BPT2011</v>
      </c>
      <c r="T175" s="133" t="str">
        <f t="shared" si="194"/>
        <v>B1.2.3.3.42011</v>
      </c>
      <c r="U175" s="133" t="s">
        <v>193</v>
      </c>
      <c r="V175" s="133" t="str">
        <f t="shared" si="182"/>
        <v>PXL Sensor Ladder Production</v>
      </c>
      <c r="W175" s="18"/>
      <c r="X175" s="18"/>
      <c r="Y175" s="18"/>
      <c r="Z175" s="18"/>
      <c r="AA175" s="18"/>
      <c r="AB175" s="30">
        <v>2011</v>
      </c>
      <c r="AC175" s="128">
        <f t="shared" si="195"/>
        <v>0</v>
      </c>
      <c r="AD175" s="128">
        <f t="shared" si="196"/>
        <v>0</v>
      </c>
      <c r="AE175" s="128">
        <f t="shared" si="197"/>
        <v>0</v>
      </c>
      <c r="AF175" s="128">
        <f t="shared" si="198"/>
        <v>0</v>
      </c>
      <c r="AG175" s="128">
        <f t="shared" si="199"/>
        <v>0</v>
      </c>
      <c r="AH175" s="236">
        <f t="shared" si="200"/>
        <v>0</v>
      </c>
      <c r="AI175" s="238"/>
      <c r="AJ175" s="244"/>
      <c r="AK175" s="244"/>
      <c r="AL175" s="162"/>
      <c r="AM175" s="127">
        <f t="shared" si="202"/>
        <v>0</v>
      </c>
      <c r="AN175" s="128">
        <f t="shared" si="203"/>
        <v>0</v>
      </c>
      <c r="AO175" s="128">
        <f t="shared" si="204"/>
        <v>0</v>
      </c>
      <c r="AP175" s="128">
        <f t="shared" si="205"/>
        <v>0</v>
      </c>
      <c r="AQ175" s="128">
        <f t="shared" si="206"/>
        <v>0</v>
      </c>
      <c r="AR175" s="128">
        <f t="shared" si="201"/>
        <v>0</v>
      </c>
      <c r="AS175" s="238"/>
    </row>
    <row r="176" spans="1:45" s="129" customFormat="1" hidden="1">
      <c r="A176" s="42" t="s">
        <v>271</v>
      </c>
      <c r="B176" s="18" t="s">
        <v>8</v>
      </c>
      <c r="C176" s="161">
        <v>5</v>
      </c>
      <c r="D176" s="91" t="s">
        <v>2</v>
      </c>
      <c r="E176" s="162">
        <v>1500</v>
      </c>
      <c r="F176" s="163">
        <f>E176*C176</f>
        <v>7500</v>
      </c>
      <c r="G176" s="164">
        <v>0</v>
      </c>
      <c r="H176" s="164">
        <v>0</v>
      </c>
      <c r="I176" s="164">
        <v>40</v>
      </c>
      <c r="J176" s="164">
        <v>8</v>
      </c>
      <c r="K176" s="165">
        <v>40</v>
      </c>
      <c r="L176" s="91" t="s">
        <v>7</v>
      </c>
      <c r="M176" s="162">
        <f>IF(R176="PD",((Shop*G176)+(M_Tech*H176)+(CMM*I176)+(ENG*J176)+(DES*K176))*N176,((Shop_RD*G176)+(MTECH_RD*H176)+(CMM_RD*I176)+(ENG_RD*J176)+(DES_RD*K176))*N176)</f>
        <v>0</v>
      </c>
      <c r="N176" s="87">
        <v>0</v>
      </c>
      <c r="O176" s="166">
        <f>M176+(F176*N176)</f>
        <v>0</v>
      </c>
      <c r="P176" s="166"/>
      <c r="Q176" s="46" t="s">
        <v>31</v>
      </c>
      <c r="R176" s="66" t="s">
        <v>154</v>
      </c>
      <c r="S176" s="133" t="str">
        <f>CONCATENATE(Q176,R176,AB176)</f>
        <v>BPT2011</v>
      </c>
      <c r="T176" s="133" t="str">
        <f>CONCATENATE(Q176,U176,AB176)</f>
        <v>B1.2.3.3.42011</v>
      </c>
      <c r="U176" s="133" t="s">
        <v>193</v>
      </c>
      <c r="V176" s="133" t="str">
        <f t="shared" si="182"/>
        <v>PXL Sensor Ladder Production</v>
      </c>
      <c r="W176" s="18"/>
      <c r="X176" s="18"/>
      <c r="Y176" s="18"/>
      <c r="Z176" s="18"/>
      <c r="AA176" s="18"/>
      <c r="AB176" s="30">
        <v>2011</v>
      </c>
      <c r="AC176" s="128">
        <f>IF($Q176="B", (G176*$N176),0)</f>
        <v>0</v>
      </c>
      <c r="AD176" s="128">
        <f>IF($Q176="B", (H176*$N176),0)</f>
        <v>0</v>
      </c>
      <c r="AE176" s="128">
        <f>IF($Q176="B", (I176*$N176),0)</f>
        <v>0</v>
      </c>
      <c r="AF176" s="128">
        <f>IF($Q176="B", (J176*$N176),0)</f>
        <v>0</v>
      </c>
      <c r="AG176" s="128">
        <f>IF($Q176="B", (K176*$N176),0)</f>
        <v>0</v>
      </c>
      <c r="AH176" s="236">
        <f>IF($Q176="B", (F176*$N176),0)</f>
        <v>0</v>
      </c>
      <c r="AI176" s="238"/>
      <c r="AJ176" s="244"/>
      <c r="AK176" s="244"/>
      <c r="AL176" s="162"/>
      <c r="AM176" s="127">
        <f>IF($Q176="C", (G176*$N176),0)</f>
        <v>0</v>
      </c>
      <c r="AN176" s="128">
        <f>IF($Q176="C", (H176*$N176),0)</f>
        <v>0</v>
      </c>
      <c r="AO176" s="128">
        <f>IF($Q176="C", (I176*$N176),0)</f>
        <v>0</v>
      </c>
      <c r="AP176" s="128">
        <f>IF($Q176="C", (J176*$N176),0)</f>
        <v>0</v>
      </c>
      <c r="AQ176" s="128">
        <f>IF($Q176="C", (K176*$N176),0)</f>
        <v>0</v>
      </c>
      <c r="AR176" s="128">
        <f>IF($Q176="C", (F176*$N176),0)</f>
        <v>0</v>
      </c>
      <c r="AS176" s="238"/>
    </row>
    <row r="177" spans="1:45" s="129" customFormat="1" hidden="1">
      <c r="A177" s="42" t="s">
        <v>272</v>
      </c>
      <c r="B177" s="18" t="s">
        <v>8</v>
      </c>
      <c r="C177" s="161">
        <v>5</v>
      </c>
      <c r="D177" s="91" t="s">
        <v>2</v>
      </c>
      <c r="E177" s="162">
        <v>300</v>
      </c>
      <c r="F177" s="163">
        <f t="shared" si="190"/>
        <v>1500</v>
      </c>
      <c r="G177" s="164">
        <v>0</v>
      </c>
      <c r="H177" s="164">
        <v>120</v>
      </c>
      <c r="I177" s="164">
        <v>24</v>
      </c>
      <c r="J177" s="164">
        <v>8</v>
      </c>
      <c r="K177" s="165">
        <v>80</v>
      </c>
      <c r="L177" s="91" t="s">
        <v>7</v>
      </c>
      <c r="M177" s="162">
        <f t="shared" si="191"/>
        <v>0</v>
      </c>
      <c r="N177" s="87">
        <v>0</v>
      </c>
      <c r="O177" s="166">
        <f t="shared" si="192"/>
        <v>0</v>
      </c>
      <c r="P177" s="166"/>
      <c r="Q177" s="46" t="s">
        <v>31</v>
      </c>
      <c r="R177" s="66" t="s">
        <v>154</v>
      </c>
      <c r="S177" s="133" t="str">
        <f t="shared" si="193"/>
        <v>BPT2011</v>
      </c>
      <c r="T177" s="133" t="str">
        <f t="shared" si="194"/>
        <v>B1.2.3.3.42011</v>
      </c>
      <c r="U177" s="133" t="s">
        <v>193</v>
      </c>
      <c r="V177" s="133" t="str">
        <f t="shared" si="182"/>
        <v>PXL Sensor Ladder Production</v>
      </c>
      <c r="W177" s="18"/>
      <c r="X177" s="18"/>
      <c r="Y177" s="18"/>
      <c r="Z177" s="18"/>
      <c r="AA177" s="18"/>
      <c r="AB177" s="30">
        <v>2011</v>
      </c>
      <c r="AC177" s="128">
        <f t="shared" si="195"/>
        <v>0</v>
      </c>
      <c r="AD177" s="128">
        <f t="shared" si="196"/>
        <v>0</v>
      </c>
      <c r="AE177" s="128">
        <f t="shared" si="197"/>
        <v>0</v>
      </c>
      <c r="AF177" s="128">
        <f t="shared" si="198"/>
        <v>0</v>
      </c>
      <c r="AG177" s="128">
        <f t="shared" si="199"/>
        <v>0</v>
      </c>
      <c r="AH177" s="236">
        <f t="shared" si="200"/>
        <v>0</v>
      </c>
      <c r="AI177" s="238"/>
      <c r="AJ177" s="244"/>
      <c r="AK177" s="244"/>
      <c r="AL177" s="162"/>
      <c r="AM177" s="127">
        <f t="shared" si="202"/>
        <v>0</v>
      </c>
      <c r="AN177" s="128">
        <f t="shared" si="203"/>
        <v>0</v>
      </c>
      <c r="AO177" s="128">
        <f t="shared" si="204"/>
        <v>0</v>
      </c>
      <c r="AP177" s="128">
        <f t="shared" si="205"/>
        <v>0</v>
      </c>
      <c r="AQ177" s="128">
        <f t="shared" si="206"/>
        <v>0</v>
      </c>
      <c r="AR177" s="128">
        <f t="shared" si="201"/>
        <v>0</v>
      </c>
      <c r="AS177" s="238"/>
    </row>
    <row r="178" spans="1:45" s="129" customFormat="1" hidden="1">
      <c r="A178" s="42" t="s">
        <v>252</v>
      </c>
      <c r="B178" s="18" t="s">
        <v>8</v>
      </c>
      <c r="C178" s="161">
        <v>1</v>
      </c>
      <c r="D178" s="91" t="s">
        <v>2</v>
      </c>
      <c r="E178" s="162">
        <v>700</v>
      </c>
      <c r="F178" s="163">
        <f t="shared" si="190"/>
        <v>700</v>
      </c>
      <c r="G178" s="164">
        <v>0</v>
      </c>
      <c r="H178" s="164">
        <v>16</v>
      </c>
      <c r="I178" s="164">
        <v>24</v>
      </c>
      <c r="J178" s="164">
        <v>8</v>
      </c>
      <c r="K178" s="165">
        <v>24</v>
      </c>
      <c r="L178" s="91" t="s">
        <v>7</v>
      </c>
      <c r="M178" s="162">
        <f t="shared" si="191"/>
        <v>0</v>
      </c>
      <c r="N178" s="87">
        <v>0</v>
      </c>
      <c r="O178" s="166">
        <f>M178+(F178*N178)</f>
        <v>0</v>
      </c>
      <c r="P178" s="166"/>
      <c r="Q178" s="46" t="s">
        <v>31</v>
      </c>
      <c r="R178" s="66" t="s">
        <v>154</v>
      </c>
      <c r="S178" s="133" t="str">
        <f t="shared" si="193"/>
        <v>BPT2011</v>
      </c>
      <c r="T178" s="133" t="str">
        <f>CONCATENATE(Q178,U178,AB178)</f>
        <v>B1.2.3.3.42011</v>
      </c>
      <c r="U178" s="133" t="s">
        <v>193</v>
      </c>
      <c r="V178" s="133" t="str">
        <f t="shared" si="182"/>
        <v>PXL Sensor Ladder Production</v>
      </c>
      <c r="W178" s="18"/>
      <c r="X178" s="18"/>
      <c r="Y178" s="18"/>
      <c r="Z178" s="18"/>
      <c r="AA178" s="18"/>
      <c r="AB178" s="30">
        <v>2011</v>
      </c>
      <c r="AC178" s="128">
        <f t="shared" si="195"/>
        <v>0</v>
      </c>
      <c r="AD178" s="128">
        <f t="shared" si="196"/>
        <v>0</v>
      </c>
      <c r="AE178" s="128">
        <f t="shared" si="197"/>
        <v>0</v>
      </c>
      <c r="AF178" s="128">
        <f t="shared" si="198"/>
        <v>0</v>
      </c>
      <c r="AG178" s="128">
        <f t="shared" si="199"/>
        <v>0</v>
      </c>
      <c r="AH178" s="236">
        <f>IF($Q178="B", (F178*$N178),0)</f>
        <v>0</v>
      </c>
      <c r="AI178" s="238"/>
      <c r="AJ178" s="244"/>
      <c r="AK178" s="244"/>
      <c r="AL178" s="162"/>
      <c r="AM178" s="127">
        <f t="shared" si="202"/>
        <v>0</v>
      </c>
      <c r="AN178" s="128">
        <f t="shared" si="203"/>
        <v>0</v>
      </c>
      <c r="AO178" s="128">
        <f t="shared" si="204"/>
        <v>0</v>
      </c>
      <c r="AP178" s="128">
        <f t="shared" si="205"/>
        <v>0</v>
      </c>
      <c r="AQ178" s="128">
        <f t="shared" si="206"/>
        <v>0</v>
      </c>
      <c r="AR178" s="128">
        <f t="shared" si="201"/>
        <v>0</v>
      </c>
      <c r="AS178" s="238"/>
    </row>
    <row r="179" spans="1:45" s="129" customFormat="1" hidden="1">
      <c r="A179" s="42" t="s">
        <v>274</v>
      </c>
      <c r="B179" s="18" t="s">
        <v>8</v>
      </c>
      <c r="C179" s="161">
        <v>1</v>
      </c>
      <c r="D179" s="91" t="s">
        <v>2</v>
      </c>
      <c r="E179" s="162">
        <v>0</v>
      </c>
      <c r="F179" s="163">
        <f t="shared" si="190"/>
        <v>0</v>
      </c>
      <c r="G179" s="164">
        <v>0</v>
      </c>
      <c r="H179" s="164">
        <v>0</v>
      </c>
      <c r="I179" s="164">
        <v>120</v>
      </c>
      <c r="J179" s="164">
        <v>80</v>
      </c>
      <c r="K179" s="165">
        <v>80</v>
      </c>
      <c r="L179" s="91" t="s">
        <v>7</v>
      </c>
      <c r="M179" s="162">
        <f t="shared" si="191"/>
        <v>0</v>
      </c>
      <c r="N179" s="87">
        <v>0</v>
      </c>
      <c r="O179" s="166">
        <f>M179+(F179*N179)</f>
        <v>0</v>
      </c>
      <c r="P179" s="166"/>
      <c r="Q179" s="46" t="s">
        <v>31</v>
      </c>
      <c r="R179" s="66" t="s">
        <v>154</v>
      </c>
      <c r="S179" s="133" t="str">
        <f t="shared" si="193"/>
        <v>BPT2011</v>
      </c>
      <c r="T179" s="133" t="str">
        <f>CONCATENATE(Q179,U179,AB179)</f>
        <v>B1.2.3.3.42011</v>
      </c>
      <c r="U179" s="133" t="s">
        <v>193</v>
      </c>
      <c r="V179" s="133" t="str">
        <f t="shared" si="182"/>
        <v>PXL Sensor Ladder Production</v>
      </c>
      <c r="W179" s="18"/>
      <c r="X179" s="18"/>
      <c r="Y179" s="18"/>
      <c r="Z179" s="18"/>
      <c r="AA179" s="18"/>
      <c r="AB179" s="30">
        <v>2011</v>
      </c>
      <c r="AC179" s="128">
        <f t="shared" si="195"/>
        <v>0</v>
      </c>
      <c r="AD179" s="128">
        <f t="shared" si="196"/>
        <v>0</v>
      </c>
      <c r="AE179" s="128">
        <f t="shared" si="197"/>
        <v>0</v>
      </c>
      <c r="AF179" s="128">
        <f t="shared" si="198"/>
        <v>0</v>
      </c>
      <c r="AG179" s="128">
        <f t="shared" si="199"/>
        <v>0</v>
      </c>
      <c r="AH179" s="236">
        <f>IF($Q179="B", (F179*$N179),0)</f>
        <v>0</v>
      </c>
      <c r="AI179" s="238"/>
      <c r="AJ179" s="244"/>
      <c r="AK179" s="244"/>
      <c r="AL179" s="162"/>
      <c r="AM179" s="127">
        <f t="shared" si="202"/>
        <v>0</v>
      </c>
      <c r="AN179" s="128">
        <f t="shared" si="203"/>
        <v>0</v>
      </c>
      <c r="AO179" s="128">
        <f t="shared" si="204"/>
        <v>0</v>
      </c>
      <c r="AP179" s="128">
        <f t="shared" si="205"/>
        <v>0</v>
      </c>
      <c r="AQ179" s="128">
        <f t="shared" si="206"/>
        <v>0</v>
      </c>
      <c r="AR179" s="128">
        <f t="shared" si="201"/>
        <v>0</v>
      </c>
      <c r="AS179" s="238"/>
    </row>
    <row r="180" spans="1:45" s="129" customFormat="1" hidden="1">
      <c r="A180" s="42" t="s">
        <v>349</v>
      </c>
      <c r="B180" s="18" t="s">
        <v>8</v>
      </c>
      <c r="C180" s="161">
        <v>1</v>
      </c>
      <c r="D180" s="91" t="s">
        <v>24</v>
      </c>
      <c r="E180" s="162">
        <v>5000</v>
      </c>
      <c r="F180" s="163">
        <f t="shared" si="190"/>
        <v>5000</v>
      </c>
      <c r="G180" s="164">
        <v>0</v>
      </c>
      <c r="H180" s="164">
        <v>40</v>
      </c>
      <c r="I180" s="164">
        <v>80</v>
      </c>
      <c r="J180" s="164">
        <v>32</v>
      </c>
      <c r="K180" s="165">
        <v>80</v>
      </c>
      <c r="L180" s="91" t="s">
        <v>7</v>
      </c>
      <c r="M180" s="162">
        <f t="shared" si="191"/>
        <v>0</v>
      </c>
      <c r="N180" s="87">
        <v>0</v>
      </c>
      <c r="O180" s="166">
        <f>M180+(F180*N180)</f>
        <v>0</v>
      </c>
      <c r="P180" s="166"/>
      <c r="Q180" s="46" t="s">
        <v>32</v>
      </c>
      <c r="R180" s="66" t="s">
        <v>154</v>
      </c>
      <c r="S180" s="133" t="str">
        <f t="shared" si="193"/>
        <v>CPT2011</v>
      </c>
      <c r="T180" s="133" t="str">
        <f>CONCATENATE(Q180,U180,AB180)</f>
        <v>C1.2.3.3.42011</v>
      </c>
      <c r="U180" s="133" t="s">
        <v>193</v>
      </c>
      <c r="V180" s="133" t="str">
        <f t="shared" si="182"/>
        <v>PXL Sensor Ladder Production</v>
      </c>
      <c r="W180" s="18"/>
      <c r="X180" s="18"/>
      <c r="Y180" s="18"/>
      <c r="Z180" s="18"/>
      <c r="AA180" s="18"/>
      <c r="AB180" s="30">
        <v>2011</v>
      </c>
      <c r="AC180" s="128">
        <f t="shared" si="195"/>
        <v>0</v>
      </c>
      <c r="AD180" s="128">
        <f t="shared" si="196"/>
        <v>0</v>
      </c>
      <c r="AE180" s="128">
        <f t="shared" si="197"/>
        <v>0</v>
      </c>
      <c r="AF180" s="128">
        <f t="shared" si="198"/>
        <v>0</v>
      </c>
      <c r="AG180" s="128">
        <f t="shared" si="199"/>
        <v>0</v>
      </c>
      <c r="AH180" s="236">
        <f>IF($Q180="B", (F180*$N180),0)</f>
        <v>0</v>
      </c>
      <c r="AI180" s="238"/>
      <c r="AJ180" s="244"/>
      <c r="AK180" s="244"/>
      <c r="AL180" s="162"/>
      <c r="AM180" s="127">
        <f t="shared" si="202"/>
        <v>0</v>
      </c>
      <c r="AN180" s="128">
        <f t="shared" si="203"/>
        <v>0</v>
      </c>
      <c r="AO180" s="128">
        <f t="shared" si="204"/>
        <v>0</v>
      </c>
      <c r="AP180" s="128">
        <f t="shared" si="205"/>
        <v>0</v>
      </c>
      <c r="AQ180" s="128">
        <f t="shared" si="206"/>
        <v>0</v>
      </c>
      <c r="AR180" s="128">
        <f t="shared" si="201"/>
        <v>0</v>
      </c>
      <c r="AS180" s="238"/>
    </row>
    <row r="181" spans="1:45" s="42" customFormat="1">
      <c r="A181" s="43" t="s">
        <v>316</v>
      </c>
      <c r="C181" s="181"/>
      <c r="E181" s="182"/>
      <c r="F181" s="183"/>
      <c r="G181" s="184"/>
      <c r="H181" s="184"/>
      <c r="I181" s="184"/>
      <c r="J181" s="184"/>
      <c r="K181" s="185"/>
      <c r="L181" s="222" t="s">
        <v>43</v>
      </c>
      <c r="M181" s="174">
        <f>SUMIF(Q172:Q180,"B",M172:M180)</f>
        <v>0</v>
      </c>
      <c r="N181" s="62" t="s">
        <v>43</v>
      </c>
      <c r="O181" s="174"/>
      <c r="P181" s="186"/>
      <c r="Q181" s="60"/>
      <c r="R181" s="68"/>
      <c r="S181" s="133"/>
      <c r="T181" s="133"/>
      <c r="U181" s="70"/>
      <c r="V181" s="70"/>
      <c r="W181" s="18"/>
      <c r="X181" s="18"/>
      <c r="Y181" s="18"/>
      <c r="Z181" s="18"/>
      <c r="AA181" s="18"/>
      <c r="AB181" s="30"/>
      <c r="AC181" s="128"/>
      <c r="AD181" s="128"/>
      <c r="AE181" s="128"/>
      <c r="AF181" s="128"/>
      <c r="AG181" s="128"/>
      <c r="AH181" s="236"/>
      <c r="AI181" s="237"/>
      <c r="AJ181" s="128"/>
      <c r="AK181" s="128"/>
      <c r="AL181" s="162"/>
      <c r="AM181" s="127"/>
      <c r="AN181" s="128"/>
      <c r="AO181" s="128"/>
      <c r="AP181" s="128"/>
      <c r="AQ181" s="128"/>
      <c r="AR181" s="128"/>
      <c r="AS181" s="237"/>
    </row>
    <row r="182" spans="1:45" s="129" customFormat="1">
      <c r="A182" s="42" t="s">
        <v>269</v>
      </c>
      <c r="B182" s="18" t="s">
        <v>8</v>
      </c>
      <c r="C182" s="161">
        <v>1</v>
      </c>
      <c r="D182" s="91" t="s">
        <v>2</v>
      </c>
      <c r="E182" s="162">
        <v>0</v>
      </c>
      <c r="F182" s="163">
        <f t="shared" ref="F182:F194" si="207">E182*C182</f>
        <v>0</v>
      </c>
      <c r="G182" s="164">
        <v>0</v>
      </c>
      <c r="H182" s="164">
        <v>0</v>
      </c>
      <c r="I182" s="164">
        <v>16</v>
      </c>
      <c r="J182" s="164">
        <v>24</v>
      </c>
      <c r="K182" s="165">
        <v>160</v>
      </c>
      <c r="L182" s="91" t="s">
        <v>7</v>
      </c>
      <c r="M182" s="162">
        <f t="shared" ref="M182:M194" si="208">IF(R182="PD",((Shop*G182)+(M_Tech*H182)+(CMM*I182)+(ENG*J182)+(DES*K182))*N182,((Shop_RD*G182)+(MTECH_RD*H182)+(CMM_RD*I182)+(ENG_RD*J182)+(DES_RD*K182))*N182)</f>
        <v>2916.0000000000005</v>
      </c>
      <c r="N182" s="87">
        <v>1</v>
      </c>
      <c r="O182" s="166">
        <f t="shared" ref="O182:O194" si="209">M182+(F182*N182)</f>
        <v>2916.0000000000005</v>
      </c>
      <c r="P182" s="166"/>
      <c r="Q182" s="46" t="s">
        <v>31</v>
      </c>
      <c r="R182" s="66" t="s">
        <v>49</v>
      </c>
      <c r="S182" s="133" t="str">
        <f t="shared" ref="S182:S194" si="210">CONCATENATE(Q182,R182,AB182)</f>
        <v>BPD2012</v>
      </c>
      <c r="T182" s="133" t="str">
        <f t="shared" ref="T182:T194" si="211">CONCATENATE(Q182,U182,AB182)</f>
        <v>B1.2.2.3.52012</v>
      </c>
      <c r="U182" s="133" t="s">
        <v>195</v>
      </c>
      <c r="V182" s="133" t="str">
        <f t="shared" ref="V182:V194" si="212">LOOKUP(U182,$B$345:$B$367,$A$345:$A$367)</f>
        <v>Ladder Cable (Kapton + Cu conductor)</v>
      </c>
      <c r="W182" s="18"/>
      <c r="X182" s="18"/>
      <c r="Y182" s="18"/>
      <c r="Z182" s="18"/>
      <c r="AA182" s="18"/>
      <c r="AB182" s="30">
        <v>2012</v>
      </c>
      <c r="AC182" s="128">
        <f t="shared" ref="AC182:AC194" si="213">IF($Q182="B", (G182*$N182),0)</f>
        <v>0</v>
      </c>
      <c r="AD182" s="128">
        <f t="shared" ref="AD182:AD194" si="214">IF($Q182="B", (H182*$N182),0)</f>
        <v>0</v>
      </c>
      <c r="AE182" s="128">
        <f t="shared" ref="AE182:AE194" si="215">IF($Q182="B", (I182*$N182),0)</f>
        <v>16</v>
      </c>
      <c r="AF182" s="128">
        <f t="shared" ref="AF182:AF194" si="216">IF($Q182="B", (J182*$N182),0)</f>
        <v>24</v>
      </c>
      <c r="AG182" s="128">
        <f t="shared" ref="AG182:AG194" si="217">IF($Q182="B", (K182*$N182),0)</f>
        <v>160</v>
      </c>
      <c r="AH182" s="236">
        <f t="shared" ref="AH182:AH194" si="218">IF($Q182="B", (F182*$N182),0)</f>
        <v>0</v>
      </c>
      <c r="AI182" s="238"/>
      <c r="AJ182" s="244"/>
      <c r="AK182" s="244"/>
      <c r="AL182" s="162"/>
      <c r="AM182" s="127">
        <f t="shared" ref="AM182:AM194" si="219">IF($Q182="C", (G182*$N182),0)</f>
        <v>0</v>
      </c>
      <c r="AN182" s="128">
        <f t="shared" ref="AN182:AN194" si="220">IF($Q182="C", (H182*$N182),0)</f>
        <v>0</v>
      </c>
      <c r="AO182" s="128">
        <f t="shared" ref="AO182:AO194" si="221">IF($Q182="C", (I182*$N182),0)</f>
        <v>0</v>
      </c>
      <c r="AP182" s="128">
        <f t="shared" ref="AP182:AP194" si="222">IF($Q182="C", (J182*$N182),0)</f>
        <v>0</v>
      </c>
      <c r="AQ182" s="128">
        <f t="shared" ref="AQ182:AQ194" si="223">IF($Q182="C", (K182*$N182),0)</f>
        <v>0</v>
      </c>
      <c r="AR182" s="128">
        <f t="shared" ref="AR182:AR194" si="224">IF($Q182="C", (F182*$N182),0)</f>
        <v>0</v>
      </c>
      <c r="AS182" s="238"/>
    </row>
    <row r="183" spans="1:45" s="129" customFormat="1">
      <c r="A183" s="42" t="s">
        <v>350</v>
      </c>
      <c r="B183" s="18" t="s">
        <v>8</v>
      </c>
      <c r="C183" s="161">
        <v>5</v>
      </c>
      <c r="D183" s="91" t="s">
        <v>2</v>
      </c>
      <c r="E183" s="162">
        <v>500</v>
      </c>
      <c r="F183" s="163">
        <f t="shared" si="207"/>
        <v>2500</v>
      </c>
      <c r="G183" s="164">
        <v>0</v>
      </c>
      <c r="H183" s="164">
        <v>0</v>
      </c>
      <c r="I183" s="164">
        <v>40</v>
      </c>
      <c r="J183" s="164">
        <v>16</v>
      </c>
      <c r="K183" s="165">
        <v>16</v>
      </c>
      <c r="L183" s="91" t="s">
        <v>7</v>
      </c>
      <c r="M183" s="162">
        <f t="shared" si="208"/>
        <v>1944.0000000000002</v>
      </c>
      <c r="N183" s="87">
        <v>1</v>
      </c>
      <c r="O183" s="166">
        <f t="shared" si="209"/>
        <v>4444</v>
      </c>
      <c r="P183" s="166"/>
      <c r="Q183" s="46" t="s">
        <v>31</v>
      </c>
      <c r="R183" s="66" t="s">
        <v>49</v>
      </c>
      <c r="S183" s="133" t="str">
        <f t="shared" si="210"/>
        <v>BPD2012</v>
      </c>
      <c r="T183" s="133" t="str">
        <f t="shared" si="211"/>
        <v>B1.2.2.3.52012</v>
      </c>
      <c r="U183" s="133" t="s">
        <v>195</v>
      </c>
      <c r="V183" s="133" t="str">
        <f>LOOKUP(U183,$B$345:$B$367,$A$345:$A$367)</f>
        <v>Ladder Cable (Kapton + Cu conductor)</v>
      </c>
      <c r="W183" s="18"/>
      <c r="X183" s="18"/>
      <c r="Y183" s="18"/>
      <c r="Z183" s="18"/>
      <c r="AA183" s="18"/>
      <c r="AB183" s="30">
        <v>2012</v>
      </c>
      <c r="AC183" s="128">
        <f t="shared" si="213"/>
        <v>0</v>
      </c>
      <c r="AD183" s="128">
        <f t="shared" si="214"/>
        <v>0</v>
      </c>
      <c r="AE183" s="128">
        <f t="shared" si="215"/>
        <v>40</v>
      </c>
      <c r="AF183" s="128">
        <f t="shared" si="216"/>
        <v>16</v>
      </c>
      <c r="AG183" s="128">
        <f t="shared" si="217"/>
        <v>16</v>
      </c>
      <c r="AH183" s="236">
        <f t="shared" si="218"/>
        <v>2500</v>
      </c>
      <c r="AI183" s="238"/>
      <c r="AJ183" s="244"/>
      <c r="AK183" s="244"/>
      <c r="AL183" s="162"/>
      <c r="AM183" s="127">
        <f t="shared" si="219"/>
        <v>0</v>
      </c>
      <c r="AN183" s="128">
        <f t="shared" si="220"/>
        <v>0</v>
      </c>
      <c r="AO183" s="128">
        <f t="shared" si="221"/>
        <v>0</v>
      </c>
      <c r="AP183" s="128">
        <f t="shared" si="222"/>
        <v>0</v>
      </c>
      <c r="AQ183" s="128">
        <f t="shared" si="223"/>
        <v>0</v>
      </c>
      <c r="AR183" s="128">
        <f t="shared" si="224"/>
        <v>0</v>
      </c>
      <c r="AS183" s="238"/>
    </row>
    <row r="184" spans="1:45" s="129" customFormat="1">
      <c r="A184" s="42" t="s">
        <v>425</v>
      </c>
      <c r="B184" s="18" t="s">
        <v>8</v>
      </c>
      <c r="C184" s="161">
        <v>5</v>
      </c>
      <c r="D184" s="91" t="s">
        <v>2</v>
      </c>
      <c r="E184" s="162">
        <v>300</v>
      </c>
      <c r="F184" s="163">
        <f>E184*C184</f>
        <v>1500</v>
      </c>
      <c r="G184" s="164">
        <v>0</v>
      </c>
      <c r="H184" s="164">
        <v>80</v>
      </c>
      <c r="I184" s="164">
        <v>16</v>
      </c>
      <c r="J184" s="164">
        <v>16</v>
      </c>
      <c r="K184" s="165">
        <v>40</v>
      </c>
      <c r="L184" s="91" t="s">
        <v>7</v>
      </c>
      <c r="M184" s="162">
        <f>IF(R184="PD",((Shop*G184)+(M_Tech*H184)+(CMM*I184)+(ENG*J184)+(DES*K184))*N184,((Shop_RD*G184)+(MTECH_RD*H184)+(CMM_RD*I184)+(ENG_RD*J184)+(DES_RD*K184))*N184)</f>
        <v>9525.6</v>
      </c>
      <c r="N184" s="87">
        <v>1</v>
      </c>
      <c r="O184" s="166">
        <f>M184+(F184*N184)</f>
        <v>11025.6</v>
      </c>
      <c r="P184" s="166"/>
      <c r="Q184" s="46" t="s">
        <v>31</v>
      </c>
      <c r="R184" s="66" t="s">
        <v>49</v>
      </c>
      <c r="S184" s="133" t="str">
        <f>CONCATENATE(Q184,R184,AB184)</f>
        <v>BPD2012</v>
      </c>
      <c r="T184" s="133" t="str">
        <f>CONCATENATE(Q184,U184,AB184)</f>
        <v>B1.2.2.3.52012</v>
      </c>
      <c r="U184" s="133" t="s">
        <v>195</v>
      </c>
      <c r="V184" s="133" t="str">
        <f t="shared" si="212"/>
        <v>Ladder Cable (Kapton + Cu conductor)</v>
      </c>
      <c r="W184" s="18"/>
      <c r="X184" s="18"/>
      <c r="Y184" s="18"/>
      <c r="Z184" s="18"/>
      <c r="AA184" s="18"/>
      <c r="AB184" s="30">
        <v>2012</v>
      </c>
      <c r="AC184" s="128">
        <f>IF($Q184="B", (G184*$N184),0)</f>
        <v>0</v>
      </c>
      <c r="AD184" s="128">
        <f>IF($Q184="B", (H184*$N184),0)</f>
        <v>80</v>
      </c>
      <c r="AE184" s="128">
        <f>IF($Q184="B", (I184*$N184),0)</f>
        <v>16</v>
      </c>
      <c r="AF184" s="128">
        <f>IF($Q184="B", (J184*$N184),0)</f>
        <v>16</v>
      </c>
      <c r="AG184" s="128">
        <f>IF($Q184="B", (K184*$N184),0)</f>
        <v>40</v>
      </c>
      <c r="AH184" s="236">
        <f>IF($Q184="B", (F184*$N184),0)</f>
        <v>1500</v>
      </c>
      <c r="AI184" s="238"/>
      <c r="AJ184" s="244"/>
      <c r="AK184" s="244"/>
      <c r="AL184" s="162"/>
      <c r="AM184" s="127">
        <f>IF($Q184="C", (G184*$N184),0)</f>
        <v>0</v>
      </c>
      <c r="AN184" s="128">
        <f>IF($Q184="C", (H184*$N184),0)</f>
        <v>0</v>
      </c>
      <c r="AO184" s="128">
        <f>IF($Q184="C", (I184*$N184),0)</f>
        <v>0</v>
      </c>
      <c r="AP184" s="128">
        <f>IF($Q184="C", (J184*$N184),0)</f>
        <v>0</v>
      </c>
      <c r="AQ184" s="128">
        <f>IF($Q184="C", (K184*$N184),0)</f>
        <v>0</v>
      </c>
      <c r="AR184" s="128">
        <f>IF($Q184="C", (F184*$N184),0)</f>
        <v>0</v>
      </c>
      <c r="AS184" s="238"/>
    </row>
    <row r="185" spans="1:45" s="129" customFormat="1">
      <c r="A185" s="42" t="s">
        <v>351</v>
      </c>
      <c r="B185" s="18" t="s">
        <v>8</v>
      </c>
      <c r="C185" s="161">
        <v>1</v>
      </c>
      <c r="D185" s="91" t="s">
        <v>2</v>
      </c>
      <c r="E185" s="162">
        <v>0</v>
      </c>
      <c r="F185" s="163">
        <f t="shared" si="207"/>
        <v>0</v>
      </c>
      <c r="G185" s="164">
        <v>0</v>
      </c>
      <c r="H185" s="164">
        <v>0</v>
      </c>
      <c r="I185" s="164">
        <v>120</v>
      </c>
      <c r="J185" s="164">
        <v>40</v>
      </c>
      <c r="K185" s="165">
        <v>80</v>
      </c>
      <c r="L185" s="91" t="s">
        <v>7</v>
      </c>
      <c r="M185" s="162">
        <f t="shared" si="208"/>
        <v>4860.0000000000009</v>
      </c>
      <c r="N185" s="87">
        <v>1</v>
      </c>
      <c r="O185" s="166">
        <f t="shared" si="209"/>
        <v>4860.0000000000009</v>
      </c>
      <c r="P185" s="166"/>
      <c r="Q185" s="46" t="s">
        <v>31</v>
      </c>
      <c r="R185" s="66" t="s">
        <v>49</v>
      </c>
      <c r="S185" s="133" t="str">
        <f t="shared" si="210"/>
        <v>BPD2012</v>
      </c>
      <c r="T185" s="133" t="str">
        <f t="shared" si="211"/>
        <v>B1.2.2.3.52012</v>
      </c>
      <c r="U185" s="133" t="s">
        <v>195</v>
      </c>
      <c r="V185" s="133" t="str">
        <f t="shared" si="212"/>
        <v>Ladder Cable (Kapton + Cu conductor)</v>
      </c>
      <c r="W185" s="18"/>
      <c r="X185" s="18"/>
      <c r="Y185" s="18"/>
      <c r="Z185" s="18"/>
      <c r="AA185" s="18"/>
      <c r="AB185" s="30">
        <v>2012</v>
      </c>
      <c r="AC185" s="128">
        <f t="shared" si="213"/>
        <v>0</v>
      </c>
      <c r="AD185" s="128">
        <f t="shared" si="214"/>
        <v>0</v>
      </c>
      <c r="AE185" s="128">
        <f t="shared" si="215"/>
        <v>120</v>
      </c>
      <c r="AF185" s="128">
        <f t="shared" si="216"/>
        <v>40</v>
      </c>
      <c r="AG185" s="128">
        <f t="shared" si="217"/>
        <v>80</v>
      </c>
      <c r="AH185" s="236">
        <f t="shared" si="218"/>
        <v>0</v>
      </c>
      <c r="AI185" s="238"/>
      <c r="AJ185" s="244"/>
      <c r="AK185" s="244"/>
      <c r="AL185" s="162"/>
      <c r="AM185" s="127">
        <f t="shared" si="219"/>
        <v>0</v>
      </c>
      <c r="AN185" s="128">
        <f t="shared" si="220"/>
        <v>0</v>
      </c>
      <c r="AO185" s="128">
        <f t="shared" si="221"/>
        <v>0</v>
      </c>
      <c r="AP185" s="128">
        <f t="shared" si="222"/>
        <v>0</v>
      </c>
      <c r="AQ185" s="128">
        <f t="shared" si="223"/>
        <v>0</v>
      </c>
      <c r="AR185" s="128">
        <f t="shared" si="224"/>
        <v>0</v>
      </c>
      <c r="AS185" s="238"/>
    </row>
    <row r="186" spans="1:45" s="129" customFormat="1">
      <c r="A186" s="42" t="s">
        <v>353</v>
      </c>
      <c r="B186" s="18" t="s">
        <v>8</v>
      </c>
      <c r="C186" s="161">
        <v>1</v>
      </c>
      <c r="D186" s="91" t="s">
        <v>2</v>
      </c>
      <c r="E186" s="162">
        <v>0</v>
      </c>
      <c r="F186" s="163">
        <f>E186*C186</f>
        <v>0</v>
      </c>
      <c r="G186" s="164">
        <v>0</v>
      </c>
      <c r="H186" s="164">
        <v>0</v>
      </c>
      <c r="I186" s="164">
        <v>40</v>
      </c>
      <c r="J186" s="164">
        <v>40</v>
      </c>
      <c r="K186" s="165">
        <v>40</v>
      </c>
      <c r="L186" s="91" t="s">
        <v>7</v>
      </c>
      <c r="M186" s="162">
        <f>IF(R186="PD",((Shop*G186)+(M_Tech*H186)+(CMM*I186)+(ENG*J186)+(DES*K186))*N186,((Shop_RD*G186)+(MTECH_RD*H186)+(CMM_RD*I186)+(ENG_RD*J186)+(DES_RD*K186))*N186)</f>
        <v>4860.0000000000009</v>
      </c>
      <c r="N186" s="87">
        <v>1</v>
      </c>
      <c r="O186" s="166">
        <f>M186+(F186*N186)</f>
        <v>4860.0000000000009</v>
      </c>
      <c r="P186" s="166"/>
      <c r="Q186" s="46" t="s">
        <v>31</v>
      </c>
      <c r="R186" s="66" t="s">
        <v>49</v>
      </c>
      <c r="S186" s="133" t="str">
        <f>CONCATENATE(Q186,R186,AB186)</f>
        <v>BPD2012</v>
      </c>
      <c r="T186" s="133" t="str">
        <f>CONCATENATE(Q186,U186,AB186)</f>
        <v>B1.2.2.3.52012</v>
      </c>
      <c r="U186" s="133" t="s">
        <v>195</v>
      </c>
      <c r="V186" s="133" t="str">
        <f t="shared" si="212"/>
        <v>Ladder Cable (Kapton + Cu conductor)</v>
      </c>
      <c r="W186" s="18"/>
      <c r="X186" s="18"/>
      <c r="Y186" s="18"/>
      <c r="Z186" s="18"/>
      <c r="AA186" s="18"/>
      <c r="AB186" s="30">
        <v>2012</v>
      </c>
      <c r="AC186" s="128">
        <f>IF($Q186="B", (G186*$N186),0)</f>
        <v>0</v>
      </c>
      <c r="AD186" s="128">
        <f>IF($Q186="B", (H186*$N186),0)</f>
        <v>0</v>
      </c>
      <c r="AE186" s="128">
        <f>IF($Q186="B", (I186*$N186),0)</f>
        <v>40</v>
      </c>
      <c r="AF186" s="128">
        <f>IF($Q186="B", (J186*$N186),0)</f>
        <v>40</v>
      </c>
      <c r="AG186" s="128">
        <f>IF($Q186="B", (K186*$N186),0)</f>
        <v>40</v>
      </c>
      <c r="AH186" s="236">
        <f>IF($Q186="B", (F186*$N186),0)</f>
        <v>0</v>
      </c>
      <c r="AI186" s="238"/>
      <c r="AJ186" s="244"/>
      <c r="AK186" s="244"/>
      <c r="AL186" s="162"/>
      <c r="AM186" s="127">
        <f>IF($Q186="C", (G186*$N186),0)</f>
        <v>0</v>
      </c>
      <c r="AN186" s="128">
        <f>IF($Q186="C", (H186*$N186),0)</f>
        <v>0</v>
      </c>
      <c r="AO186" s="128">
        <f>IF($Q186="C", (I186*$N186),0)</f>
        <v>0</v>
      </c>
      <c r="AP186" s="128">
        <f>IF($Q186="C", (J186*$N186),0)</f>
        <v>0</v>
      </c>
      <c r="AQ186" s="128">
        <f>IF($Q186="C", (K186*$N186),0)</f>
        <v>0</v>
      </c>
      <c r="AR186" s="128">
        <f>IF($Q186="C", (F186*$N186),0)</f>
        <v>0</v>
      </c>
      <c r="AS186" s="238"/>
    </row>
    <row r="187" spans="1:45" s="129" customFormat="1">
      <c r="A187" s="42" t="s">
        <v>352</v>
      </c>
      <c r="B187" s="18" t="s">
        <v>8</v>
      </c>
      <c r="C187" s="161">
        <v>5</v>
      </c>
      <c r="D187" s="91" t="s">
        <v>2</v>
      </c>
      <c r="E187" s="162">
        <v>1500</v>
      </c>
      <c r="F187" s="163">
        <f t="shared" si="207"/>
        <v>7500</v>
      </c>
      <c r="G187" s="164">
        <v>0</v>
      </c>
      <c r="H187" s="164">
        <v>0</v>
      </c>
      <c r="I187" s="164">
        <v>40</v>
      </c>
      <c r="J187" s="164">
        <v>40</v>
      </c>
      <c r="K187" s="165">
        <v>40</v>
      </c>
      <c r="L187" s="91" t="s">
        <v>7</v>
      </c>
      <c r="M187" s="162">
        <f t="shared" si="208"/>
        <v>4860.0000000000009</v>
      </c>
      <c r="N187" s="87">
        <v>1</v>
      </c>
      <c r="O187" s="166">
        <f t="shared" si="209"/>
        <v>12360</v>
      </c>
      <c r="P187" s="166"/>
      <c r="Q187" s="46" t="s">
        <v>31</v>
      </c>
      <c r="R187" s="66" t="s">
        <v>49</v>
      </c>
      <c r="S187" s="133" t="str">
        <f t="shared" si="210"/>
        <v>BPD2012</v>
      </c>
      <c r="T187" s="133" t="str">
        <f t="shared" si="211"/>
        <v>B1.2.2.3.52012</v>
      </c>
      <c r="U187" s="133" t="s">
        <v>195</v>
      </c>
      <c r="V187" s="133" t="str">
        <f t="shared" si="212"/>
        <v>Ladder Cable (Kapton + Cu conductor)</v>
      </c>
      <c r="W187" s="18"/>
      <c r="X187" s="18"/>
      <c r="Y187" s="18"/>
      <c r="Z187" s="18"/>
      <c r="AA187" s="18"/>
      <c r="AB187" s="30">
        <v>2012</v>
      </c>
      <c r="AC187" s="128">
        <f t="shared" si="213"/>
        <v>0</v>
      </c>
      <c r="AD187" s="128">
        <f t="shared" si="214"/>
        <v>0</v>
      </c>
      <c r="AE187" s="128">
        <f t="shared" si="215"/>
        <v>40</v>
      </c>
      <c r="AF187" s="128">
        <f t="shared" si="216"/>
        <v>40</v>
      </c>
      <c r="AG187" s="128">
        <f t="shared" si="217"/>
        <v>40</v>
      </c>
      <c r="AH187" s="236">
        <f t="shared" si="218"/>
        <v>7500</v>
      </c>
      <c r="AI187" s="238"/>
      <c r="AJ187" s="244"/>
      <c r="AK187" s="244"/>
      <c r="AL187" s="162"/>
      <c r="AM187" s="127">
        <f t="shared" si="219"/>
        <v>0</v>
      </c>
      <c r="AN187" s="128">
        <f t="shared" si="220"/>
        <v>0</v>
      </c>
      <c r="AO187" s="128">
        <f t="shared" si="221"/>
        <v>0</v>
      </c>
      <c r="AP187" s="128">
        <f t="shared" si="222"/>
        <v>0</v>
      </c>
      <c r="AQ187" s="128">
        <f t="shared" si="223"/>
        <v>0</v>
      </c>
      <c r="AR187" s="128">
        <f t="shared" si="224"/>
        <v>0</v>
      </c>
      <c r="AS187" s="238"/>
    </row>
    <row r="188" spans="1:45" s="129" customFormat="1">
      <c r="A188" s="42" t="s">
        <v>354</v>
      </c>
      <c r="B188" s="18" t="s">
        <v>8</v>
      </c>
      <c r="C188" s="161">
        <v>1</v>
      </c>
      <c r="D188" s="91" t="s">
        <v>2</v>
      </c>
      <c r="E188" s="162">
        <v>0</v>
      </c>
      <c r="F188" s="163">
        <f t="shared" si="207"/>
        <v>0</v>
      </c>
      <c r="G188" s="164">
        <v>0</v>
      </c>
      <c r="H188" s="164">
        <v>0</v>
      </c>
      <c r="I188" s="164">
        <v>16</v>
      </c>
      <c r="J188" s="164">
        <v>16</v>
      </c>
      <c r="K188" s="165">
        <v>80</v>
      </c>
      <c r="L188" s="91" t="s">
        <v>7</v>
      </c>
      <c r="M188" s="162">
        <f t="shared" si="208"/>
        <v>1944.0000000000002</v>
      </c>
      <c r="N188" s="87">
        <v>1</v>
      </c>
      <c r="O188" s="166">
        <f t="shared" si="209"/>
        <v>1944.0000000000002</v>
      </c>
      <c r="P188" s="166"/>
      <c r="Q188" s="46" t="s">
        <v>31</v>
      </c>
      <c r="R188" s="66" t="s">
        <v>49</v>
      </c>
      <c r="S188" s="133" t="str">
        <f t="shared" si="210"/>
        <v>BPD2012</v>
      </c>
      <c r="T188" s="133" t="str">
        <f t="shared" si="211"/>
        <v>B1.2.2.3.52012</v>
      </c>
      <c r="U188" s="133" t="s">
        <v>195</v>
      </c>
      <c r="V188" s="133" t="str">
        <f t="shared" si="212"/>
        <v>Ladder Cable (Kapton + Cu conductor)</v>
      </c>
      <c r="W188" s="18"/>
      <c r="X188" s="18"/>
      <c r="Y188" s="18"/>
      <c r="Z188" s="18"/>
      <c r="AA188" s="18"/>
      <c r="AB188" s="30">
        <v>2012</v>
      </c>
      <c r="AC188" s="128">
        <f t="shared" si="213"/>
        <v>0</v>
      </c>
      <c r="AD188" s="128">
        <f t="shared" si="214"/>
        <v>0</v>
      </c>
      <c r="AE188" s="128">
        <f t="shared" si="215"/>
        <v>16</v>
      </c>
      <c r="AF188" s="128">
        <f t="shared" si="216"/>
        <v>16</v>
      </c>
      <c r="AG188" s="128">
        <f t="shared" si="217"/>
        <v>80</v>
      </c>
      <c r="AH188" s="236">
        <f t="shared" si="218"/>
        <v>0</v>
      </c>
      <c r="AI188" s="238"/>
      <c r="AJ188" s="244"/>
      <c r="AK188" s="244"/>
      <c r="AL188" s="162"/>
      <c r="AM188" s="127">
        <f t="shared" si="219"/>
        <v>0</v>
      </c>
      <c r="AN188" s="128">
        <f t="shared" si="220"/>
        <v>0</v>
      </c>
      <c r="AO188" s="128">
        <f t="shared" si="221"/>
        <v>0</v>
      </c>
      <c r="AP188" s="128">
        <f t="shared" si="222"/>
        <v>0</v>
      </c>
      <c r="AQ188" s="128">
        <f t="shared" si="223"/>
        <v>0</v>
      </c>
      <c r="AR188" s="128">
        <f t="shared" si="224"/>
        <v>0</v>
      </c>
      <c r="AS188" s="238"/>
    </row>
    <row r="189" spans="1:45" s="129" customFormat="1">
      <c r="A189" s="42" t="s">
        <v>270</v>
      </c>
      <c r="B189" s="18" t="s">
        <v>8</v>
      </c>
      <c r="C189" s="161">
        <v>1</v>
      </c>
      <c r="D189" s="91" t="s">
        <v>2</v>
      </c>
      <c r="E189" s="162">
        <v>0</v>
      </c>
      <c r="F189" s="163">
        <f t="shared" si="207"/>
        <v>0</v>
      </c>
      <c r="G189" s="164">
        <v>0</v>
      </c>
      <c r="H189" s="164">
        <v>0</v>
      </c>
      <c r="I189" s="164">
        <v>40</v>
      </c>
      <c r="J189" s="164">
        <v>16</v>
      </c>
      <c r="K189" s="165">
        <v>40</v>
      </c>
      <c r="L189" s="91" t="s">
        <v>7</v>
      </c>
      <c r="M189" s="162">
        <f t="shared" si="208"/>
        <v>1944.0000000000002</v>
      </c>
      <c r="N189" s="87">
        <v>1</v>
      </c>
      <c r="O189" s="166">
        <f t="shared" si="209"/>
        <v>1944.0000000000002</v>
      </c>
      <c r="P189" s="166"/>
      <c r="Q189" s="46" t="s">
        <v>31</v>
      </c>
      <c r="R189" s="66" t="s">
        <v>49</v>
      </c>
      <c r="S189" s="133" t="str">
        <f t="shared" si="210"/>
        <v>BPD2012</v>
      </c>
      <c r="T189" s="133" t="str">
        <f t="shared" si="211"/>
        <v>B1.2.2.3.52012</v>
      </c>
      <c r="U189" s="133" t="s">
        <v>195</v>
      </c>
      <c r="V189" s="133" t="str">
        <f t="shared" si="212"/>
        <v>Ladder Cable (Kapton + Cu conductor)</v>
      </c>
      <c r="W189" s="18"/>
      <c r="X189" s="18"/>
      <c r="Y189" s="18"/>
      <c r="Z189" s="18"/>
      <c r="AA189" s="18"/>
      <c r="AB189" s="30">
        <v>2012</v>
      </c>
      <c r="AC189" s="128">
        <f t="shared" si="213"/>
        <v>0</v>
      </c>
      <c r="AD189" s="128">
        <f t="shared" si="214"/>
        <v>0</v>
      </c>
      <c r="AE189" s="128">
        <f t="shared" si="215"/>
        <v>40</v>
      </c>
      <c r="AF189" s="128">
        <f t="shared" si="216"/>
        <v>16</v>
      </c>
      <c r="AG189" s="128">
        <f t="shared" si="217"/>
        <v>40</v>
      </c>
      <c r="AH189" s="236">
        <f t="shared" si="218"/>
        <v>0</v>
      </c>
      <c r="AI189" s="238"/>
      <c r="AJ189" s="244"/>
      <c r="AK189" s="244"/>
      <c r="AL189" s="162"/>
      <c r="AM189" s="127">
        <f t="shared" si="219"/>
        <v>0</v>
      </c>
      <c r="AN189" s="128">
        <f t="shared" si="220"/>
        <v>0</v>
      </c>
      <c r="AO189" s="128">
        <f t="shared" si="221"/>
        <v>0</v>
      </c>
      <c r="AP189" s="128">
        <f t="shared" si="222"/>
        <v>0</v>
      </c>
      <c r="AQ189" s="128">
        <f t="shared" si="223"/>
        <v>0</v>
      </c>
      <c r="AR189" s="128">
        <f t="shared" si="224"/>
        <v>0</v>
      </c>
      <c r="AS189" s="238"/>
    </row>
    <row r="190" spans="1:45" s="129" customFormat="1">
      <c r="A190" s="42" t="s">
        <v>271</v>
      </c>
      <c r="B190" s="18" t="s">
        <v>8</v>
      </c>
      <c r="C190" s="161">
        <v>5</v>
      </c>
      <c r="D190" s="91" t="s">
        <v>2</v>
      </c>
      <c r="E190" s="162">
        <v>1500</v>
      </c>
      <c r="F190" s="163">
        <f t="shared" si="207"/>
        <v>7500</v>
      </c>
      <c r="G190" s="164">
        <v>0</v>
      </c>
      <c r="H190" s="164">
        <v>0</v>
      </c>
      <c r="I190" s="164">
        <v>24</v>
      </c>
      <c r="J190" s="164">
        <v>16</v>
      </c>
      <c r="K190" s="165">
        <v>80</v>
      </c>
      <c r="L190" s="91" t="s">
        <v>7</v>
      </c>
      <c r="M190" s="162">
        <f t="shared" si="208"/>
        <v>1944.0000000000002</v>
      </c>
      <c r="N190" s="87">
        <v>1</v>
      </c>
      <c r="O190" s="166">
        <f t="shared" si="209"/>
        <v>9444</v>
      </c>
      <c r="P190" s="166"/>
      <c r="Q190" s="46" t="s">
        <v>31</v>
      </c>
      <c r="R190" s="66" t="s">
        <v>49</v>
      </c>
      <c r="S190" s="133" t="str">
        <f t="shared" si="210"/>
        <v>BPD2012</v>
      </c>
      <c r="T190" s="133" t="str">
        <f t="shared" si="211"/>
        <v>B1.2.2.3.52012</v>
      </c>
      <c r="U190" s="133" t="s">
        <v>195</v>
      </c>
      <c r="V190" s="133" t="str">
        <f t="shared" si="212"/>
        <v>Ladder Cable (Kapton + Cu conductor)</v>
      </c>
      <c r="W190" s="18"/>
      <c r="X190" s="18"/>
      <c r="Y190" s="18"/>
      <c r="Z190" s="18"/>
      <c r="AA190" s="18"/>
      <c r="AB190" s="30">
        <v>2012</v>
      </c>
      <c r="AC190" s="128">
        <f t="shared" si="213"/>
        <v>0</v>
      </c>
      <c r="AD190" s="128">
        <f t="shared" si="214"/>
        <v>0</v>
      </c>
      <c r="AE190" s="128">
        <f t="shared" si="215"/>
        <v>24</v>
      </c>
      <c r="AF190" s="128">
        <f t="shared" si="216"/>
        <v>16</v>
      </c>
      <c r="AG190" s="128">
        <f t="shared" si="217"/>
        <v>80</v>
      </c>
      <c r="AH190" s="236">
        <f t="shared" si="218"/>
        <v>7500</v>
      </c>
      <c r="AI190" s="238"/>
      <c r="AJ190" s="244"/>
      <c r="AK190" s="244"/>
      <c r="AL190" s="162"/>
      <c r="AM190" s="127">
        <f t="shared" si="219"/>
        <v>0</v>
      </c>
      <c r="AN190" s="128">
        <f t="shared" si="220"/>
        <v>0</v>
      </c>
      <c r="AO190" s="128">
        <f t="shared" si="221"/>
        <v>0</v>
      </c>
      <c r="AP190" s="128">
        <f t="shared" si="222"/>
        <v>0</v>
      </c>
      <c r="AQ190" s="128">
        <f t="shared" si="223"/>
        <v>0</v>
      </c>
      <c r="AR190" s="128">
        <f t="shared" si="224"/>
        <v>0</v>
      </c>
      <c r="AS190" s="238"/>
    </row>
    <row r="191" spans="1:45" s="129" customFormat="1">
      <c r="A191" s="42" t="s">
        <v>272</v>
      </c>
      <c r="B191" s="18" t="s">
        <v>8</v>
      </c>
      <c r="C191" s="161">
        <v>5</v>
      </c>
      <c r="D191" s="91" t="s">
        <v>2</v>
      </c>
      <c r="E191" s="162">
        <v>0</v>
      </c>
      <c r="F191" s="163">
        <f t="shared" si="207"/>
        <v>0</v>
      </c>
      <c r="G191" s="164">
        <v>0</v>
      </c>
      <c r="H191" s="164">
        <v>80</v>
      </c>
      <c r="I191" s="164">
        <v>24</v>
      </c>
      <c r="J191" s="164">
        <v>8</v>
      </c>
      <c r="K191" s="165">
        <v>24</v>
      </c>
      <c r="L191" s="91" t="s">
        <v>7</v>
      </c>
      <c r="M191" s="162">
        <f t="shared" si="208"/>
        <v>8553.6</v>
      </c>
      <c r="N191" s="87">
        <v>1</v>
      </c>
      <c r="O191" s="166">
        <f t="shared" si="209"/>
        <v>8553.6</v>
      </c>
      <c r="P191" s="166"/>
      <c r="Q191" s="46" t="s">
        <v>31</v>
      </c>
      <c r="R191" s="66" t="s">
        <v>49</v>
      </c>
      <c r="S191" s="133" t="str">
        <f t="shared" si="210"/>
        <v>BPD2012</v>
      </c>
      <c r="T191" s="133" t="str">
        <f t="shared" si="211"/>
        <v>B1.2.2.3.52012</v>
      </c>
      <c r="U191" s="133" t="s">
        <v>195</v>
      </c>
      <c r="V191" s="133" t="str">
        <f t="shared" si="212"/>
        <v>Ladder Cable (Kapton + Cu conductor)</v>
      </c>
      <c r="W191" s="18"/>
      <c r="X191" s="18"/>
      <c r="Y191" s="18"/>
      <c r="Z191" s="18"/>
      <c r="AA191" s="18"/>
      <c r="AB191" s="30">
        <v>2012</v>
      </c>
      <c r="AC191" s="128">
        <f t="shared" si="213"/>
        <v>0</v>
      </c>
      <c r="AD191" s="128">
        <f t="shared" si="214"/>
        <v>80</v>
      </c>
      <c r="AE191" s="128">
        <f t="shared" si="215"/>
        <v>24</v>
      </c>
      <c r="AF191" s="128">
        <f t="shared" si="216"/>
        <v>8</v>
      </c>
      <c r="AG191" s="128">
        <f t="shared" si="217"/>
        <v>24</v>
      </c>
      <c r="AH191" s="236">
        <f t="shared" si="218"/>
        <v>0</v>
      </c>
      <c r="AI191" s="238"/>
      <c r="AJ191" s="244"/>
      <c r="AK191" s="244"/>
      <c r="AL191" s="162"/>
      <c r="AM191" s="127">
        <f t="shared" si="219"/>
        <v>0</v>
      </c>
      <c r="AN191" s="128">
        <f t="shared" si="220"/>
        <v>0</v>
      </c>
      <c r="AO191" s="128">
        <f t="shared" si="221"/>
        <v>0</v>
      </c>
      <c r="AP191" s="128">
        <f t="shared" si="222"/>
        <v>0</v>
      </c>
      <c r="AQ191" s="128">
        <f t="shared" si="223"/>
        <v>0</v>
      </c>
      <c r="AR191" s="128">
        <f t="shared" si="224"/>
        <v>0</v>
      </c>
      <c r="AS191" s="238"/>
    </row>
    <row r="192" spans="1:45" s="129" customFormat="1">
      <c r="A192" s="42" t="s">
        <v>252</v>
      </c>
      <c r="B192" s="18" t="s">
        <v>8</v>
      </c>
      <c r="C192" s="161">
        <v>5</v>
      </c>
      <c r="D192" s="91" t="s">
        <v>2</v>
      </c>
      <c r="E192" s="162">
        <v>0</v>
      </c>
      <c r="F192" s="163">
        <f t="shared" si="207"/>
        <v>0</v>
      </c>
      <c r="G192" s="164">
        <v>0</v>
      </c>
      <c r="H192" s="164">
        <v>16</v>
      </c>
      <c r="I192" s="164">
        <v>0</v>
      </c>
      <c r="J192" s="164">
        <v>80</v>
      </c>
      <c r="K192" s="165">
        <v>80</v>
      </c>
      <c r="L192" s="91" t="s">
        <v>7</v>
      </c>
      <c r="M192" s="162">
        <f t="shared" si="208"/>
        <v>11236.320000000002</v>
      </c>
      <c r="N192" s="87">
        <v>1</v>
      </c>
      <c r="O192" s="166">
        <f t="shared" si="209"/>
        <v>11236.320000000002</v>
      </c>
      <c r="P192" s="166"/>
      <c r="Q192" s="46" t="s">
        <v>31</v>
      </c>
      <c r="R192" s="66" t="s">
        <v>49</v>
      </c>
      <c r="S192" s="133" t="str">
        <f t="shared" si="210"/>
        <v>BPD2012</v>
      </c>
      <c r="T192" s="133" t="str">
        <f t="shared" si="211"/>
        <v>B1.2.2.3.52012</v>
      </c>
      <c r="U192" s="133" t="s">
        <v>195</v>
      </c>
      <c r="V192" s="133" t="str">
        <f t="shared" si="212"/>
        <v>Ladder Cable (Kapton + Cu conductor)</v>
      </c>
      <c r="W192" s="18"/>
      <c r="X192" s="18"/>
      <c r="Y192" s="18"/>
      <c r="Z192" s="18"/>
      <c r="AA192" s="18"/>
      <c r="AB192" s="30">
        <v>2012</v>
      </c>
      <c r="AC192" s="128">
        <f t="shared" si="213"/>
        <v>0</v>
      </c>
      <c r="AD192" s="128">
        <f t="shared" si="214"/>
        <v>16</v>
      </c>
      <c r="AE192" s="128">
        <f t="shared" si="215"/>
        <v>0</v>
      </c>
      <c r="AF192" s="128">
        <f t="shared" si="216"/>
        <v>80</v>
      </c>
      <c r="AG192" s="128">
        <f t="shared" si="217"/>
        <v>80</v>
      </c>
      <c r="AH192" s="236">
        <f t="shared" si="218"/>
        <v>0</v>
      </c>
      <c r="AI192" s="238"/>
      <c r="AJ192" s="244"/>
      <c r="AK192" s="244"/>
      <c r="AL192" s="162"/>
      <c r="AM192" s="127">
        <f t="shared" si="219"/>
        <v>0</v>
      </c>
      <c r="AN192" s="128">
        <f t="shared" si="220"/>
        <v>0</v>
      </c>
      <c r="AO192" s="128">
        <f t="shared" si="221"/>
        <v>0</v>
      </c>
      <c r="AP192" s="128">
        <f t="shared" si="222"/>
        <v>0</v>
      </c>
      <c r="AQ192" s="128">
        <f t="shared" si="223"/>
        <v>0</v>
      </c>
      <c r="AR192" s="128">
        <f t="shared" si="224"/>
        <v>0</v>
      </c>
      <c r="AS192" s="238"/>
    </row>
    <row r="193" spans="1:45" s="129" customFormat="1">
      <c r="A193" s="42" t="s">
        <v>274</v>
      </c>
      <c r="B193" s="18" t="s">
        <v>8</v>
      </c>
      <c r="C193" s="161">
        <v>1</v>
      </c>
      <c r="D193" s="91" t="s">
        <v>2</v>
      </c>
      <c r="E193" s="162">
        <v>0</v>
      </c>
      <c r="F193" s="163">
        <f t="shared" si="207"/>
        <v>0</v>
      </c>
      <c r="G193" s="164">
        <v>0</v>
      </c>
      <c r="H193" s="164">
        <v>0</v>
      </c>
      <c r="I193" s="164">
        <v>120</v>
      </c>
      <c r="J193" s="164">
        <v>8</v>
      </c>
      <c r="K193" s="165">
        <v>80</v>
      </c>
      <c r="L193" s="91" t="s">
        <v>7</v>
      </c>
      <c r="M193" s="162">
        <f t="shared" si="208"/>
        <v>972.00000000000011</v>
      </c>
      <c r="N193" s="87">
        <v>1</v>
      </c>
      <c r="O193" s="166">
        <f t="shared" si="209"/>
        <v>972.00000000000011</v>
      </c>
      <c r="P193" s="166"/>
      <c r="Q193" s="46" t="s">
        <v>31</v>
      </c>
      <c r="R193" s="66" t="s">
        <v>49</v>
      </c>
      <c r="S193" s="133" t="str">
        <f t="shared" si="210"/>
        <v>BPD2012</v>
      </c>
      <c r="T193" s="133" t="str">
        <f t="shared" si="211"/>
        <v>B1.2.2.3.52012</v>
      </c>
      <c r="U193" s="133" t="s">
        <v>195</v>
      </c>
      <c r="V193" s="133" t="str">
        <f t="shared" si="212"/>
        <v>Ladder Cable (Kapton + Cu conductor)</v>
      </c>
      <c r="W193" s="18"/>
      <c r="X193" s="18"/>
      <c r="Y193" s="18"/>
      <c r="Z193" s="18"/>
      <c r="AA193" s="18"/>
      <c r="AB193" s="30">
        <v>2012</v>
      </c>
      <c r="AC193" s="128">
        <f t="shared" si="213"/>
        <v>0</v>
      </c>
      <c r="AD193" s="128">
        <f t="shared" si="214"/>
        <v>0</v>
      </c>
      <c r="AE193" s="128">
        <f t="shared" si="215"/>
        <v>120</v>
      </c>
      <c r="AF193" s="128">
        <f t="shared" si="216"/>
        <v>8</v>
      </c>
      <c r="AG193" s="128">
        <f t="shared" si="217"/>
        <v>80</v>
      </c>
      <c r="AH193" s="236">
        <f t="shared" si="218"/>
        <v>0</v>
      </c>
      <c r="AI193" s="238"/>
      <c r="AJ193" s="244"/>
      <c r="AK193" s="244"/>
      <c r="AL193" s="162"/>
      <c r="AM193" s="127">
        <f t="shared" si="219"/>
        <v>0</v>
      </c>
      <c r="AN193" s="128">
        <f t="shared" si="220"/>
        <v>0</v>
      </c>
      <c r="AO193" s="128">
        <f t="shared" si="221"/>
        <v>0</v>
      </c>
      <c r="AP193" s="128">
        <f t="shared" si="222"/>
        <v>0</v>
      </c>
      <c r="AQ193" s="128">
        <f t="shared" si="223"/>
        <v>0</v>
      </c>
      <c r="AR193" s="128">
        <f t="shared" si="224"/>
        <v>0</v>
      </c>
      <c r="AS193" s="238"/>
    </row>
    <row r="194" spans="1:45" s="129" customFormat="1">
      <c r="A194" s="42" t="s">
        <v>349</v>
      </c>
      <c r="B194" s="18" t="s">
        <v>8</v>
      </c>
      <c r="C194" s="161">
        <v>1</v>
      </c>
      <c r="D194" s="91" t="s">
        <v>2</v>
      </c>
      <c r="E194" s="162">
        <v>4000</v>
      </c>
      <c r="F194" s="163">
        <f t="shared" si="207"/>
        <v>4000</v>
      </c>
      <c r="G194" s="164">
        <v>0</v>
      </c>
      <c r="H194" s="164">
        <v>40</v>
      </c>
      <c r="I194" s="164">
        <v>0</v>
      </c>
      <c r="J194" s="164">
        <v>40</v>
      </c>
      <c r="K194" s="165">
        <v>0</v>
      </c>
      <c r="L194" s="91" t="s">
        <v>7</v>
      </c>
      <c r="M194" s="162">
        <f t="shared" si="208"/>
        <v>8650.8000000000011</v>
      </c>
      <c r="N194" s="87">
        <v>1</v>
      </c>
      <c r="O194" s="166">
        <f t="shared" si="209"/>
        <v>12650.800000000001</v>
      </c>
      <c r="P194" s="166"/>
      <c r="Q194" s="46" t="s">
        <v>32</v>
      </c>
      <c r="R194" s="66" t="s">
        <v>49</v>
      </c>
      <c r="S194" s="133" t="str">
        <f t="shared" si="210"/>
        <v>CPD2012</v>
      </c>
      <c r="T194" s="133" t="str">
        <f t="shared" si="211"/>
        <v>C1.2.2.3.52012</v>
      </c>
      <c r="U194" s="133" t="s">
        <v>195</v>
      </c>
      <c r="V194" s="133" t="str">
        <f t="shared" si="212"/>
        <v>Ladder Cable (Kapton + Cu conductor)</v>
      </c>
      <c r="W194" s="18"/>
      <c r="X194" s="18"/>
      <c r="Y194" s="18"/>
      <c r="Z194" s="18"/>
      <c r="AA194" s="18"/>
      <c r="AB194" s="30">
        <v>2012</v>
      </c>
      <c r="AC194" s="128">
        <f t="shared" si="213"/>
        <v>0</v>
      </c>
      <c r="AD194" s="128">
        <f t="shared" si="214"/>
        <v>0</v>
      </c>
      <c r="AE194" s="128">
        <f t="shared" si="215"/>
        <v>0</v>
      </c>
      <c r="AF194" s="128">
        <f t="shared" si="216"/>
        <v>0</v>
      </c>
      <c r="AG194" s="128">
        <f t="shared" si="217"/>
        <v>0</v>
      </c>
      <c r="AH194" s="236">
        <f t="shared" si="218"/>
        <v>0</v>
      </c>
      <c r="AI194" s="238"/>
      <c r="AJ194" s="244"/>
      <c r="AK194" s="244"/>
      <c r="AL194" s="162"/>
      <c r="AM194" s="127">
        <f t="shared" si="219"/>
        <v>0</v>
      </c>
      <c r="AN194" s="128">
        <f t="shared" si="220"/>
        <v>40</v>
      </c>
      <c r="AO194" s="128">
        <f t="shared" si="221"/>
        <v>0</v>
      </c>
      <c r="AP194" s="128">
        <f t="shared" si="222"/>
        <v>40</v>
      </c>
      <c r="AQ194" s="128">
        <f t="shared" si="223"/>
        <v>0</v>
      </c>
      <c r="AR194" s="128">
        <f t="shared" si="224"/>
        <v>4000</v>
      </c>
      <c r="AS194" s="238"/>
    </row>
    <row r="195" spans="1:45" s="42" customFormat="1">
      <c r="A195" s="43"/>
      <c r="C195" s="181"/>
      <c r="E195" s="182"/>
      <c r="F195" s="183"/>
      <c r="G195" s="184"/>
      <c r="H195" s="184"/>
      <c r="I195" s="184"/>
      <c r="J195" s="184"/>
      <c r="K195" s="185"/>
      <c r="L195" s="222" t="s">
        <v>43</v>
      </c>
      <c r="M195" s="174">
        <f>SUMIF(Q182:Q194,"B",M182:M194)</f>
        <v>55559.520000000004</v>
      </c>
      <c r="N195" s="62" t="s">
        <v>43</v>
      </c>
      <c r="O195" s="174"/>
      <c r="P195" s="186"/>
      <c r="Q195" s="60"/>
      <c r="R195" s="68"/>
      <c r="S195" s="133"/>
      <c r="T195" s="133"/>
      <c r="U195" s="70"/>
      <c r="V195" s="70"/>
      <c r="W195" s="18"/>
      <c r="X195" s="18"/>
      <c r="Y195" s="18"/>
      <c r="Z195" s="18"/>
      <c r="AA195" s="18"/>
      <c r="AB195" s="30"/>
      <c r="AC195" s="128"/>
      <c r="AD195" s="128"/>
      <c r="AE195" s="128"/>
      <c r="AF195" s="128"/>
      <c r="AG195" s="128"/>
      <c r="AH195" s="236"/>
      <c r="AI195" s="237"/>
      <c r="AJ195" s="128"/>
      <c r="AK195" s="128"/>
      <c r="AL195" s="162"/>
      <c r="AM195" s="127"/>
      <c r="AN195" s="128"/>
      <c r="AO195" s="128"/>
      <c r="AP195" s="128"/>
      <c r="AQ195" s="128"/>
      <c r="AR195" s="128"/>
      <c r="AS195" s="237"/>
    </row>
    <row r="196" spans="1:45">
      <c r="A196" s="19" t="s">
        <v>158</v>
      </c>
      <c r="B196" s="2"/>
      <c r="C196" s="167"/>
      <c r="D196" s="13"/>
      <c r="E196" s="168"/>
      <c r="F196" s="169"/>
      <c r="G196" s="167"/>
      <c r="H196" s="167"/>
      <c r="I196" s="167"/>
      <c r="J196" s="167"/>
      <c r="K196" s="170"/>
      <c r="L196" s="13"/>
      <c r="M196" s="168">
        <f>SUMIF(Q136:Q194,"B",M136:M194)</f>
        <v>125075.52000000002</v>
      </c>
      <c r="N196" s="362" t="s">
        <v>42</v>
      </c>
      <c r="O196" s="363"/>
      <c r="P196" s="364"/>
      <c r="Q196" s="47"/>
      <c r="R196" s="69"/>
      <c r="S196" s="134"/>
      <c r="T196" s="134"/>
      <c r="U196" s="134"/>
      <c r="V196" s="134"/>
      <c r="W196" s="2"/>
      <c r="X196" s="2"/>
      <c r="Y196" s="2"/>
      <c r="Z196" s="2"/>
      <c r="AA196" s="2"/>
      <c r="AB196" s="31"/>
      <c r="AC196" s="4">
        <f>SUM(AC136:AC194)</f>
        <v>0</v>
      </c>
      <c r="AD196" s="4">
        <f>SUM(AD136:AD194)</f>
        <v>524</v>
      </c>
      <c r="AE196" s="4">
        <f>SUM(AE136:AE194)</f>
        <v>1340</v>
      </c>
      <c r="AF196" s="4">
        <f>SUM(AF136:AF194)</f>
        <v>512</v>
      </c>
      <c r="AG196" s="4">
        <f>SUM(AG136:AG194)</f>
        <v>2272</v>
      </c>
      <c r="AH196" s="168"/>
      <c r="AI196" s="169">
        <f>SUM(AH136:AH194)</f>
        <v>41608</v>
      </c>
      <c r="AJ196" s="168">
        <f>(Shop*AC196)+M_Tech*AD196+CMM*AE196+ENG*AF196+DES*AG196+AI196</f>
        <v>153475.48000000001</v>
      </c>
      <c r="AK196" s="168"/>
      <c r="AL196" s="169">
        <f>Shop*AM196+M_Tech*AN196+CMM*AO196+ENG*AP196+DES*AQ196+AS196</f>
        <v>35637.08</v>
      </c>
      <c r="AM196" s="4">
        <f>SUM(AM136:AM194)</f>
        <v>0</v>
      </c>
      <c r="AN196" s="4">
        <f>SUM(AN136:AN194)</f>
        <v>204</v>
      </c>
      <c r="AO196" s="4">
        <f>SUM(AO136:AO194)</f>
        <v>0</v>
      </c>
      <c r="AP196" s="4">
        <f>SUM(AP136:AP194)</f>
        <v>56</v>
      </c>
      <c r="AQ196" s="4">
        <f>SUM(AQ136:AQ194)</f>
        <v>0</v>
      </c>
      <c r="AR196" s="168"/>
      <c r="AS196" s="169">
        <f>SUM(AR136:AR194)</f>
        <v>9500</v>
      </c>
    </row>
    <row r="197" spans="1:45">
      <c r="F197" s="160"/>
      <c r="G197" s="158"/>
      <c r="H197" s="158"/>
      <c r="I197" s="158"/>
      <c r="J197" s="158"/>
      <c r="K197" s="171"/>
      <c r="M197" s="107"/>
      <c r="N197" s="6"/>
      <c r="O197" s="172"/>
      <c r="P197" s="172"/>
      <c r="Q197" s="32"/>
      <c r="R197" s="67"/>
      <c r="S197" s="135"/>
      <c r="T197" s="135"/>
      <c r="U197" s="135"/>
      <c r="V197" s="135"/>
      <c r="W197"/>
      <c r="X197"/>
      <c r="Y197"/>
      <c r="Z197"/>
      <c r="AA197"/>
      <c r="AB197" s="33"/>
      <c r="AC197" s="28"/>
      <c r="AD197" s="28"/>
      <c r="AE197" s="28"/>
      <c r="AF197" s="28"/>
      <c r="AG197" s="28"/>
      <c r="AH197" s="239"/>
      <c r="AI197" s="240"/>
      <c r="AJ197" s="5"/>
      <c r="AK197" s="5"/>
      <c r="AM197" s="29"/>
      <c r="AN197" s="3"/>
      <c r="AO197" s="3"/>
      <c r="AP197" s="3"/>
      <c r="AQ197" s="3"/>
      <c r="AR197" s="3"/>
      <c r="AS197" s="241"/>
    </row>
    <row r="198" spans="1:45" ht="15.75">
      <c r="A198" s="44" t="s">
        <v>439</v>
      </c>
      <c r="F198" s="160"/>
      <c r="G198" s="158"/>
      <c r="H198" s="158"/>
      <c r="I198" s="158"/>
      <c r="J198" s="158"/>
      <c r="K198" s="171"/>
      <c r="M198" s="107"/>
      <c r="N198" s="6"/>
      <c r="O198" s="172"/>
      <c r="P198" s="172"/>
      <c r="Q198" s="46"/>
      <c r="R198" s="66"/>
      <c r="S198" s="133"/>
      <c r="T198" s="133"/>
      <c r="U198" s="133"/>
      <c r="V198" s="133"/>
      <c r="W198"/>
      <c r="X198"/>
      <c r="Y198"/>
      <c r="Z198"/>
      <c r="AA198"/>
      <c r="AB198" s="30"/>
      <c r="AC198" s="3"/>
      <c r="AD198" s="3"/>
      <c r="AE198" s="3"/>
      <c r="AF198" s="3"/>
      <c r="AG198" s="3"/>
      <c r="AH198" s="159"/>
      <c r="AI198" s="241"/>
      <c r="AJ198" s="3"/>
      <c r="AK198" s="3"/>
      <c r="AM198" s="29"/>
      <c r="AN198" s="3"/>
      <c r="AO198" s="3"/>
      <c r="AP198" s="3"/>
      <c r="AQ198" s="3"/>
      <c r="AR198" s="3"/>
      <c r="AS198" s="241"/>
    </row>
    <row r="199" spans="1:45" s="59" customFormat="1">
      <c r="A199" s="43" t="s">
        <v>277</v>
      </c>
      <c r="C199" s="175"/>
      <c r="E199" s="176"/>
      <c r="F199" s="177"/>
      <c r="G199" s="178"/>
      <c r="H199" s="178"/>
      <c r="I199" s="178"/>
      <c r="J199" s="178"/>
      <c r="K199" s="179"/>
      <c r="L199" s="222"/>
      <c r="M199" s="174"/>
      <c r="N199" s="62">
        <v>1</v>
      </c>
      <c r="O199" s="174"/>
      <c r="P199" s="180"/>
      <c r="Q199" s="60"/>
      <c r="R199" s="68"/>
      <c r="S199" s="133"/>
      <c r="T199" s="133"/>
      <c r="U199" s="70"/>
      <c r="V199" s="70"/>
      <c r="W199"/>
      <c r="X199"/>
      <c r="Y199"/>
      <c r="Z199"/>
      <c r="AA199"/>
      <c r="AB199" s="61"/>
      <c r="AC199" s="3"/>
      <c r="AD199" s="3"/>
      <c r="AE199" s="3"/>
      <c r="AF199" s="3"/>
      <c r="AG199" s="3"/>
      <c r="AH199" s="159"/>
      <c r="AI199" s="241"/>
      <c r="AJ199" s="3"/>
      <c r="AK199" s="3"/>
      <c r="AL199" s="107"/>
      <c r="AM199" s="29"/>
      <c r="AN199" s="3"/>
      <c r="AO199" s="3"/>
      <c r="AP199" s="3"/>
      <c r="AQ199" s="3"/>
      <c r="AR199" s="3"/>
      <c r="AS199" s="241"/>
    </row>
    <row r="200" spans="1:45" s="150" customFormat="1" hidden="1">
      <c r="A200" s="42" t="s">
        <v>298</v>
      </c>
      <c r="B200" s="18" t="s">
        <v>8</v>
      </c>
      <c r="C200" s="216">
        <v>1</v>
      </c>
      <c r="D200" s="91" t="s">
        <v>2</v>
      </c>
      <c r="E200" s="213">
        <v>2000</v>
      </c>
      <c r="F200" s="217">
        <f t="shared" ref="F200:F206" si="225">E200*C200</f>
        <v>2000</v>
      </c>
      <c r="G200" s="218">
        <v>80</v>
      </c>
      <c r="H200" s="218">
        <v>80</v>
      </c>
      <c r="I200" s="218">
        <v>40</v>
      </c>
      <c r="J200" s="218">
        <v>16</v>
      </c>
      <c r="K200" s="219">
        <v>80</v>
      </c>
      <c r="L200" s="91" t="s">
        <v>7</v>
      </c>
      <c r="M200" s="213">
        <f t="shared" ref="M200:M206" si="226">IF(R200="PD",((Shop*G200)+(M_Tech*H200)+(CMM*I200)+(ENG*J200)+(DES*K200))*N200,((Shop_RD*G200)+(MTECH_RD*H200)+(CMM_RD*I200)+(ENG_RD*J200)+(DES_RD*K200))*N200)</f>
        <v>0</v>
      </c>
      <c r="N200" s="93">
        <v>0</v>
      </c>
      <c r="O200" s="214">
        <f t="shared" ref="O200:O206" si="227">M200+(F200*N200)</f>
        <v>0</v>
      </c>
      <c r="P200" s="214"/>
      <c r="Q200" s="46" t="s">
        <v>31</v>
      </c>
      <c r="R200" s="66" t="s">
        <v>154</v>
      </c>
      <c r="S200" s="133" t="str">
        <f t="shared" ref="S200:S206" si="228">CONCATENATE(Q200,R200,AB200)</f>
        <v>BPT2009</v>
      </c>
      <c r="T200" s="133" t="str">
        <f t="shared" ref="T200:T206" si="229">CONCATENATE(Q200,U200,AB200)</f>
        <v>B1.2.2.4.12009</v>
      </c>
      <c r="U200" s="133" t="s">
        <v>199</v>
      </c>
      <c r="V200" s="215" t="str">
        <f t="shared" ref="V200:V206" si="230">LOOKUP(U200,$B$345:$B$367,$A$345:$A$367)</f>
        <v>Ladder Mechanical / Electrical Prototypes</v>
      </c>
      <c r="W200" s="42"/>
      <c r="X200" s="42"/>
      <c r="Y200" s="42"/>
      <c r="Z200" s="42"/>
      <c r="AA200" s="42"/>
      <c r="AB200" s="61">
        <v>2009</v>
      </c>
      <c r="AC200" s="128">
        <f t="shared" ref="AC200:AG206" si="231">IF($Q200="B", (G200*$N200),0)</f>
        <v>0</v>
      </c>
      <c r="AD200" s="128">
        <f t="shared" si="231"/>
        <v>0</v>
      </c>
      <c r="AE200" s="128">
        <f t="shared" si="231"/>
        <v>0</v>
      </c>
      <c r="AF200" s="128">
        <f t="shared" si="231"/>
        <v>0</v>
      </c>
      <c r="AG200" s="128">
        <f t="shared" si="231"/>
        <v>0</v>
      </c>
      <c r="AH200" s="236">
        <f t="shared" ref="AH200:AH206" si="232">IF($Q200="B", (F200*$N200),0)</f>
        <v>0</v>
      </c>
      <c r="AI200" s="238"/>
      <c r="AJ200" s="244"/>
      <c r="AK200" s="244"/>
      <c r="AL200" s="162"/>
      <c r="AM200" s="127">
        <f t="shared" ref="AM200:AQ206" si="233">IF($Q200="C", (G200*$N200),0)</f>
        <v>0</v>
      </c>
      <c r="AN200" s="128">
        <f t="shared" si="233"/>
        <v>0</v>
      </c>
      <c r="AO200" s="128">
        <f t="shared" si="233"/>
        <v>0</v>
      </c>
      <c r="AP200" s="128">
        <f t="shared" si="233"/>
        <v>0</v>
      </c>
      <c r="AQ200" s="128">
        <f t="shared" si="233"/>
        <v>0</v>
      </c>
      <c r="AR200" s="128">
        <f t="shared" ref="AR200:AR206" si="234">IF($Q200="C", (F200*$N200),0)</f>
        <v>0</v>
      </c>
      <c r="AS200" s="238"/>
    </row>
    <row r="201" spans="1:45" s="150" customFormat="1">
      <c r="A201" s="42" t="s">
        <v>299</v>
      </c>
      <c r="B201" s="18" t="s">
        <v>8</v>
      </c>
      <c r="C201" s="216">
        <v>1</v>
      </c>
      <c r="D201" s="91" t="s">
        <v>2</v>
      </c>
      <c r="E201" s="213">
        <v>2000</v>
      </c>
      <c r="F201" s="217">
        <f t="shared" si="225"/>
        <v>2000</v>
      </c>
      <c r="G201" s="218">
        <v>80</v>
      </c>
      <c r="H201" s="218">
        <v>80</v>
      </c>
      <c r="I201" s="218">
        <v>0</v>
      </c>
      <c r="J201" s="218">
        <v>8</v>
      </c>
      <c r="K201" s="336">
        <v>0</v>
      </c>
      <c r="L201" s="91" t="s">
        <v>7</v>
      </c>
      <c r="M201" s="213">
        <f t="shared" si="226"/>
        <v>20640</v>
      </c>
      <c r="N201" s="93">
        <v>1</v>
      </c>
      <c r="O201" s="214">
        <f t="shared" si="227"/>
        <v>22640</v>
      </c>
      <c r="P201" s="214"/>
      <c r="Q201" s="46" t="s">
        <v>32</v>
      </c>
      <c r="R201" s="66" t="s">
        <v>154</v>
      </c>
      <c r="S201" s="133" t="str">
        <f t="shared" si="228"/>
        <v>CPT2012</v>
      </c>
      <c r="T201" s="133" t="str">
        <f t="shared" si="229"/>
        <v>C1.2.2.4.12012</v>
      </c>
      <c r="U201" s="133" t="s">
        <v>199</v>
      </c>
      <c r="V201" s="215" t="str">
        <f t="shared" si="230"/>
        <v>Ladder Mechanical / Electrical Prototypes</v>
      </c>
      <c r="W201" s="42"/>
      <c r="X201" s="42"/>
      <c r="Y201" s="42"/>
      <c r="Z201" s="42"/>
      <c r="AA201" s="42"/>
      <c r="AB201" s="61">
        <v>2012</v>
      </c>
      <c r="AC201" s="128">
        <f t="shared" si="231"/>
        <v>0</v>
      </c>
      <c r="AD201" s="128">
        <f t="shared" si="231"/>
        <v>0</v>
      </c>
      <c r="AE201" s="128">
        <f t="shared" si="231"/>
        <v>0</v>
      </c>
      <c r="AF201" s="128">
        <f t="shared" si="231"/>
        <v>0</v>
      </c>
      <c r="AG201" s="128">
        <f t="shared" si="231"/>
        <v>0</v>
      </c>
      <c r="AH201" s="236">
        <f t="shared" si="232"/>
        <v>0</v>
      </c>
      <c r="AI201" s="238"/>
      <c r="AJ201" s="244"/>
      <c r="AK201" s="244"/>
      <c r="AL201" s="162"/>
      <c r="AM201" s="127">
        <f t="shared" si="233"/>
        <v>80</v>
      </c>
      <c r="AN201" s="128">
        <f t="shared" si="233"/>
        <v>80</v>
      </c>
      <c r="AO201" s="128">
        <f t="shared" si="233"/>
        <v>0</v>
      </c>
      <c r="AP201" s="128">
        <f t="shared" si="233"/>
        <v>8</v>
      </c>
      <c r="AQ201" s="128">
        <f t="shared" si="233"/>
        <v>0</v>
      </c>
      <c r="AR201" s="128">
        <f t="shared" si="234"/>
        <v>2000</v>
      </c>
      <c r="AS201" s="238"/>
    </row>
    <row r="202" spans="1:45" s="150" customFormat="1" hidden="1">
      <c r="A202" s="42" t="s">
        <v>301</v>
      </c>
      <c r="B202" s="18" t="s">
        <v>8</v>
      </c>
      <c r="C202" s="216">
        <v>1</v>
      </c>
      <c r="D202" s="91" t="s">
        <v>2</v>
      </c>
      <c r="E202" s="213">
        <v>500</v>
      </c>
      <c r="F202" s="217">
        <f t="shared" si="225"/>
        <v>500</v>
      </c>
      <c r="G202" s="218">
        <v>16</v>
      </c>
      <c r="H202" s="218">
        <v>80</v>
      </c>
      <c r="I202" s="218">
        <v>40</v>
      </c>
      <c r="J202" s="218">
        <v>24</v>
      </c>
      <c r="K202" s="336">
        <v>40</v>
      </c>
      <c r="L202" s="91" t="s">
        <v>7</v>
      </c>
      <c r="M202" s="213">
        <f t="shared" si="226"/>
        <v>0</v>
      </c>
      <c r="N202" s="93">
        <v>0</v>
      </c>
      <c r="O202" s="214">
        <f t="shared" si="227"/>
        <v>0</v>
      </c>
      <c r="P202" s="214"/>
      <c r="Q202" s="46" t="s">
        <v>31</v>
      </c>
      <c r="R202" s="66" t="s">
        <v>154</v>
      </c>
      <c r="S202" s="133" t="str">
        <f t="shared" si="228"/>
        <v>BPT2009</v>
      </c>
      <c r="T202" s="133" t="str">
        <f t="shared" si="229"/>
        <v>B1.2.2.4.12009</v>
      </c>
      <c r="U202" s="133" t="s">
        <v>199</v>
      </c>
      <c r="V202" s="215" t="str">
        <f t="shared" si="230"/>
        <v>Ladder Mechanical / Electrical Prototypes</v>
      </c>
      <c r="W202" s="42"/>
      <c r="X202" s="42"/>
      <c r="Y202" s="42"/>
      <c r="Z202" s="42"/>
      <c r="AA202" s="42"/>
      <c r="AB202" s="61">
        <v>2009</v>
      </c>
      <c r="AC202" s="128">
        <f t="shared" si="231"/>
        <v>0</v>
      </c>
      <c r="AD202" s="128">
        <f t="shared" si="231"/>
        <v>0</v>
      </c>
      <c r="AE202" s="128">
        <f t="shared" si="231"/>
        <v>0</v>
      </c>
      <c r="AF202" s="128">
        <f t="shared" si="231"/>
        <v>0</v>
      </c>
      <c r="AG202" s="128">
        <f t="shared" si="231"/>
        <v>0</v>
      </c>
      <c r="AH202" s="236">
        <f t="shared" si="232"/>
        <v>0</v>
      </c>
      <c r="AI202" s="238"/>
      <c r="AJ202" s="244"/>
      <c r="AK202" s="244"/>
      <c r="AL202" s="162"/>
      <c r="AM202" s="127">
        <f t="shared" si="233"/>
        <v>0</v>
      </c>
      <c r="AN202" s="128">
        <f t="shared" si="233"/>
        <v>0</v>
      </c>
      <c r="AO202" s="128">
        <f t="shared" si="233"/>
        <v>0</v>
      </c>
      <c r="AP202" s="128">
        <f t="shared" si="233"/>
        <v>0</v>
      </c>
      <c r="AQ202" s="128">
        <f t="shared" si="233"/>
        <v>0</v>
      </c>
      <c r="AR202" s="128">
        <f t="shared" si="234"/>
        <v>0</v>
      </c>
      <c r="AS202" s="238"/>
    </row>
    <row r="203" spans="1:45" s="150" customFormat="1" hidden="1">
      <c r="A203" s="42" t="s">
        <v>302</v>
      </c>
      <c r="B203" s="18" t="s">
        <v>8</v>
      </c>
      <c r="C203" s="216">
        <v>1</v>
      </c>
      <c r="D203" s="91" t="s">
        <v>2</v>
      </c>
      <c r="E203" s="213">
        <v>500</v>
      </c>
      <c r="F203" s="217">
        <f t="shared" si="225"/>
        <v>500</v>
      </c>
      <c r="G203" s="218">
        <v>0</v>
      </c>
      <c r="H203" s="218">
        <v>40</v>
      </c>
      <c r="I203" s="218">
        <v>0</v>
      </c>
      <c r="J203" s="218">
        <v>16</v>
      </c>
      <c r="K203" s="336">
        <v>24</v>
      </c>
      <c r="L203" s="91" t="s">
        <v>7</v>
      </c>
      <c r="M203" s="213">
        <f t="shared" si="226"/>
        <v>0</v>
      </c>
      <c r="N203" s="93">
        <v>0</v>
      </c>
      <c r="O203" s="214">
        <f t="shared" si="227"/>
        <v>0</v>
      </c>
      <c r="P203" s="214"/>
      <c r="Q203" s="46" t="s">
        <v>31</v>
      </c>
      <c r="R203" s="66" t="s">
        <v>154</v>
      </c>
      <c r="S203" s="133" t="str">
        <f t="shared" si="228"/>
        <v>BPT2009</v>
      </c>
      <c r="T203" s="133" t="str">
        <f t="shared" si="229"/>
        <v>B1.2.2.4.12009</v>
      </c>
      <c r="U203" s="133" t="s">
        <v>199</v>
      </c>
      <c r="V203" s="215" t="str">
        <f t="shared" si="230"/>
        <v>Ladder Mechanical / Electrical Prototypes</v>
      </c>
      <c r="W203" s="42"/>
      <c r="X203" s="42"/>
      <c r="Y203" s="42"/>
      <c r="Z203" s="42"/>
      <c r="AA203" s="42"/>
      <c r="AB203" s="61">
        <v>2009</v>
      </c>
      <c r="AC203" s="128">
        <f t="shared" si="231"/>
        <v>0</v>
      </c>
      <c r="AD203" s="128">
        <f t="shared" si="231"/>
        <v>0</v>
      </c>
      <c r="AE203" s="128">
        <f t="shared" si="231"/>
        <v>0</v>
      </c>
      <c r="AF203" s="128">
        <f t="shared" si="231"/>
        <v>0</v>
      </c>
      <c r="AG203" s="128">
        <f t="shared" si="231"/>
        <v>0</v>
      </c>
      <c r="AH203" s="236">
        <f t="shared" si="232"/>
        <v>0</v>
      </c>
      <c r="AI203" s="238"/>
      <c r="AJ203" s="244"/>
      <c r="AK203" s="244"/>
      <c r="AL203" s="162"/>
      <c r="AM203" s="127">
        <f t="shared" si="233"/>
        <v>0</v>
      </c>
      <c r="AN203" s="128">
        <f t="shared" si="233"/>
        <v>0</v>
      </c>
      <c r="AO203" s="128">
        <f t="shared" si="233"/>
        <v>0</v>
      </c>
      <c r="AP203" s="128">
        <f t="shared" si="233"/>
        <v>0</v>
      </c>
      <c r="AQ203" s="128">
        <f t="shared" si="233"/>
        <v>0</v>
      </c>
      <c r="AR203" s="128">
        <f t="shared" si="234"/>
        <v>0</v>
      </c>
      <c r="AS203" s="238"/>
    </row>
    <row r="204" spans="1:45" s="150" customFormat="1" hidden="1">
      <c r="A204" s="42" t="s">
        <v>303</v>
      </c>
      <c r="B204" s="18" t="s">
        <v>8</v>
      </c>
      <c r="C204" s="216">
        <v>1</v>
      </c>
      <c r="D204" s="91" t="s">
        <v>2</v>
      </c>
      <c r="E204" s="213">
        <v>0</v>
      </c>
      <c r="F204" s="217">
        <f t="shared" si="225"/>
        <v>0</v>
      </c>
      <c r="G204" s="218">
        <v>16</v>
      </c>
      <c r="H204" s="218">
        <v>40</v>
      </c>
      <c r="I204" s="218">
        <v>40</v>
      </c>
      <c r="J204" s="218">
        <v>16</v>
      </c>
      <c r="K204" s="336">
        <v>40</v>
      </c>
      <c r="L204" s="91" t="s">
        <v>7</v>
      </c>
      <c r="M204" s="213">
        <f t="shared" si="226"/>
        <v>0</v>
      </c>
      <c r="N204" s="93">
        <v>0</v>
      </c>
      <c r="O204" s="214">
        <f t="shared" si="227"/>
        <v>0</v>
      </c>
      <c r="P204" s="214"/>
      <c r="Q204" s="46" t="s">
        <v>31</v>
      </c>
      <c r="R204" s="66" t="s">
        <v>154</v>
      </c>
      <c r="S204" s="133" t="str">
        <f t="shared" si="228"/>
        <v>BPT2009</v>
      </c>
      <c r="T204" s="133" t="str">
        <f t="shared" si="229"/>
        <v>B1.2.2.4.12009</v>
      </c>
      <c r="U204" s="133" t="s">
        <v>199</v>
      </c>
      <c r="V204" s="215" t="str">
        <f t="shared" si="230"/>
        <v>Ladder Mechanical / Electrical Prototypes</v>
      </c>
      <c r="W204" s="42"/>
      <c r="X204" s="42"/>
      <c r="Y204" s="42"/>
      <c r="Z204" s="42"/>
      <c r="AA204" s="42"/>
      <c r="AB204" s="61">
        <v>2009</v>
      </c>
      <c r="AC204" s="128">
        <f t="shared" si="231"/>
        <v>0</v>
      </c>
      <c r="AD204" s="128">
        <f t="shared" si="231"/>
        <v>0</v>
      </c>
      <c r="AE204" s="128">
        <f t="shared" si="231"/>
        <v>0</v>
      </c>
      <c r="AF204" s="128">
        <f t="shared" si="231"/>
        <v>0</v>
      </c>
      <c r="AG204" s="128">
        <f t="shared" si="231"/>
        <v>0</v>
      </c>
      <c r="AH204" s="236">
        <f t="shared" si="232"/>
        <v>0</v>
      </c>
      <c r="AI204" s="238"/>
      <c r="AJ204" s="244"/>
      <c r="AK204" s="244"/>
      <c r="AL204" s="162"/>
      <c r="AM204" s="127">
        <f t="shared" si="233"/>
        <v>0</v>
      </c>
      <c r="AN204" s="128">
        <f t="shared" si="233"/>
        <v>0</v>
      </c>
      <c r="AO204" s="128">
        <f t="shared" si="233"/>
        <v>0</v>
      </c>
      <c r="AP204" s="128">
        <f t="shared" si="233"/>
        <v>0</v>
      </c>
      <c r="AQ204" s="128">
        <f t="shared" si="233"/>
        <v>0</v>
      </c>
      <c r="AR204" s="128">
        <f t="shared" si="234"/>
        <v>0</v>
      </c>
      <c r="AS204" s="238"/>
    </row>
    <row r="205" spans="1:45" s="150" customFormat="1">
      <c r="A205" s="42" t="s">
        <v>304</v>
      </c>
      <c r="B205" s="18" t="s">
        <v>8</v>
      </c>
      <c r="C205" s="216">
        <v>1</v>
      </c>
      <c r="D205" s="91" t="s">
        <v>2</v>
      </c>
      <c r="E205" s="213">
        <v>2500</v>
      </c>
      <c r="F205" s="217">
        <f t="shared" si="225"/>
        <v>2500</v>
      </c>
      <c r="G205" s="218">
        <v>40</v>
      </c>
      <c r="H205" s="218">
        <v>40</v>
      </c>
      <c r="I205" s="218">
        <v>40</v>
      </c>
      <c r="J205" s="218">
        <v>8</v>
      </c>
      <c r="K205" s="336">
        <v>40</v>
      </c>
      <c r="L205" s="91" t="s">
        <v>7</v>
      </c>
      <c r="M205" s="213">
        <f t="shared" si="226"/>
        <v>10920</v>
      </c>
      <c r="N205" s="93">
        <v>1</v>
      </c>
      <c r="O205" s="214">
        <f t="shared" si="227"/>
        <v>13420</v>
      </c>
      <c r="P205" s="214"/>
      <c r="Q205" s="46" t="s">
        <v>31</v>
      </c>
      <c r="R205" s="66" t="s">
        <v>154</v>
      </c>
      <c r="S205" s="133" t="str">
        <f t="shared" si="228"/>
        <v>BPT2012</v>
      </c>
      <c r="T205" s="133" t="str">
        <f t="shared" si="229"/>
        <v>B1.2.2.4.12012</v>
      </c>
      <c r="U205" s="133" t="s">
        <v>199</v>
      </c>
      <c r="V205" s="215" t="str">
        <f t="shared" si="230"/>
        <v>Ladder Mechanical / Electrical Prototypes</v>
      </c>
      <c r="W205" s="42"/>
      <c r="X205" s="42"/>
      <c r="Y205" s="42"/>
      <c r="Z205" s="42"/>
      <c r="AA205" s="42"/>
      <c r="AB205" s="61">
        <v>2012</v>
      </c>
      <c r="AC205" s="128">
        <f t="shared" si="231"/>
        <v>40</v>
      </c>
      <c r="AD205" s="128">
        <f t="shared" si="231"/>
        <v>40</v>
      </c>
      <c r="AE205" s="128">
        <f t="shared" si="231"/>
        <v>40</v>
      </c>
      <c r="AF205" s="128">
        <f t="shared" si="231"/>
        <v>8</v>
      </c>
      <c r="AG205" s="128">
        <f t="shared" si="231"/>
        <v>40</v>
      </c>
      <c r="AH205" s="236">
        <f t="shared" si="232"/>
        <v>2500</v>
      </c>
      <c r="AI205" s="238"/>
      <c r="AJ205" s="244"/>
      <c r="AK205" s="244"/>
      <c r="AL205" s="162"/>
      <c r="AM205" s="127">
        <f t="shared" si="233"/>
        <v>0</v>
      </c>
      <c r="AN205" s="128">
        <f t="shared" si="233"/>
        <v>0</v>
      </c>
      <c r="AO205" s="128">
        <f t="shared" si="233"/>
        <v>0</v>
      </c>
      <c r="AP205" s="128">
        <f t="shared" si="233"/>
        <v>0</v>
      </c>
      <c r="AQ205" s="128">
        <f t="shared" si="233"/>
        <v>0</v>
      </c>
      <c r="AR205" s="128">
        <f t="shared" si="234"/>
        <v>0</v>
      </c>
      <c r="AS205" s="238"/>
    </row>
    <row r="206" spans="1:45" s="150" customFormat="1">
      <c r="A206" s="42" t="s">
        <v>349</v>
      </c>
      <c r="B206" s="18" t="s">
        <v>8</v>
      </c>
      <c r="C206" s="216">
        <v>1</v>
      </c>
      <c r="D206" s="91" t="s">
        <v>2</v>
      </c>
      <c r="E206" s="213">
        <v>2500</v>
      </c>
      <c r="F206" s="217">
        <f t="shared" si="225"/>
        <v>2500</v>
      </c>
      <c r="G206" s="218">
        <v>40</v>
      </c>
      <c r="H206" s="218">
        <v>40</v>
      </c>
      <c r="I206" s="218">
        <v>0</v>
      </c>
      <c r="J206" s="218">
        <v>8</v>
      </c>
      <c r="K206" s="336">
        <v>0</v>
      </c>
      <c r="L206" s="91" t="s">
        <v>7</v>
      </c>
      <c r="M206" s="213">
        <f t="shared" si="226"/>
        <v>10920</v>
      </c>
      <c r="N206" s="93">
        <v>1</v>
      </c>
      <c r="O206" s="214">
        <f t="shared" si="227"/>
        <v>13420</v>
      </c>
      <c r="P206" s="214"/>
      <c r="Q206" s="46" t="s">
        <v>32</v>
      </c>
      <c r="R206" s="66" t="s">
        <v>154</v>
      </c>
      <c r="S206" s="133" t="str">
        <f t="shared" si="228"/>
        <v>CPT2012</v>
      </c>
      <c r="T206" s="133" t="str">
        <f t="shared" si="229"/>
        <v>C1.2.2.4.12012</v>
      </c>
      <c r="U206" s="133" t="s">
        <v>199</v>
      </c>
      <c r="V206" s="215" t="str">
        <f t="shared" si="230"/>
        <v>Ladder Mechanical / Electrical Prototypes</v>
      </c>
      <c r="W206" s="42"/>
      <c r="X206" s="42"/>
      <c r="Y206" s="42"/>
      <c r="Z206" s="42"/>
      <c r="AA206" s="42"/>
      <c r="AB206" s="61">
        <v>2012</v>
      </c>
      <c r="AC206" s="128">
        <f t="shared" si="231"/>
        <v>0</v>
      </c>
      <c r="AD206" s="128">
        <f t="shared" si="231"/>
        <v>0</v>
      </c>
      <c r="AE206" s="128">
        <f t="shared" si="231"/>
        <v>0</v>
      </c>
      <c r="AF206" s="128">
        <f t="shared" si="231"/>
        <v>0</v>
      </c>
      <c r="AG206" s="128">
        <f t="shared" si="231"/>
        <v>0</v>
      </c>
      <c r="AH206" s="236">
        <f t="shared" si="232"/>
        <v>0</v>
      </c>
      <c r="AI206" s="238"/>
      <c r="AJ206" s="244"/>
      <c r="AK206" s="244"/>
      <c r="AL206" s="162"/>
      <c r="AM206" s="127">
        <f t="shared" si="233"/>
        <v>40</v>
      </c>
      <c r="AN206" s="128">
        <f t="shared" si="233"/>
        <v>40</v>
      </c>
      <c r="AO206" s="128">
        <f t="shared" si="233"/>
        <v>0</v>
      </c>
      <c r="AP206" s="128">
        <f t="shared" si="233"/>
        <v>8</v>
      </c>
      <c r="AQ206" s="128">
        <f t="shared" si="233"/>
        <v>0</v>
      </c>
      <c r="AR206" s="128">
        <f t="shared" si="234"/>
        <v>2500</v>
      </c>
      <c r="AS206" s="238"/>
    </row>
    <row r="207" spans="1:45" s="42" customFormat="1">
      <c r="A207" s="43" t="s">
        <v>278</v>
      </c>
      <c r="C207" s="181"/>
      <c r="E207" s="182"/>
      <c r="F207" s="183"/>
      <c r="G207" s="184"/>
      <c r="H207" s="184"/>
      <c r="I207" s="184"/>
      <c r="J207" s="184"/>
      <c r="K207" s="185"/>
      <c r="L207" s="222" t="s">
        <v>43</v>
      </c>
      <c r="M207" s="174">
        <f>SUMIF(Q200:Q206,"B",M200:M206)</f>
        <v>10920</v>
      </c>
      <c r="N207" s="62" t="s">
        <v>43</v>
      </c>
      <c r="O207" s="174"/>
      <c r="P207" s="186"/>
      <c r="Q207" s="60"/>
      <c r="R207" s="68"/>
      <c r="S207" s="133"/>
      <c r="T207" s="133"/>
      <c r="U207" s="70"/>
      <c r="V207" s="70"/>
      <c r="W207" s="18"/>
      <c r="X207" s="18"/>
      <c r="Y207" s="18"/>
      <c r="Z207" s="18"/>
      <c r="AA207" s="18"/>
      <c r="AB207" s="30"/>
      <c r="AC207" s="128"/>
      <c r="AD207" s="128"/>
      <c r="AE207" s="128"/>
      <c r="AF207" s="128"/>
      <c r="AG207" s="128"/>
      <c r="AH207" s="236"/>
      <c r="AI207" s="237"/>
      <c r="AJ207" s="128"/>
      <c r="AK207" s="128"/>
      <c r="AL207" s="162"/>
      <c r="AM207" s="127"/>
      <c r="AN207" s="128"/>
      <c r="AO207" s="128"/>
      <c r="AP207" s="128"/>
      <c r="AQ207" s="128"/>
      <c r="AR207" s="128"/>
      <c r="AS207" s="237"/>
    </row>
    <row r="208" spans="1:45" s="150" customFormat="1" hidden="1">
      <c r="A208" s="42" t="s">
        <v>300</v>
      </c>
      <c r="B208" s="18" t="s">
        <v>8</v>
      </c>
      <c r="C208" s="216">
        <v>50</v>
      </c>
      <c r="D208" s="91" t="s">
        <v>2</v>
      </c>
      <c r="E208" s="213">
        <v>120</v>
      </c>
      <c r="F208" s="217">
        <f>E208*C208</f>
        <v>6000</v>
      </c>
      <c r="G208" s="218">
        <v>0</v>
      </c>
      <c r="H208" s="218">
        <v>24</v>
      </c>
      <c r="I208" s="218">
        <v>40</v>
      </c>
      <c r="J208" s="218">
        <v>16</v>
      </c>
      <c r="K208" s="219">
        <v>40</v>
      </c>
      <c r="L208" s="91" t="s">
        <v>7</v>
      </c>
      <c r="M208" s="213">
        <f>IF(R208="PD",((Shop*G208)+(M_Tech*H208)+(CMM*I208)+(ENG*J208)+(DES*K208))*N208,((Shop_RD*G208)+(MTECH_RD*H208)+(CMM_RD*I208)+(ENG_RD*J208)+(DES_RD*K208))*N208)</f>
        <v>0</v>
      </c>
      <c r="N208" s="93">
        <v>0</v>
      </c>
      <c r="O208" s="214">
        <f>M208+(F208*N208)</f>
        <v>0</v>
      </c>
      <c r="P208" s="214"/>
      <c r="Q208" s="46" t="s">
        <v>31</v>
      </c>
      <c r="R208" s="66" t="s">
        <v>154</v>
      </c>
      <c r="S208" s="133" t="str">
        <f>CONCATENATE(Q208,R208,AB208)</f>
        <v>BPT2009</v>
      </c>
      <c r="T208" s="133" t="str">
        <f>CONCATENATE(Q208,U208,AB208)</f>
        <v>B1.2.2.4.12009</v>
      </c>
      <c r="U208" s="133" t="s">
        <v>199</v>
      </c>
      <c r="V208" s="215" t="str">
        <f>LOOKUP(U208,$B$345:$B$367,$A$345:$A$367)</f>
        <v>Ladder Mechanical / Electrical Prototypes</v>
      </c>
      <c r="W208" s="42"/>
      <c r="X208" s="42"/>
      <c r="Y208" s="42"/>
      <c r="Z208" s="42"/>
      <c r="AA208" s="42"/>
      <c r="AB208" s="61">
        <v>2009</v>
      </c>
      <c r="AC208" s="128">
        <f t="shared" ref="AC208:AG211" si="235">IF($Q208="B", (G208*$N208),0)</f>
        <v>0</v>
      </c>
      <c r="AD208" s="128">
        <f t="shared" si="235"/>
        <v>0</v>
      </c>
      <c r="AE208" s="128">
        <f t="shared" si="235"/>
        <v>0</v>
      </c>
      <c r="AF208" s="128">
        <f t="shared" si="235"/>
        <v>0</v>
      </c>
      <c r="AG208" s="128">
        <f t="shared" si="235"/>
        <v>0</v>
      </c>
      <c r="AH208" s="236">
        <f>IF($Q208="B", (F208*$N208),0)</f>
        <v>0</v>
      </c>
      <c r="AI208" s="238"/>
      <c r="AJ208" s="244"/>
      <c r="AK208" s="244"/>
      <c r="AL208" s="162"/>
      <c r="AM208" s="127">
        <f t="shared" ref="AM208:AQ211" si="236">IF($Q208="C", (G208*$N208),0)</f>
        <v>0</v>
      </c>
      <c r="AN208" s="128">
        <f t="shared" si="236"/>
        <v>0</v>
      </c>
      <c r="AO208" s="128">
        <f t="shared" si="236"/>
        <v>0</v>
      </c>
      <c r="AP208" s="128">
        <f t="shared" si="236"/>
        <v>0</v>
      </c>
      <c r="AQ208" s="128">
        <f t="shared" si="236"/>
        <v>0</v>
      </c>
      <c r="AR208" s="128">
        <f>IF($Q208="C", (F208*$N208),0)</f>
        <v>0</v>
      </c>
      <c r="AS208" s="238"/>
    </row>
    <row r="209" spans="1:45" s="150" customFormat="1" hidden="1">
      <c r="A209" s="42" t="s">
        <v>327</v>
      </c>
      <c r="B209" s="18" t="s">
        <v>8</v>
      </c>
      <c r="C209" s="216">
        <v>1</v>
      </c>
      <c r="D209" s="91" t="s">
        <v>2</v>
      </c>
      <c r="E209" s="213">
        <v>900</v>
      </c>
      <c r="F209" s="217">
        <f>E209*C209</f>
        <v>900</v>
      </c>
      <c r="G209" s="218">
        <v>0</v>
      </c>
      <c r="H209" s="218">
        <v>16</v>
      </c>
      <c r="I209" s="218">
        <v>24</v>
      </c>
      <c r="J209" s="218">
        <v>0</v>
      </c>
      <c r="K209" s="219">
        <v>40</v>
      </c>
      <c r="L209" s="91" t="s">
        <v>7</v>
      </c>
      <c r="M209" s="213">
        <f>IF(R209="PD",((Shop*G209)+(M_Tech*H209)+(CMM*I209)+(ENG*J209)+(DES*K209))*N209,((Shop_RD*G209)+(MTECH_RD*H209)+(CMM_RD*I209)+(ENG_RD*J209)+(DES_RD*K209))*N209)</f>
        <v>0</v>
      </c>
      <c r="N209" s="93">
        <v>0</v>
      </c>
      <c r="O209" s="214">
        <f>M209+(F209*N209)</f>
        <v>0</v>
      </c>
      <c r="P209" s="214"/>
      <c r="Q209" s="46" t="s">
        <v>31</v>
      </c>
      <c r="R209" s="66" t="s">
        <v>154</v>
      </c>
      <c r="S209" s="133" t="str">
        <f>CONCATENATE(Q209,R209,AB209)</f>
        <v>BPT2009</v>
      </c>
      <c r="T209" s="133" t="str">
        <f>CONCATENATE(Q209,U209,AB209)</f>
        <v>B1.2.2.4.12009</v>
      </c>
      <c r="U209" s="133" t="s">
        <v>199</v>
      </c>
      <c r="V209" s="215" t="str">
        <f>LOOKUP(U209,$B$345:$B$367,$A$345:$A$367)</f>
        <v>Ladder Mechanical / Electrical Prototypes</v>
      </c>
      <c r="W209" s="42"/>
      <c r="X209" s="42"/>
      <c r="Y209" s="42"/>
      <c r="Z209" s="42"/>
      <c r="AA209" s="42"/>
      <c r="AB209" s="61">
        <v>2009</v>
      </c>
      <c r="AC209" s="128">
        <f t="shared" si="235"/>
        <v>0</v>
      </c>
      <c r="AD209" s="128">
        <f t="shared" si="235"/>
        <v>0</v>
      </c>
      <c r="AE209" s="128">
        <f t="shared" si="235"/>
        <v>0</v>
      </c>
      <c r="AF209" s="128">
        <f t="shared" si="235"/>
        <v>0</v>
      </c>
      <c r="AG209" s="128">
        <f t="shared" si="235"/>
        <v>0</v>
      </c>
      <c r="AH209" s="236">
        <f>IF($Q209="B", (F209*$N209),0)</f>
        <v>0</v>
      </c>
      <c r="AI209" s="238"/>
      <c r="AJ209" s="244"/>
      <c r="AK209" s="244"/>
      <c r="AL209" s="162"/>
      <c r="AM209" s="127">
        <f t="shared" si="236"/>
        <v>0</v>
      </c>
      <c r="AN209" s="128">
        <f t="shared" si="236"/>
        <v>0</v>
      </c>
      <c r="AO209" s="128">
        <f t="shared" si="236"/>
        <v>0</v>
      </c>
      <c r="AP209" s="128">
        <f t="shared" si="236"/>
        <v>0</v>
      </c>
      <c r="AQ209" s="128">
        <f t="shared" si="236"/>
        <v>0</v>
      </c>
      <c r="AR209" s="128">
        <f>IF($Q209="C", (F209*$N209),0)</f>
        <v>0</v>
      </c>
      <c r="AS209" s="238"/>
    </row>
    <row r="210" spans="1:45" s="150" customFormat="1">
      <c r="A210" s="42" t="s">
        <v>305</v>
      </c>
      <c r="B210" s="18" t="s">
        <v>8</v>
      </c>
      <c r="C210" s="216">
        <v>1</v>
      </c>
      <c r="D210" s="91" t="s">
        <v>2</v>
      </c>
      <c r="E210" s="213">
        <v>1000</v>
      </c>
      <c r="F210" s="217">
        <f>E210*C210</f>
        <v>1000</v>
      </c>
      <c r="G210" s="218">
        <v>24</v>
      </c>
      <c r="H210" s="218">
        <v>40</v>
      </c>
      <c r="I210" s="218">
        <v>40</v>
      </c>
      <c r="J210" s="218">
        <v>16</v>
      </c>
      <c r="K210" s="219">
        <v>40</v>
      </c>
      <c r="L210" s="91" t="s">
        <v>7</v>
      </c>
      <c r="M210" s="213">
        <f>IF(R210="PD",((Shop*G210)+(M_Tech*H210)+(CMM*I210)+(ENG*J210)+(DES*K210))*N210,((Shop_RD*G210)+(MTECH_RD*H210)+(CMM_RD*I210)+(ENG_RD*J210)+(DES_RD*K210))*N210)</f>
        <v>10104</v>
      </c>
      <c r="N210" s="42">
        <v>1</v>
      </c>
      <c r="O210" s="214">
        <f>M210+(F210*N210)</f>
        <v>11104</v>
      </c>
      <c r="P210" s="214"/>
      <c r="Q210" s="46" t="s">
        <v>31</v>
      </c>
      <c r="R210" s="66" t="s">
        <v>154</v>
      </c>
      <c r="S210" s="133" t="str">
        <f>CONCATENATE(Q210,R210,AB210)</f>
        <v>BPT2012</v>
      </c>
      <c r="T210" s="133" t="str">
        <f>CONCATENATE(Q210,U210,AB210)</f>
        <v>B1.2.2.4.12012</v>
      </c>
      <c r="U210" s="133" t="s">
        <v>199</v>
      </c>
      <c r="V210" s="215" t="str">
        <f>LOOKUP(U210,$B$345:$B$367,$A$345:$A$367)</f>
        <v>Ladder Mechanical / Electrical Prototypes</v>
      </c>
      <c r="W210" s="42"/>
      <c r="X210" s="42"/>
      <c r="Y210" s="42"/>
      <c r="Z210" s="42"/>
      <c r="AA210" s="42"/>
      <c r="AB210" s="61">
        <v>2012</v>
      </c>
      <c r="AC210" s="128">
        <f t="shared" si="235"/>
        <v>24</v>
      </c>
      <c r="AD210" s="128">
        <f t="shared" si="235"/>
        <v>40</v>
      </c>
      <c r="AE210" s="128">
        <f t="shared" si="235"/>
        <v>40</v>
      </c>
      <c r="AF210" s="128">
        <f t="shared" si="235"/>
        <v>16</v>
      </c>
      <c r="AG210" s="128">
        <f t="shared" si="235"/>
        <v>40</v>
      </c>
      <c r="AH210" s="236">
        <f>IF($Q210="B", (F210*$N210),0)</f>
        <v>1000</v>
      </c>
      <c r="AI210" s="238"/>
      <c r="AJ210" s="244"/>
      <c r="AK210" s="244"/>
      <c r="AL210" s="162"/>
      <c r="AM210" s="127">
        <f t="shared" si="236"/>
        <v>0</v>
      </c>
      <c r="AN210" s="128">
        <f t="shared" si="236"/>
        <v>0</v>
      </c>
      <c r="AO210" s="128">
        <f t="shared" si="236"/>
        <v>0</v>
      </c>
      <c r="AP210" s="128">
        <f t="shared" si="236"/>
        <v>0</v>
      </c>
      <c r="AQ210" s="128">
        <f t="shared" si="236"/>
        <v>0</v>
      </c>
      <c r="AR210" s="128">
        <f>IF($Q210="C", (F210*$N210),0)</f>
        <v>0</v>
      </c>
      <c r="AS210" s="238"/>
    </row>
    <row r="211" spans="1:45" s="150" customFormat="1" hidden="1">
      <c r="A211" s="42" t="s">
        <v>349</v>
      </c>
      <c r="B211" s="18" t="s">
        <v>8</v>
      </c>
      <c r="C211" s="216">
        <v>1</v>
      </c>
      <c r="D211" s="91" t="s">
        <v>2</v>
      </c>
      <c r="E211" s="213">
        <v>1000</v>
      </c>
      <c r="F211" s="217">
        <f>E211*C211</f>
        <v>1000</v>
      </c>
      <c r="G211" s="218">
        <v>24</v>
      </c>
      <c r="H211" s="218">
        <v>40</v>
      </c>
      <c r="I211" s="218">
        <v>40</v>
      </c>
      <c r="J211" s="218">
        <v>16</v>
      </c>
      <c r="K211" s="219">
        <v>40</v>
      </c>
      <c r="L211" s="91" t="s">
        <v>7</v>
      </c>
      <c r="M211" s="213">
        <f>IF(R211="PD",((Shop*G211)+(M_Tech*H211)+(CMM*I211)+(ENG*J211)+(DES*K211))*N211,((Shop_RD*G211)+(MTECH_RD*H211)+(CMM_RD*I211)+(ENG_RD*J211)+(DES_RD*K211))*N211)</f>
        <v>0</v>
      </c>
      <c r="N211" s="42">
        <v>0</v>
      </c>
      <c r="O211" s="214">
        <f>M211+(F211*N211)</f>
        <v>0</v>
      </c>
      <c r="P211" s="214"/>
      <c r="Q211" s="46" t="s">
        <v>32</v>
      </c>
      <c r="R211" s="66" t="s">
        <v>154</v>
      </c>
      <c r="S211" s="133" t="str">
        <f>CONCATENATE(Q211,R211,AB211)</f>
        <v>CPT2009</v>
      </c>
      <c r="T211" s="133" t="str">
        <f>CONCATENATE(Q211,U211,AB211)</f>
        <v>C1.2.2.4.12009</v>
      </c>
      <c r="U211" s="133" t="s">
        <v>199</v>
      </c>
      <c r="V211" s="215" t="str">
        <f>LOOKUP(U211,$B$345:$B$367,$A$345:$A$367)</f>
        <v>Ladder Mechanical / Electrical Prototypes</v>
      </c>
      <c r="W211" s="42"/>
      <c r="X211" s="42"/>
      <c r="Y211" s="42"/>
      <c r="Z211" s="42"/>
      <c r="AA211" s="42"/>
      <c r="AB211" s="61">
        <v>2009</v>
      </c>
      <c r="AC211" s="128">
        <f t="shared" si="235"/>
        <v>0</v>
      </c>
      <c r="AD211" s="128">
        <f t="shared" si="235"/>
        <v>0</v>
      </c>
      <c r="AE211" s="128">
        <f t="shared" si="235"/>
        <v>0</v>
      </c>
      <c r="AF211" s="128">
        <f t="shared" si="235"/>
        <v>0</v>
      </c>
      <c r="AG211" s="128">
        <f t="shared" si="235"/>
        <v>0</v>
      </c>
      <c r="AH211" s="236">
        <f>IF($Q211="B", (F211*$N211),0)</f>
        <v>0</v>
      </c>
      <c r="AI211" s="238"/>
      <c r="AJ211" s="244"/>
      <c r="AK211" s="244"/>
      <c r="AL211" s="162"/>
      <c r="AM211" s="127">
        <f t="shared" si="236"/>
        <v>0</v>
      </c>
      <c r="AN211" s="128">
        <f t="shared" si="236"/>
        <v>0</v>
      </c>
      <c r="AO211" s="128">
        <f t="shared" si="236"/>
        <v>0</v>
      </c>
      <c r="AP211" s="128">
        <f t="shared" si="236"/>
        <v>0</v>
      </c>
      <c r="AQ211" s="128">
        <f t="shared" si="236"/>
        <v>0</v>
      </c>
      <c r="AR211" s="128">
        <f>IF($Q211="C", (F211*$N211),0)</f>
        <v>0</v>
      </c>
      <c r="AS211" s="238"/>
    </row>
    <row r="212" spans="1:45" s="42" customFormat="1">
      <c r="A212" s="43" t="s">
        <v>279</v>
      </c>
      <c r="C212" s="181"/>
      <c r="E212" s="182"/>
      <c r="F212" s="183"/>
      <c r="G212" s="184"/>
      <c r="H212" s="184"/>
      <c r="I212" s="184"/>
      <c r="J212" s="184"/>
      <c r="K212" s="185"/>
      <c r="L212" s="222" t="s">
        <v>43</v>
      </c>
      <c r="M212" s="174">
        <f>SUMIF(Q208:Q211,"B",M208:M211)</f>
        <v>10104</v>
      </c>
      <c r="N212" s="62" t="s">
        <v>43</v>
      </c>
      <c r="O212" s="174"/>
      <c r="P212" s="186"/>
      <c r="Q212" s="60"/>
      <c r="R212" s="68"/>
      <c r="S212" s="133"/>
      <c r="T212" s="133"/>
      <c r="U212" s="70"/>
      <c r="V212" s="70"/>
      <c r="W212" s="18"/>
      <c r="X212" s="18"/>
      <c r="Y212" s="18"/>
      <c r="Z212" s="18"/>
      <c r="AA212" s="18"/>
      <c r="AB212" s="30"/>
      <c r="AC212" s="128"/>
      <c r="AD212" s="128"/>
      <c r="AE212" s="128"/>
      <c r="AF212" s="128"/>
      <c r="AG212" s="128"/>
      <c r="AH212" s="236"/>
      <c r="AI212" s="237"/>
      <c r="AJ212" s="128"/>
      <c r="AK212" s="128"/>
      <c r="AL212" s="162"/>
      <c r="AM212" s="127"/>
      <c r="AN212" s="128"/>
      <c r="AO212" s="128"/>
      <c r="AP212" s="128"/>
      <c r="AQ212" s="128"/>
      <c r="AR212" s="128"/>
      <c r="AS212" s="237"/>
    </row>
    <row r="213" spans="1:45" s="277" customFormat="1" hidden="1">
      <c r="A213" s="42" t="s">
        <v>388</v>
      </c>
      <c r="B213" s="18" t="s">
        <v>8</v>
      </c>
      <c r="C213" s="216">
        <v>1</v>
      </c>
      <c r="D213" s="91" t="s">
        <v>2</v>
      </c>
      <c r="E213" s="213">
        <v>2000</v>
      </c>
      <c r="F213" s="163">
        <f t="shared" ref="F213:F225" si="237">E213*C213</f>
        <v>2000</v>
      </c>
      <c r="G213" s="164">
        <v>40</v>
      </c>
      <c r="H213" s="164">
        <v>40</v>
      </c>
      <c r="I213" s="164">
        <v>40</v>
      </c>
      <c r="J213" s="164">
        <v>8</v>
      </c>
      <c r="K213" s="165">
        <v>16</v>
      </c>
      <c r="L213" s="91" t="s">
        <v>7</v>
      </c>
      <c r="M213" s="162">
        <f t="shared" ref="M213:M225" si="238">IF(R213="PD",((Shop*G213)+(M_Tech*H213)+(CMM*I213)+(ENG*J213)+(DES*K213))*N213,((Shop_RD*G213)+(MTECH_RD*H213)+(CMM_RD*I213)+(ENG_RD*J213)+(DES_RD*K213))*N213)</f>
        <v>0</v>
      </c>
      <c r="N213" s="42">
        <v>0</v>
      </c>
      <c r="O213" s="166">
        <f t="shared" ref="O213:O225" si="239">M213+(F213*N213)</f>
        <v>0</v>
      </c>
      <c r="P213" s="274"/>
      <c r="Q213" s="279" t="s">
        <v>31</v>
      </c>
      <c r="R213" s="278" t="s">
        <v>49</v>
      </c>
      <c r="S213" s="70" t="str">
        <f t="shared" ref="S213:S225" si="240">CONCATENATE(Q213,R213,AB213)</f>
        <v>BPD2012</v>
      </c>
      <c r="T213" s="70" t="str">
        <f t="shared" ref="T213:T225" si="241">CONCATENATE(Q213,U213,AB213)</f>
        <v>B1.2.2.42012</v>
      </c>
      <c r="U213" s="133" t="s">
        <v>197</v>
      </c>
      <c r="V213" s="133" t="str">
        <f t="shared" ref="V213:V225" si="242">LOOKUP(U213,$B$345:$B$367,$A$345:$A$367)</f>
        <v>PXL Prototype Ladder Assembly</v>
      </c>
      <c r="W213" s="149"/>
      <c r="X213" s="149"/>
      <c r="Y213" s="149"/>
      <c r="Z213" s="149"/>
      <c r="AA213" s="149"/>
      <c r="AB213" s="61">
        <v>2012</v>
      </c>
      <c r="AC213" s="128">
        <f t="shared" ref="AC213:AC225" si="243">IF($Q213="B", (G213*$N213),0)</f>
        <v>0</v>
      </c>
      <c r="AD213" s="128">
        <f t="shared" ref="AD213:AD225" si="244">IF($Q213="B", (H213*$N213),0)</f>
        <v>0</v>
      </c>
      <c r="AE213" s="128">
        <f t="shared" ref="AE213:AE225" si="245">IF($Q213="B", (I213*$N213),0)</f>
        <v>0</v>
      </c>
      <c r="AF213" s="128">
        <f t="shared" ref="AF213:AF225" si="246">IF($Q213="B", (J213*$N213),0)</f>
        <v>0</v>
      </c>
      <c r="AG213" s="128">
        <f t="shared" ref="AG213:AG225" si="247">IF($Q213="B", (K213*$N213),0)</f>
        <v>0</v>
      </c>
      <c r="AH213" s="236">
        <f t="shared" ref="AH213:AH225" si="248">IF($Q213="B", (F213*$N213),0)</f>
        <v>0</v>
      </c>
      <c r="AI213" s="275"/>
      <c r="AJ213" s="276"/>
      <c r="AK213" s="276"/>
      <c r="AL213" s="272"/>
      <c r="AM213" s="127">
        <f t="shared" ref="AM213:AM225" si="249">IF($Q213="C", (G213*$N213),0)</f>
        <v>0</v>
      </c>
      <c r="AN213" s="128">
        <f t="shared" ref="AN213:AN225" si="250">IF($Q213="C", (H213*$N213),0)</f>
        <v>0</v>
      </c>
      <c r="AO213" s="128">
        <f t="shared" ref="AO213:AO225" si="251">IF($Q213="C", (I213*$N213),0)</f>
        <v>0</v>
      </c>
      <c r="AP213" s="128">
        <f t="shared" ref="AP213:AP225" si="252">IF($Q213="C", (J213*$N213),0)</f>
        <v>0</v>
      </c>
      <c r="AQ213" s="128">
        <f t="shared" ref="AQ213:AQ225" si="253">IF($Q213="C", (K213*$N213),0)</f>
        <v>0</v>
      </c>
      <c r="AR213" s="128">
        <f t="shared" ref="AR213:AR225" si="254">IF($Q213="C", (F213*$N213),0)</f>
        <v>0</v>
      </c>
      <c r="AS213" s="275"/>
    </row>
    <row r="214" spans="1:45" s="277" customFormat="1">
      <c r="A214" s="42" t="s">
        <v>389</v>
      </c>
      <c r="B214" s="18" t="s">
        <v>8</v>
      </c>
      <c r="C214" s="216">
        <v>1</v>
      </c>
      <c r="D214" s="91" t="s">
        <v>2</v>
      </c>
      <c r="E214" s="213">
        <v>1000</v>
      </c>
      <c r="F214" s="163">
        <f>E214*C214</f>
        <v>1000</v>
      </c>
      <c r="G214" s="164">
        <v>0</v>
      </c>
      <c r="H214" s="164">
        <v>24</v>
      </c>
      <c r="I214" s="164">
        <v>0</v>
      </c>
      <c r="J214" s="164">
        <v>8</v>
      </c>
      <c r="K214" s="165">
        <v>8</v>
      </c>
      <c r="L214" s="91" t="s">
        <v>7</v>
      </c>
      <c r="M214" s="162">
        <f>IF(R214="PD",((Shop*G214)+(M_Tech*H214)+(CMM*I214)+(ENG*J214)+(DES*K214))*N214,((Shop_RD*G214)+(MTECH_RD*H214)+(CMM_RD*I214)+(ENG_RD*J214)+(DES_RD*K214))*N214)</f>
        <v>3246.4800000000005</v>
      </c>
      <c r="N214" s="42">
        <v>1</v>
      </c>
      <c r="O214" s="214">
        <f>M214+(F214*N214)</f>
        <v>4246.4800000000005</v>
      </c>
      <c r="P214" s="274"/>
      <c r="Q214" s="279" t="s">
        <v>31</v>
      </c>
      <c r="R214" s="278" t="s">
        <v>49</v>
      </c>
      <c r="S214" s="70" t="str">
        <f>CONCATENATE(Q214,R214,AB214)</f>
        <v>BPD2012</v>
      </c>
      <c r="T214" s="70" t="str">
        <f>CONCATENATE(Q214,U214,AB214)</f>
        <v>B1.2.2.42012</v>
      </c>
      <c r="U214" s="133" t="s">
        <v>197</v>
      </c>
      <c r="V214" s="133" t="str">
        <f t="shared" si="242"/>
        <v>PXL Prototype Ladder Assembly</v>
      </c>
      <c r="W214" s="149"/>
      <c r="X214" s="149"/>
      <c r="Y214" s="149"/>
      <c r="Z214" s="149"/>
      <c r="AA214" s="149"/>
      <c r="AB214" s="61">
        <v>2012</v>
      </c>
      <c r="AC214" s="128">
        <f>IF($Q214="B", (G214*$N214),0)</f>
        <v>0</v>
      </c>
      <c r="AD214" s="128">
        <f>IF($Q214="B", (H214*$N214),0)</f>
        <v>24</v>
      </c>
      <c r="AE214" s="128">
        <f>IF($Q214="B", (I214*$N214),0)</f>
        <v>0</v>
      </c>
      <c r="AF214" s="128">
        <f>IF($Q214="B", (J214*$N214),0)</f>
        <v>8</v>
      </c>
      <c r="AG214" s="128">
        <f>IF($Q214="B", (K214*$N214),0)</f>
        <v>8</v>
      </c>
      <c r="AH214" s="236">
        <f>IF($Q214="B", (F214*$N214),0)</f>
        <v>1000</v>
      </c>
      <c r="AI214" s="275"/>
      <c r="AJ214" s="276"/>
      <c r="AK214" s="276"/>
      <c r="AL214" s="272"/>
      <c r="AM214" s="127">
        <f>IF($Q214="C", (G214*$N214),0)</f>
        <v>0</v>
      </c>
      <c r="AN214" s="128">
        <f>IF($Q214="C", (H214*$N214),0)</f>
        <v>0</v>
      </c>
      <c r="AO214" s="128">
        <f>IF($Q214="C", (I214*$N214),0)</f>
        <v>0</v>
      </c>
      <c r="AP214" s="128">
        <f>IF($Q214="C", (J214*$N214),0)</f>
        <v>0</v>
      </c>
      <c r="AQ214" s="128">
        <f>IF($Q214="C", (K214*$N214),0)</f>
        <v>0</v>
      </c>
      <c r="AR214" s="128">
        <f>IF($Q214="C", (F214*$N214),0)</f>
        <v>0</v>
      </c>
      <c r="AS214" s="275"/>
    </row>
    <row r="215" spans="1:45" s="277" customFormat="1">
      <c r="A215" s="42" t="s">
        <v>306</v>
      </c>
      <c r="B215" s="18" t="s">
        <v>8</v>
      </c>
      <c r="C215" s="216">
        <v>1</v>
      </c>
      <c r="D215" s="91" t="s">
        <v>2</v>
      </c>
      <c r="E215" s="213">
        <v>10</v>
      </c>
      <c r="F215" s="163">
        <f t="shared" si="237"/>
        <v>10</v>
      </c>
      <c r="G215" s="164">
        <v>0</v>
      </c>
      <c r="H215" s="164">
        <v>3</v>
      </c>
      <c r="I215" s="164">
        <v>0.1</v>
      </c>
      <c r="J215" s="164">
        <v>0.1</v>
      </c>
      <c r="K215" s="165">
        <v>0.1</v>
      </c>
      <c r="L215" s="91" t="s">
        <v>7</v>
      </c>
      <c r="M215" s="162">
        <f t="shared" si="238"/>
        <v>5929.2000000000007</v>
      </c>
      <c r="N215" s="42">
        <v>20</v>
      </c>
      <c r="O215" s="214">
        <f t="shared" si="239"/>
        <v>6129.2000000000007</v>
      </c>
      <c r="P215" s="274"/>
      <c r="Q215" s="279" t="s">
        <v>31</v>
      </c>
      <c r="R215" s="278" t="s">
        <v>49</v>
      </c>
      <c r="S215" s="70" t="str">
        <f t="shared" si="240"/>
        <v>BPD2012</v>
      </c>
      <c r="T215" s="70" t="str">
        <f t="shared" si="241"/>
        <v>B1.2.2.42012</v>
      </c>
      <c r="U215" s="133" t="s">
        <v>197</v>
      </c>
      <c r="V215" s="133" t="str">
        <f t="shared" si="242"/>
        <v>PXL Prototype Ladder Assembly</v>
      </c>
      <c r="W215" s="149"/>
      <c r="X215" s="149"/>
      <c r="Y215" s="149"/>
      <c r="Z215" s="149"/>
      <c r="AA215" s="149"/>
      <c r="AB215" s="61">
        <v>2012</v>
      </c>
      <c r="AC215" s="128">
        <f t="shared" si="243"/>
        <v>0</v>
      </c>
      <c r="AD215" s="128">
        <f t="shared" si="244"/>
        <v>60</v>
      </c>
      <c r="AE215" s="128">
        <f t="shared" si="245"/>
        <v>2</v>
      </c>
      <c r="AF215" s="128">
        <f t="shared" si="246"/>
        <v>2</v>
      </c>
      <c r="AG215" s="128">
        <f t="shared" si="247"/>
        <v>2</v>
      </c>
      <c r="AH215" s="236">
        <f t="shared" si="248"/>
        <v>200</v>
      </c>
      <c r="AI215" s="275"/>
      <c r="AJ215" s="276"/>
      <c r="AK215" s="276"/>
      <c r="AL215" s="272"/>
      <c r="AM215" s="127">
        <f t="shared" si="249"/>
        <v>0</v>
      </c>
      <c r="AN215" s="128">
        <f t="shared" si="250"/>
        <v>0</v>
      </c>
      <c r="AO215" s="128">
        <f t="shared" si="251"/>
        <v>0</v>
      </c>
      <c r="AP215" s="128">
        <f t="shared" si="252"/>
        <v>0</v>
      </c>
      <c r="AQ215" s="128">
        <f t="shared" si="253"/>
        <v>0</v>
      </c>
      <c r="AR215" s="128">
        <f t="shared" si="254"/>
        <v>0</v>
      </c>
      <c r="AS215" s="275"/>
    </row>
    <row r="216" spans="1:45" s="277" customFormat="1">
      <c r="A216" s="42" t="s">
        <v>396</v>
      </c>
      <c r="B216" s="18" t="s">
        <v>8</v>
      </c>
      <c r="C216" s="216">
        <v>1</v>
      </c>
      <c r="D216" s="91" t="s">
        <v>2</v>
      </c>
      <c r="E216" s="213">
        <v>10</v>
      </c>
      <c r="F216" s="163">
        <f>E216*C216</f>
        <v>10</v>
      </c>
      <c r="G216" s="164">
        <v>0</v>
      </c>
      <c r="H216" s="164">
        <v>3</v>
      </c>
      <c r="I216" s="164">
        <v>0.1</v>
      </c>
      <c r="J216" s="164">
        <v>0.1</v>
      </c>
      <c r="K216" s="165">
        <v>0</v>
      </c>
      <c r="L216" s="91" t="s">
        <v>7</v>
      </c>
      <c r="M216" s="162">
        <f>IF(R216="PD",((Shop*G216)+(M_Tech*H216)+(CMM*I216)+(ENG*J216)+(DES*K216))*N216,((Shop_RD*G216)+(MTECH_RD*H216)+(CMM_RD*I216)+(ENG_RD*J216)+(DES_RD*K216))*N216)</f>
        <v>11858.400000000001</v>
      </c>
      <c r="N216" s="42">
        <v>40</v>
      </c>
      <c r="O216" s="214">
        <f>M216+(F216*N216)</f>
        <v>12258.400000000001</v>
      </c>
      <c r="P216" s="274"/>
      <c r="Q216" s="279" t="s">
        <v>32</v>
      </c>
      <c r="R216" s="278" t="s">
        <v>49</v>
      </c>
      <c r="S216" s="70" t="str">
        <f>CONCATENATE(Q216,R216,AB216)</f>
        <v>CPD2012</v>
      </c>
      <c r="T216" s="70" t="str">
        <f>CONCATENATE(Q216,U216,AB216)</f>
        <v>C1.2.2.42012</v>
      </c>
      <c r="U216" s="133" t="s">
        <v>197</v>
      </c>
      <c r="V216" s="133" t="str">
        <f t="shared" si="242"/>
        <v>PXL Prototype Ladder Assembly</v>
      </c>
      <c r="W216" s="149"/>
      <c r="X216" s="149"/>
      <c r="Y216" s="149"/>
      <c r="Z216" s="149"/>
      <c r="AA216" s="149"/>
      <c r="AB216" s="61">
        <v>2012</v>
      </c>
      <c r="AC216" s="128">
        <f t="shared" ref="AC216:AG217" si="255">IF($Q216="B", (G216*$N216),0)</f>
        <v>0</v>
      </c>
      <c r="AD216" s="128">
        <f t="shared" si="255"/>
        <v>0</v>
      </c>
      <c r="AE216" s="128">
        <f t="shared" si="255"/>
        <v>0</v>
      </c>
      <c r="AF216" s="128">
        <f t="shared" si="255"/>
        <v>0</v>
      </c>
      <c r="AG216" s="128">
        <f t="shared" si="255"/>
        <v>0</v>
      </c>
      <c r="AH216" s="236">
        <f>IF($Q216="B", (F216*$N216),0)</f>
        <v>0</v>
      </c>
      <c r="AI216" s="275"/>
      <c r="AJ216" s="276"/>
      <c r="AK216" s="276"/>
      <c r="AL216" s="272"/>
      <c r="AM216" s="127">
        <f t="shared" ref="AM216:AQ217" si="256">IF($Q216="C", (G216*$N216),0)</f>
        <v>0</v>
      </c>
      <c r="AN216" s="128">
        <f t="shared" si="256"/>
        <v>120</v>
      </c>
      <c r="AO216" s="128">
        <f t="shared" si="256"/>
        <v>4</v>
      </c>
      <c r="AP216" s="128">
        <f t="shared" si="256"/>
        <v>4</v>
      </c>
      <c r="AQ216" s="128">
        <f t="shared" si="256"/>
        <v>0</v>
      </c>
      <c r="AR216" s="128">
        <f>IF($Q216="C", (F216*$N216),0)</f>
        <v>400</v>
      </c>
      <c r="AS216" s="275"/>
    </row>
    <row r="217" spans="1:45" s="277" customFormat="1">
      <c r="A217" s="42" t="s">
        <v>309</v>
      </c>
      <c r="B217" s="18" t="s">
        <v>8</v>
      </c>
      <c r="C217" s="216">
        <v>1</v>
      </c>
      <c r="D217" s="91" t="s">
        <v>2</v>
      </c>
      <c r="E217" s="213">
        <v>5</v>
      </c>
      <c r="F217" s="163">
        <f>E217*C217</f>
        <v>5</v>
      </c>
      <c r="G217" s="164">
        <v>0</v>
      </c>
      <c r="H217" s="164">
        <v>6</v>
      </c>
      <c r="I217" s="164">
        <v>0</v>
      </c>
      <c r="J217" s="164">
        <v>0</v>
      </c>
      <c r="K217" s="165">
        <v>0.5</v>
      </c>
      <c r="L217" s="91" t="s">
        <v>7</v>
      </c>
      <c r="M217" s="162">
        <f>IF(R217="PD",((Shop*G217)+(M_Tech*H217)+(CMM*I217)+(ENG*J217)+(DES*K217))*N217,((Shop_RD*G217)+(MTECH_RD*H217)+(CMM_RD*I217)+(ENG_RD*J217)+(DES_RD*K217))*N217)</f>
        <v>11372.400000000001</v>
      </c>
      <c r="N217" s="42">
        <v>20</v>
      </c>
      <c r="O217" s="214">
        <f>M217+(F217*N217)</f>
        <v>11472.400000000001</v>
      </c>
      <c r="P217" s="274"/>
      <c r="Q217" s="279" t="s">
        <v>31</v>
      </c>
      <c r="R217" s="278" t="s">
        <v>49</v>
      </c>
      <c r="S217" s="70" t="str">
        <f>CONCATENATE(Q217,R217,AB217)</f>
        <v>BPD2012</v>
      </c>
      <c r="T217" s="70" t="str">
        <f>CONCATENATE(Q217,U217,AB217)</f>
        <v>B1.2.2.42012</v>
      </c>
      <c r="U217" s="133" t="s">
        <v>197</v>
      </c>
      <c r="V217" s="133" t="str">
        <f t="shared" si="242"/>
        <v>PXL Prototype Ladder Assembly</v>
      </c>
      <c r="W217" s="149"/>
      <c r="X217" s="149"/>
      <c r="Y217" s="149"/>
      <c r="Z217" s="149"/>
      <c r="AA217" s="149"/>
      <c r="AB217" s="61">
        <v>2012</v>
      </c>
      <c r="AC217" s="128">
        <f t="shared" si="255"/>
        <v>0</v>
      </c>
      <c r="AD217" s="128">
        <f t="shared" si="255"/>
        <v>120</v>
      </c>
      <c r="AE217" s="128">
        <f t="shared" si="255"/>
        <v>0</v>
      </c>
      <c r="AF217" s="128">
        <f t="shared" si="255"/>
        <v>0</v>
      </c>
      <c r="AG217" s="128">
        <f t="shared" si="255"/>
        <v>10</v>
      </c>
      <c r="AH217" s="236">
        <f>IF($Q217="B", (F217*$N217),0)</f>
        <v>100</v>
      </c>
      <c r="AI217" s="275"/>
      <c r="AJ217" s="276"/>
      <c r="AK217" s="276"/>
      <c r="AL217" s="272"/>
      <c r="AM217" s="127">
        <f t="shared" si="256"/>
        <v>0</v>
      </c>
      <c r="AN217" s="128">
        <f t="shared" si="256"/>
        <v>0</v>
      </c>
      <c r="AO217" s="128">
        <f t="shared" si="256"/>
        <v>0</v>
      </c>
      <c r="AP217" s="128">
        <f t="shared" si="256"/>
        <v>0</v>
      </c>
      <c r="AQ217" s="128">
        <f t="shared" si="256"/>
        <v>0</v>
      </c>
      <c r="AR217" s="128">
        <f>IF($Q217="C", (F217*$N217),0)</f>
        <v>0</v>
      </c>
      <c r="AS217" s="275"/>
    </row>
    <row r="218" spans="1:45" s="277" customFormat="1">
      <c r="A218" s="42" t="s">
        <v>360</v>
      </c>
      <c r="B218" s="18" t="s">
        <v>8</v>
      </c>
      <c r="C218" s="216">
        <v>1</v>
      </c>
      <c r="D218" s="91" t="s">
        <v>2</v>
      </c>
      <c r="E218" s="213">
        <v>5</v>
      </c>
      <c r="F218" s="163">
        <f t="shared" si="237"/>
        <v>5</v>
      </c>
      <c r="G218" s="164">
        <v>0</v>
      </c>
      <c r="H218" s="164">
        <v>6</v>
      </c>
      <c r="I218" s="164">
        <v>0</v>
      </c>
      <c r="J218" s="164">
        <v>0</v>
      </c>
      <c r="K218" s="165">
        <v>0</v>
      </c>
      <c r="L218" s="91" t="s">
        <v>7</v>
      </c>
      <c r="M218" s="162">
        <f t="shared" si="238"/>
        <v>22744.800000000003</v>
      </c>
      <c r="N218" s="42">
        <v>40</v>
      </c>
      <c r="O218" s="214">
        <f t="shared" si="239"/>
        <v>22944.800000000003</v>
      </c>
      <c r="P218" s="274"/>
      <c r="Q218" s="279" t="s">
        <v>32</v>
      </c>
      <c r="R218" s="278" t="s">
        <v>49</v>
      </c>
      <c r="S218" s="70" t="str">
        <f t="shared" si="240"/>
        <v>CPD2012</v>
      </c>
      <c r="T218" s="70" t="str">
        <f t="shared" si="241"/>
        <v>C1.2.2.42012</v>
      </c>
      <c r="U218" s="133" t="s">
        <v>197</v>
      </c>
      <c r="V218" s="133" t="str">
        <f t="shared" si="242"/>
        <v>PXL Prototype Ladder Assembly</v>
      </c>
      <c r="W218" s="149"/>
      <c r="X218" s="149"/>
      <c r="Y218" s="149"/>
      <c r="Z218" s="149"/>
      <c r="AA218" s="149"/>
      <c r="AB218" s="61">
        <v>2012</v>
      </c>
      <c r="AC218" s="128">
        <f t="shared" si="243"/>
        <v>0</v>
      </c>
      <c r="AD218" s="128">
        <f t="shared" si="244"/>
        <v>0</v>
      </c>
      <c r="AE218" s="128">
        <f t="shared" si="245"/>
        <v>0</v>
      </c>
      <c r="AF218" s="128">
        <f t="shared" si="246"/>
        <v>0</v>
      </c>
      <c r="AG218" s="128">
        <f t="shared" si="247"/>
        <v>0</v>
      </c>
      <c r="AH218" s="236">
        <f t="shared" si="248"/>
        <v>0</v>
      </c>
      <c r="AI218" s="275"/>
      <c r="AJ218" s="276"/>
      <c r="AK218" s="276"/>
      <c r="AL218" s="272"/>
      <c r="AM218" s="127">
        <f t="shared" si="249"/>
        <v>0</v>
      </c>
      <c r="AN218" s="128">
        <f t="shared" si="250"/>
        <v>240</v>
      </c>
      <c r="AO218" s="128">
        <f t="shared" si="251"/>
        <v>0</v>
      </c>
      <c r="AP218" s="128">
        <f t="shared" si="252"/>
        <v>0</v>
      </c>
      <c r="AQ218" s="128">
        <f t="shared" si="253"/>
        <v>0</v>
      </c>
      <c r="AR218" s="128">
        <f t="shared" si="254"/>
        <v>200</v>
      </c>
      <c r="AS218" s="275"/>
    </row>
    <row r="219" spans="1:45" s="277" customFormat="1">
      <c r="A219" s="42" t="s">
        <v>326</v>
      </c>
      <c r="B219" s="18" t="s">
        <v>8</v>
      </c>
      <c r="C219" s="216">
        <v>20</v>
      </c>
      <c r="D219" s="91" t="s">
        <v>2</v>
      </c>
      <c r="E219" s="213">
        <v>800</v>
      </c>
      <c r="F219" s="163">
        <f>E219*C219</f>
        <v>16000</v>
      </c>
      <c r="G219" s="164">
        <v>0</v>
      </c>
      <c r="H219" s="164">
        <v>16</v>
      </c>
      <c r="I219" s="164">
        <v>60</v>
      </c>
      <c r="J219" s="164">
        <v>4</v>
      </c>
      <c r="K219" s="165">
        <v>60</v>
      </c>
      <c r="L219" s="91" t="s">
        <v>7</v>
      </c>
      <c r="M219" s="162">
        <f>IF(R219="PD",((Shop*G219)+(M_Tech*H219)+(CMM*I219)+(ENG*J219)+(DES*K219))*N219,((Shop_RD*G219)+(MTECH_RD*H219)+(CMM_RD*I219)+(ENG_RD*J219)+(DES_RD*K219))*N219)</f>
        <v>2002.3200000000002</v>
      </c>
      <c r="N219" s="42">
        <v>1</v>
      </c>
      <c r="O219" s="214">
        <f>M219+(F219*N219)</f>
        <v>18002.32</v>
      </c>
      <c r="P219" s="274"/>
      <c r="Q219" s="279" t="s">
        <v>31</v>
      </c>
      <c r="R219" s="278" t="s">
        <v>49</v>
      </c>
      <c r="S219" s="70" t="str">
        <f>CONCATENATE(Q219,R219,AB219)</f>
        <v>BPD2012</v>
      </c>
      <c r="T219" s="70" t="str">
        <f>CONCATENATE(Q219,U219,AB219)</f>
        <v>B1.2.2.42012</v>
      </c>
      <c r="U219" s="133" t="s">
        <v>197</v>
      </c>
      <c r="V219" s="133" t="str">
        <f t="shared" si="242"/>
        <v>PXL Prototype Ladder Assembly</v>
      </c>
      <c r="W219" s="149"/>
      <c r="X219" s="149"/>
      <c r="Y219" s="149"/>
      <c r="Z219" s="149"/>
      <c r="AA219" s="149"/>
      <c r="AB219" s="61">
        <v>2012</v>
      </c>
      <c r="AC219" s="128">
        <f>IF($Q219="B", (G219*$N219),0)</f>
        <v>0</v>
      </c>
      <c r="AD219" s="128">
        <f>IF($Q219="B", (H219*$N219),0)</f>
        <v>16</v>
      </c>
      <c r="AE219" s="128">
        <f>IF($Q219="B", (I219*$N219),0)</f>
        <v>60</v>
      </c>
      <c r="AF219" s="128">
        <f>IF($Q219="B", (J219*$N219),0)</f>
        <v>4</v>
      </c>
      <c r="AG219" s="128">
        <f>IF($Q219="B", (K219*$N219),0)</f>
        <v>60</v>
      </c>
      <c r="AH219" s="236">
        <f>IF($Q219="B", (F219*$N219),0)</f>
        <v>16000</v>
      </c>
      <c r="AI219" s="275"/>
      <c r="AJ219" s="276"/>
      <c r="AK219" s="276"/>
      <c r="AL219" s="272"/>
      <c r="AM219" s="127">
        <f>IF($Q219="C", (G219*$N219),0)</f>
        <v>0</v>
      </c>
      <c r="AN219" s="128">
        <f>IF($Q219="C", (H219*$N219),0)</f>
        <v>0</v>
      </c>
      <c r="AO219" s="128">
        <f>IF($Q219="C", (I219*$N219),0)</f>
        <v>0</v>
      </c>
      <c r="AP219" s="128">
        <f>IF($Q219="C", (J219*$N219),0)</f>
        <v>0</v>
      </c>
      <c r="AQ219" s="128">
        <f>IF($Q219="C", (K219*$N219),0)</f>
        <v>0</v>
      </c>
      <c r="AR219" s="128">
        <f>IF($Q219="C", (F219*$N219),0)</f>
        <v>0</v>
      </c>
      <c r="AS219" s="275"/>
    </row>
    <row r="220" spans="1:45" s="277" customFormat="1">
      <c r="A220" s="42" t="s">
        <v>359</v>
      </c>
      <c r="B220" s="18" t="s">
        <v>8</v>
      </c>
      <c r="C220" s="216">
        <v>40</v>
      </c>
      <c r="D220" s="91" t="s">
        <v>2</v>
      </c>
      <c r="E220" s="213">
        <v>800</v>
      </c>
      <c r="F220" s="163">
        <f t="shared" si="237"/>
        <v>32000</v>
      </c>
      <c r="G220" s="164">
        <v>0</v>
      </c>
      <c r="H220" s="164">
        <v>16</v>
      </c>
      <c r="I220" s="164">
        <v>0</v>
      </c>
      <c r="J220" s="164">
        <v>4</v>
      </c>
      <c r="K220" s="165">
        <v>0</v>
      </c>
      <c r="L220" s="91" t="s">
        <v>7</v>
      </c>
      <c r="M220" s="162">
        <f t="shared" si="238"/>
        <v>2002.3200000000002</v>
      </c>
      <c r="N220" s="42">
        <v>1</v>
      </c>
      <c r="O220" s="214">
        <f t="shared" si="239"/>
        <v>34002.32</v>
      </c>
      <c r="P220" s="274"/>
      <c r="Q220" s="279" t="s">
        <v>32</v>
      </c>
      <c r="R220" s="278" t="s">
        <v>49</v>
      </c>
      <c r="S220" s="70" t="str">
        <f t="shared" si="240"/>
        <v>CPD2012</v>
      </c>
      <c r="T220" s="70" t="str">
        <f t="shared" si="241"/>
        <v>C1.2.2.42012</v>
      </c>
      <c r="U220" s="133" t="s">
        <v>197</v>
      </c>
      <c r="V220" s="133" t="str">
        <f t="shared" si="242"/>
        <v>PXL Prototype Ladder Assembly</v>
      </c>
      <c r="W220" s="149"/>
      <c r="X220" s="149"/>
      <c r="Y220" s="149"/>
      <c r="Z220" s="149"/>
      <c r="AA220" s="149"/>
      <c r="AB220" s="61">
        <v>2012</v>
      </c>
      <c r="AC220" s="128">
        <f t="shared" si="243"/>
        <v>0</v>
      </c>
      <c r="AD220" s="128">
        <f t="shared" si="244"/>
        <v>0</v>
      </c>
      <c r="AE220" s="128">
        <f t="shared" si="245"/>
        <v>0</v>
      </c>
      <c r="AF220" s="128">
        <f t="shared" si="246"/>
        <v>0</v>
      </c>
      <c r="AG220" s="128">
        <f t="shared" si="247"/>
        <v>0</v>
      </c>
      <c r="AH220" s="236">
        <f t="shared" si="248"/>
        <v>0</v>
      </c>
      <c r="AI220" s="275"/>
      <c r="AJ220" s="276"/>
      <c r="AK220" s="276"/>
      <c r="AL220" s="272"/>
      <c r="AM220" s="127">
        <f t="shared" si="249"/>
        <v>0</v>
      </c>
      <c r="AN220" s="128">
        <f t="shared" si="250"/>
        <v>16</v>
      </c>
      <c r="AO220" s="128">
        <f t="shared" si="251"/>
        <v>0</v>
      </c>
      <c r="AP220" s="128">
        <f t="shared" si="252"/>
        <v>4</v>
      </c>
      <c r="AQ220" s="128">
        <f t="shared" si="253"/>
        <v>0</v>
      </c>
      <c r="AR220" s="128">
        <f t="shared" si="254"/>
        <v>32000</v>
      </c>
      <c r="AS220" s="275"/>
    </row>
    <row r="221" spans="1:45" s="277" customFormat="1">
      <c r="A221" s="42" t="s">
        <v>310</v>
      </c>
      <c r="B221" s="18" t="s">
        <v>8</v>
      </c>
      <c r="C221" s="216">
        <v>1</v>
      </c>
      <c r="D221" s="91" t="s">
        <v>2</v>
      </c>
      <c r="E221" s="213">
        <v>100</v>
      </c>
      <c r="F221" s="163">
        <f t="shared" si="237"/>
        <v>100</v>
      </c>
      <c r="G221" s="164">
        <v>0</v>
      </c>
      <c r="H221" s="164">
        <v>4</v>
      </c>
      <c r="I221" s="164">
        <v>0</v>
      </c>
      <c r="J221" s="164">
        <v>0</v>
      </c>
      <c r="K221" s="165">
        <v>0.5</v>
      </c>
      <c r="L221" s="91" t="s">
        <v>7</v>
      </c>
      <c r="M221" s="162">
        <f t="shared" si="238"/>
        <v>22744.800000000003</v>
      </c>
      <c r="N221" s="42">
        <v>60</v>
      </c>
      <c r="O221" s="214">
        <f t="shared" si="239"/>
        <v>28744.800000000003</v>
      </c>
      <c r="P221" s="274"/>
      <c r="Q221" s="279" t="s">
        <v>31</v>
      </c>
      <c r="R221" s="278" t="s">
        <v>49</v>
      </c>
      <c r="S221" s="70" t="str">
        <f t="shared" si="240"/>
        <v>BPD2012</v>
      </c>
      <c r="T221" s="70" t="str">
        <f t="shared" si="241"/>
        <v>B1.2.2.42012</v>
      </c>
      <c r="U221" s="133" t="s">
        <v>197</v>
      </c>
      <c r="V221" s="133" t="str">
        <f t="shared" si="242"/>
        <v>PXL Prototype Ladder Assembly</v>
      </c>
      <c r="W221" s="149"/>
      <c r="X221" s="149"/>
      <c r="Y221" s="149"/>
      <c r="Z221" s="149"/>
      <c r="AA221" s="149"/>
      <c r="AB221" s="61">
        <v>2012</v>
      </c>
      <c r="AC221" s="128">
        <f t="shared" si="243"/>
        <v>0</v>
      </c>
      <c r="AD221" s="128">
        <f t="shared" si="244"/>
        <v>240</v>
      </c>
      <c r="AE221" s="128">
        <f t="shared" si="245"/>
        <v>0</v>
      </c>
      <c r="AF221" s="128">
        <f t="shared" si="246"/>
        <v>0</v>
      </c>
      <c r="AG221" s="128">
        <f t="shared" si="247"/>
        <v>30</v>
      </c>
      <c r="AH221" s="236">
        <f t="shared" si="248"/>
        <v>6000</v>
      </c>
      <c r="AI221" s="275"/>
      <c r="AJ221" s="276"/>
      <c r="AK221" s="276"/>
      <c r="AL221" s="272"/>
      <c r="AM221" s="127">
        <f t="shared" si="249"/>
        <v>0</v>
      </c>
      <c r="AN221" s="128">
        <f t="shared" si="250"/>
        <v>0</v>
      </c>
      <c r="AO221" s="128">
        <f t="shared" si="251"/>
        <v>0</v>
      </c>
      <c r="AP221" s="128">
        <f t="shared" si="252"/>
        <v>0</v>
      </c>
      <c r="AQ221" s="128">
        <f t="shared" si="253"/>
        <v>0</v>
      </c>
      <c r="AR221" s="128">
        <f t="shared" si="254"/>
        <v>0</v>
      </c>
      <c r="AS221" s="275"/>
    </row>
    <row r="222" spans="1:45" s="277" customFormat="1">
      <c r="A222" s="42" t="s">
        <v>328</v>
      </c>
      <c r="B222" s="18" t="s">
        <v>8</v>
      </c>
      <c r="C222" s="216">
        <v>1</v>
      </c>
      <c r="D222" s="91" t="s">
        <v>2</v>
      </c>
      <c r="E222" s="213">
        <v>50</v>
      </c>
      <c r="F222" s="163">
        <f t="shared" si="237"/>
        <v>50</v>
      </c>
      <c r="G222" s="164">
        <v>0</v>
      </c>
      <c r="H222" s="164">
        <v>8</v>
      </c>
      <c r="I222" s="164">
        <v>0</v>
      </c>
      <c r="J222" s="164">
        <v>0</v>
      </c>
      <c r="K222" s="165">
        <v>0.5</v>
      </c>
      <c r="L222" s="91" t="s">
        <v>7</v>
      </c>
      <c r="M222" s="162">
        <f t="shared" si="238"/>
        <v>15163.2</v>
      </c>
      <c r="N222" s="42">
        <v>20</v>
      </c>
      <c r="O222" s="214">
        <f t="shared" si="239"/>
        <v>16163.2</v>
      </c>
      <c r="P222" s="274"/>
      <c r="Q222" s="279" t="s">
        <v>31</v>
      </c>
      <c r="R222" s="278" t="s">
        <v>49</v>
      </c>
      <c r="S222" s="70" t="str">
        <f t="shared" si="240"/>
        <v>BPD2012</v>
      </c>
      <c r="T222" s="70" t="str">
        <f t="shared" si="241"/>
        <v>B1.2.2.42012</v>
      </c>
      <c r="U222" s="133" t="s">
        <v>197</v>
      </c>
      <c r="V222" s="133" t="str">
        <f t="shared" si="242"/>
        <v>PXL Prototype Ladder Assembly</v>
      </c>
      <c r="W222" s="149"/>
      <c r="X222" s="149"/>
      <c r="Y222" s="149"/>
      <c r="Z222" s="149"/>
      <c r="AA222" s="149"/>
      <c r="AB222" s="61">
        <v>2012</v>
      </c>
      <c r="AC222" s="128">
        <f t="shared" si="243"/>
        <v>0</v>
      </c>
      <c r="AD222" s="128">
        <f t="shared" si="244"/>
        <v>160</v>
      </c>
      <c r="AE222" s="128">
        <f t="shared" si="245"/>
        <v>0</v>
      </c>
      <c r="AF222" s="128">
        <f t="shared" si="246"/>
        <v>0</v>
      </c>
      <c r="AG222" s="128">
        <f t="shared" si="247"/>
        <v>10</v>
      </c>
      <c r="AH222" s="236">
        <f t="shared" si="248"/>
        <v>1000</v>
      </c>
      <c r="AI222" s="275"/>
      <c r="AJ222" s="276"/>
      <c r="AK222" s="276"/>
      <c r="AL222" s="272"/>
      <c r="AM222" s="127">
        <f t="shared" si="249"/>
        <v>0</v>
      </c>
      <c r="AN222" s="128">
        <f t="shared" si="250"/>
        <v>0</v>
      </c>
      <c r="AO222" s="128">
        <f t="shared" si="251"/>
        <v>0</v>
      </c>
      <c r="AP222" s="128">
        <f t="shared" si="252"/>
        <v>0</v>
      </c>
      <c r="AQ222" s="128">
        <f t="shared" si="253"/>
        <v>0</v>
      </c>
      <c r="AR222" s="128">
        <f t="shared" si="254"/>
        <v>0</v>
      </c>
      <c r="AS222" s="275"/>
    </row>
    <row r="223" spans="1:45" s="277" customFormat="1">
      <c r="A223" s="42" t="s">
        <v>307</v>
      </c>
      <c r="B223" s="18" t="s">
        <v>8</v>
      </c>
      <c r="C223" s="216">
        <v>1</v>
      </c>
      <c r="D223" s="91" t="s">
        <v>2</v>
      </c>
      <c r="E223" s="213">
        <v>0</v>
      </c>
      <c r="F223" s="163">
        <f t="shared" si="237"/>
        <v>0</v>
      </c>
      <c r="G223" s="164">
        <v>0</v>
      </c>
      <c r="H223" s="164">
        <v>1</v>
      </c>
      <c r="I223" s="164">
        <v>8</v>
      </c>
      <c r="J223" s="164">
        <v>0.5</v>
      </c>
      <c r="K223" s="165">
        <v>8</v>
      </c>
      <c r="L223" s="91" t="s">
        <v>7</v>
      </c>
      <c r="M223" s="162">
        <f t="shared" si="238"/>
        <v>9331.2000000000007</v>
      </c>
      <c r="N223" s="42">
        <v>60</v>
      </c>
      <c r="O223" s="214">
        <f t="shared" si="239"/>
        <v>9331.2000000000007</v>
      </c>
      <c r="P223" s="274"/>
      <c r="Q223" s="279" t="s">
        <v>31</v>
      </c>
      <c r="R223" s="278" t="s">
        <v>49</v>
      </c>
      <c r="S223" s="70" t="str">
        <f t="shared" si="240"/>
        <v>BPD2013</v>
      </c>
      <c r="T223" s="70" t="str">
        <f t="shared" si="241"/>
        <v>B1.2.2.42013</v>
      </c>
      <c r="U223" s="133" t="s">
        <v>197</v>
      </c>
      <c r="V223" s="133" t="str">
        <f t="shared" si="242"/>
        <v>PXL Prototype Ladder Assembly</v>
      </c>
      <c r="W223" s="149"/>
      <c r="X223" s="149"/>
      <c r="Y223" s="149"/>
      <c r="Z223" s="149"/>
      <c r="AA223" s="149"/>
      <c r="AB223" s="61">
        <v>2013</v>
      </c>
      <c r="AC223" s="128">
        <f t="shared" si="243"/>
        <v>0</v>
      </c>
      <c r="AD223" s="128">
        <f t="shared" si="244"/>
        <v>60</v>
      </c>
      <c r="AE223" s="128">
        <f t="shared" si="245"/>
        <v>480</v>
      </c>
      <c r="AF223" s="128">
        <f t="shared" si="246"/>
        <v>30</v>
      </c>
      <c r="AG223" s="128">
        <f t="shared" si="247"/>
        <v>480</v>
      </c>
      <c r="AH223" s="236">
        <f t="shared" si="248"/>
        <v>0</v>
      </c>
      <c r="AI223" s="275"/>
      <c r="AJ223" s="276"/>
      <c r="AK223" s="276"/>
      <c r="AL223" s="272"/>
      <c r="AM223" s="127">
        <f t="shared" si="249"/>
        <v>0</v>
      </c>
      <c r="AN223" s="128">
        <f t="shared" si="250"/>
        <v>0</v>
      </c>
      <c r="AO223" s="128">
        <f t="shared" si="251"/>
        <v>0</v>
      </c>
      <c r="AP223" s="128">
        <f t="shared" si="252"/>
        <v>0</v>
      </c>
      <c r="AQ223" s="128">
        <f t="shared" si="253"/>
        <v>0</v>
      </c>
      <c r="AR223" s="128">
        <f t="shared" si="254"/>
        <v>0</v>
      </c>
      <c r="AS223" s="275"/>
    </row>
    <row r="224" spans="1:45" s="277" customFormat="1">
      <c r="A224" s="42" t="s">
        <v>308</v>
      </c>
      <c r="B224" s="18" t="s">
        <v>8</v>
      </c>
      <c r="C224" s="216">
        <v>1</v>
      </c>
      <c r="D224" s="91" t="s">
        <v>2</v>
      </c>
      <c r="E224" s="213">
        <v>1000</v>
      </c>
      <c r="F224" s="163">
        <f t="shared" si="237"/>
        <v>1000</v>
      </c>
      <c r="G224" s="164">
        <v>8</v>
      </c>
      <c r="H224" s="164">
        <v>32</v>
      </c>
      <c r="I224" s="164">
        <v>0</v>
      </c>
      <c r="J224" s="164">
        <v>4</v>
      </c>
      <c r="K224" s="165">
        <v>32</v>
      </c>
      <c r="L224" s="91" t="s">
        <v>7</v>
      </c>
      <c r="M224" s="162">
        <f t="shared" si="238"/>
        <v>4335.1200000000008</v>
      </c>
      <c r="N224" s="42">
        <v>1</v>
      </c>
      <c r="O224" s="214">
        <f t="shared" si="239"/>
        <v>5335.1200000000008</v>
      </c>
      <c r="P224" s="274"/>
      <c r="Q224" s="279" t="s">
        <v>31</v>
      </c>
      <c r="R224" s="278" t="s">
        <v>49</v>
      </c>
      <c r="S224" s="70" t="str">
        <f t="shared" si="240"/>
        <v>BPD2012</v>
      </c>
      <c r="T224" s="70" t="str">
        <f t="shared" si="241"/>
        <v>B1.2.2.42012</v>
      </c>
      <c r="U224" s="133" t="s">
        <v>197</v>
      </c>
      <c r="V224" s="133" t="str">
        <f t="shared" si="242"/>
        <v>PXL Prototype Ladder Assembly</v>
      </c>
      <c r="W224" s="149"/>
      <c r="X224" s="149"/>
      <c r="Y224" s="149"/>
      <c r="Z224" s="149"/>
      <c r="AA224" s="149"/>
      <c r="AB224" s="61">
        <v>2012</v>
      </c>
      <c r="AC224" s="128">
        <f t="shared" si="243"/>
        <v>8</v>
      </c>
      <c r="AD224" s="128">
        <f t="shared" si="244"/>
        <v>32</v>
      </c>
      <c r="AE224" s="128">
        <f t="shared" si="245"/>
        <v>0</v>
      </c>
      <c r="AF224" s="128">
        <f t="shared" si="246"/>
        <v>4</v>
      </c>
      <c r="AG224" s="128">
        <f t="shared" si="247"/>
        <v>32</v>
      </c>
      <c r="AH224" s="236">
        <f t="shared" si="248"/>
        <v>1000</v>
      </c>
      <c r="AI224" s="275"/>
      <c r="AJ224" s="276"/>
      <c r="AK224" s="276"/>
      <c r="AL224" s="272"/>
      <c r="AM224" s="127">
        <f t="shared" si="249"/>
        <v>0</v>
      </c>
      <c r="AN224" s="128">
        <f t="shared" si="250"/>
        <v>0</v>
      </c>
      <c r="AO224" s="128">
        <f t="shared" si="251"/>
        <v>0</v>
      </c>
      <c r="AP224" s="128">
        <f t="shared" si="252"/>
        <v>0</v>
      </c>
      <c r="AQ224" s="128">
        <f t="shared" si="253"/>
        <v>0</v>
      </c>
      <c r="AR224" s="128">
        <f t="shared" si="254"/>
        <v>0</v>
      </c>
      <c r="AS224" s="275"/>
    </row>
    <row r="225" spans="1:45" s="277" customFormat="1">
      <c r="A225" s="42" t="s">
        <v>349</v>
      </c>
      <c r="B225" s="18" t="s">
        <v>8</v>
      </c>
      <c r="C225" s="216">
        <v>1</v>
      </c>
      <c r="D225" s="91" t="s">
        <v>2</v>
      </c>
      <c r="E225" s="213">
        <v>20000</v>
      </c>
      <c r="F225" s="163">
        <f t="shared" si="237"/>
        <v>20000</v>
      </c>
      <c r="G225" s="164">
        <v>16</v>
      </c>
      <c r="H225" s="164">
        <v>80</v>
      </c>
      <c r="I225" s="164">
        <v>0</v>
      </c>
      <c r="J225" s="164">
        <v>8</v>
      </c>
      <c r="K225" s="165">
        <v>0</v>
      </c>
      <c r="L225" s="91" t="s">
        <v>7</v>
      </c>
      <c r="M225" s="162">
        <f t="shared" si="238"/>
        <v>10186.560000000001</v>
      </c>
      <c r="N225" s="42">
        <v>1</v>
      </c>
      <c r="O225" s="214">
        <f t="shared" si="239"/>
        <v>30186.560000000001</v>
      </c>
      <c r="P225" s="274"/>
      <c r="Q225" s="279" t="s">
        <v>32</v>
      </c>
      <c r="R225" s="278" t="s">
        <v>49</v>
      </c>
      <c r="S225" s="70" t="str">
        <f t="shared" si="240"/>
        <v>CPD2013</v>
      </c>
      <c r="T225" s="70" t="str">
        <f t="shared" si="241"/>
        <v>C1.2.2.42013</v>
      </c>
      <c r="U225" s="133" t="s">
        <v>197</v>
      </c>
      <c r="V225" s="133" t="str">
        <f t="shared" si="242"/>
        <v>PXL Prototype Ladder Assembly</v>
      </c>
      <c r="W225" s="149"/>
      <c r="X225" s="149"/>
      <c r="Y225" s="149"/>
      <c r="Z225" s="149"/>
      <c r="AA225" s="149"/>
      <c r="AB225" s="61">
        <v>2013</v>
      </c>
      <c r="AC225" s="128">
        <f t="shared" si="243"/>
        <v>0</v>
      </c>
      <c r="AD225" s="128">
        <f t="shared" si="244"/>
        <v>0</v>
      </c>
      <c r="AE225" s="128">
        <f t="shared" si="245"/>
        <v>0</v>
      </c>
      <c r="AF225" s="128">
        <f t="shared" si="246"/>
        <v>0</v>
      </c>
      <c r="AG225" s="128">
        <f t="shared" si="247"/>
        <v>0</v>
      </c>
      <c r="AH225" s="236">
        <f t="shared" si="248"/>
        <v>0</v>
      </c>
      <c r="AI225" s="275"/>
      <c r="AJ225" s="276"/>
      <c r="AK225" s="276"/>
      <c r="AL225" s="272"/>
      <c r="AM225" s="127">
        <f t="shared" si="249"/>
        <v>16</v>
      </c>
      <c r="AN225" s="128">
        <f t="shared" si="250"/>
        <v>80</v>
      </c>
      <c r="AO225" s="128">
        <f t="shared" si="251"/>
        <v>0</v>
      </c>
      <c r="AP225" s="128">
        <f t="shared" si="252"/>
        <v>8</v>
      </c>
      <c r="AQ225" s="128">
        <f t="shared" si="253"/>
        <v>0</v>
      </c>
      <c r="AR225" s="128">
        <f t="shared" si="254"/>
        <v>20000</v>
      </c>
      <c r="AS225" s="275"/>
    </row>
    <row r="226" spans="1:45" s="42" customFormat="1">
      <c r="A226" s="220"/>
      <c r="C226" s="181"/>
      <c r="E226" s="182"/>
      <c r="F226" s="183"/>
      <c r="G226" s="184"/>
      <c r="H226" s="184"/>
      <c r="I226" s="184"/>
      <c r="J226" s="184"/>
      <c r="K226" s="185"/>
      <c r="L226" s="222" t="s">
        <v>43</v>
      </c>
      <c r="M226" s="174">
        <f>SUMIF(Q213:Q225,"B",M213:M225)</f>
        <v>74124.72</v>
      </c>
      <c r="N226" s="62" t="s">
        <v>43</v>
      </c>
      <c r="O226" s="174"/>
      <c r="P226" s="186"/>
      <c r="Q226" s="60"/>
      <c r="R226" s="68"/>
      <c r="S226" s="133"/>
      <c r="T226" s="133"/>
      <c r="U226" s="70"/>
      <c r="V226" s="70"/>
      <c r="W226" s="18"/>
      <c r="X226" s="18"/>
      <c r="Y226" s="18"/>
      <c r="Z226" s="18"/>
      <c r="AA226" s="18"/>
      <c r="AB226" s="30"/>
      <c r="AC226" s="128"/>
      <c r="AD226" s="128"/>
      <c r="AE226" s="128"/>
      <c r="AF226" s="128"/>
      <c r="AG226" s="128"/>
      <c r="AH226" s="236"/>
      <c r="AI226" s="237"/>
      <c r="AJ226" s="128"/>
      <c r="AK226" s="128"/>
      <c r="AL226" s="162"/>
      <c r="AM226" s="127"/>
      <c r="AN226" s="128"/>
      <c r="AO226" s="128"/>
      <c r="AP226" s="128"/>
      <c r="AQ226" s="128"/>
      <c r="AR226" s="128"/>
      <c r="AS226" s="237"/>
    </row>
    <row r="227" spans="1:45">
      <c r="A227" s="19" t="s">
        <v>158</v>
      </c>
      <c r="B227" s="2"/>
      <c r="C227" s="167"/>
      <c r="D227" s="13"/>
      <c r="E227" s="168"/>
      <c r="F227" s="169"/>
      <c r="G227" s="167"/>
      <c r="H227" s="167"/>
      <c r="I227" s="167"/>
      <c r="J227" s="167"/>
      <c r="K227" s="170"/>
      <c r="L227" s="13"/>
      <c r="M227" s="168">
        <f>SUMIF(Q200:Q225,"B",M200:M225)</f>
        <v>95148.72</v>
      </c>
      <c r="N227" s="362" t="s">
        <v>42</v>
      </c>
      <c r="O227" s="363"/>
      <c r="P227" s="364"/>
      <c r="Q227" s="47"/>
      <c r="R227" s="69"/>
      <c r="S227" s="134"/>
      <c r="T227" s="134"/>
      <c r="U227" s="134"/>
      <c r="V227" s="134"/>
      <c r="W227" s="2"/>
      <c r="X227" s="2"/>
      <c r="Y227" s="2"/>
      <c r="Z227" s="2"/>
      <c r="AA227" s="2"/>
      <c r="AB227" s="31"/>
      <c r="AC227" s="4">
        <f>SUM(AC200:AC225)</f>
        <v>72</v>
      </c>
      <c r="AD227" s="4">
        <f>SUM(AD200:AD225)</f>
        <v>792</v>
      </c>
      <c r="AE227" s="4">
        <f>SUM(AE200:AE225)</f>
        <v>622</v>
      </c>
      <c r="AF227" s="4">
        <f>SUM(AF200:AF225)</f>
        <v>72</v>
      </c>
      <c r="AG227" s="4">
        <f>SUM(AG200:AG225)</f>
        <v>712</v>
      </c>
      <c r="AH227" s="168"/>
      <c r="AI227" s="169">
        <f>SUM(AH200:AH225)</f>
        <v>28800</v>
      </c>
      <c r="AJ227" s="168">
        <f>(Shop*AC227)+M_Tech*AD227+CMM*AE227+ENG*AF227+DES*AG227+AI227</f>
        <v>119954.16</v>
      </c>
      <c r="AK227" s="168"/>
      <c r="AL227" s="169">
        <f>Shop*AM227+M_Tech*AN227+CMM*AO227+ENG*AP227+DES*AQ227+AS227</f>
        <v>129455.68000000001</v>
      </c>
      <c r="AM227" s="4">
        <f>SUM(AM200:AM225)</f>
        <v>136</v>
      </c>
      <c r="AN227" s="4">
        <f>SUM(AN200:AN225)</f>
        <v>576</v>
      </c>
      <c r="AO227" s="4">
        <f>SUM(AO200:AO225)</f>
        <v>4</v>
      </c>
      <c r="AP227" s="4">
        <f>SUM(AP200:AP225)</f>
        <v>32</v>
      </c>
      <c r="AQ227" s="4">
        <f>SUM(AQ200:AQ225)</f>
        <v>0</v>
      </c>
      <c r="AR227" s="168"/>
      <c r="AS227" s="169">
        <f>SUM(AR200:AR225)</f>
        <v>57100</v>
      </c>
    </row>
    <row r="228" spans="1:45">
      <c r="A228" s="280"/>
      <c r="B228" s="281"/>
      <c r="C228" s="158"/>
      <c r="D228" s="282"/>
      <c r="E228" s="159"/>
      <c r="F228" s="160"/>
      <c r="G228" s="158"/>
      <c r="H228" s="158"/>
      <c r="I228" s="158"/>
      <c r="J228" s="158"/>
      <c r="K228" s="171"/>
      <c r="L228" s="282"/>
      <c r="M228" s="159"/>
      <c r="N228" s="133"/>
      <c r="O228" s="282"/>
      <c r="P228" s="282"/>
      <c r="Q228" s="283"/>
      <c r="R228" s="284"/>
      <c r="S228" s="285"/>
      <c r="T228" s="285"/>
      <c r="U228" s="285"/>
      <c r="V228" s="285"/>
      <c r="W228" s="281"/>
      <c r="X228" s="281"/>
      <c r="Y228" s="281"/>
      <c r="Z228" s="281"/>
      <c r="AA228" s="281"/>
      <c r="AB228" s="30"/>
      <c r="AC228" s="3"/>
      <c r="AD228" s="3"/>
      <c r="AE228" s="3"/>
      <c r="AF228" s="3"/>
      <c r="AG228" s="3"/>
      <c r="AH228" s="159"/>
      <c r="AI228" s="160"/>
      <c r="AJ228" s="159"/>
      <c r="AK228" s="159"/>
      <c r="AL228" s="159"/>
      <c r="AM228" s="3"/>
      <c r="AN228" s="3"/>
      <c r="AO228" s="3"/>
      <c r="AP228" s="3"/>
      <c r="AQ228" s="3"/>
      <c r="AR228" s="159"/>
      <c r="AS228" s="160"/>
    </row>
    <row r="229" spans="1:45" ht="15.75">
      <c r="A229" s="44" t="s">
        <v>280</v>
      </c>
      <c r="F229" s="160"/>
      <c r="G229" s="158"/>
      <c r="H229" s="158"/>
      <c r="I229" s="158"/>
      <c r="J229" s="158"/>
      <c r="K229" s="171"/>
      <c r="M229" s="107"/>
      <c r="N229" s="6"/>
      <c r="O229" s="172"/>
      <c r="P229" s="172"/>
      <c r="Q229" s="46"/>
      <c r="R229" s="66"/>
      <c r="S229" s="133"/>
      <c r="T229" s="133"/>
      <c r="U229" s="133"/>
      <c r="V229" s="133"/>
      <c r="W229"/>
      <c r="X229"/>
      <c r="Y229"/>
      <c r="Z229"/>
      <c r="AA229"/>
      <c r="AB229" s="30"/>
      <c r="AC229" s="3"/>
      <c r="AD229" s="3"/>
      <c r="AE229" s="3"/>
      <c r="AF229" s="3"/>
      <c r="AG229" s="3"/>
      <c r="AH229" s="159"/>
      <c r="AI229" s="241"/>
      <c r="AJ229" s="3"/>
      <c r="AK229" s="3"/>
      <c r="AM229" s="29"/>
      <c r="AN229" s="3"/>
      <c r="AO229" s="3"/>
      <c r="AP229" s="3"/>
      <c r="AQ229" s="3"/>
      <c r="AR229" s="3"/>
      <c r="AS229" s="241"/>
    </row>
    <row r="230" spans="1:45" s="150" customFormat="1">
      <c r="A230" s="147" t="s">
        <v>282</v>
      </c>
      <c r="B230" s="18" t="s">
        <v>8</v>
      </c>
      <c r="C230" s="216">
        <v>1</v>
      </c>
      <c r="D230" s="91" t="s">
        <v>2</v>
      </c>
      <c r="E230" s="213">
        <v>0</v>
      </c>
      <c r="F230" s="217">
        <f t="shared" ref="F230:F266" si="257">E230*C230</f>
        <v>0</v>
      </c>
      <c r="G230" s="218">
        <v>0</v>
      </c>
      <c r="H230" s="218">
        <v>0</v>
      </c>
      <c r="I230" s="218">
        <v>0</v>
      </c>
      <c r="J230" s="218">
        <v>0</v>
      </c>
      <c r="K230" s="219">
        <v>0</v>
      </c>
      <c r="L230" s="91" t="s">
        <v>7</v>
      </c>
      <c r="M230" s="213">
        <f t="shared" ref="M230:M266" si="258">IF(R230="PD",((Shop*G230)+(M_Tech*H230)+(CMM*I230)+(ENG*J230)+(DES*K230))*N230,((Shop_RD*G230)+(MTECH_RD*H230)+(CMM_RD*I230)+(ENG_RD*J230)+(DES_RD*K230))*N230)</f>
        <v>0</v>
      </c>
      <c r="N230" s="93">
        <v>1</v>
      </c>
      <c r="O230" s="214">
        <f t="shared" ref="O230:O266" si="259">M230+(F230*N230)</f>
        <v>0</v>
      </c>
      <c r="P230" s="214"/>
      <c r="Q230" s="46" t="s">
        <v>31</v>
      </c>
      <c r="R230" s="66" t="s">
        <v>154</v>
      </c>
      <c r="S230" s="133" t="str">
        <f t="shared" ref="S230:S266" si="260">CONCATENATE(Q230,R230,AB230)</f>
        <v>BPT2009</v>
      </c>
      <c r="T230" s="133" t="str">
        <f t="shared" ref="T230:T266" si="261">CONCATENATE(Q230,U230,AB230)</f>
        <v>B1.2.2.5.12009</v>
      </c>
      <c r="U230" s="133" t="s">
        <v>204</v>
      </c>
      <c r="V230" s="215" t="str">
        <f t="shared" ref="V230:V266" si="262">LOOKUP(U230,$B$345:$B$367,$A$345:$A$367)</f>
        <v>RDO Board</v>
      </c>
      <c r="W230" s="42"/>
      <c r="X230" s="42"/>
      <c r="Y230" s="42"/>
      <c r="Z230" s="42"/>
      <c r="AA230" s="42"/>
      <c r="AB230" s="61">
        <v>2009</v>
      </c>
      <c r="AC230" s="128">
        <f t="shared" ref="AC230:AC261" si="263">IF($Q230="B", (G230*$N230),0)</f>
        <v>0</v>
      </c>
      <c r="AD230" s="128">
        <f t="shared" ref="AD230:AD261" si="264">IF($Q230="B", (H230*$N230),0)</f>
        <v>0</v>
      </c>
      <c r="AE230" s="128">
        <f t="shared" ref="AE230:AE261" si="265">IF($Q230="B", (I230*$N230),0)</f>
        <v>0</v>
      </c>
      <c r="AF230" s="128">
        <f t="shared" ref="AF230:AF261" si="266">IF($Q230="B", (J230*$N230),0)</f>
        <v>0</v>
      </c>
      <c r="AG230" s="128">
        <f t="shared" ref="AG230:AG261" si="267">IF($Q230="B", (K230*$N230),0)</f>
        <v>0</v>
      </c>
      <c r="AH230" s="236">
        <f t="shared" ref="AH230:AH266" si="268">IF($Q230="B", (F230*$N230),0)</f>
        <v>0</v>
      </c>
      <c r="AI230" s="238"/>
      <c r="AJ230" s="244"/>
      <c r="AK230" s="244"/>
      <c r="AL230" s="162"/>
      <c r="AM230" s="127">
        <f t="shared" ref="AM230:AM261" si="269">IF($Q230="C", (G230*$N230),0)</f>
        <v>0</v>
      </c>
      <c r="AN230" s="128">
        <f t="shared" ref="AN230:AN261" si="270">IF($Q230="C", (H230*$N230),0)</f>
        <v>0</v>
      </c>
      <c r="AO230" s="128">
        <f t="shared" ref="AO230:AO261" si="271">IF($Q230="C", (I230*$N230),0)</f>
        <v>0</v>
      </c>
      <c r="AP230" s="128">
        <f t="shared" ref="AP230:AP261" si="272">IF($Q230="C", (J230*$N230),0)</f>
        <v>0</v>
      </c>
      <c r="AQ230" s="128">
        <f t="shared" ref="AQ230:AQ261" si="273">IF($Q230="C", (K230*$N230),0)</f>
        <v>0</v>
      </c>
      <c r="AR230" s="128">
        <f t="shared" ref="AR230:AR266" si="274">IF($Q230="C", (F230*$N230),0)</f>
        <v>0</v>
      </c>
      <c r="AS230" s="238"/>
    </row>
    <row r="231" spans="1:45" s="150" customFormat="1" hidden="1">
      <c r="A231" s="286" t="s">
        <v>329</v>
      </c>
      <c r="B231" s="18" t="s">
        <v>8</v>
      </c>
      <c r="C231" s="216">
        <v>1</v>
      </c>
      <c r="D231" s="91" t="s">
        <v>2</v>
      </c>
      <c r="E231" s="213">
        <v>0</v>
      </c>
      <c r="F231" s="217">
        <f t="shared" si="257"/>
        <v>0</v>
      </c>
      <c r="G231" s="218">
        <v>0</v>
      </c>
      <c r="H231" s="218">
        <v>0</v>
      </c>
      <c r="I231" s="218">
        <v>160</v>
      </c>
      <c r="J231" s="218">
        <v>160</v>
      </c>
      <c r="K231" s="219">
        <v>320</v>
      </c>
      <c r="L231" s="91" t="s">
        <v>7</v>
      </c>
      <c r="M231" s="213">
        <f t="shared" si="258"/>
        <v>0</v>
      </c>
      <c r="N231" s="93">
        <v>0</v>
      </c>
      <c r="O231" s="214">
        <f t="shared" si="259"/>
        <v>0</v>
      </c>
      <c r="P231" s="214"/>
      <c r="Q231" s="46" t="s">
        <v>31</v>
      </c>
      <c r="R231" s="66" t="s">
        <v>154</v>
      </c>
      <c r="S231" s="133" t="str">
        <f t="shared" si="260"/>
        <v>BPT2009</v>
      </c>
      <c r="T231" s="133" t="str">
        <f t="shared" si="261"/>
        <v>B1.2.2.5.12009</v>
      </c>
      <c r="U231" s="133" t="s">
        <v>204</v>
      </c>
      <c r="V231" s="215" t="str">
        <f t="shared" si="262"/>
        <v>RDO Board</v>
      </c>
      <c r="W231" s="42"/>
      <c r="X231" s="42"/>
      <c r="Y231" s="42"/>
      <c r="Z231" s="42"/>
      <c r="AA231" s="42"/>
      <c r="AB231" s="61">
        <v>2009</v>
      </c>
      <c r="AC231" s="128">
        <f t="shared" si="263"/>
        <v>0</v>
      </c>
      <c r="AD231" s="128">
        <f t="shared" si="264"/>
        <v>0</v>
      </c>
      <c r="AE231" s="128">
        <f t="shared" si="265"/>
        <v>0</v>
      </c>
      <c r="AF231" s="128">
        <f t="shared" si="266"/>
        <v>0</v>
      </c>
      <c r="AG231" s="128">
        <f t="shared" si="267"/>
        <v>0</v>
      </c>
      <c r="AH231" s="236">
        <f t="shared" si="268"/>
        <v>0</v>
      </c>
      <c r="AI231" s="238"/>
      <c r="AJ231" s="244"/>
      <c r="AK231" s="244"/>
      <c r="AL231" s="162"/>
      <c r="AM231" s="127">
        <f t="shared" si="269"/>
        <v>0</v>
      </c>
      <c r="AN231" s="128">
        <f t="shared" si="270"/>
        <v>0</v>
      </c>
      <c r="AO231" s="128">
        <f t="shared" si="271"/>
        <v>0</v>
      </c>
      <c r="AP231" s="128">
        <f t="shared" si="272"/>
        <v>0</v>
      </c>
      <c r="AQ231" s="128">
        <f t="shared" si="273"/>
        <v>0</v>
      </c>
      <c r="AR231" s="128">
        <f t="shared" si="274"/>
        <v>0</v>
      </c>
      <c r="AS231" s="238"/>
    </row>
    <row r="232" spans="1:45" s="150" customFormat="1" hidden="1">
      <c r="A232" s="286" t="s">
        <v>330</v>
      </c>
      <c r="B232" s="18" t="s">
        <v>8</v>
      </c>
      <c r="C232" s="216">
        <v>5</v>
      </c>
      <c r="D232" s="91" t="s">
        <v>2</v>
      </c>
      <c r="E232" s="213">
        <v>800</v>
      </c>
      <c r="F232" s="217">
        <f t="shared" si="257"/>
        <v>4000</v>
      </c>
      <c r="G232" s="218">
        <v>0</v>
      </c>
      <c r="H232" s="218">
        <v>0</v>
      </c>
      <c r="I232" s="218">
        <v>16</v>
      </c>
      <c r="J232" s="218">
        <v>8</v>
      </c>
      <c r="K232" s="219">
        <v>24</v>
      </c>
      <c r="L232" s="91" t="s">
        <v>7</v>
      </c>
      <c r="M232" s="213">
        <f t="shared" si="258"/>
        <v>0</v>
      </c>
      <c r="N232" s="93">
        <v>0</v>
      </c>
      <c r="O232" s="214">
        <f t="shared" si="259"/>
        <v>0</v>
      </c>
      <c r="P232" s="214"/>
      <c r="Q232" s="46" t="s">
        <v>31</v>
      </c>
      <c r="R232" s="66" t="s">
        <v>154</v>
      </c>
      <c r="S232" s="133" t="str">
        <f t="shared" si="260"/>
        <v>BPT2009</v>
      </c>
      <c r="T232" s="133" t="str">
        <f t="shared" si="261"/>
        <v>B1.2.2.5.12009</v>
      </c>
      <c r="U232" s="133" t="s">
        <v>204</v>
      </c>
      <c r="V232" s="215" t="str">
        <f t="shared" si="262"/>
        <v>RDO Board</v>
      </c>
      <c r="W232" s="42"/>
      <c r="X232" s="42"/>
      <c r="Y232" s="42"/>
      <c r="Z232" s="42"/>
      <c r="AA232" s="42"/>
      <c r="AB232" s="61">
        <v>2009</v>
      </c>
      <c r="AC232" s="128">
        <f t="shared" si="263"/>
        <v>0</v>
      </c>
      <c r="AD232" s="128">
        <f t="shared" si="264"/>
        <v>0</v>
      </c>
      <c r="AE232" s="128">
        <f t="shared" si="265"/>
        <v>0</v>
      </c>
      <c r="AF232" s="128">
        <f t="shared" si="266"/>
        <v>0</v>
      </c>
      <c r="AG232" s="128">
        <f t="shared" si="267"/>
        <v>0</v>
      </c>
      <c r="AH232" s="236">
        <f t="shared" si="268"/>
        <v>0</v>
      </c>
      <c r="AI232" s="238"/>
      <c r="AJ232" s="244"/>
      <c r="AK232" s="244"/>
      <c r="AL232" s="162"/>
      <c r="AM232" s="127">
        <f t="shared" si="269"/>
        <v>0</v>
      </c>
      <c r="AN232" s="128">
        <f t="shared" si="270"/>
        <v>0</v>
      </c>
      <c r="AO232" s="128">
        <f t="shared" si="271"/>
        <v>0</v>
      </c>
      <c r="AP232" s="128">
        <f t="shared" si="272"/>
        <v>0</v>
      </c>
      <c r="AQ232" s="128">
        <f t="shared" si="273"/>
        <v>0</v>
      </c>
      <c r="AR232" s="128">
        <f t="shared" si="274"/>
        <v>0</v>
      </c>
      <c r="AS232" s="238"/>
    </row>
    <row r="233" spans="1:45" s="150" customFormat="1" hidden="1">
      <c r="A233" s="286" t="s">
        <v>331</v>
      </c>
      <c r="B233" s="18" t="s">
        <v>8</v>
      </c>
      <c r="C233" s="216">
        <v>5</v>
      </c>
      <c r="D233" s="91" t="s">
        <v>2</v>
      </c>
      <c r="E233" s="213">
        <v>550</v>
      </c>
      <c r="F233" s="217">
        <f t="shared" si="257"/>
        <v>2750</v>
      </c>
      <c r="G233" s="218">
        <v>24</v>
      </c>
      <c r="H233" s="218">
        <v>80</v>
      </c>
      <c r="I233" s="218">
        <v>0</v>
      </c>
      <c r="J233" s="218">
        <v>8</v>
      </c>
      <c r="K233" s="219">
        <v>40</v>
      </c>
      <c r="L233" s="91" t="s">
        <v>7</v>
      </c>
      <c r="M233" s="213">
        <f t="shared" si="258"/>
        <v>0</v>
      </c>
      <c r="N233" s="93">
        <v>0</v>
      </c>
      <c r="O233" s="214">
        <f t="shared" si="259"/>
        <v>0</v>
      </c>
      <c r="P233" s="214"/>
      <c r="Q233" s="46" t="s">
        <v>31</v>
      </c>
      <c r="R233" s="66" t="s">
        <v>154</v>
      </c>
      <c r="S233" s="133" t="str">
        <f t="shared" si="260"/>
        <v>BPT2009</v>
      </c>
      <c r="T233" s="133" t="str">
        <f t="shared" si="261"/>
        <v>B1.2.2.5.12009</v>
      </c>
      <c r="U233" s="133" t="s">
        <v>204</v>
      </c>
      <c r="V233" s="215" t="str">
        <f t="shared" si="262"/>
        <v>RDO Board</v>
      </c>
      <c r="W233" s="42"/>
      <c r="X233" s="42"/>
      <c r="Y233" s="42"/>
      <c r="Z233" s="42"/>
      <c r="AA233" s="42"/>
      <c r="AB233" s="61">
        <v>2009</v>
      </c>
      <c r="AC233" s="128">
        <f t="shared" si="263"/>
        <v>0</v>
      </c>
      <c r="AD233" s="128">
        <f t="shared" si="264"/>
        <v>0</v>
      </c>
      <c r="AE233" s="128">
        <f t="shared" si="265"/>
        <v>0</v>
      </c>
      <c r="AF233" s="128">
        <f t="shared" si="266"/>
        <v>0</v>
      </c>
      <c r="AG233" s="128">
        <f t="shared" si="267"/>
        <v>0</v>
      </c>
      <c r="AH233" s="236">
        <f t="shared" si="268"/>
        <v>0</v>
      </c>
      <c r="AI233" s="238"/>
      <c r="AJ233" s="244"/>
      <c r="AK233" s="244"/>
      <c r="AL233" s="162"/>
      <c r="AM233" s="127">
        <f t="shared" si="269"/>
        <v>0</v>
      </c>
      <c r="AN233" s="128">
        <f t="shared" si="270"/>
        <v>0</v>
      </c>
      <c r="AO233" s="128">
        <f t="shared" si="271"/>
        <v>0</v>
      </c>
      <c r="AP233" s="128">
        <f t="shared" si="272"/>
        <v>0</v>
      </c>
      <c r="AQ233" s="128">
        <f t="shared" si="273"/>
        <v>0</v>
      </c>
      <c r="AR233" s="128">
        <f t="shared" si="274"/>
        <v>0</v>
      </c>
      <c r="AS233" s="238"/>
    </row>
    <row r="234" spans="1:45" s="150" customFormat="1" hidden="1">
      <c r="A234" s="286" t="s">
        <v>335</v>
      </c>
      <c r="B234" s="18" t="s">
        <v>8</v>
      </c>
      <c r="C234" s="216">
        <v>3</v>
      </c>
      <c r="D234" s="91" t="s">
        <v>2</v>
      </c>
      <c r="E234" s="213">
        <v>3000</v>
      </c>
      <c r="F234" s="217">
        <f t="shared" si="257"/>
        <v>9000</v>
      </c>
      <c r="G234" s="218">
        <v>0</v>
      </c>
      <c r="H234" s="218">
        <v>0</v>
      </c>
      <c r="I234" s="218">
        <v>0</v>
      </c>
      <c r="J234" s="218">
        <v>0</v>
      </c>
      <c r="K234" s="219">
        <v>32</v>
      </c>
      <c r="L234" s="91" t="s">
        <v>7</v>
      </c>
      <c r="M234" s="213">
        <f t="shared" si="258"/>
        <v>0</v>
      </c>
      <c r="N234" s="93">
        <v>0</v>
      </c>
      <c r="O234" s="214">
        <f t="shared" si="259"/>
        <v>0</v>
      </c>
      <c r="P234" s="214"/>
      <c r="Q234" s="46" t="s">
        <v>31</v>
      </c>
      <c r="R234" s="66" t="s">
        <v>154</v>
      </c>
      <c r="S234" s="133" t="str">
        <f t="shared" si="260"/>
        <v>BPT2009</v>
      </c>
      <c r="T234" s="133" t="str">
        <f t="shared" si="261"/>
        <v>B1.2.2.5.12009</v>
      </c>
      <c r="U234" s="133" t="s">
        <v>204</v>
      </c>
      <c r="V234" s="215" t="str">
        <f t="shared" si="262"/>
        <v>RDO Board</v>
      </c>
      <c r="W234" s="42"/>
      <c r="X234" s="42"/>
      <c r="Y234" s="42"/>
      <c r="Z234" s="42"/>
      <c r="AA234" s="42"/>
      <c r="AB234" s="61">
        <v>2009</v>
      </c>
      <c r="AC234" s="128">
        <f t="shared" si="263"/>
        <v>0</v>
      </c>
      <c r="AD234" s="128">
        <f t="shared" si="264"/>
        <v>0</v>
      </c>
      <c r="AE234" s="128">
        <f t="shared" si="265"/>
        <v>0</v>
      </c>
      <c r="AF234" s="128">
        <f t="shared" si="266"/>
        <v>0</v>
      </c>
      <c r="AG234" s="128">
        <f t="shared" si="267"/>
        <v>0</v>
      </c>
      <c r="AH234" s="236">
        <f t="shared" si="268"/>
        <v>0</v>
      </c>
      <c r="AI234" s="238"/>
      <c r="AJ234" s="244"/>
      <c r="AK234" s="244"/>
      <c r="AL234" s="162"/>
      <c r="AM234" s="127">
        <f t="shared" si="269"/>
        <v>0</v>
      </c>
      <c r="AN234" s="128">
        <f t="shared" si="270"/>
        <v>0</v>
      </c>
      <c r="AO234" s="128">
        <f t="shared" si="271"/>
        <v>0</v>
      </c>
      <c r="AP234" s="128">
        <f t="shared" si="272"/>
        <v>0</v>
      </c>
      <c r="AQ234" s="128">
        <f t="shared" si="273"/>
        <v>0</v>
      </c>
      <c r="AR234" s="128">
        <f t="shared" si="274"/>
        <v>0</v>
      </c>
      <c r="AS234" s="238"/>
    </row>
    <row r="235" spans="1:45" s="150" customFormat="1" hidden="1">
      <c r="A235" s="286" t="s">
        <v>337</v>
      </c>
      <c r="B235" s="18" t="s">
        <v>8</v>
      </c>
      <c r="C235" s="216">
        <v>3</v>
      </c>
      <c r="D235" s="91" t="s">
        <v>2</v>
      </c>
      <c r="E235" s="213">
        <v>1500</v>
      </c>
      <c r="F235" s="217">
        <f t="shared" si="257"/>
        <v>4500</v>
      </c>
      <c r="G235" s="218">
        <v>0</v>
      </c>
      <c r="H235" s="218">
        <v>0</v>
      </c>
      <c r="I235" s="218">
        <v>0</v>
      </c>
      <c r="J235" s="218">
        <v>0</v>
      </c>
      <c r="K235" s="219">
        <v>32</v>
      </c>
      <c r="L235" s="91" t="s">
        <v>7</v>
      </c>
      <c r="M235" s="213">
        <f t="shared" si="258"/>
        <v>0</v>
      </c>
      <c r="N235" s="93">
        <v>0</v>
      </c>
      <c r="O235" s="214">
        <f t="shared" si="259"/>
        <v>0</v>
      </c>
      <c r="P235" s="214"/>
      <c r="Q235" s="46" t="s">
        <v>31</v>
      </c>
      <c r="R235" s="66" t="s">
        <v>154</v>
      </c>
      <c r="S235" s="133" t="str">
        <f t="shared" si="260"/>
        <v>BPT2009</v>
      </c>
      <c r="T235" s="133" t="str">
        <f t="shared" si="261"/>
        <v>B1.2.2.5.12009</v>
      </c>
      <c r="U235" s="133" t="s">
        <v>204</v>
      </c>
      <c r="V235" s="215" t="str">
        <f t="shared" si="262"/>
        <v>RDO Board</v>
      </c>
      <c r="W235" s="42"/>
      <c r="X235" s="42"/>
      <c r="Y235" s="42"/>
      <c r="Z235" s="42"/>
      <c r="AA235" s="42"/>
      <c r="AB235" s="61">
        <v>2009</v>
      </c>
      <c r="AC235" s="128">
        <f t="shared" si="263"/>
        <v>0</v>
      </c>
      <c r="AD235" s="128">
        <f t="shared" si="264"/>
        <v>0</v>
      </c>
      <c r="AE235" s="128">
        <f t="shared" si="265"/>
        <v>0</v>
      </c>
      <c r="AF235" s="128">
        <f t="shared" si="266"/>
        <v>0</v>
      </c>
      <c r="AG235" s="128">
        <f t="shared" si="267"/>
        <v>0</v>
      </c>
      <c r="AH235" s="236">
        <f t="shared" si="268"/>
        <v>0</v>
      </c>
      <c r="AI235" s="238"/>
      <c r="AJ235" s="244"/>
      <c r="AK235" s="244"/>
      <c r="AL235" s="162"/>
      <c r="AM235" s="127">
        <f t="shared" si="269"/>
        <v>0</v>
      </c>
      <c r="AN235" s="128">
        <f t="shared" si="270"/>
        <v>0</v>
      </c>
      <c r="AO235" s="128">
        <f t="shared" si="271"/>
        <v>0</v>
      </c>
      <c r="AP235" s="128">
        <f t="shared" si="272"/>
        <v>0</v>
      </c>
      <c r="AQ235" s="128">
        <f t="shared" si="273"/>
        <v>0</v>
      </c>
      <c r="AR235" s="128">
        <f t="shared" si="274"/>
        <v>0</v>
      </c>
      <c r="AS235" s="238"/>
    </row>
    <row r="236" spans="1:45" s="150" customFormat="1" hidden="1">
      <c r="A236" s="286" t="s">
        <v>334</v>
      </c>
      <c r="B236" s="18" t="s">
        <v>8</v>
      </c>
      <c r="C236" s="216">
        <v>3</v>
      </c>
      <c r="D236" s="91" t="s">
        <v>2</v>
      </c>
      <c r="E236" s="213">
        <v>1000</v>
      </c>
      <c r="F236" s="217">
        <f t="shared" si="257"/>
        <v>3000</v>
      </c>
      <c r="G236" s="218">
        <v>0</v>
      </c>
      <c r="H236" s="218">
        <v>0</v>
      </c>
      <c r="I236" s="218">
        <v>0</v>
      </c>
      <c r="J236" s="218">
        <v>0</v>
      </c>
      <c r="K236" s="219">
        <v>40</v>
      </c>
      <c r="L236" s="91" t="s">
        <v>7</v>
      </c>
      <c r="M236" s="213">
        <f t="shared" si="258"/>
        <v>0</v>
      </c>
      <c r="N236" s="93">
        <v>0</v>
      </c>
      <c r="O236" s="214">
        <f t="shared" si="259"/>
        <v>0</v>
      </c>
      <c r="P236" s="214"/>
      <c r="Q236" s="46" t="s">
        <v>31</v>
      </c>
      <c r="R236" s="66" t="s">
        <v>154</v>
      </c>
      <c r="S236" s="133" t="str">
        <f t="shared" si="260"/>
        <v>BPT2009</v>
      </c>
      <c r="T236" s="133" t="str">
        <f t="shared" si="261"/>
        <v>B1.2.2.5.12009</v>
      </c>
      <c r="U236" s="133" t="s">
        <v>204</v>
      </c>
      <c r="V236" s="215" t="str">
        <f t="shared" si="262"/>
        <v>RDO Board</v>
      </c>
      <c r="W236" s="42"/>
      <c r="X236" s="42"/>
      <c r="Y236" s="42"/>
      <c r="Z236" s="42"/>
      <c r="AA236" s="42"/>
      <c r="AB236" s="61">
        <v>2009</v>
      </c>
      <c r="AC236" s="128">
        <f t="shared" si="263"/>
        <v>0</v>
      </c>
      <c r="AD236" s="128">
        <f t="shared" si="264"/>
        <v>0</v>
      </c>
      <c r="AE236" s="128">
        <f t="shared" si="265"/>
        <v>0</v>
      </c>
      <c r="AF236" s="128">
        <f t="shared" si="266"/>
        <v>0</v>
      </c>
      <c r="AG236" s="128">
        <f t="shared" si="267"/>
        <v>0</v>
      </c>
      <c r="AH236" s="236">
        <f t="shared" si="268"/>
        <v>0</v>
      </c>
      <c r="AI236" s="238"/>
      <c r="AJ236" s="244"/>
      <c r="AK236" s="244"/>
      <c r="AL236" s="162"/>
      <c r="AM236" s="127">
        <f t="shared" si="269"/>
        <v>0</v>
      </c>
      <c r="AN236" s="128">
        <f t="shared" si="270"/>
        <v>0</v>
      </c>
      <c r="AO236" s="128">
        <f t="shared" si="271"/>
        <v>0</v>
      </c>
      <c r="AP236" s="128">
        <f t="shared" si="272"/>
        <v>0</v>
      </c>
      <c r="AQ236" s="128">
        <f t="shared" si="273"/>
        <v>0</v>
      </c>
      <c r="AR236" s="128">
        <f t="shared" si="274"/>
        <v>0</v>
      </c>
      <c r="AS236" s="238"/>
    </row>
    <row r="237" spans="1:45" s="150" customFormat="1">
      <c r="A237" s="286" t="s">
        <v>342</v>
      </c>
      <c r="B237" s="18" t="s">
        <v>8</v>
      </c>
      <c r="C237" s="216">
        <v>1</v>
      </c>
      <c r="D237" s="91" t="s">
        <v>2</v>
      </c>
      <c r="E237" s="213">
        <v>0</v>
      </c>
      <c r="F237" s="217">
        <f t="shared" si="257"/>
        <v>0</v>
      </c>
      <c r="G237" s="218">
        <v>0</v>
      </c>
      <c r="H237" s="218">
        <v>0</v>
      </c>
      <c r="I237" s="218">
        <v>160</v>
      </c>
      <c r="J237" s="218">
        <v>0</v>
      </c>
      <c r="K237" s="219">
        <v>140</v>
      </c>
      <c r="L237" s="91" t="s">
        <v>7</v>
      </c>
      <c r="M237" s="213">
        <f t="shared" si="258"/>
        <v>0</v>
      </c>
      <c r="N237" s="93">
        <v>1</v>
      </c>
      <c r="O237" s="214">
        <f t="shared" si="259"/>
        <v>0</v>
      </c>
      <c r="P237" s="214"/>
      <c r="Q237" s="46" t="s">
        <v>31</v>
      </c>
      <c r="R237" s="66" t="s">
        <v>154</v>
      </c>
      <c r="S237" s="133" t="str">
        <f t="shared" si="260"/>
        <v>BPT2010</v>
      </c>
      <c r="T237" s="133" t="str">
        <f t="shared" si="261"/>
        <v>B1.2.2.5.12010</v>
      </c>
      <c r="U237" s="133" t="s">
        <v>204</v>
      </c>
      <c r="V237" s="215" t="str">
        <f t="shared" si="262"/>
        <v>RDO Board</v>
      </c>
      <c r="W237" s="42"/>
      <c r="X237" s="42"/>
      <c r="Y237" s="42"/>
      <c r="Z237" s="42"/>
      <c r="AA237" s="42"/>
      <c r="AB237" s="61">
        <v>2010</v>
      </c>
      <c r="AC237" s="128">
        <f t="shared" si="263"/>
        <v>0</v>
      </c>
      <c r="AD237" s="128">
        <f t="shared" si="264"/>
        <v>0</v>
      </c>
      <c r="AE237" s="128">
        <f t="shared" si="265"/>
        <v>160</v>
      </c>
      <c r="AF237" s="128">
        <f t="shared" si="266"/>
        <v>0</v>
      </c>
      <c r="AG237" s="128">
        <f t="shared" si="267"/>
        <v>140</v>
      </c>
      <c r="AH237" s="236">
        <f t="shared" si="268"/>
        <v>0</v>
      </c>
      <c r="AI237" s="238"/>
      <c r="AJ237" s="244"/>
      <c r="AK237" s="244"/>
      <c r="AL237" s="162"/>
      <c r="AM237" s="127">
        <f t="shared" si="269"/>
        <v>0</v>
      </c>
      <c r="AN237" s="128">
        <f t="shared" si="270"/>
        <v>0</v>
      </c>
      <c r="AO237" s="128">
        <f t="shared" si="271"/>
        <v>0</v>
      </c>
      <c r="AP237" s="128">
        <f t="shared" si="272"/>
        <v>0</v>
      </c>
      <c r="AQ237" s="128">
        <f t="shared" si="273"/>
        <v>0</v>
      </c>
      <c r="AR237" s="128">
        <f t="shared" si="274"/>
        <v>0</v>
      </c>
      <c r="AS237" s="238"/>
    </row>
    <row r="238" spans="1:45" s="150" customFormat="1">
      <c r="A238" s="286" t="s">
        <v>270</v>
      </c>
      <c r="B238" s="18" t="s">
        <v>8</v>
      </c>
      <c r="C238" s="216">
        <v>1</v>
      </c>
      <c r="D238" s="91" t="s">
        <v>2</v>
      </c>
      <c r="E238" s="213">
        <v>0</v>
      </c>
      <c r="F238" s="217">
        <f t="shared" si="257"/>
        <v>0</v>
      </c>
      <c r="G238" s="218">
        <v>0</v>
      </c>
      <c r="H238" s="218">
        <v>0</v>
      </c>
      <c r="I238" s="218">
        <v>80</v>
      </c>
      <c r="J238" s="218">
        <v>24</v>
      </c>
      <c r="K238" s="219">
        <v>180</v>
      </c>
      <c r="L238" s="91" t="s">
        <v>7</v>
      </c>
      <c r="M238" s="213">
        <f t="shared" si="258"/>
        <v>3600</v>
      </c>
      <c r="N238" s="93">
        <v>1</v>
      </c>
      <c r="O238" s="214">
        <f t="shared" si="259"/>
        <v>3600</v>
      </c>
      <c r="P238" s="214"/>
      <c r="Q238" s="46" t="s">
        <v>31</v>
      </c>
      <c r="R238" s="66" t="s">
        <v>154</v>
      </c>
      <c r="S238" s="133" t="str">
        <f t="shared" si="260"/>
        <v>BPT2011</v>
      </c>
      <c r="T238" s="133" t="str">
        <f t="shared" si="261"/>
        <v>B1.2.2.5.12011</v>
      </c>
      <c r="U238" s="133" t="s">
        <v>204</v>
      </c>
      <c r="V238" s="215" t="str">
        <f t="shared" si="262"/>
        <v>RDO Board</v>
      </c>
      <c r="W238" s="42"/>
      <c r="X238" s="42"/>
      <c r="Y238" s="42"/>
      <c r="Z238" s="42"/>
      <c r="AA238" s="42"/>
      <c r="AB238" s="61">
        <v>2011</v>
      </c>
      <c r="AC238" s="128">
        <f t="shared" si="263"/>
        <v>0</v>
      </c>
      <c r="AD238" s="128">
        <f t="shared" si="264"/>
        <v>0</v>
      </c>
      <c r="AE238" s="128">
        <f t="shared" si="265"/>
        <v>80</v>
      </c>
      <c r="AF238" s="128">
        <f t="shared" si="266"/>
        <v>24</v>
      </c>
      <c r="AG238" s="128">
        <f t="shared" si="267"/>
        <v>180</v>
      </c>
      <c r="AH238" s="236">
        <f t="shared" si="268"/>
        <v>0</v>
      </c>
      <c r="AI238" s="238"/>
      <c r="AJ238" s="244"/>
      <c r="AK238" s="244"/>
      <c r="AL238" s="162"/>
      <c r="AM238" s="127">
        <f t="shared" si="269"/>
        <v>0</v>
      </c>
      <c r="AN238" s="128">
        <f t="shared" si="270"/>
        <v>0</v>
      </c>
      <c r="AO238" s="128">
        <f t="shared" si="271"/>
        <v>0</v>
      </c>
      <c r="AP238" s="128">
        <f t="shared" si="272"/>
        <v>0</v>
      </c>
      <c r="AQ238" s="128">
        <f t="shared" si="273"/>
        <v>0</v>
      </c>
      <c r="AR238" s="128">
        <f t="shared" si="274"/>
        <v>0</v>
      </c>
      <c r="AS238" s="238"/>
    </row>
    <row r="239" spans="1:45" s="150" customFormat="1">
      <c r="A239" s="286" t="s">
        <v>271</v>
      </c>
      <c r="B239" s="18" t="s">
        <v>8</v>
      </c>
      <c r="C239" s="216">
        <v>5</v>
      </c>
      <c r="D239" s="91" t="s">
        <v>2</v>
      </c>
      <c r="E239" s="213">
        <v>800</v>
      </c>
      <c r="F239" s="217">
        <f t="shared" si="257"/>
        <v>4000</v>
      </c>
      <c r="G239" s="218">
        <v>0</v>
      </c>
      <c r="H239" s="218">
        <v>0</v>
      </c>
      <c r="I239" s="218">
        <v>0</v>
      </c>
      <c r="J239" s="218">
        <v>40</v>
      </c>
      <c r="K239" s="219">
        <v>24</v>
      </c>
      <c r="L239" s="91" t="s">
        <v>7</v>
      </c>
      <c r="M239" s="213">
        <f t="shared" si="258"/>
        <v>6000</v>
      </c>
      <c r="N239" s="93">
        <v>1</v>
      </c>
      <c r="O239" s="214">
        <f t="shared" si="259"/>
        <v>10000</v>
      </c>
      <c r="P239" s="214"/>
      <c r="Q239" s="46" t="s">
        <v>31</v>
      </c>
      <c r="R239" s="66" t="s">
        <v>154</v>
      </c>
      <c r="S239" s="133" t="str">
        <f t="shared" si="260"/>
        <v>BPT2011</v>
      </c>
      <c r="T239" s="133" t="str">
        <f t="shared" si="261"/>
        <v>B1.2.2.5.12011</v>
      </c>
      <c r="U239" s="133" t="s">
        <v>204</v>
      </c>
      <c r="V239" s="215" t="str">
        <f t="shared" si="262"/>
        <v>RDO Board</v>
      </c>
      <c r="W239" s="42"/>
      <c r="X239" s="42"/>
      <c r="Y239" s="42"/>
      <c r="Z239" s="42"/>
      <c r="AA239" s="42"/>
      <c r="AB239" s="61">
        <v>2011</v>
      </c>
      <c r="AC239" s="128">
        <f t="shared" si="263"/>
        <v>0</v>
      </c>
      <c r="AD239" s="128">
        <f t="shared" si="264"/>
        <v>0</v>
      </c>
      <c r="AE239" s="128">
        <f t="shared" si="265"/>
        <v>0</v>
      </c>
      <c r="AF239" s="128">
        <f t="shared" si="266"/>
        <v>40</v>
      </c>
      <c r="AG239" s="128">
        <f t="shared" si="267"/>
        <v>24</v>
      </c>
      <c r="AH239" s="236">
        <f t="shared" si="268"/>
        <v>4000</v>
      </c>
      <c r="AI239" s="238"/>
      <c r="AJ239" s="244"/>
      <c r="AK239" s="244"/>
      <c r="AL239" s="162"/>
      <c r="AM239" s="127">
        <f t="shared" si="269"/>
        <v>0</v>
      </c>
      <c r="AN239" s="128">
        <f t="shared" si="270"/>
        <v>0</v>
      </c>
      <c r="AO239" s="128">
        <f t="shared" si="271"/>
        <v>0</v>
      </c>
      <c r="AP239" s="128">
        <f t="shared" si="272"/>
        <v>0</v>
      </c>
      <c r="AQ239" s="128">
        <f t="shared" si="273"/>
        <v>0</v>
      </c>
      <c r="AR239" s="128">
        <f t="shared" si="274"/>
        <v>0</v>
      </c>
      <c r="AS239" s="238"/>
    </row>
    <row r="240" spans="1:45" s="150" customFormat="1">
      <c r="A240" s="286" t="s">
        <v>272</v>
      </c>
      <c r="B240" s="18" t="s">
        <v>8</v>
      </c>
      <c r="C240" s="216">
        <v>1</v>
      </c>
      <c r="D240" s="91" t="s">
        <v>2</v>
      </c>
      <c r="E240" s="213">
        <v>550</v>
      </c>
      <c r="F240" s="217">
        <f t="shared" si="257"/>
        <v>550</v>
      </c>
      <c r="G240" s="218">
        <v>0</v>
      </c>
      <c r="H240" s="218">
        <v>80</v>
      </c>
      <c r="I240" s="218">
        <v>0</v>
      </c>
      <c r="J240" s="218">
        <v>8</v>
      </c>
      <c r="K240" s="219">
        <v>40</v>
      </c>
      <c r="L240" s="91" t="s">
        <v>7</v>
      </c>
      <c r="M240" s="213">
        <f t="shared" si="258"/>
        <v>10560</v>
      </c>
      <c r="N240" s="93">
        <v>1</v>
      </c>
      <c r="O240" s="214">
        <f t="shared" si="259"/>
        <v>11110</v>
      </c>
      <c r="P240" s="214"/>
      <c r="Q240" s="46" t="s">
        <v>31</v>
      </c>
      <c r="R240" s="66" t="s">
        <v>154</v>
      </c>
      <c r="S240" s="133" t="str">
        <f t="shared" si="260"/>
        <v>BPT2011</v>
      </c>
      <c r="T240" s="133" t="str">
        <f t="shared" si="261"/>
        <v>B1.2.2.5.12011</v>
      </c>
      <c r="U240" s="133" t="s">
        <v>204</v>
      </c>
      <c r="V240" s="215" t="str">
        <f t="shared" si="262"/>
        <v>RDO Board</v>
      </c>
      <c r="W240" s="42"/>
      <c r="X240" s="42"/>
      <c r="Y240" s="42"/>
      <c r="Z240" s="42"/>
      <c r="AA240" s="42"/>
      <c r="AB240" s="61">
        <v>2011</v>
      </c>
      <c r="AC240" s="128">
        <f t="shared" si="263"/>
        <v>0</v>
      </c>
      <c r="AD240" s="128">
        <f t="shared" si="264"/>
        <v>80</v>
      </c>
      <c r="AE240" s="128">
        <f t="shared" si="265"/>
        <v>0</v>
      </c>
      <c r="AF240" s="128">
        <f t="shared" si="266"/>
        <v>8</v>
      </c>
      <c r="AG240" s="128">
        <f t="shared" si="267"/>
        <v>40</v>
      </c>
      <c r="AH240" s="236">
        <f t="shared" si="268"/>
        <v>550</v>
      </c>
      <c r="AI240" s="238"/>
      <c r="AJ240" s="244"/>
      <c r="AK240" s="244"/>
      <c r="AL240" s="162"/>
      <c r="AM240" s="127">
        <f t="shared" si="269"/>
        <v>0</v>
      </c>
      <c r="AN240" s="128">
        <f t="shared" si="270"/>
        <v>0</v>
      </c>
      <c r="AO240" s="128">
        <f t="shared" si="271"/>
        <v>0</v>
      </c>
      <c r="AP240" s="128">
        <f t="shared" si="272"/>
        <v>0</v>
      </c>
      <c r="AQ240" s="128">
        <f t="shared" si="273"/>
        <v>0</v>
      </c>
      <c r="AR240" s="128">
        <f t="shared" si="274"/>
        <v>0</v>
      </c>
      <c r="AS240" s="238"/>
    </row>
    <row r="241" spans="1:45" s="150" customFormat="1">
      <c r="A241" s="286" t="s">
        <v>338</v>
      </c>
      <c r="B241" s="18" t="s">
        <v>8</v>
      </c>
      <c r="C241" s="216">
        <v>1</v>
      </c>
      <c r="D241" s="91" t="s">
        <v>2</v>
      </c>
      <c r="E241" s="213">
        <v>0</v>
      </c>
      <c r="F241" s="217">
        <f t="shared" si="257"/>
        <v>0</v>
      </c>
      <c r="G241" s="218">
        <v>0</v>
      </c>
      <c r="H241" s="218">
        <v>0</v>
      </c>
      <c r="I241" s="218">
        <v>0</v>
      </c>
      <c r="J241" s="218">
        <v>80</v>
      </c>
      <c r="K241" s="219">
        <v>0</v>
      </c>
      <c r="L241" s="91" t="s">
        <v>7</v>
      </c>
      <c r="M241" s="213">
        <f t="shared" si="258"/>
        <v>12000</v>
      </c>
      <c r="N241" s="93">
        <v>1</v>
      </c>
      <c r="O241" s="214">
        <f t="shared" si="259"/>
        <v>12000</v>
      </c>
      <c r="P241" s="214"/>
      <c r="Q241" s="46" t="s">
        <v>32</v>
      </c>
      <c r="R241" s="66" t="s">
        <v>154</v>
      </c>
      <c r="S241" s="133" t="str">
        <f t="shared" si="260"/>
        <v>CPT2012</v>
      </c>
      <c r="T241" s="133" t="str">
        <f t="shared" si="261"/>
        <v>C1.2.2.5.12012</v>
      </c>
      <c r="U241" s="133" t="s">
        <v>204</v>
      </c>
      <c r="V241" s="215" t="str">
        <f t="shared" si="262"/>
        <v>RDO Board</v>
      </c>
      <c r="W241" s="42"/>
      <c r="X241" s="42"/>
      <c r="Y241" s="42"/>
      <c r="Z241" s="42"/>
      <c r="AA241" s="42"/>
      <c r="AB241" s="61">
        <v>2012</v>
      </c>
      <c r="AC241" s="128">
        <f t="shared" si="263"/>
        <v>0</v>
      </c>
      <c r="AD241" s="128">
        <f t="shared" si="264"/>
        <v>0</v>
      </c>
      <c r="AE241" s="128">
        <f t="shared" si="265"/>
        <v>0</v>
      </c>
      <c r="AF241" s="128">
        <f t="shared" si="266"/>
        <v>0</v>
      </c>
      <c r="AG241" s="128">
        <f t="shared" si="267"/>
        <v>0</v>
      </c>
      <c r="AH241" s="236">
        <f t="shared" si="268"/>
        <v>0</v>
      </c>
      <c r="AI241" s="238"/>
      <c r="AJ241" s="244"/>
      <c r="AK241" s="244"/>
      <c r="AL241" s="162"/>
      <c r="AM241" s="127">
        <f t="shared" si="269"/>
        <v>0</v>
      </c>
      <c r="AN241" s="128">
        <f t="shared" si="270"/>
        <v>0</v>
      </c>
      <c r="AO241" s="128">
        <f t="shared" si="271"/>
        <v>0</v>
      </c>
      <c r="AP241" s="128">
        <f t="shared" si="272"/>
        <v>80</v>
      </c>
      <c r="AQ241" s="128">
        <f t="shared" si="273"/>
        <v>0</v>
      </c>
      <c r="AR241" s="128">
        <f t="shared" si="274"/>
        <v>0</v>
      </c>
      <c r="AS241" s="238"/>
    </row>
    <row r="242" spans="1:45" s="150" customFormat="1">
      <c r="A242" s="286" t="s">
        <v>339</v>
      </c>
      <c r="B242" s="18" t="s">
        <v>8</v>
      </c>
      <c r="C242" s="216">
        <v>5</v>
      </c>
      <c r="D242" s="91" t="s">
        <v>2</v>
      </c>
      <c r="E242" s="213">
        <v>800</v>
      </c>
      <c r="F242" s="217">
        <f t="shared" si="257"/>
        <v>4000</v>
      </c>
      <c r="G242" s="218">
        <v>0</v>
      </c>
      <c r="H242" s="218">
        <v>0</v>
      </c>
      <c r="I242" s="218">
        <v>0</v>
      </c>
      <c r="J242" s="218">
        <v>40</v>
      </c>
      <c r="K242" s="219">
        <v>0</v>
      </c>
      <c r="L242" s="91" t="s">
        <v>7</v>
      </c>
      <c r="M242" s="213">
        <f t="shared" si="258"/>
        <v>6000</v>
      </c>
      <c r="N242" s="93">
        <v>1</v>
      </c>
      <c r="O242" s="214">
        <f t="shared" si="259"/>
        <v>10000</v>
      </c>
      <c r="P242" s="214"/>
      <c r="Q242" s="46" t="s">
        <v>32</v>
      </c>
      <c r="R242" s="66" t="s">
        <v>154</v>
      </c>
      <c r="S242" s="133" t="str">
        <f t="shared" si="260"/>
        <v>CPT2012</v>
      </c>
      <c r="T242" s="133" t="str">
        <f t="shared" si="261"/>
        <v>C1.2.2.5.12012</v>
      </c>
      <c r="U242" s="133" t="s">
        <v>204</v>
      </c>
      <c r="V242" s="215" t="str">
        <f t="shared" si="262"/>
        <v>RDO Board</v>
      </c>
      <c r="W242" s="42"/>
      <c r="X242" s="42"/>
      <c r="Y242" s="42"/>
      <c r="Z242" s="42"/>
      <c r="AA242" s="42"/>
      <c r="AB242" s="61">
        <v>2012</v>
      </c>
      <c r="AC242" s="128">
        <f t="shared" si="263"/>
        <v>0</v>
      </c>
      <c r="AD242" s="128">
        <f t="shared" si="264"/>
        <v>0</v>
      </c>
      <c r="AE242" s="128">
        <f t="shared" si="265"/>
        <v>0</v>
      </c>
      <c r="AF242" s="128">
        <f t="shared" si="266"/>
        <v>0</v>
      </c>
      <c r="AG242" s="128">
        <f t="shared" si="267"/>
        <v>0</v>
      </c>
      <c r="AH242" s="236">
        <f t="shared" si="268"/>
        <v>0</v>
      </c>
      <c r="AI242" s="238"/>
      <c r="AJ242" s="244"/>
      <c r="AK242" s="244"/>
      <c r="AL242" s="162"/>
      <c r="AM242" s="127">
        <f t="shared" si="269"/>
        <v>0</v>
      </c>
      <c r="AN242" s="128">
        <f t="shared" si="270"/>
        <v>0</v>
      </c>
      <c r="AO242" s="128">
        <f t="shared" si="271"/>
        <v>0</v>
      </c>
      <c r="AP242" s="128">
        <f t="shared" si="272"/>
        <v>40</v>
      </c>
      <c r="AQ242" s="128">
        <f t="shared" si="273"/>
        <v>0</v>
      </c>
      <c r="AR242" s="128">
        <f t="shared" si="274"/>
        <v>4000</v>
      </c>
      <c r="AS242" s="238"/>
    </row>
    <row r="243" spans="1:45" s="150" customFormat="1">
      <c r="A243" s="286" t="s">
        <v>340</v>
      </c>
      <c r="B243" s="18" t="s">
        <v>8</v>
      </c>
      <c r="C243" s="216">
        <v>5</v>
      </c>
      <c r="D243" s="91" t="s">
        <v>2</v>
      </c>
      <c r="E243" s="213">
        <v>550</v>
      </c>
      <c r="F243" s="217">
        <f t="shared" si="257"/>
        <v>2750</v>
      </c>
      <c r="G243" s="218">
        <v>0</v>
      </c>
      <c r="H243" s="218">
        <v>80</v>
      </c>
      <c r="I243" s="218">
        <v>0</v>
      </c>
      <c r="J243" s="218">
        <v>8</v>
      </c>
      <c r="K243" s="219">
        <v>0</v>
      </c>
      <c r="L243" s="91" t="s">
        <v>7</v>
      </c>
      <c r="M243" s="213">
        <f t="shared" si="258"/>
        <v>10560</v>
      </c>
      <c r="N243" s="93">
        <v>1</v>
      </c>
      <c r="O243" s="214">
        <f t="shared" si="259"/>
        <v>13310</v>
      </c>
      <c r="P243" s="214"/>
      <c r="Q243" s="46" t="s">
        <v>32</v>
      </c>
      <c r="R243" s="66" t="s">
        <v>154</v>
      </c>
      <c r="S243" s="133" t="str">
        <f t="shared" si="260"/>
        <v>CPT2012</v>
      </c>
      <c r="T243" s="133" t="str">
        <f t="shared" si="261"/>
        <v>C1.2.2.5.12012</v>
      </c>
      <c r="U243" s="133" t="s">
        <v>204</v>
      </c>
      <c r="V243" s="215" t="str">
        <f t="shared" si="262"/>
        <v>RDO Board</v>
      </c>
      <c r="W243" s="42"/>
      <c r="X243" s="42"/>
      <c r="Y243" s="42"/>
      <c r="Z243" s="42"/>
      <c r="AA243" s="42"/>
      <c r="AB243" s="61">
        <v>2012</v>
      </c>
      <c r="AC243" s="128">
        <f t="shared" si="263"/>
        <v>0</v>
      </c>
      <c r="AD243" s="128">
        <f t="shared" si="264"/>
        <v>0</v>
      </c>
      <c r="AE243" s="128">
        <f t="shared" si="265"/>
        <v>0</v>
      </c>
      <c r="AF243" s="128">
        <f t="shared" si="266"/>
        <v>0</v>
      </c>
      <c r="AG243" s="128">
        <f t="shared" si="267"/>
        <v>0</v>
      </c>
      <c r="AH243" s="236">
        <f t="shared" si="268"/>
        <v>0</v>
      </c>
      <c r="AI243" s="238"/>
      <c r="AJ243" s="244"/>
      <c r="AK243" s="244"/>
      <c r="AL243" s="162"/>
      <c r="AM243" s="127">
        <f t="shared" si="269"/>
        <v>0</v>
      </c>
      <c r="AN243" s="128">
        <f t="shared" si="270"/>
        <v>80</v>
      </c>
      <c r="AO243" s="128">
        <f t="shared" si="271"/>
        <v>0</v>
      </c>
      <c r="AP243" s="128">
        <f t="shared" si="272"/>
        <v>8</v>
      </c>
      <c r="AQ243" s="128">
        <f t="shared" si="273"/>
        <v>0</v>
      </c>
      <c r="AR243" s="128">
        <f t="shared" si="274"/>
        <v>2750</v>
      </c>
      <c r="AS243" s="238"/>
    </row>
    <row r="244" spans="1:45" s="150" customFormat="1">
      <c r="A244" s="286" t="s">
        <v>288</v>
      </c>
      <c r="B244" s="18" t="s">
        <v>8</v>
      </c>
      <c r="C244" s="216">
        <v>15</v>
      </c>
      <c r="D244" s="91" t="s">
        <v>2</v>
      </c>
      <c r="E244" s="213">
        <v>800</v>
      </c>
      <c r="F244" s="217">
        <f t="shared" si="257"/>
        <v>12000</v>
      </c>
      <c r="G244" s="218">
        <v>0</v>
      </c>
      <c r="H244" s="218">
        <v>0</v>
      </c>
      <c r="I244" s="218">
        <v>16</v>
      </c>
      <c r="J244" s="218">
        <v>16</v>
      </c>
      <c r="K244" s="218">
        <v>40</v>
      </c>
      <c r="L244" s="91" t="s">
        <v>7</v>
      </c>
      <c r="M244" s="213">
        <f t="shared" si="258"/>
        <v>1944.0000000000002</v>
      </c>
      <c r="N244" s="93">
        <v>1</v>
      </c>
      <c r="O244" s="214">
        <f t="shared" si="259"/>
        <v>13944</v>
      </c>
      <c r="P244" s="214"/>
      <c r="Q244" s="46" t="s">
        <v>31</v>
      </c>
      <c r="R244" s="66" t="s">
        <v>49</v>
      </c>
      <c r="S244" s="133" t="str">
        <f t="shared" si="260"/>
        <v>BPD2013</v>
      </c>
      <c r="T244" s="133" t="str">
        <f t="shared" si="261"/>
        <v>B1.2.2.5.12013</v>
      </c>
      <c r="U244" s="133" t="s">
        <v>204</v>
      </c>
      <c r="V244" s="215" t="str">
        <f t="shared" si="262"/>
        <v>RDO Board</v>
      </c>
      <c r="W244" s="42"/>
      <c r="X244" s="42"/>
      <c r="Y244" s="42"/>
      <c r="Z244" s="42"/>
      <c r="AA244" s="42"/>
      <c r="AB244" s="61">
        <v>2013</v>
      </c>
      <c r="AC244" s="128">
        <f t="shared" si="263"/>
        <v>0</v>
      </c>
      <c r="AD244" s="128">
        <f t="shared" si="264"/>
        <v>0</v>
      </c>
      <c r="AE244" s="128">
        <f t="shared" si="265"/>
        <v>16</v>
      </c>
      <c r="AF244" s="128">
        <f t="shared" si="266"/>
        <v>16</v>
      </c>
      <c r="AG244" s="128">
        <f t="shared" si="267"/>
        <v>40</v>
      </c>
      <c r="AH244" s="236">
        <f t="shared" si="268"/>
        <v>12000</v>
      </c>
      <c r="AI244" s="238"/>
      <c r="AJ244" s="244"/>
      <c r="AK244" s="244"/>
      <c r="AL244" s="162"/>
      <c r="AM244" s="127">
        <f t="shared" si="269"/>
        <v>0</v>
      </c>
      <c r="AN244" s="128">
        <f t="shared" si="270"/>
        <v>0</v>
      </c>
      <c r="AO244" s="128">
        <f t="shared" si="271"/>
        <v>0</v>
      </c>
      <c r="AP244" s="128">
        <f t="shared" si="272"/>
        <v>0</v>
      </c>
      <c r="AQ244" s="128">
        <f t="shared" si="273"/>
        <v>0</v>
      </c>
      <c r="AR244" s="128">
        <f t="shared" si="274"/>
        <v>0</v>
      </c>
      <c r="AS244" s="238"/>
    </row>
    <row r="245" spans="1:45" s="150" customFormat="1">
      <c r="A245" s="286" t="s">
        <v>404</v>
      </c>
      <c r="B245" s="18" t="s">
        <v>8</v>
      </c>
      <c r="C245" s="216">
        <v>8</v>
      </c>
      <c r="D245" s="91" t="s">
        <v>2</v>
      </c>
      <c r="E245" s="213">
        <v>550</v>
      </c>
      <c r="F245" s="217">
        <f>E245*C245</f>
        <v>4400</v>
      </c>
      <c r="G245" s="218">
        <v>0</v>
      </c>
      <c r="H245" s="218">
        <v>120</v>
      </c>
      <c r="I245" s="218">
        <v>0</v>
      </c>
      <c r="J245" s="218">
        <v>8</v>
      </c>
      <c r="K245" s="218">
        <v>40</v>
      </c>
      <c r="L245" s="91" t="s">
        <v>7</v>
      </c>
      <c r="M245" s="213">
        <f>IF(R245="PD",((Shop*G245)+(M_Tech*H245)+(CMM*I245)+(ENG*J245)+(DES*K245))*N245,((Shop_RD*G245)+(MTECH_RD*H245)+(CMM_RD*I245)+(ENG_RD*J245)+(DES_RD*K245))*N245)</f>
        <v>12344.400000000001</v>
      </c>
      <c r="N245" s="93">
        <v>1</v>
      </c>
      <c r="O245" s="214">
        <f>M245+(F245*N245)</f>
        <v>16744.400000000001</v>
      </c>
      <c r="P245" s="214"/>
      <c r="Q245" s="46" t="s">
        <v>31</v>
      </c>
      <c r="R245" s="66" t="s">
        <v>49</v>
      </c>
      <c r="S245" s="133" t="str">
        <f>CONCATENATE(Q245,R245,AB245)</f>
        <v>BPD2013</v>
      </c>
      <c r="T245" s="133" t="str">
        <f>CONCATENATE(Q245,U245,AB245)</f>
        <v>B1.2.2.5.12013</v>
      </c>
      <c r="U245" s="133" t="s">
        <v>204</v>
      </c>
      <c r="V245" s="215" t="str">
        <f t="shared" si="262"/>
        <v>RDO Board</v>
      </c>
      <c r="W245" s="42"/>
      <c r="X245" s="42"/>
      <c r="Y245" s="42"/>
      <c r="Z245" s="42"/>
      <c r="AA245" s="42"/>
      <c r="AB245" s="61">
        <v>2013</v>
      </c>
      <c r="AC245" s="128">
        <f>IF($Q245="B", (G245*$N245),0)</f>
        <v>0</v>
      </c>
      <c r="AD245" s="128">
        <f>IF($Q245="B", (H245*$N245),0)</f>
        <v>120</v>
      </c>
      <c r="AE245" s="128">
        <f>IF($Q245="B", (I245*$N245),0)</f>
        <v>0</v>
      </c>
      <c r="AF245" s="128">
        <f>IF($Q245="B", (J245*$N245),0)</f>
        <v>8</v>
      </c>
      <c r="AG245" s="128">
        <f>IF($Q245="B", (K245*$N245),0)</f>
        <v>40</v>
      </c>
      <c r="AH245" s="236">
        <f>IF($Q245="B", (F245*$N245),0)</f>
        <v>4400</v>
      </c>
      <c r="AI245" s="238"/>
      <c r="AJ245" s="244"/>
      <c r="AK245" s="244"/>
      <c r="AL245" s="162"/>
      <c r="AM245" s="127">
        <f>IF($Q245="C", (G245*$N245),0)</f>
        <v>0</v>
      </c>
      <c r="AN245" s="128">
        <f>IF($Q245="C", (H245*$N245),0)</f>
        <v>0</v>
      </c>
      <c r="AO245" s="128">
        <f>IF($Q245="C", (I245*$N245),0)</f>
        <v>0</v>
      </c>
      <c r="AP245" s="128">
        <f>IF($Q245="C", (J245*$N245),0)</f>
        <v>0</v>
      </c>
      <c r="AQ245" s="128">
        <f>IF($Q245="C", (K245*$N245),0)</f>
        <v>0</v>
      </c>
      <c r="AR245" s="128">
        <f>IF($Q245="C", (F245*$N245),0)</f>
        <v>0</v>
      </c>
      <c r="AS245" s="238"/>
    </row>
    <row r="246" spans="1:45" s="150" customFormat="1">
      <c r="A246" s="286" t="s">
        <v>405</v>
      </c>
      <c r="B246" s="18" t="s">
        <v>8</v>
      </c>
      <c r="C246" s="216">
        <v>7</v>
      </c>
      <c r="D246" s="91" t="s">
        <v>2</v>
      </c>
      <c r="E246" s="213">
        <v>550</v>
      </c>
      <c r="F246" s="217">
        <f t="shared" si="257"/>
        <v>3850</v>
      </c>
      <c r="G246" s="218">
        <v>0</v>
      </c>
      <c r="H246" s="218">
        <v>120</v>
      </c>
      <c r="I246" s="218">
        <v>0</v>
      </c>
      <c r="J246" s="218">
        <v>8</v>
      </c>
      <c r="K246" s="218">
        <v>40</v>
      </c>
      <c r="L246" s="91" t="s">
        <v>7</v>
      </c>
      <c r="M246" s="213">
        <f t="shared" si="258"/>
        <v>12344.400000000001</v>
      </c>
      <c r="N246" s="93">
        <v>1</v>
      </c>
      <c r="O246" s="214">
        <f t="shared" si="259"/>
        <v>16194.400000000001</v>
      </c>
      <c r="P246" s="214"/>
      <c r="Q246" s="46" t="s">
        <v>31</v>
      </c>
      <c r="R246" s="66" t="s">
        <v>49</v>
      </c>
      <c r="S246" s="133" t="str">
        <f t="shared" si="260"/>
        <v>BPD2013</v>
      </c>
      <c r="T246" s="133" t="str">
        <f t="shared" si="261"/>
        <v>B1.2.2.5.12013</v>
      </c>
      <c r="U246" s="133" t="s">
        <v>204</v>
      </c>
      <c r="V246" s="215" t="str">
        <f t="shared" si="262"/>
        <v>RDO Board</v>
      </c>
      <c r="W246" s="42"/>
      <c r="X246" s="42"/>
      <c r="Y246" s="42"/>
      <c r="Z246" s="42"/>
      <c r="AA246" s="42"/>
      <c r="AB246" s="61">
        <v>2013</v>
      </c>
      <c r="AC246" s="128">
        <f t="shared" si="263"/>
        <v>0</v>
      </c>
      <c r="AD246" s="128">
        <f t="shared" si="264"/>
        <v>120</v>
      </c>
      <c r="AE246" s="128">
        <f t="shared" si="265"/>
        <v>0</v>
      </c>
      <c r="AF246" s="128">
        <f t="shared" si="266"/>
        <v>8</v>
      </c>
      <c r="AG246" s="128">
        <f t="shared" si="267"/>
        <v>40</v>
      </c>
      <c r="AH246" s="236">
        <f t="shared" si="268"/>
        <v>3850</v>
      </c>
      <c r="AI246" s="238"/>
      <c r="AJ246" s="244"/>
      <c r="AK246" s="244"/>
      <c r="AL246" s="162"/>
      <c r="AM246" s="127">
        <f t="shared" si="269"/>
        <v>0</v>
      </c>
      <c r="AN246" s="128">
        <f t="shared" si="270"/>
        <v>0</v>
      </c>
      <c r="AO246" s="128">
        <f t="shared" si="271"/>
        <v>0</v>
      </c>
      <c r="AP246" s="128">
        <f t="shared" si="272"/>
        <v>0</v>
      </c>
      <c r="AQ246" s="128">
        <f t="shared" si="273"/>
        <v>0</v>
      </c>
      <c r="AR246" s="128">
        <f t="shared" si="274"/>
        <v>0</v>
      </c>
      <c r="AS246" s="238"/>
    </row>
    <row r="247" spans="1:45" s="150" customFormat="1">
      <c r="A247" s="286" t="s">
        <v>341</v>
      </c>
      <c r="B247" s="18" t="s">
        <v>8</v>
      </c>
      <c r="C247" s="216">
        <v>15</v>
      </c>
      <c r="D247" s="91" t="s">
        <v>2</v>
      </c>
      <c r="E247" s="213">
        <v>0</v>
      </c>
      <c r="F247" s="217">
        <f t="shared" si="257"/>
        <v>0</v>
      </c>
      <c r="G247" s="218">
        <v>0</v>
      </c>
      <c r="H247" s="218">
        <v>0</v>
      </c>
      <c r="I247" s="218">
        <v>120</v>
      </c>
      <c r="J247" s="218">
        <v>0</v>
      </c>
      <c r="K247" s="218">
        <v>80</v>
      </c>
      <c r="L247" s="91" t="s">
        <v>7</v>
      </c>
      <c r="M247" s="213">
        <f t="shared" si="258"/>
        <v>0</v>
      </c>
      <c r="N247" s="93">
        <v>1</v>
      </c>
      <c r="O247" s="214">
        <f t="shared" si="259"/>
        <v>0</v>
      </c>
      <c r="P247" s="214"/>
      <c r="Q247" s="46" t="s">
        <v>31</v>
      </c>
      <c r="R247" s="66" t="s">
        <v>49</v>
      </c>
      <c r="S247" s="133" t="str">
        <f t="shared" si="260"/>
        <v>BPD2013</v>
      </c>
      <c r="T247" s="133" t="str">
        <f t="shared" si="261"/>
        <v>B1.2.2.5.12013</v>
      </c>
      <c r="U247" s="133" t="s">
        <v>204</v>
      </c>
      <c r="V247" s="215" t="str">
        <f t="shared" si="262"/>
        <v>RDO Board</v>
      </c>
      <c r="W247" s="42"/>
      <c r="X247" s="42"/>
      <c r="Y247" s="42"/>
      <c r="Z247" s="42"/>
      <c r="AA247" s="42"/>
      <c r="AB247" s="61">
        <v>2013</v>
      </c>
      <c r="AC247" s="128">
        <f t="shared" si="263"/>
        <v>0</v>
      </c>
      <c r="AD247" s="128">
        <f t="shared" si="264"/>
        <v>0</v>
      </c>
      <c r="AE247" s="128">
        <f t="shared" si="265"/>
        <v>120</v>
      </c>
      <c r="AF247" s="128">
        <f t="shared" si="266"/>
        <v>0</v>
      </c>
      <c r="AG247" s="128">
        <f t="shared" si="267"/>
        <v>80</v>
      </c>
      <c r="AH247" s="236">
        <f t="shared" si="268"/>
        <v>0</v>
      </c>
      <c r="AI247" s="238"/>
      <c r="AJ247" s="244"/>
      <c r="AK247" s="244"/>
      <c r="AL247" s="162"/>
      <c r="AM247" s="127">
        <f t="shared" si="269"/>
        <v>0</v>
      </c>
      <c r="AN247" s="128">
        <f t="shared" si="270"/>
        <v>0</v>
      </c>
      <c r="AO247" s="128">
        <f t="shared" si="271"/>
        <v>0</v>
      </c>
      <c r="AP247" s="128">
        <f t="shared" si="272"/>
        <v>0</v>
      </c>
      <c r="AQ247" s="128">
        <f t="shared" si="273"/>
        <v>0</v>
      </c>
      <c r="AR247" s="128">
        <f t="shared" si="274"/>
        <v>0</v>
      </c>
      <c r="AS247" s="238"/>
    </row>
    <row r="248" spans="1:45" s="150" customFormat="1">
      <c r="A248" s="286" t="s">
        <v>332</v>
      </c>
      <c r="B248" s="18" t="s">
        <v>8</v>
      </c>
      <c r="C248" s="216">
        <v>12</v>
      </c>
      <c r="D248" s="91" t="s">
        <v>2</v>
      </c>
      <c r="E248" s="213">
        <v>3000</v>
      </c>
      <c r="F248" s="217">
        <f t="shared" si="257"/>
        <v>36000</v>
      </c>
      <c r="G248" s="218">
        <v>0</v>
      </c>
      <c r="H248" s="218">
        <v>0</v>
      </c>
      <c r="I248" s="218">
        <v>16</v>
      </c>
      <c r="J248" s="218">
        <v>8</v>
      </c>
      <c r="K248" s="218">
        <v>32</v>
      </c>
      <c r="L248" s="91" t="s">
        <v>7</v>
      </c>
      <c r="M248" s="213">
        <f t="shared" si="258"/>
        <v>972.00000000000011</v>
      </c>
      <c r="N248" s="93">
        <v>1</v>
      </c>
      <c r="O248" s="214">
        <f t="shared" si="259"/>
        <v>36972</v>
      </c>
      <c r="P248" s="214"/>
      <c r="Q248" s="46" t="s">
        <v>31</v>
      </c>
      <c r="R248" s="66" t="s">
        <v>49</v>
      </c>
      <c r="S248" s="133" t="str">
        <f t="shared" si="260"/>
        <v>BPD2013</v>
      </c>
      <c r="T248" s="133" t="str">
        <f t="shared" si="261"/>
        <v>B1.2.2.5.12013</v>
      </c>
      <c r="U248" s="133" t="s">
        <v>204</v>
      </c>
      <c r="V248" s="215" t="str">
        <f t="shared" si="262"/>
        <v>RDO Board</v>
      </c>
      <c r="W248" s="42"/>
      <c r="X248" s="42"/>
      <c r="Y248" s="42"/>
      <c r="Z248" s="42"/>
      <c r="AA248" s="42"/>
      <c r="AB248" s="61">
        <v>2013</v>
      </c>
      <c r="AC248" s="128">
        <f t="shared" si="263"/>
        <v>0</v>
      </c>
      <c r="AD248" s="128">
        <f t="shared" si="264"/>
        <v>0</v>
      </c>
      <c r="AE248" s="128">
        <f t="shared" si="265"/>
        <v>16</v>
      </c>
      <c r="AF248" s="128">
        <f t="shared" si="266"/>
        <v>8</v>
      </c>
      <c r="AG248" s="128">
        <f t="shared" si="267"/>
        <v>32</v>
      </c>
      <c r="AH248" s="236">
        <f t="shared" si="268"/>
        <v>36000</v>
      </c>
      <c r="AI248" s="238"/>
      <c r="AJ248" s="244"/>
      <c r="AK248" s="244"/>
      <c r="AL248" s="162"/>
      <c r="AM248" s="127">
        <f t="shared" si="269"/>
        <v>0</v>
      </c>
      <c r="AN248" s="128">
        <f t="shared" si="270"/>
        <v>0</v>
      </c>
      <c r="AO248" s="128">
        <f t="shared" si="271"/>
        <v>0</v>
      </c>
      <c r="AP248" s="128">
        <f t="shared" si="272"/>
        <v>0</v>
      </c>
      <c r="AQ248" s="128">
        <f t="shared" si="273"/>
        <v>0</v>
      </c>
      <c r="AR248" s="128">
        <f t="shared" si="274"/>
        <v>0</v>
      </c>
      <c r="AS248" s="238"/>
    </row>
    <row r="249" spans="1:45" s="150" customFormat="1">
      <c r="A249" s="286" t="s">
        <v>336</v>
      </c>
      <c r="B249" s="18" t="s">
        <v>8</v>
      </c>
      <c r="C249" s="216">
        <v>12</v>
      </c>
      <c r="D249" s="91" t="s">
        <v>2</v>
      </c>
      <c r="E249" s="213">
        <v>1500</v>
      </c>
      <c r="F249" s="217">
        <f t="shared" si="257"/>
        <v>18000</v>
      </c>
      <c r="G249" s="218">
        <v>0</v>
      </c>
      <c r="H249" s="218">
        <v>0</v>
      </c>
      <c r="I249" s="218">
        <v>16</v>
      </c>
      <c r="J249" s="218">
        <v>8</v>
      </c>
      <c r="K249" s="218">
        <v>32</v>
      </c>
      <c r="L249" s="91" t="s">
        <v>7</v>
      </c>
      <c r="M249" s="213">
        <f t="shared" si="258"/>
        <v>972.00000000000011</v>
      </c>
      <c r="N249" s="93">
        <v>1</v>
      </c>
      <c r="O249" s="214">
        <f t="shared" si="259"/>
        <v>18972</v>
      </c>
      <c r="P249" s="214"/>
      <c r="Q249" s="46" t="s">
        <v>31</v>
      </c>
      <c r="R249" s="66" t="s">
        <v>49</v>
      </c>
      <c r="S249" s="133" t="str">
        <f t="shared" si="260"/>
        <v>BPD2013</v>
      </c>
      <c r="T249" s="133" t="str">
        <f t="shared" si="261"/>
        <v>B1.2.2.5.12013</v>
      </c>
      <c r="U249" s="133" t="s">
        <v>204</v>
      </c>
      <c r="V249" s="215" t="str">
        <f t="shared" si="262"/>
        <v>RDO Board</v>
      </c>
      <c r="W249" s="42"/>
      <c r="X249" s="42"/>
      <c r="Y249" s="42"/>
      <c r="Z249" s="42"/>
      <c r="AA249" s="42"/>
      <c r="AB249" s="61">
        <v>2013</v>
      </c>
      <c r="AC249" s="128">
        <f t="shared" si="263"/>
        <v>0</v>
      </c>
      <c r="AD249" s="128">
        <f t="shared" si="264"/>
        <v>0</v>
      </c>
      <c r="AE249" s="128">
        <f t="shared" si="265"/>
        <v>16</v>
      </c>
      <c r="AF249" s="128">
        <f t="shared" si="266"/>
        <v>8</v>
      </c>
      <c r="AG249" s="128">
        <f t="shared" si="267"/>
        <v>32</v>
      </c>
      <c r="AH249" s="236">
        <f t="shared" si="268"/>
        <v>18000</v>
      </c>
      <c r="AI249" s="238"/>
      <c r="AJ249" s="244"/>
      <c r="AK249" s="244"/>
      <c r="AL249" s="162"/>
      <c r="AM249" s="127">
        <f t="shared" si="269"/>
        <v>0</v>
      </c>
      <c r="AN249" s="128">
        <f t="shared" si="270"/>
        <v>0</v>
      </c>
      <c r="AO249" s="128">
        <f t="shared" si="271"/>
        <v>0</v>
      </c>
      <c r="AP249" s="128">
        <f t="shared" si="272"/>
        <v>0</v>
      </c>
      <c r="AQ249" s="128">
        <f t="shared" si="273"/>
        <v>0</v>
      </c>
      <c r="AR249" s="128">
        <f t="shared" si="274"/>
        <v>0</v>
      </c>
      <c r="AS249" s="238"/>
    </row>
    <row r="250" spans="1:45" s="150" customFormat="1">
      <c r="A250" s="286" t="s">
        <v>333</v>
      </c>
      <c r="B250" s="18" t="s">
        <v>8</v>
      </c>
      <c r="C250" s="216">
        <v>12</v>
      </c>
      <c r="D250" s="91" t="s">
        <v>2</v>
      </c>
      <c r="E250" s="213">
        <v>1000</v>
      </c>
      <c r="F250" s="217">
        <f t="shared" si="257"/>
        <v>12000</v>
      </c>
      <c r="G250" s="218">
        <v>0</v>
      </c>
      <c r="H250" s="218">
        <v>0</v>
      </c>
      <c r="I250" s="218">
        <v>16</v>
      </c>
      <c r="J250" s="218">
        <v>0</v>
      </c>
      <c r="K250" s="218">
        <v>40</v>
      </c>
      <c r="L250" s="91" t="s">
        <v>7</v>
      </c>
      <c r="M250" s="213">
        <f t="shared" si="258"/>
        <v>0</v>
      </c>
      <c r="N250" s="93">
        <v>1</v>
      </c>
      <c r="O250" s="214">
        <f t="shared" si="259"/>
        <v>12000</v>
      </c>
      <c r="P250" s="214"/>
      <c r="Q250" s="46" t="s">
        <v>31</v>
      </c>
      <c r="R250" s="66" t="s">
        <v>49</v>
      </c>
      <c r="S250" s="133" t="str">
        <f t="shared" si="260"/>
        <v>BPD2013</v>
      </c>
      <c r="T250" s="133" t="str">
        <f t="shared" si="261"/>
        <v>B1.2.2.5.12013</v>
      </c>
      <c r="U250" s="133" t="s">
        <v>204</v>
      </c>
      <c r="V250" s="215" t="str">
        <f t="shared" si="262"/>
        <v>RDO Board</v>
      </c>
      <c r="W250" s="42"/>
      <c r="X250" s="42"/>
      <c r="Y250" s="42"/>
      <c r="Z250" s="42"/>
      <c r="AA250" s="42"/>
      <c r="AB250" s="61">
        <v>2013</v>
      </c>
      <c r="AC250" s="128">
        <f t="shared" si="263"/>
        <v>0</v>
      </c>
      <c r="AD250" s="128">
        <f t="shared" si="264"/>
        <v>0</v>
      </c>
      <c r="AE250" s="128">
        <f t="shared" si="265"/>
        <v>16</v>
      </c>
      <c r="AF250" s="128">
        <f t="shared" si="266"/>
        <v>0</v>
      </c>
      <c r="AG250" s="128">
        <f t="shared" si="267"/>
        <v>40</v>
      </c>
      <c r="AH250" s="236">
        <f t="shared" si="268"/>
        <v>12000</v>
      </c>
      <c r="AI250" s="238"/>
      <c r="AJ250" s="244"/>
      <c r="AK250" s="244"/>
      <c r="AL250" s="162"/>
      <c r="AM250" s="127">
        <f t="shared" si="269"/>
        <v>0</v>
      </c>
      <c r="AN250" s="128">
        <f t="shared" si="270"/>
        <v>0</v>
      </c>
      <c r="AO250" s="128">
        <f t="shared" si="271"/>
        <v>0</v>
      </c>
      <c r="AP250" s="128">
        <f t="shared" si="272"/>
        <v>0</v>
      </c>
      <c r="AQ250" s="128">
        <f t="shared" si="273"/>
        <v>0</v>
      </c>
      <c r="AR250" s="128">
        <f t="shared" si="274"/>
        <v>0</v>
      </c>
      <c r="AS250" s="238"/>
    </row>
    <row r="251" spans="1:45" s="150" customFormat="1">
      <c r="A251" s="149" t="s">
        <v>361</v>
      </c>
      <c r="B251" s="91" t="s">
        <v>8</v>
      </c>
      <c r="C251" s="161">
        <v>12</v>
      </c>
      <c r="D251" s="87" t="s">
        <v>2</v>
      </c>
      <c r="E251" s="162">
        <v>800</v>
      </c>
      <c r="F251" s="163">
        <f t="shared" ref="F251:F259" si="275">E251*C251</f>
        <v>9600</v>
      </c>
      <c r="G251" s="164">
        <v>0</v>
      </c>
      <c r="H251" s="164">
        <v>0</v>
      </c>
      <c r="I251" s="164">
        <v>16</v>
      </c>
      <c r="J251" s="164">
        <v>16</v>
      </c>
      <c r="K251" s="164">
        <v>40</v>
      </c>
      <c r="L251" s="91" t="s">
        <v>7</v>
      </c>
      <c r="M251" s="162">
        <f t="shared" ref="M251:M259" si="276">IF(R251="PD",((Shop*G251)+(M_Tech*H251)+(CMM*I251)+(ENG*J251)+(DES*K251))*N251,((Shop_RD*G251)+(MTECH_RD*H251)+(CMM_RD*I251)+(ENG_RD*J251)+(DES_RD*K251))*N251)</f>
        <v>1944.0000000000002</v>
      </c>
      <c r="N251" s="87">
        <v>1</v>
      </c>
      <c r="O251" s="166">
        <f t="shared" ref="O251:O259" si="277">M251+(F251*N251)</f>
        <v>11544</v>
      </c>
      <c r="P251" s="287"/>
      <c r="Q251" s="52" t="s">
        <v>31</v>
      </c>
      <c r="R251" s="278" t="s">
        <v>49</v>
      </c>
      <c r="S251" s="133" t="str">
        <f t="shared" ref="S251:S259" si="278">CONCATENATE(Q251,R251,AB251)</f>
        <v>BPD2012</v>
      </c>
      <c r="T251" s="133" t="str">
        <f t="shared" ref="T251:T259" si="279">CONCATENATE(Q251,U251,AB251)</f>
        <v>B1.2.2.5.12012</v>
      </c>
      <c r="U251" s="133" t="s">
        <v>204</v>
      </c>
      <c r="V251" s="133" t="str">
        <f t="shared" si="262"/>
        <v>RDO Board</v>
      </c>
      <c r="W251" s="42"/>
      <c r="X251" s="42"/>
      <c r="Y251" s="42"/>
      <c r="Z251" s="42"/>
      <c r="AA251" s="42"/>
      <c r="AB251" s="61">
        <v>2012</v>
      </c>
      <c r="AC251" s="128">
        <f t="shared" ref="AC251:AC259" si="280">IF($Q251="B", (G251*$N251),0)</f>
        <v>0</v>
      </c>
      <c r="AD251" s="128">
        <f t="shared" ref="AD251:AD259" si="281">IF($Q251="B", (H251*$N251),0)</f>
        <v>0</v>
      </c>
      <c r="AE251" s="128">
        <f t="shared" ref="AE251:AE259" si="282">IF($Q251="B", (I251*$N251),0)</f>
        <v>16</v>
      </c>
      <c r="AF251" s="128">
        <f t="shared" ref="AF251:AF259" si="283">IF($Q251="B", (J251*$N251),0)</f>
        <v>16</v>
      </c>
      <c r="AG251" s="128">
        <f t="shared" ref="AG251:AG259" si="284">IF($Q251="B", (K251*$N251),0)</f>
        <v>40</v>
      </c>
      <c r="AH251" s="236">
        <f t="shared" ref="AH251:AH259" si="285">IF($Q251="B", (F251*$N251),0)</f>
        <v>9600</v>
      </c>
      <c r="AI251" s="288"/>
      <c r="AJ251" s="289"/>
      <c r="AK251" s="289"/>
      <c r="AL251" s="148"/>
      <c r="AM251" s="127">
        <f t="shared" ref="AM251:AM259" si="286">IF($Q251="C", (G251*$N251),0)</f>
        <v>0</v>
      </c>
      <c r="AN251" s="128">
        <f t="shared" ref="AN251:AN259" si="287">IF($Q251="C", (H251*$N251),0)</f>
        <v>0</v>
      </c>
      <c r="AO251" s="128">
        <f t="shared" ref="AO251:AO259" si="288">IF($Q251="C", (I251*$N251),0)</f>
        <v>0</v>
      </c>
      <c r="AP251" s="128">
        <f t="shared" ref="AP251:AP259" si="289">IF($Q251="C", (J251*$N251),0)</f>
        <v>0</v>
      </c>
      <c r="AQ251" s="128">
        <f t="shared" ref="AQ251:AQ259" si="290">IF($Q251="C", (K251*$N251),0)</f>
        <v>0</v>
      </c>
      <c r="AR251" s="128">
        <f t="shared" ref="AR251:AR259" si="291">IF($Q251="C", (F251*$N251),0)</f>
        <v>0</v>
      </c>
      <c r="AS251" s="288"/>
    </row>
    <row r="252" spans="1:45" s="150" customFormat="1">
      <c r="A252" s="149" t="s">
        <v>362</v>
      </c>
      <c r="B252" s="91" t="s">
        <v>8</v>
      </c>
      <c r="C252" s="161">
        <v>12</v>
      </c>
      <c r="D252" s="87" t="s">
        <v>2</v>
      </c>
      <c r="E252" s="162">
        <v>550</v>
      </c>
      <c r="F252" s="163">
        <f t="shared" si="275"/>
        <v>6600</v>
      </c>
      <c r="G252" s="164">
        <v>0</v>
      </c>
      <c r="H252" s="164">
        <v>200</v>
      </c>
      <c r="I252" s="164">
        <v>0</v>
      </c>
      <c r="J252" s="164">
        <v>8</v>
      </c>
      <c r="K252" s="164">
        <v>40</v>
      </c>
      <c r="L252" s="91" t="s">
        <v>7</v>
      </c>
      <c r="M252" s="162">
        <f t="shared" si="276"/>
        <v>19926.000000000004</v>
      </c>
      <c r="N252" s="87">
        <v>1</v>
      </c>
      <c r="O252" s="166">
        <f t="shared" si="277"/>
        <v>26526.000000000004</v>
      </c>
      <c r="P252" s="287"/>
      <c r="Q252" s="52" t="s">
        <v>31</v>
      </c>
      <c r="R252" s="278" t="s">
        <v>49</v>
      </c>
      <c r="S252" s="133" t="str">
        <f t="shared" si="278"/>
        <v>BPD2012</v>
      </c>
      <c r="T252" s="133" t="str">
        <f t="shared" si="279"/>
        <v>B1.2.2.5.12012</v>
      </c>
      <c r="U252" s="133" t="s">
        <v>204</v>
      </c>
      <c r="V252" s="133" t="str">
        <f t="shared" si="262"/>
        <v>RDO Board</v>
      </c>
      <c r="W252" s="42"/>
      <c r="X252" s="42"/>
      <c r="Y252" s="42"/>
      <c r="Z252" s="42"/>
      <c r="AA252" s="42"/>
      <c r="AB252" s="61">
        <v>2012</v>
      </c>
      <c r="AC252" s="128">
        <f t="shared" si="280"/>
        <v>0</v>
      </c>
      <c r="AD252" s="128">
        <f t="shared" si="281"/>
        <v>200</v>
      </c>
      <c r="AE252" s="128">
        <f t="shared" si="282"/>
        <v>0</v>
      </c>
      <c r="AF252" s="128">
        <f t="shared" si="283"/>
        <v>8</v>
      </c>
      <c r="AG252" s="128">
        <f t="shared" si="284"/>
        <v>40</v>
      </c>
      <c r="AH252" s="236">
        <f t="shared" si="285"/>
        <v>6600</v>
      </c>
      <c r="AI252" s="288"/>
      <c r="AJ252" s="289"/>
      <c r="AK252" s="289"/>
      <c r="AL252" s="148"/>
      <c r="AM252" s="127">
        <f t="shared" si="286"/>
        <v>0</v>
      </c>
      <c r="AN252" s="128">
        <f t="shared" si="287"/>
        <v>0</v>
      </c>
      <c r="AO252" s="128">
        <f t="shared" si="288"/>
        <v>0</v>
      </c>
      <c r="AP252" s="128">
        <f t="shared" si="289"/>
        <v>0</v>
      </c>
      <c r="AQ252" s="128">
        <f t="shared" si="290"/>
        <v>0</v>
      </c>
      <c r="AR252" s="128">
        <f t="shared" si="291"/>
        <v>0</v>
      </c>
      <c r="AS252" s="288"/>
    </row>
    <row r="253" spans="1:45" s="150" customFormat="1">
      <c r="A253" s="149" t="s">
        <v>363</v>
      </c>
      <c r="B253" s="91" t="s">
        <v>8</v>
      </c>
      <c r="C253" s="161">
        <v>12</v>
      </c>
      <c r="D253" s="87" t="s">
        <v>2</v>
      </c>
      <c r="E253" s="162">
        <v>0</v>
      </c>
      <c r="F253" s="163">
        <f t="shared" si="275"/>
        <v>0</v>
      </c>
      <c r="G253" s="164">
        <v>0</v>
      </c>
      <c r="H253" s="164">
        <v>0</v>
      </c>
      <c r="I253" s="164">
        <v>120</v>
      </c>
      <c r="J253" s="164">
        <v>0</v>
      </c>
      <c r="K253" s="164">
        <v>80</v>
      </c>
      <c r="L253" s="91" t="s">
        <v>7</v>
      </c>
      <c r="M253" s="162">
        <f t="shared" si="276"/>
        <v>0</v>
      </c>
      <c r="N253" s="87">
        <v>1</v>
      </c>
      <c r="O253" s="166">
        <f t="shared" si="277"/>
        <v>0</v>
      </c>
      <c r="P253" s="287"/>
      <c r="Q253" s="52" t="s">
        <v>31</v>
      </c>
      <c r="R253" s="278" t="s">
        <v>49</v>
      </c>
      <c r="S253" s="133" t="str">
        <f t="shared" si="278"/>
        <v>BPD2012</v>
      </c>
      <c r="T253" s="133" t="str">
        <f t="shared" si="279"/>
        <v>B1.2.2.5.12012</v>
      </c>
      <c r="U253" s="133" t="s">
        <v>204</v>
      </c>
      <c r="V253" s="133" t="str">
        <f t="shared" si="262"/>
        <v>RDO Board</v>
      </c>
      <c r="W253" s="42"/>
      <c r="X253" s="42"/>
      <c r="Y253" s="42"/>
      <c r="Z253" s="42"/>
      <c r="AA253" s="42"/>
      <c r="AB253" s="61">
        <v>2012</v>
      </c>
      <c r="AC253" s="128">
        <f t="shared" si="280"/>
        <v>0</v>
      </c>
      <c r="AD253" s="128">
        <f t="shared" si="281"/>
        <v>0</v>
      </c>
      <c r="AE253" s="128">
        <f t="shared" si="282"/>
        <v>120</v>
      </c>
      <c r="AF253" s="128">
        <f t="shared" si="283"/>
        <v>0</v>
      </c>
      <c r="AG253" s="128">
        <f t="shared" si="284"/>
        <v>80</v>
      </c>
      <c r="AH253" s="236">
        <f t="shared" si="285"/>
        <v>0</v>
      </c>
      <c r="AI253" s="288"/>
      <c r="AJ253" s="289"/>
      <c r="AK253" s="289"/>
      <c r="AL253" s="148"/>
      <c r="AM253" s="127">
        <f t="shared" si="286"/>
        <v>0</v>
      </c>
      <c r="AN253" s="128">
        <f t="shared" si="287"/>
        <v>0</v>
      </c>
      <c r="AO253" s="128">
        <f t="shared" si="288"/>
        <v>0</v>
      </c>
      <c r="AP253" s="128">
        <f t="shared" si="289"/>
        <v>0</v>
      </c>
      <c r="AQ253" s="128">
        <f t="shared" si="290"/>
        <v>0</v>
      </c>
      <c r="AR253" s="128">
        <f t="shared" si="291"/>
        <v>0</v>
      </c>
      <c r="AS253" s="288"/>
    </row>
    <row r="254" spans="1:45" s="150" customFormat="1">
      <c r="A254" s="149" t="s">
        <v>364</v>
      </c>
      <c r="B254" s="91" t="s">
        <v>8</v>
      </c>
      <c r="C254" s="161">
        <v>12</v>
      </c>
      <c r="D254" s="87" t="s">
        <v>2</v>
      </c>
      <c r="E254" s="162">
        <v>3000</v>
      </c>
      <c r="F254" s="163">
        <f t="shared" si="275"/>
        <v>36000</v>
      </c>
      <c r="G254" s="164">
        <v>0</v>
      </c>
      <c r="H254" s="164">
        <v>0</v>
      </c>
      <c r="I254" s="164">
        <v>16</v>
      </c>
      <c r="J254" s="164">
        <v>8</v>
      </c>
      <c r="K254" s="164">
        <v>32</v>
      </c>
      <c r="L254" s="91" t="s">
        <v>7</v>
      </c>
      <c r="M254" s="162">
        <f t="shared" si="276"/>
        <v>972.00000000000011</v>
      </c>
      <c r="N254" s="87">
        <v>1</v>
      </c>
      <c r="O254" s="166">
        <f t="shared" si="277"/>
        <v>36972</v>
      </c>
      <c r="P254" s="287"/>
      <c r="Q254" s="52" t="s">
        <v>31</v>
      </c>
      <c r="R254" s="278" t="s">
        <v>49</v>
      </c>
      <c r="S254" s="133" t="str">
        <f t="shared" si="278"/>
        <v>BPD2012</v>
      </c>
      <c r="T254" s="133" t="str">
        <f t="shared" si="279"/>
        <v>B1.2.2.5.12012</v>
      </c>
      <c r="U254" s="133" t="s">
        <v>204</v>
      </c>
      <c r="V254" s="133" t="str">
        <f t="shared" si="262"/>
        <v>RDO Board</v>
      </c>
      <c r="W254" s="42"/>
      <c r="X254" s="42"/>
      <c r="Y254" s="42"/>
      <c r="Z254" s="42"/>
      <c r="AA254" s="42"/>
      <c r="AB254" s="61">
        <v>2012</v>
      </c>
      <c r="AC254" s="128">
        <f t="shared" si="280"/>
        <v>0</v>
      </c>
      <c r="AD254" s="128">
        <f t="shared" si="281"/>
        <v>0</v>
      </c>
      <c r="AE254" s="128">
        <f t="shared" si="282"/>
        <v>16</v>
      </c>
      <c r="AF254" s="128">
        <f t="shared" si="283"/>
        <v>8</v>
      </c>
      <c r="AG254" s="128">
        <f t="shared" si="284"/>
        <v>32</v>
      </c>
      <c r="AH254" s="236">
        <f t="shared" si="285"/>
        <v>36000</v>
      </c>
      <c r="AI254" s="288"/>
      <c r="AJ254" s="289"/>
      <c r="AK254" s="289"/>
      <c r="AL254" s="148"/>
      <c r="AM254" s="127">
        <f t="shared" si="286"/>
        <v>0</v>
      </c>
      <c r="AN254" s="128">
        <f t="shared" si="287"/>
        <v>0</v>
      </c>
      <c r="AO254" s="128">
        <f t="shared" si="288"/>
        <v>0</v>
      </c>
      <c r="AP254" s="128">
        <f t="shared" si="289"/>
        <v>0</v>
      </c>
      <c r="AQ254" s="128">
        <f t="shared" si="290"/>
        <v>0</v>
      </c>
      <c r="AR254" s="128">
        <f t="shared" si="291"/>
        <v>0</v>
      </c>
      <c r="AS254" s="288"/>
    </row>
    <row r="255" spans="1:45" s="150" customFormat="1">
      <c r="A255" s="149" t="s">
        <v>365</v>
      </c>
      <c r="B255" s="91" t="s">
        <v>8</v>
      </c>
      <c r="C255" s="161">
        <v>12</v>
      </c>
      <c r="D255" s="87" t="s">
        <v>2</v>
      </c>
      <c r="E255" s="162">
        <v>1500</v>
      </c>
      <c r="F255" s="163">
        <f t="shared" si="275"/>
        <v>18000</v>
      </c>
      <c r="G255" s="164">
        <v>0</v>
      </c>
      <c r="H255" s="164">
        <v>0</v>
      </c>
      <c r="I255" s="164">
        <v>16</v>
      </c>
      <c r="J255" s="164">
        <v>8</v>
      </c>
      <c r="K255" s="164">
        <v>32</v>
      </c>
      <c r="L255" s="91" t="s">
        <v>7</v>
      </c>
      <c r="M255" s="162">
        <f t="shared" si="276"/>
        <v>972.00000000000011</v>
      </c>
      <c r="N255" s="87">
        <v>1</v>
      </c>
      <c r="O255" s="166">
        <f t="shared" si="277"/>
        <v>18972</v>
      </c>
      <c r="P255" s="287"/>
      <c r="Q255" s="52" t="s">
        <v>31</v>
      </c>
      <c r="R255" s="278" t="s">
        <v>49</v>
      </c>
      <c r="S255" s="133" t="str">
        <f t="shared" si="278"/>
        <v>BPD2012</v>
      </c>
      <c r="T255" s="133" t="str">
        <f t="shared" si="279"/>
        <v>B1.2.2.5.12012</v>
      </c>
      <c r="U255" s="133" t="s">
        <v>204</v>
      </c>
      <c r="V255" s="133" t="str">
        <f t="shared" si="262"/>
        <v>RDO Board</v>
      </c>
      <c r="W255" s="42"/>
      <c r="X255" s="42"/>
      <c r="Y255" s="42"/>
      <c r="Z255" s="42"/>
      <c r="AA255" s="42"/>
      <c r="AB255" s="61">
        <v>2012</v>
      </c>
      <c r="AC255" s="128">
        <f t="shared" si="280"/>
        <v>0</v>
      </c>
      <c r="AD255" s="128">
        <f t="shared" si="281"/>
        <v>0</v>
      </c>
      <c r="AE255" s="128">
        <f t="shared" si="282"/>
        <v>16</v>
      </c>
      <c r="AF255" s="128">
        <f t="shared" si="283"/>
        <v>8</v>
      </c>
      <c r="AG255" s="128">
        <f t="shared" si="284"/>
        <v>32</v>
      </c>
      <c r="AH255" s="236">
        <f t="shared" si="285"/>
        <v>18000</v>
      </c>
      <c r="AI255" s="288"/>
      <c r="AJ255" s="289"/>
      <c r="AK255" s="289"/>
      <c r="AL255" s="148"/>
      <c r="AM255" s="127">
        <f t="shared" si="286"/>
        <v>0</v>
      </c>
      <c r="AN255" s="128">
        <f t="shared" si="287"/>
        <v>0</v>
      </c>
      <c r="AO255" s="128">
        <f t="shared" si="288"/>
        <v>0</v>
      </c>
      <c r="AP255" s="128">
        <f t="shared" si="289"/>
        <v>0</v>
      </c>
      <c r="AQ255" s="128">
        <f t="shared" si="290"/>
        <v>0</v>
      </c>
      <c r="AR255" s="128">
        <f t="shared" si="291"/>
        <v>0</v>
      </c>
      <c r="AS255" s="288"/>
    </row>
    <row r="256" spans="1:45" s="150" customFormat="1">
      <c r="A256" s="149" t="s">
        <v>366</v>
      </c>
      <c r="B256" s="91" t="s">
        <v>8</v>
      </c>
      <c r="C256" s="161">
        <v>12</v>
      </c>
      <c r="D256" s="87" t="s">
        <v>2</v>
      </c>
      <c r="E256" s="162">
        <v>1000</v>
      </c>
      <c r="F256" s="163">
        <f t="shared" si="275"/>
        <v>12000</v>
      </c>
      <c r="G256" s="164">
        <v>0</v>
      </c>
      <c r="H256" s="164">
        <v>0</v>
      </c>
      <c r="I256" s="164">
        <v>16</v>
      </c>
      <c r="J256" s="164">
        <v>0</v>
      </c>
      <c r="K256" s="164">
        <v>40</v>
      </c>
      <c r="L256" s="91" t="s">
        <v>7</v>
      </c>
      <c r="M256" s="162">
        <f t="shared" si="276"/>
        <v>0</v>
      </c>
      <c r="N256" s="87">
        <v>1</v>
      </c>
      <c r="O256" s="166">
        <f t="shared" si="277"/>
        <v>12000</v>
      </c>
      <c r="P256" s="287"/>
      <c r="Q256" s="52" t="s">
        <v>31</v>
      </c>
      <c r="R256" s="278" t="s">
        <v>49</v>
      </c>
      <c r="S256" s="133" t="str">
        <f t="shared" si="278"/>
        <v>BPD2012</v>
      </c>
      <c r="T256" s="133" t="str">
        <f t="shared" si="279"/>
        <v>B1.2.2.5.12012</v>
      </c>
      <c r="U256" s="133" t="s">
        <v>204</v>
      </c>
      <c r="V256" s="133" t="str">
        <f t="shared" si="262"/>
        <v>RDO Board</v>
      </c>
      <c r="W256" s="42"/>
      <c r="X256" s="42"/>
      <c r="Y256" s="42"/>
      <c r="Z256" s="42"/>
      <c r="AA256" s="42"/>
      <c r="AB256" s="61">
        <v>2012</v>
      </c>
      <c r="AC256" s="128">
        <f t="shared" si="280"/>
        <v>0</v>
      </c>
      <c r="AD256" s="128">
        <f t="shared" si="281"/>
        <v>0</v>
      </c>
      <c r="AE256" s="128">
        <f t="shared" si="282"/>
        <v>16</v>
      </c>
      <c r="AF256" s="128">
        <f t="shared" si="283"/>
        <v>0</v>
      </c>
      <c r="AG256" s="128">
        <f t="shared" si="284"/>
        <v>40</v>
      </c>
      <c r="AH256" s="236">
        <f t="shared" si="285"/>
        <v>12000</v>
      </c>
      <c r="AI256" s="288"/>
      <c r="AJ256" s="289"/>
      <c r="AK256" s="289"/>
      <c r="AL256" s="148"/>
      <c r="AM256" s="127">
        <f t="shared" si="286"/>
        <v>0</v>
      </c>
      <c r="AN256" s="128">
        <f t="shared" si="287"/>
        <v>0</v>
      </c>
      <c r="AO256" s="128">
        <f t="shared" si="288"/>
        <v>0</v>
      </c>
      <c r="AP256" s="128">
        <f t="shared" si="289"/>
        <v>0</v>
      </c>
      <c r="AQ256" s="128">
        <f t="shared" si="290"/>
        <v>0</v>
      </c>
      <c r="AR256" s="128">
        <f t="shared" si="291"/>
        <v>0</v>
      </c>
      <c r="AS256" s="288"/>
    </row>
    <row r="257" spans="1:45" s="150" customFormat="1">
      <c r="A257" s="149" t="s">
        <v>367</v>
      </c>
      <c r="B257" s="91" t="s">
        <v>8</v>
      </c>
      <c r="C257" s="161">
        <v>1</v>
      </c>
      <c r="D257" s="87" t="s">
        <v>2</v>
      </c>
      <c r="E257" s="162">
        <v>2000</v>
      </c>
      <c r="F257" s="163">
        <f>E257*C257</f>
        <v>2000</v>
      </c>
      <c r="G257" s="164">
        <v>0</v>
      </c>
      <c r="H257" s="164">
        <v>0</v>
      </c>
      <c r="I257" s="164">
        <v>16</v>
      </c>
      <c r="J257" s="164">
        <v>0</v>
      </c>
      <c r="K257" s="164">
        <v>40</v>
      </c>
      <c r="L257" s="91" t="s">
        <v>7</v>
      </c>
      <c r="M257" s="162">
        <f>IF(R257="PD",((Shop*G257)+(M_Tech*H257)+(CMM*I257)+(ENG*J257)+(DES*K257))*N257,((Shop_RD*G257)+(MTECH_RD*H257)+(CMM_RD*I257)+(ENG_RD*J257)+(DES_RD*K257))*N257)</f>
        <v>0</v>
      </c>
      <c r="N257" s="87">
        <v>1</v>
      </c>
      <c r="O257" s="166">
        <f>M257+(F257*N257)</f>
        <v>2000</v>
      </c>
      <c r="P257" s="287"/>
      <c r="Q257" s="52" t="s">
        <v>31</v>
      </c>
      <c r="R257" s="278" t="s">
        <v>49</v>
      </c>
      <c r="S257" s="133" t="str">
        <f>CONCATENATE(Q257,R257,AB257)</f>
        <v>BPD2012</v>
      </c>
      <c r="T257" s="133" t="str">
        <f>CONCATENATE(Q257,U257,AB257)</f>
        <v>B1.2.2.5.12012</v>
      </c>
      <c r="U257" s="133" t="s">
        <v>204</v>
      </c>
      <c r="V257" s="133" t="str">
        <f t="shared" si="262"/>
        <v>RDO Board</v>
      </c>
      <c r="W257" s="42"/>
      <c r="X257" s="42"/>
      <c r="Y257" s="42"/>
      <c r="Z257" s="42"/>
      <c r="AA257" s="42"/>
      <c r="AB257" s="61">
        <v>2012</v>
      </c>
      <c r="AC257" s="128">
        <f>IF($Q257="B", (G257*$N257),0)</f>
        <v>0</v>
      </c>
      <c r="AD257" s="128">
        <f>IF($Q257="B", (H257*$N257),0)</f>
        <v>0</v>
      </c>
      <c r="AE257" s="128">
        <f>IF($Q257="B", (I257*$N257),0)</f>
        <v>16</v>
      </c>
      <c r="AF257" s="128">
        <f>IF($Q257="B", (J257*$N257),0)</f>
        <v>0</v>
      </c>
      <c r="AG257" s="128">
        <f>IF($Q257="B", (K257*$N257),0)</f>
        <v>40</v>
      </c>
      <c r="AH257" s="236">
        <f>IF($Q257="B", (F257*$N257),0)</f>
        <v>2000</v>
      </c>
      <c r="AI257" s="288"/>
      <c r="AJ257" s="289"/>
      <c r="AK257" s="289"/>
      <c r="AL257" s="148"/>
      <c r="AM257" s="127">
        <f>IF($Q257="C", (G257*$N257),0)</f>
        <v>0</v>
      </c>
      <c r="AN257" s="128">
        <f>IF($Q257="C", (H257*$N257),0)</f>
        <v>0</v>
      </c>
      <c r="AO257" s="128">
        <f>IF($Q257="C", (I257*$N257),0)</f>
        <v>0</v>
      </c>
      <c r="AP257" s="128">
        <f>IF($Q257="C", (J257*$N257),0)</f>
        <v>0</v>
      </c>
      <c r="AQ257" s="128">
        <f>IF($Q257="C", (K257*$N257),0)</f>
        <v>0</v>
      </c>
      <c r="AR257" s="128">
        <f>IF($Q257="C", (F257*$N257),0)</f>
        <v>0</v>
      </c>
      <c r="AS257" s="288"/>
    </row>
    <row r="258" spans="1:45" s="150" customFormat="1">
      <c r="A258" s="149" t="s">
        <v>368</v>
      </c>
      <c r="B258" s="91" t="s">
        <v>8</v>
      </c>
      <c r="C258" s="161">
        <v>1</v>
      </c>
      <c r="D258" s="87" t="s">
        <v>2</v>
      </c>
      <c r="E258" s="162">
        <v>1000</v>
      </c>
      <c r="F258" s="163">
        <f t="shared" si="275"/>
        <v>1000</v>
      </c>
      <c r="G258" s="164">
        <v>0</v>
      </c>
      <c r="H258" s="164">
        <v>0</v>
      </c>
      <c r="I258" s="164">
        <v>200</v>
      </c>
      <c r="J258" s="164">
        <v>80</v>
      </c>
      <c r="K258" s="164">
        <v>120</v>
      </c>
      <c r="L258" s="91" t="s">
        <v>7</v>
      </c>
      <c r="M258" s="162">
        <f t="shared" si="276"/>
        <v>9720.0000000000018</v>
      </c>
      <c r="N258" s="87">
        <v>1</v>
      </c>
      <c r="O258" s="166">
        <f t="shared" si="277"/>
        <v>10720.000000000002</v>
      </c>
      <c r="P258" s="287"/>
      <c r="Q258" s="52" t="s">
        <v>31</v>
      </c>
      <c r="R258" s="278" t="s">
        <v>49</v>
      </c>
      <c r="S258" s="133" t="str">
        <f t="shared" si="278"/>
        <v>BPD2012</v>
      </c>
      <c r="T258" s="133" t="str">
        <f t="shared" si="279"/>
        <v>B1.2.2.5.12012</v>
      </c>
      <c r="U258" s="133" t="s">
        <v>204</v>
      </c>
      <c r="V258" s="133" t="str">
        <f t="shared" si="262"/>
        <v>RDO Board</v>
      </c>
      <c r="W258" s="42"/>
      <c r="X258" s="42"/>
      <c r="Y258" s="42"/>
      <c r="Z258" s="42"/>
      <c r="AA258" s="42"/>
      <c r="AB258" s="61">
        <v>2012</v>
      </c>
      <c r="AC258" s="128">
        <f t="shared" si="280"/>
        <v>0</v>
      </c>
      <c r="AD258" s="128">
        <f t="shared" si="281"/>
        <v>0</v>
      </c>
      <c r="AE258" s="128">
        <f t="shared" si="282"/>
        <v>200</v>
      </c>
      <c r="AF258" s="128">
        <f t="shared" si="283"/>
        <v>80</v>
      </c>
      <c r="AG258" s="128">
        <f t="shared" si="284"/>
        <v>120</v>
      </c>
      <c r="AH258" s="236">
        <f t="shared" si="285"/>
        <v>1000</v>
      </c>
      <c r="AI258" s="288"/>
      <c r="AJ258" s="289"/>
      <c r="AK258" s="289"/>
      <c r="AL258" s="148"/>
      <c r="AM258" s="127">
        <f t="shared" si="286"/>
        <v>0</v>
      </c>
      <c r="AN258" s="128">
        <f t="shared" si="287"/>
        <v>0</v>
      </c>
      <c r="AO258" s="128">
        <f t="shared" si="288"/>
        <v>0</v>
      </c>
      <c r="AP258" s="128">
        <f t="shared" si="289"/>
        <v>0</v>
      </c>
      <c r="AQ258" s="128">
        <f t="shared" si="290"/>
        <v>0</v>
      </c>
      <c r="AR258" s="128">
        <f t="shared" si="291"/>
        <v>0</v>
      </c>
      <c r="AS258" s="288"/>
    </row>
    <row r="259" spans="1:45" s="150" customFormat="1">
      <c r="A259" s="286" t="s">
        <v>398</v>
      </c>
      <c r="B259" s="18" t="s">
        <v>8</v>
      </c>
      <c r="C259" s="216">
        <v>1</v>
      </c>
      <c r="D259" s="91" t="s">
        <v>2</v>
      </c>
      <c r="E259" s="213">
        <v>0</v>
      </c>
      <c r="F259" s="217">
        <f t="shared" si="275"/>
        <v>0</v>
      </c>
      <c r="G259" s="218">
        <v>0</v>
      </c>
      <c r="H259" s="218">
        <v>0</v>
      </c>
      <c r="I259" s="218">
        <v>480</v>
      </c>
      <c r="J259" s="218">
        <v>80</v>
      </c>
      <c r="K259" s="337">
        <v>320</v>
      </c>
      <c r="L259" s="91" t="s">
        <v>7</v>
      </c>
      <c r="M259" s="213">
        <f t="shared" si="276"/>
        <v>12000</v>
      </c>
      <c r="N259" s="93">
        <v>1</v>
      </c>
      <c r="O259" s="214">
        <f t="shared" si="277"/>
        <v>12000</v>
      </c>
      <c r="P259" s="214"/>
      <c r="Q259" s="46" t="s">
        <v>31</v>
      </c>
      <c r="R259" s="66" t="s">
        <v>154</v>
      </c>
      <c r="S259" s="133" t="str">
        <f t="shared" si="278"/>
        <v>BPT2010</v>
      </c>
      <c r="T259" s="133" t="str">
        <f t="shared" si="279"/>
        <v>B1.2.2.5.12010</v>
      </c>
      <c r="U259" s="133" t="s">
        <v>204</v>
      </c>
      <c r="V259" s="215" t="str">
        <f t="shared" si="262"/>
        <v>RDO Board</v>
      </c>
      <c r="W259" s="42"/>
      <c r="X259" s="42"/>
      <c r="Y259" s="42"/>
      <c r="Z259" s="42"/>
      <c r="AA259" s="42"/>
      <c r="AB259" s="61">
        <v>2010</v>
      </c>
      <c r="AC259" s="128">
        <f t="shared" si="280"/>
        <v>0</v>
      </c>
      <c r="AD259" s="128">
        <f t="shared" si="281"/>
        <v>0</v>
      </c>
      <c r="AE259" s="128">
        <f t="shared" si="282"/>
        <v>480</v>
      </c>
      <c r="AF259" s="128">
        <f t="shared" si="283"/>
        <v>80</v>
      </c>
      <c r="AG259" s="128">
        <f t="shared" si="284"/>
        <v>320</v>
      </c>
      <c r="AH259" s="236">
        <f t="shared" si="285"/>
        <v>0</v>
      </c>
      <c r="AI259" s="238"/>
      <c r="AJ259" s="244"/>
      <c r="AK259" s="244"/>
      <c r="AL259" s="162"/>
      <c r="AM259" s="127">
        <f t="shared" si="286"/>
        <v>0</v>
      </c>
      <c r="AN259" s="128">
        <f t="shared" si="287"/>
        <v>0</v>
      </c>
      <c r="AO259" s="128">
        <f t="shared" si="288"/>
        <v>0</v>
      </c>
      <c r="AP259" s="128">
        <f t="shared" si="289"/>
        <v>0</v>
      </c>
      <c r="AQ259" s="128">
        <f t="shared" si="290"/>
        <v>0</v>
      </c>
      <c r="AR259" s="128">
        <f t="shared" si="291"/>
        <v>0</v>
      </c>
      <c r="AS259" s="238"/>
    </row>
    <row r="260" spans="1:45" s="150" customFormat="1">
      <c r="A260" s="286" t="s">
        <v>292</v>
      </c>
      <c r="B260" s="18" t="s">
        <v>8</v>
      </c>
      <c r="C260" s="216">
        <v>1</v>
      </c>
      <c r="D260" s="91" t="s">
        <v>2</v>
      </c>
      <c r="E260" s="213">
        <v>5000</v>
      </c>
      <c r="F260" s="217">
        <f t="shared" si="257"/>
        <v>5000</v>
      </c>
      <c r="G260" s="218">
        <v>0</v>
      </c>
      <c r="H260" s="218">
        <v>0</v>
      </c>
      <c r="I260" s="218">
        <v>40</v>
      </c>
      <c r="J260" s="218">
        <v>24</v>
      </c>
      <c r="K260" s="218">
        <v>40</v>
      </c>
      <c r="L260" s="91" t="s">
        <v>7</v>
      </c>
      <c r="M260" s="213">
        <f t="shared" si="258"/>
        <v>2916.0000000000005</v>
      </c>
      <c r="N260" s="93">
        <v>1</v>
      </c>
      <c r="O260" s="214">
        <f t="shared" si="259"/>
        <v>7916</v>
      </c>
      <c r="P260" s="214"/>
      <c r="Q260" s="46" t="s">
        <v>31</v>
      </c>
      <c r="R260" s="66" t="s">
        <v>49</v>
      </c>
      <c r="S260" s="133" t="str">
        <f t="shared" si="260"/>
        <v>BPD2011</v>
      </c>
      <c r="T260" s="133" t="str">
        <f t="shared" si="261"/>
        <v>B1.2.2.5.12011</v>
      </c>
      <c r="U260" s="133" t="s">
        <v>204</v>
      </c>
      <c r="V260" s="215" t="str">
        <f t="shared" si="262"/>
        <v>RDO Board</v>
      </c>
      <c r="W260" s="42"/>
      <c r="X260" s="42"/>
      <c r="Y260" s="42"/>
      <c r="Z260" s="42"/>
      <c r="AA260" s="42"/>
      <c r="AB260" s="61">
        <v>2011</v>
      </c>
      <c r="AC260" s="128">
        <f t="shared" si="263"/>
        <v>0</v>
      </c>
      <c r="AD260" s="128">
        <f t="shared" si="264"/>
        <v>0</v>
      </c>
      <c r="AE260" s="128">
        <f t="shared" si="265"/>
        <v>40</v>
      </c>
      <c r="AF260" s="128">
        <f t="shared" si="266"/>
        <v>24</v>
      </c>
      <c r="AG260" s="128">
        <f t="shared" si="267"/>
        <v>40</v>
      </c>
      <c r="AH260" s="236">
        <f t="shared" si="268"/>
        <v>5000</v>
      </c>
      <c r="AI260" s="238"/>
      <c r="AJ260" s="244"/>
      <c r="AK260" s="244"/>
      <c r="AL260" s="162"/>
      <c r="AM260" s="127">
        <f t="shared" si="269"/>
        <v>0</v>
      </c>
      <c r="AN260" s="128">
        <f t="shared" si="270"/>
        <v>0</v>
      </c>
      <c r="AO260" s="128">
        <f t="shared" si="271"/>
        <v>0</v>
      </c>
      <c r="AP260" s="128">
        <f t="shared" si="272"/>
        <v>0</v>
      </c>
      <c r="AQ260" s="128">
        <f t="shared" si="273"/>
        <v>0</v>
      </c>
      <c r="AR260" s="128">
        <f t="shared" si="274"/>
        <v>0</v>
      </c>
      <c r="AS260" s="238"/>
    </row>
    <row r="261" spans="1:45" s="150" customFormat="1">
      <c r="A261" s="286" t="s">
        <v>284</v>
      </c>
      <c r="B261" s="18" t="s">
        <v>8</v>
      </c>
      <c r="C261" s="216">
        <v>1</v>
      </c>
      <c r="D261" s="91" t="s">
        <v>2</v>
      </c>
      <c r="E261" s="213">
        <v>0</v>
      </c>
      <c r="F261" s="217">
        <f t="shared" si="257"/>
        <v>0</v>
      </c>
      <c r="G261" s="218">
        <v>0</v>
      </c>
      <c r="H261" s="218">
        <v>0</v>
      </c>
      <c r="I261" s="218">
        <v>480</v>
      </c>
      <c r="J261" s="218">
        <v>100</v>
      </c>
      <c r="K261" s="218">
        <v>280</v>
      </c>
      <c r="L261" s="91" t="s">
        <v>7</v>
      </c>
      <c r="M261" s="213">
        <f t="shared" si="258"/>
        <v>12150.000000000002</v>
      </c>
      <c r="N261" s="93">
        <v>1</v>
      </c>
      <c r="O261" s="214">
        <f t="shared" si="259"/>
        <v>12150.000000000002</v>
      </c>
      <c r="P261" s="214"/>
      <c r="Q261" s="46" t="s">
        <v>31</v>
      </c>
      <c r="R261" s="66" t="s">
        <v>49</v>
      </c>
      <c r="S261" s="133" t="str">
        <f t="shared" si="260"/>
        <v>BPD2011</v>
      </c>
      <c r="T261" s="133" t="str">
        <f t="shared" si="261"/>
        <v>B1.2.2.5.12011</v>
      </c>
      <c r="U261" s="133" t="s">
        <v>204</v>
      </c>
      <c r="V261" s="215" t="str">
        <f t="shared" si="262"/>
        <v>RDO Board</v>
      </c>
      <c r="W261" s="42"/>
      <c r="X261" s="42"/>
      <c r="Y261" s="42"/>
      <c r="Z261" s="42"/>
      <c r="AA261" s="42"/>
      <c r="AB261" s="61">
        <v>2011</v>
      </c>
      <c r="AC261" s="128">
        <f t="shared" si="263"/>
        <v>0</v>
      </c>
      <c r="AD261" s="128">
        <f t="shared" si="264"/>
        <v>0</v>
      </c>
      <c r="AE261" s="128">
        <f t="shared" si="265"/>
        <v>480</v>
      </c>
      <c r="AF261" s="128">
        <f t="shared" si="266"/>
        <v>100</v>
      </c>
      <c r="AG261" s="128">
        <f t="shared" si="267"/>
        <v>280</v>
      </c>
      <c r="AH261" s="236">
        <f t="shared" si="268"/>
        <v>0</v>
      </c>
      <c r="AI261" s="238"/>
      <c r="AJ261" s="244"/>
      <c r="AK261" s="244"/>
      <c r="AL261" s="162"/>
      <c r="AM261" s="127">
        <f t="shared" si="269"/>
        <v>0</v>
      </c>
      <c r="AN261" s="128">
        <f t="shared" si="270"/>
        <v>0</v>
      </c>
      <c r="AO261" s="128">
        <f t="shared" si="271"/>
        <v>0</v>
      </c>
      <c r="AP261" s="128">
        <f t="shared" si="272"/>
        <v>0</v>
      </c>
      <c r="AQ261" s="128">
        <f t="shared" si="273"/>
        <v>0</v>
      </c>
      <c r="AR261" s="128">
        <f t="shared" si="274"/>
        <v>0</v>
      </c>
      <c r="AS261" s="238"/>
    </row>
    <row r="262" spans="1:45" s="150" customFormat="1">
      <c r="A262" s="286" t="s">
        <v>285</v>
      </c>
      <c r="B262" s="18" t="s">
        <v>8</v>
      </c>
      <c r="C262" s="216">
        <v>1</v>
      </c>
      <c r="D262" s="91" t="s">
        <v>2</v>
      </c>
      <c r="E262" s="213">
        <v>0</v>
      </c>
      <c r="F262" s="217">
        <f t="shared" si="257"/>
        <v>0</v>
      </c>
      <c r="G262" s="218">
        <v>0</v>
      </c>
      <c r="H262" s="218">
        <v>0</v>
      </c>
      <c r="I262" s="218">
        <v>320</v>
      </c>
      <c r="J262" s="218">
        <v>160</v>
      </c>
      <c r="K262" s="219">
        <v>320</v>
      </c>
      <c r="L262" s="91" t="s">
        <v>7</v>
      </c>
      <c r="M262" s="213">
        <f t="shared" si="258"/>
        <v>19440.000000000004</v>
      </c>
      <c r="N262" s="93">
        <v>1</v>
      </c>
      <c r="O262" s="214">
        <f t="shared" si="259"/>
        <v>19440.000000000004</v>
      </c>
      <c r="P262" s="214"/>
      <c r="Q262" s="46" t="s">
        <v>31</v>
      </c>
      <c r="R262" s="66" t="s">
        <v>49</v>
      </c>
      <c r="S262" s="133" t="str">
        <f t="shared" si="260"/>
        <v>BPD2011</v>
      </c>
      <c r="T262" s="133" t="str">
        <f t="shared" si="261"/>
        <v>B1.2.2.5.12011</v>
      </c>
      <c r="U262" s="133" t="s">
        <v>204</v>
      </c>
      <c r="V262" s="215" t="str">
        <f t="shared" si="262"/>
        <v>RDO Board</v>
      </c>
      <c r="W262" s="42"/>
      <c r="X262" s="42"/>
      <c r="Y262" s="42"/>
      <c r="Z262" s="42"/>
      <c r="AA262" s="42"/>
      <c r="AB262" s="61">
        <v>2011</v>
      </c>
      <c r="AC262" s="128">
        <f>IF($Q262="B", (G262*$N262),0)</f>
        <v>0</v>
      </c>
      <c r="AD262" s="128">
        <f>IF($Q262="B", (H262*$N262),0)</f>
        <v>0</v>
      </c>
      <c r="AE262" s="128">
        <f>IF($Q262="B", (I262*$N262),0)</f>
        <v>320</v>
      </c>
      <c r="AF262" s="128">
        <f>IF($Q262="B", (J262*$N262),0)</f>
        <v>160</v>
      </c>
      <c r="AG262" s="128">
        <f>IF($Q262="B", (K262*$N262),0)</f>
        <v>320</v>
      </c>
      <c r="AH262" s="236">
        <f t="shared" si="268"/>
        <v>0</v>
      </c>
      <c r="AI262" s="238"/>
      <c r="AJ262" s="244"/>
      <c r="AK262" s="244"/>
      <c r="AL262" s="162"/>
      <c r="AM262" s="127">
        <f>IF($Q262="C", (G262*$N262),0)</f>
        <v>0</v>
      </c>
      <c r="AN262" s="128">
        <f>IF($Q262="C", (H262*$N262),0)</f>
        <v>0</v>
      </c>
      <c r="AO262" s="128">
        <f>IF($Q262="C", (I262*$N262),0)</f>
        <v>0</v>
      </c>
      <c r="AP262" s="128">
        <f>IF($Q262="C", (J262*$N262),0)</f>
        <v>0</v>
      </c>
      <c r="AQ262" s="128">
        <f>IF($Q262="C", (K262*$N262),0)</f>
        <v>0</v>
      </c>
      <c r="AR262" s="128">
        <f t="shared" si="274"/>
        <v>0</v>
      </c>
      <c r="AS262" s="238"/>
    </row>
    <row r="263" spans="1:45" s="150" customFormat="1">
      <c r="A263" s="286" t="s">
        <v>286</v>
      </c>
      <c r="B263" s="18" t="s">
        <v>8</v>
      </c>
      <c r="C263" s="216">
        <v>1</v>
      </c>
      <c r="D263" s="91" t="s">
        <v>2</v>
      </c>
      <c r="E263" s="213">
        <v>0</v>
      </c>
      <c r="F263" s="217">
        <f t="shared" si="257"/>
        <v>0</v>
      </c>
      <c r="G263" s="218">
        <v>0</v>
      </c>
      <c r="H263" s="218">
        <v>0</v>
      </c>
      <c r="I263" s="218">
        <v>280</v>
      </c>
      <c r="J263" s="218">
        <v>100</v>
      </c>
      <c r="K263" s="219">
        <v>180</v>
      </c>
      <c r="L263" s="91" t="s">
        <v>7</v>
      </c>
      <c r="M263" s="213">
        <f t="shared" si="258"/>
        <v>12150.000000000002</v>
      </c>
      <c r="N263" s="93">
        <v>1</v>
      </c>
      <c r="O263" s="214">
        <f t="shared" si="259"/>
        <v>12150.000000000002</v>
      </c>
      <c r="P263" s="214"/>
      <c r="Q263" s="46" t="s">
        <v>31</v>
      </c>
      <c r="R263" s="66" t="s">
        <v>49</v>
      </c>
      <c r="S263" s="133" t="str">
        <f t="shared" si="260"/>
        <v>BPD2012</v>
      </c>
      <c r="T263" s="133" t="str">
        <f t="shared" si="261"/>
        <v>B1.2.2.5.12012</v>
      </c>
      <c r="U263" s="133" t="s">
        <v>204</v>
      </c>
      <c r="V263" s="215" t="str">
        <f t="shared" si="262"/>
        <v>RDO Board</v>
      </c>
      <c r="W263" s="42"/>
      <c r="X263" s="42"/>
      <c r="Y263" s="42"/>
      <c r="Z263" s="42"/>
      <c r="AA263" s="42"/>
      <c r="AB263" s="61">
        <v>2012</v>
      </c>
      <c r="AC263" s="128">
        <f t="shared" ref="AC263:AG265" si="292">IF($Q263="B", (G263*$N263),0)</f>
        <v>0</v>
      </c>
      <c r="AD263" s="128">
        <f t="shared" si="292"/>
        <v>0</v>
      </c>
      <c r="AE263" s="128">
        <f t="shared" si="292"/>
        <v>280</v>
      </c>
      <c r="AF263" s="128">
        <f t="shared" si="292"/>
        <v>100</v>
      </c>
      <c r="AG263" s="128">
        <f t="shared" si="292"/>
        <v>180</v>
      </c>
      <c r="AH263" s="236">
        <f t="shared" si="268"/>
        <v>0</v>
      </c>
      <c r="AI263" s="238"/>
      <c r="AJ263" s="244"/>
      <c r="AK263" s="244"/>
      <c r="AL263" s="162"/>
      <c r="AM263" s="127">
        <f t="shared" ref="AM263:AQ265" si="293">IF($Q263="C", (G263*$N263),0)</f>
        <v>0</v>
      </c>
      <c r="AN263" s="128">
        <f t="shared" si="293"/>
        <v>0</v>
      </c>
      <c r="AO263" s="128">
        <f t="shared" si="293"/>
        <v>0</v>
      </c>
      <c r="AP263" s="128">
        <f t="shared" si="293"/>
        <v>0</v>
      </c>
      <c r="AQ263" s="128">
        <f t="shared" si="293"/>
        <v>0</v>
      </c>
      <c r="AR263" s="128">
        <f t="shared" si="274"/>
        <v>0</v>
      </c>
      <c r="AS263" s="238"/>
    </row>
    <row r="264" spans="1:45" s="150" customFormat="1">
      <c r="A264" s="286" t="s">
        <v>397</v>
      </c>
      <c r="B264" s="18" t="s">
        <v>8</v>
      </c>
      <c r="C264" s="216">
        <v>1</v>
      </c>
      <c r="D264" s="91" t="s">
        <v>2</v>
      </c>
      <c r="E264" s="213">
        <v>6000</v>
      </c>
      <c r="F264" s="217">
        <f>E264*C264</f>
        <v>6000</v>
      </c>
      <c r="G264" s="218">
        <v>0</v>
      </c>
      <c r="H264" s="218">
        <v>45</v>
      </c>
      <c r="I264" s="218">
        <v>0</v>
      </c>
      <c r="J264" s="218">
        <v>60</v>
      </c>
      <c r="K264" s="219">
        <v>0</v>
      </c>
      <c r="L264" s="91" t="s">
        <v>7</v>
      </c>
      <c r="M264" s="213">
        <f>IF(R264="PD",((Shop*G264)+(M_Tech*H264)+(CMM*I264)+(ENG*J264)+(DES*K264))*N264,((Shop_RD*G264)+(MTECH_RD*H264)+(CMM_RD*I264)+(ENG_RD*J264)+(DES_RD*K264))*N264)</f>
        <v>11554.650000000001</v>
      </c>
      <c r="N264" s="93">
        <v>1</v>
      </c>
      <c r="O264" s="214">
        <f>M264+(F264*N264)</f>
        <v>17554.650000000001</v>
      </c>
      <c r="P264" s="214"/>
      <c r="Q264" s="46" t="s">
        <v>32</v>
      </c>
      <c r="R264" s="66" t="s">
        <v>49</v>
      </c>
      <c r="S264" s="133" t="str">
        <f>CONCATENATE(Q264,R264,AB264)</f>
        <v>CPD2012</v>
      </c>
      <c r="T264" s="133" t="str">
        <f>CONCATENATE(Q264,U264,AB264)</f>
        <v>C1.2.2.5.12012</v>
      </c>
      <c r="U264" s="133" t="s">
        <v>204</v>
      </c>
      <c r="V264" s="215" t="str">
        <f t="shared" si="262"/>
        <v>RDO Board</v>
      </c>
      <c r="W264" s="42"/>
      <c r="X264" s="42"/>
      <c r="Y264" s="42"/>
      <c r="Z264" s="42"/>
      <c r="AA264" s="42"/>
      <c r="AB264" s="61">
        <v>2012</v>
      </c>
      <c r="AC264" s="128">
        <f t="shared" si="292"/>
        <v>0</v>
      </c>
      <c r="AD264" s="128">
        <f t="shared" si="292"/>
        <v>0</v>
      </c>
      <c r="AE264" s="128">
        <f t="shared" si="292"/>
        <v>0</v>
      </c>
      <c r="AF264" s="128">
        <f t="shared" si="292"/>
        <v>0</v>
      </c>
      <c r="AG264" s="128">
        <f t="shared" si="292"/>
        <v>0</v>
      </c>
      <c r="AH264" s="236">
        <f>IF($Q264="B", (F264*$N264),0)</f>
        <v>0</v>
      </c>
      <c r="AI264" s="238"/>
      <c r="AJ264" s="244"/>
      <c r="AK264" s="244"/>
      <c r="AL264" s="162"/>
      <c r="AM264" s="127">
        <f t="shared" si="293"/>
        <v>0</v>
      </c>
      <c r="AN264" s="128">
        <f t="shared" si="293"/>
        <v>45</v>
      </c>
      <c r="AO264" s="128">
        <f t="shared" si="293"/>
        <v>0</v>
      </c>
      <c r="AP264" s="128">
        <f t="shared" si="293"/>
        <v>60</v>
      </c>
      <c r="AQ264" s="128">
        <f t="shared" si="293"/>
        <v>0</v>
      </c>
      <c r="AR264" s="128">
        <f>IF($Q264="C", (F264*$N264),0)</f>
        <v>6000</v>
      </c>
      <c r="AS264" s="238"/>
    </row>
    <row r="265" spans="1:45" s="150" customFormat="1">
      <c r="A265" s="286" t="s">
        <v>441</v>
      </c>
      <c r="B265" s="18" t="s">
        <v>8</v>
      </c>
      <c r="C265" s="216">
        <v>1</v>
      </c>
      <c r="D265" s="91" t="s">
        <v>2</v>
      </c>
      <c r="E265" s="213">
        <v>6000</v>
      </c>
      <c r="F265" s="217">
        <f>E265*C265</f>
        <v>6000</v>
      </c>
      <c r="G265" s="218">
        <v>0</v>
      </c>
      <c r="H265" s="218">
        <v>45</v>
      </c>
      <c r="I265" s="218">
        <v>0</v>
      </c>
      <c r="J265" s="218">
        <v>60</v>
      </c>
      <c r="K265" s="219">
        <v>0</v>
      </c>
      <c r="L265" s="91" t="s">
        <v>7</v>
      </c>
      <c r="M265" s="213">
        <f>IF(R265="PD",((Shop*G265)+(M_Tech*H265)+(CMM*I265)+(ENG*J265)+(DES*K265))*N265,((Shop_RD*G265)+(MTECH_RD*H265)+(CMM_RD*I265)+(ENG_RD*J265)+(DES_RD*K265))*N265)</f>
        <v>11554.650000000001</v>
      </c>
      <c r="N265" s="93">
        <v>1</v>
      </c>
      <c r="O265" s="214">
        <f>M265+(F265*N265)</f>
        <v>17554.650000000001</v>
      </c>
      <c r="P265" s="214"/>
      <c r="Q265" s="46" t="s">
        <v>32</v>
      </c>
      <c r="R265" s="66" t="s">
        <v>49</v>
      </c>
      <c r="S265" s="133" t="str">
        <f>CONCATENATE(Q265,R265,AB265)</f>
        <v>CPD2013</v>
      </c>
      <c r="T265" s="133" t="str">
        <f>CONCATENATE(Q265,U265,AB265)</f>
        <v>C1.2.2.5.12013</v>
      </c>
      <c r="U265" s="133" t="s">
        <v>204</v>
      </c>
      <c r="V265" s="215" t="str">
        <f t="shared" si="262"/>
        <v>RDO Board</v>
      </c>
      <c r="W265" s="42"/>
      <c r="X265" s="42"/>
      <c r="Y265" s="42"/>
      <c r="Z265" s="42"/>
      <c r="AA265" s="42"/>
      <c r="AB265" s="61">
        <v>2013</v>
      </c>
      <c r="AC265" s="128">
        <f t="shared" si="292"/>
        <v>0</v>
      </c>
      <c r="AD265" s="128">
        <f t="shared" si="292"/>
        <v>0</v>
      </c>
      <c r="AE265" s="128">
        <f t="shared" si="292"/>
        <v>0</v>
      </c>
      <c r="AF265" s="128">
        <f t="shared" si="292"/>
        <v>0</v>
      </c>
      <c r="AG265" s="128">
        <f t="shared" si="292"/>
        <v>0</v>
      </c>
      <c r="AH265" s="236">
        <f>IF($Q265="B", (F265*$N265),0)</f>
        <v>0</v>
      </c>
      <c r="AI265" s="238"/>
      <c r="AJ265" s="244"/>
      <c r="AK265" s="244"/>
      <c r="AL265" s="162"/>
      <c r="AM265" s="127">
        <f t="shared" si="293"/>
        <v>0</v>
      </c>
      <c r="AN265" s="128">
        <f t="shared" si="293"/>
        <v>45</v>
      </c>
      <c r="AO265" s="128">
        <f t="shared" si="293"/>
        <v>0</v>
      </c>
      <c r="AP265" s="128">
        <f t="shared" si="293"/>
        <v>60</v>
      </c>
      <c r="AQ265" s="128">
        <f t="shared" si="293"/>
        <v>0</v>
      </c>
      <c r="AR265" s="128">
        <f>IF($Q265="C", (F265*$N265),0)</f>
        <v>6000</v>
      </c>
      <c r="AS265" s="238"/>
    </row>
    <row r="266" spans="1:45" s="150" customFormat="1">
      <c r="A266" s="286" t="s">
        <v>442</v>
      </c>
      <c r="B266" s="18" t="s">
        <v>8</v>
      </c>
      <c r="C266" s="216">
        <v>1</v>
      </c>
      <c r="D266" s="91" t="s">
        <v>2</v>
      </c>
      <c r="E266" s="213">
        <v>6000</v>
      </c>
      <c r="F266" s="217">
        <f t="shared" si="257"/>
        <v>6000</v>
      </c>
      <c r="G266" s="218">
        <v>0</v>
      </c>
      <c r="H266" s="218">
        <v>35</v>
      </c>
      <c r="I266" s="218">
        <v>0</v>
      </c>
      <c r="J266" s="218">
        <v>50</v>
      </c>
      <c r="K266" s="219">
        <v>0</v>
      </c>
      <c r="L266" s="91" t="s">
        <v>7</v>
      </c>
      <c r="M266" s="213">
        <f t="shared" si="258"/>
        <v>9391.9500000000007</v>
      </c>
      <c r="N266" s="93">
        <v>1</v>
      </c>
      <c r="O266" s="214">
        <f t="shared" si="259"/>
        <v>15391.95</v>
      </c>
      <c r="P266" s="214"/>
      <c r="Q266" s="46" t="s">
        <v>32</v>
      </c>
      <c r="R266" s="66" t="s">
        <v>49</v>
      </c>
      <c r="S266" s="133" t="str">
        <f t="shared" si="260"/>
        <v>CPD2013</v>
      </c>
      <c r="T266" s="133" t="str">
        <f t="shared" si="261"/>
        <v>C1.2.2.5.12013</v>
      </c>
      <c r="U266" s="133" t="s">
        <v>204</v>
      </c>
      <c r="V266" s="215" t="str">
        <f t="shared" si="262"/>
        <v>RDO Board</v>
      </c>
      <c r="W266" s="42"/>
      <c r="X266" s="42"/>
      <c r="Y266" s="42"/>
      <c r="Z266" s="42"/>
      <c r="AA266" s="42"/>
      <c r="AB266" s="61">
        <v>2013</v>
      </c>
      <c r="AC266" s="128">
        <f>IF($Q266="B", (G266*$N266),0)</f>
        <v>0</v>
      </c>
      <c r="AD266" s="128">
        <f>IF($Q266="B", (H266*$N266),0)</f>
        <v>0</v>
      </c>
      <c r="AE266" s="128">
        <f>IF($Q266="B", (I266*$N266),0)</f>
        <v>0</v>
      </c>
      <c r="AF266" s="128">
        <f>IF($Q266="B", (J266*$N266),0)</f>
        <v>0</v>
      </c>
      <c r="AG266" s="128">
        <f>IF($Q266="B", (K266*$N266),0)</f>
        <v>0</v>
      </c>
      <c r="AH266" s="236">
        <f t="shared" si="268"/>
        <v>0</v>
      </c>
      <c r="AI266" s="238"/>
      <c r="AJ266" s="244"/>
      <c r="AK266" s="244"/>
      <c r="AL266" s="162"/>
      <c r="AM266" s="127">
        <f>IF($Q266="C", (G266*$N266),0)</f>
        <v>0</v>
      </c>
      <c r="AN266" s="128">
        <f>IF($Q266="C", (H266*$N266),0)</f>
        <v>35</v>
      </c>
      <c r="AO266" s="128">
        <f>IF($Q266="C", (I266*$N266),0)</f>
        <v>0</v>
      </c>
      <c r="AP266" s="128">
        <f>IF($Q266="C", (J266*$N266),0)</f>
        <v>50</v>
      </c>
      <c r="AQ266" s="128">
        <f>IF($Q266="C", (K266*$N266),0)</f>
        <v>0</v>
      </c>
      <c r="AR266" s="128">
        <f t="shared" si="274"/>
        <v>6000</v>
      </c>
      <c r="AS266" s="238"/>
    </row>
    <row r="267" spans="1:45" s="42" customFormat="1">
      <c r="A267" s="147" t="s">
        <v>207</v>
      </c>
      <c r="C267" s="181"/>
      <c r="E267" s="182"/>
      <c r="F267" s="183"/>
      <c r="G267" s="184"/>
      <c r="H267" s="184"/>
      <c r="I267" s="184"/>
      <c r="J267" s="184"/>
      <c r="K267" s="185"/>
      <c r="L267" s="222" t="s">
        <v>43</v>
      </c>
      <c r="M267" s="174">
        <f>SUMIF(Q231:Q266,"B",M231:M266)</f>
        <v>140926.80000000002</v>
      </c>
      <c r="N267" s="62" t="s">
        <v>43</v>
      </c>
      <c r="O267" s="174"/>
      <c r="P267" s="186"/>
      <c r="Q267" s="60"/>
      <c r="R267" s="68"/>
      <c r="S267" s="133"/>
      <c r="T267" s="133"/>
      <c r="U267" s="70"/>
      <c r="V267" s="70"/>
      <c r="W267" s="18"/>
      <c r="X267" s="18"/>
      <c r="Y267" s="18"/>
      <c r="Z267" s="18"/>
      <c r="AA267" s="18"/>
      <c r="AB267" s="30"/>
      <c r="AC267" s="128"/>
      <c r="AD267" s="128"/>
      <c r="AE267" s="128"/>
      <c r="AF267" s="128"/>
      <c r="AG267" s="128"/>
      <c r="AH267" s="236"/>
      <c r="AI267" s="237"/>
      <c r="AJ267" s="128"/>
      <c r="AK267" s="128"/>
      <c r="AL267" s="162"/>
      <c r="AM267" s="127"/>
      <c r="AN267" s="128"/>
      <c r="AO267" s="128"/>
      <c r="AP267" s="128"/>
      <c r="AQ267" s="128"/>
      <c r="AR267" s="128"/>
      <c r="AS267" s="237"/>
    </row>
    <row r="268" spans="1:45" s="150" customFormat="1" hidden="1">
      <c r="A268" s="286" t="s">
        <v>329</v>
      </c>
      <c r="B268" s="18" t="s">
        <v>8</v>
      </c>
      <c r="C268" s="216">
        <v>1</v>
      </c>
      <c r="D268" s="91" t="s">
        <v>2</v>
      </c>
      <c r="E268" s="213">
        <v>0</v>
      </c>
      <c r="F268" s="217">
        <f t="shared" ref="F268:F282" si="294">E268*C268</f>
        <v>0</v>
      </c>
      <c r="G268" s="218">
        <v>0</v>
      </c>
      <c r="H268" s="218">
        <v>0</v>
      </c>
      <c r="I268" s="218">
        <v>120</v>
      </c>
      <c r="J268" s="218">
        <v>40</v>
      </c>
      <c r="K268" s="219">
        <v>120</v>
      </c>
      <c r="L268" s="91" t="s">
        <v>7</v>
      </c>
      <c r="M268" s="213">
        <f t="shared" ref="M268:M282" si="295">IF(R268="PD",((Shop*G268)+(M_Tech*H268)+(CMM*I268)+(ENG*J268)+(DES*K268))*N268,((Shop_RD*G268)+(MTECH_RD*H268)+(CMM_RD*I268)+(ENG_RD*J268)+(DES_RD*K268))*N268)</f>
        <v>0</v>
      </c>
      <c r="N268" s="42">
        <v>0</v>
      </c>
      <c r="O268" s="214">
        <f t="shared" ref="O268:O282" si="296">M268+(F268*N268)</f>
        <v>0</v>
      </c>
      <c r="P268" s="214"/>
      <c r="Q268" s="46" t="s">
        <v>31</v>
      </c>
      <c r="R268" s="66" t="s">
        <v>154</v>
      </c>
      <c r="S268" s="133" t="str">
        <f t="shared" ref="S268:S282" si="297">CONCATENATE(Q268,R268,AB268)</f>
        <v>BPT2009</v>
      </c>
      <c r="T268" s="133" t="str">
        <f t="shared" ref="T268:T282" si="298">CONCATENATE(Q268,U268,AB268)</f>
        <v>B1.2.2.5.22009</v>
      </c>
      <c r="U268" s="133" t="s">
        <v>206</v>
      </c>
      <c r="V268" s="215" t="str">
        <f t="shared" ref="V268:V282" si="299">LOOKUP(U268,$B$345:$B$367,$A$345:$A$367)</f>
        <v>Mass Termination Board</v>
      </c>
      <c r="W268" s="42"/>
      <c r="X268" s="42"/>
      <c r="Y268" s="42"/>
      <c r="Z268" s="42"/>
      <c r="AA268" s="42"/>
      <c r="AB268" s="61">
        <v>2009</v>
      </c>
      <c r="AC268" s="128">
        <f t="shared" ref="AC268:AG271" si="300">IF($Q268="B", (G268*$N268),0)</f>
        <v>0</v>
      </c>
      <c r="AD268" s="128">
        <f t="shared" si="300"/>
        <v>0</v>
      </c>
      <c r="AE268" s="128">
        <f t="shared" si="300"/>
        <v>0</v>
      </c>
      <c r="AF268" s="128">
        <f t="shared" si="300"/>
        <v>0</v>
      </c>
      <c r="AG268" s="128">
        <f t="shared" si="300"/>
        <v>0</v>
      </c>
      <c r="AH268" s="236">
        <f t="shared" ref="AH268:AH282" si="301">IF($Q268="B", (F268*$N268),0)</f>
        <v>0</v>
      </c>
      <c r="AI268" s="238"/>
      <c r="AJ268" s="244"/>
      <c r="AK268" s="244"/>
      <c r="AL268" s="162"/>
      <c r="AM268" s="127">
        <f t="shared" ref="AM268:AQ271" si="302">IF($Q268="C", (G268*$N268),0)</f>
        <v>0</v>
      </c>
      <c r="AN268" s="128">
        <f t="shared" si="302"/>
        <v>0</v>
      </c>
      <c r="AO268" s="128">
        <f t="shared" si="302"/>
        <v>0</v>
      </c>
      <c r="AP268" s="128">
        <f t="shared" si="302"/>
        <v>0</v>
      </c>
      <c r="AQ268" s="128">
        <f t="shared" si="302"/>
        <v>0</v>
      </c>
      <c r="AR268" s="128">
        <f t="shared" ref="AR268:AR282" si="303">IF($Q268="C", (F268*$N268),0)</f>
        <v>0</v>
      </c>
      <c r="AS268" s="238"/>
    </row>
    <row r="269" spans="1:45" s="150" customFormat="1" hidden="1">
      <c r="A269" s="286" t="s">
        <v>330</v>
      </c>
      <c r="B269" s="18" t="s">
        <v>8</v>
      </c>
      <c r="C269" s="216">
        <v>5</v>
      </c>
      <c r="D269" s="91" t="s">
        <v>2</v>
      </c>
      <c r="E269" s="213">
        <v>500</v>
      </c>
      <c r="F269" s="217">
        <f t="shared" si="294"/>
        <v>2500</v>
      </c>
      <c r="G269" s="218">
        <v>0</v>
      </c>
      <c r="H269" s="218">
        <v>0</v>
      </c>
      <c r="I269" s="218">
        <v>16</v>
      </c>
      <c r="J269" s="218">
        <v>8</v>
      </c>
      <c r="K269" s="219">
        <v>32</v>
      </c>
      <c r="L269" s="91" t="s">
        <v>7</v>
      </c>
      <c r="M269" s="213">
        <f t="shared" si="295"/>
        <v>0</v>
      </c>
      <c r="N269" s="42">
        <v>0</v>
      </c>
      <c r="O269" s="214">
        <f t="shared" si="296"/>
        <v>0</v>
      </c>
      <c r="P269" s="214"/>
      <c r="Q269" s="46" t="s">
        <v>31</v>
      </c>
      <c r="R269" s="66" t="s">
        <v>154</v>
      </c>
      <c r="S269" s="133" t="str">
        <f t="shared" si="297"/>
        <v>BPT2009</v>
      </c>
      <c r="T269" s="133" t="str">
        <f t="shared" si="298"/>
        <v>B1.2.2.5.22009</v>
      </c>
      <c r="U269" s="133" t="s">
        <v>206</v>
      </c>
      <c r="V269" s="215" t="str">
        <f t="shared" si="299"/>
        <v>Mass Termination Board</v>
      </c>
      <c r="W269" s="42"/>
      <c r="X269" s="42"/>
      <c r="Y269" s="42"/>
      <c r="Z269" s="42"/>
      <c r="AA269" s="42"/>
      <c r="AB269" s="61">
        <v>2009</v>
      </c>
      <c r="AC269" s="128">
        <f t="shared" si="300"/>
        <v>0</v>
      </c>
      <c r="AD269" s="128">
        <f t="shared" si="300"/>
        <v>0</v>
      </c>
      <c r="AE269" s="128">
        <f t="shared" si="300"/>
        <v>0</v>
      </c>
      <c r="AF269" s="128">
        <f t="shared" si="300"/>
        <v>0</v>
      </c>
      <c r="AG269" s="128">
        <f t="shared" si="300"/>
        <v>0</v>
      </c>
      <c r="AH269" s="236">
        <f t="shared" si="301"/>
        <v>0</v>
      </c>
      <c r="AI269" s="238"/>
      <c r="AJ269" s="244"/>
      <c r="AK269" s="244"/>
      <c r="AL269" s="162"/>
      <c r="AM269" s="127">
        <f t="shared" si="302"/>
        <v>0</v>
      </c>
      <c r="AN269" s="128">
        <f t="shared" si="302"/>
        <v>0</v>
      </c>
      <c r="AO269" s="128">
        <f t="shared" si="302"/>
        <v>0</v>
      </c>
      <c r="AP269" s="128">
        <f t="shared" si="302"/>
        <v>0</v>
      </c>
      <c r="AQ269" s="128">
        <f t="shared" si="302"/>
        <v>0</v>
      </c>
      <c r="AR269" s="128">
        <f t="shared" si="303"/>
        <v>0</v>
      </c>
      <c r="AS269" s="238"/>
    </row>
    <row r="270" spans="1:45" s="150" customFormat="1" hidden="1">
      <c r="A270" s="286" t="s">
        <v>331</v>
      </c>
      <c r="B270" s="18" t="s">
        <v>8</v>
      </c>
      <c r="C270" s="216">
        <v>5</v>
      </c>
      <c r="D270" s="91" t="s">
        <v>2</v>
      </c>
      <c r="E270" s="213">
        <v>250</v>
      </c>
      <c r="F270" s="217">
        <f t="shared" si="294"/>
        <v>1250</v>
      </c>
      <c r="G270" s="218">
        <v>0</v>
      </c>
      <c r="H270" s="218">
        <v>40</v>
      </c>
      <c r="I270" s="218">
        <v>0</v>
      </c>
      <c r="J270" s="218">
        <v>8</v>
      </c>
      <c r="K270" s="219">
        <v>24</v>
      </c>
      <c r="L270" s="91" t="s">
        <v>7</v>
      </c>
      <c r="M270" s="213">
        <f t="shared" si="295"/>
        <v>0</v>
      </c>
      <c r="N270" s="42">
        <v>0</v>
      </c>
      <c r="O270" s="214">
        <f t="shared" si="296"/>
        <v>0</v>
      </c>
      <c r="P270" s="214"/>
      <c r="Q270" s="46" t="s">
        <v>31</v>
      </c>
      <c r="R270" s="66" t="s">
        <v>154</v>
      </c>
      <c r="S270" s="133" t="str">
        <f t="shared" si="297"/>
        <v>BPT2009</v>
      </c>
      <c r="T270" s="133" t="str">
        <f t="shared" si="298"/>
        <v>B1.2.2.5.22009</v>
      </c>
      <c r="U270" s="133" t="s">
        <v>206</v>
      </c>
      <c r="V270" s="215" t="str">
        <f t="shared" si="299"/>
        <v>Mass Termination Board</v>
      </c>
      <c r="W270" s="42"/>
      <c r="X270" s="42"/>
      <c r="Y270" s="42"/>
      <c r="Z270" s="42"/>
      <c r="AA270" s="42"/>
      <c r="AB270" s="61">
        <v>2009</v>
      </c>
      <c r="AC270" s="128">
        <f t="shared" si="300"/>
        <v>0</v>
      </c>
      <c r="AD270" s="128">
        <f t="shared" si="300"/>
        <v>0</v>
      </c>
      <c r="AE270" s="128">
        <f t="shared" si="300"/>
        <v>0</v>
      </c>
      <c r="AF270" s="128">
        <f t="shared" si="300"/>
        <v>0</v>
      </c>
      <c r="AG270" s="128">
        <f t="shared" si="300"/>
        <v>0</v>
      </c>
      <c r="AH270" s="236">
        <f t="shared" si="301"/>
        <v>0</v>
      </c>
      <c r="AI270" s="238"/>
      <c r="AJ270" s="244"/>
      <c r="AK270" s="244"/>
      <c r="AL270" s="162"/>
      <c r="AM270" s="127">
        <f t="shared" si="302"/>
        <v>0</v>
      </c>
      <c r="AN270" s="128">
        <f t="shared" si="302"/>
        <v>0</v>
      </c>
      <c r="AO270" s="128">
        <f t="shared" si="302"/>
        <v>0</v>
      </c>
      <c r="AP270" s="128">
        <f t="shared" si="302"/>
        <v>0</v>
      </c>
      <c r="AQ270" s="128">
        <f t="shared" si="302"/>
        <v>0</v>
      </c>
      <c r="AR270" s="128">
        <f t="shared" si="303"/>
        <v>0</v>
      </c>
      <c r="AS270" s="238"/>
    </row>
    <row r="271" spans="1:45" s="150" customFormat="1">
      <c r="A271" s="286" t="s">
        <v>270</v>
      </c>
      <c r="B271" s="18" t="s">
        <v>8</v>
      </c>
      <c r="C271" s="216">
        <v>1</v>
      </c>
      <c r="D271" s="91" t="s">
        <v>2</v>
      </c>
      <c r="E271" s="213">
        <v>0</v>
      </c>
      <c r="F271" s="217">
        <f t="shared" si="294"/>
        <v>0</v>
      </c>
      <c r="G271" s="218">
        <v>0</v>
      </c>
      <c r="H271" s="218">
        <v>0</v>
      </c>
      <c r="I271" s="218">
        <v>0</v>
      </c>
      <c r="J271" s="218">
        <v>0</v>
      </c>
      <c r="K271" s="219">
        <v>80</v>
      </c>
      <c r="L271" s="91" t="s">
        <v>7</v>
      </c>
      <c r="M271" s="213">
        <f t="shared" si="295"/>
        <v>0</v>
      </c>
      <c r="N271" s="42">
        <v>1</v>
      </c>
      <c r="O271" s="214">
        <f t="shared" si="296"/>
        <v>0</v>
      </c>
      <c r="P271" s="214"/>
      <c r="Q271" s="46" t="s">
        <v>31</v>
      </c>
      <c r="R271" s="66" t="s">
        <v>49</v>
      </c>
      <c r="S271" s="133" t="str">
        <f t="shared" si="297"/>
        <v>BPD2012</v>
      </c>
      <c r="T271" s="133" t="str">
        <f t="shared" si="298"/>
        <v>B1.2.2.5.22012</v>
      </c>
      <c r="U271" s="133" t="s">
        <v>206</v>
      </c>
      <c r="V271" s="215" t="str">
        <f t="shared" si="299"/>
        <v>Mass Termination Board</v>
      </c>
      <c r="W271" s="42"/>
      <c r="X271" s="42"/>
      <c r="Y271" s="42"/>
      <c r="Z271" s="42"/>
      <c r="AA271" s="42"/>
      <c r="AB271" s="61">
        <v>2012</v>
      </c>
      <c r="AC271" s="128">
        <f t="shared" si="300"/>
        <v>0</v>
      </c>
      <c r="AD271" s="128">
        <f t="shared" si="300"/>
        <v>0</v>
      </c>
      <c r="AE271" s="128">
        <f t="shared" si="300"/>
        <v>0</v>
      </c>
      <c r="AF271" s="128">
        <f t="shared" si="300"/>
        <v>0</v>
      </c>
      <c r="AG271" s="128">
        <f t="shared" si="300"/>
        <v>80</v>
      </c>
      <c r="AH271" s="236">
        <f t="shared" si="301"/>
        <v>0</v>
      </c>
      <c r="AI271" s="238"/>
      <c r="AJ271" s="244"/>
      <c r="AK271" s="244"/>
      <c r="AL271" s="162"/>
      <c r="AM271" s="127">
        <f t="shared" si="302"/>
        <v>0</v>
      </c>
      <c r="AN271" s="128">
        <f t="shared" si="302"/>
        <v>0</v>
      </c>
      <c r="AO271" s="128">
        <f t="shared" si="302"/>
        <v>0</v>
      </c>
      <c r="AP271" s="128">
        <f t="shared" si="302"/>
        <v>0</v>
      </c>
      <c r="AQ271" s="128">
        <f t="shared" si="302"/>
        <v>0</v>
      </c>
      <c r="AR271" s="128">
        <f t="shared" si="303"/>
        <v>0</v>
      </c>
      <c r="AS271" s="238"/>
    </row>
    <row r="272" spans="1:45" s="150" customFormat="1">
      <c r="A272" s="286" t="s">
        <v>271</v>
      </c>
      <c r="B272" s="18" t="s">
        <v>8</v>
      </c>
      <c r="C272" s="216">
        <v>5</v>
      </c>
      <c r="D272" s="91" t="s">
        <v>2</v>
      </c>
      <c r="E272" s="213">
        <v>500</v>
      </c>
      <c r="F272" s="217">
        <f t="shared" si="294"/>
        <v>2500</v>
      </c>
      <c r="G272" s="218">
        <v>0</v>
      </c>
      <c r="H272" s="218">
        <v>0</v>
      </c>
      <c r="I272" s="218">
        <v>80</v>
      </c>
      <c r="J272" s="218">
        <v>24</v>
      </c>
      <c r="K272" s="219">
        <v>24</v>
      </c>
      <c r="L272" s="91" t="s">
        <v>7</v>
      </c>
      <c r="M272" s="213">
        <f t="shared" si="295"/>
        <v>2916.0000000000005</v>
      </c>
      <c r="N272" s="42">
        <v>1</v>
      </c>
      <c r="O272" s="214">
        <f t="shared" si="296"/>
        <v>5416</v>
      </c>
      <c r="P272" s="214"/>
      <c r="Q272" s="46" t="s">
        <v>31</v>
      </c>
      <c r="R272" s="66" t="s">
        <v>49</v>
      </c>
      <c r="S272" s="133" t="str">
        <f t="shared" si="297"/>
        <v>BPD2012</v>
      </c>
      <c r="T272" s="133" t="str">
        <f t="shared" si="298"/>
        <v>B1.2.2.5.22012</v>
      </c>
      <c r="U272" s="133" t="s">
        <v>206</v>
      </c>
      <c r="V272" s="215" t="str">
        <f t="shared" si="299"/>
        <v>Mass Termination Board</v>
      </c>
      <c r="W272" s="42"/>
      <c r="X272" s="42"/>
      <c r="Y272" s="42"/>
      <c r="Z272" s="42"/>
      <c r="AA272" s="42"/>
      <c r="AB272" s="61">
        <v>2012</v>
      </c>
      <c r="AC272" s="128">
        <f t="shared" ref="AC272:AG275" si="304">IF($Q272="B", (G272*$N272),0)</f>
        <v>0</v>
      </c>
      <c r="AD272" s="128">
        <f t="shared" si="304"/>
        <v>0</v>
      </c>
      <c r="AE272" s="128">
        <f t="shared" si="304"/>
        <v>80</v>
      </c>
      <c r="AF272" s="128">
        <f t="shared" si="304"/>
        <v>24</v>
      </c>
      <c r="AG272" s="128">
        <f t="shared" si="304"/>
        <v>24</v>
      </c>
      <c r="AH272" s="236">
        <f t="shared" si="301"/>
        <v>2500</v>
      </c>
      <c r="AI272" s="238"/>
      <c r="AJ272" s="244"/>
      <c r="AK272" s="244"/>
      <c r="AL272" s="162"/>
      <c r="AM272" s="127">
        <f t="shared" ref="AM272:AQ275" si="305">IF($Q272="C", (G272*$N272),0)</f>
        <v>0</v>
      </c>
      <c r="AN272" s="128">
        <f t="shared" si="305"/>
        <v>0</v>
      </c>
      <c r="AO272" s="128">
        <f t="shared" si="305"/>
        <v>0</v>
      </c>
      <c r="AP272" s="128">
        <f t="shared" si="305"/>
        <v>0</v>
      </c>
      <c r="AQ272" s="128">
        <f t="shared" si="305"/>
        <v>0</v>
      </c>
      <c r="AR272" s="128">
        <f t="shared" si="303"/>
        <v>0</v>
      </c>
      <c r="AS272" s="238"/>
    </row>
    <row r="273" spans="1:45" s="150" customFormat="1">
      <c r="A273" s="286" t="s">
        <v>272</v>
      </c>
      <c r="B273" s="18" t="s">
        <v>8</v>
      </c>
      <c r="C273" s="216">
        <v>5</v>
      </c>
      <c r="D273" s="91" t="s">
        <v>2</v>
      </c>
      <c r="E273" s="213">
        <v>250</v>
      </c>
      <c r="F273" s="217">
        <f t="shared" si="294"/>
        <v>1250</v>
      </c>
      <c r="G273" s="218">
        <v>0</v>
      </c>
      <c r="H273" s="218">
        <v>40</v>
      </c>
      <c r="I273" s="218">
        <v>0</v>
      </c>
      <c r="J273" s="218">
        <v>8</v>
      </c>
      <c r="K273" s="219">
        <v>24</v>
      </c>
      <c r="L273" s="91" t="s">
        <v>7</v>
      </c>
      <c r="M273" s="213">
        <f t="shared" si="295"/>
        <v>4762.8</v>
      </c>
      <c r="N273" s="42">
        <v>1</v>
      </c>
      <c r="O273" s="214">
        <f t="shared" si="296"/>
        <v>6012.8</v>
      </c>
      <c r="P273" s="214"/>
      <c r="Q273" s="46" t="s">
        <v>31</v>
      </c>
      <c r="R273" s="66" t="s">
        <v>49</v>
      </c>
      <c r="S273" s="133" t="str">
        <f t="shared" si="297"/>
        <v>BPD2012</v>
      </c>
      <c r="T273" s="133" t="str">
        <f t="shared" si="298"/>
        <v>B1.2.2.5.22012</v>
      </c>
      <c r="U273" s="133" t="s">
        <v>206</v>
      </c>
      <c r="V273" s="215" t="str">
        <f t="shared" si="299"/>
        <v>Mass Termination Board</v>
      </c>
      <c r="W273" s="42"/>
      <c r="X273" s="42"/>
      <c r="Y273" s="42"/>
      <c r="Z273" s="42"/>
      <c r="AA273" s="42"/>
      <c r="AB273" s="61">
        <v>2012</v>
      </c>
      <c r="AC273" s="128">
        <f t="shared" si="304"/>
        <v>0</v>
      </c>
      <c r="AD273" s="128">
        <f t="shared" si="304"/>
        <v>40</v>
      </c>
      <c r="AE273" s="128">
        <f t="shared" si="304"/>
        <v>0</v>
      </c>
      <c r="AF273" s="128">
        <f t="shared" si="304"/>
        <v>8</v>
      </c>
      <c r="AG273" s="128">
        <f t="shared" si="304"/>
        <v>24</v>
      </c>
      <c r="AH273" s="236">
        <f t="shared" si="301"/>
        <v>1250</v>
      </c>
      <c r="AI273" s="238"/>
      <c r="AJ273" s="244"/>
      <c r="AK273" s="244"/>
      <c r="AL273" s="162"/>
      <c r="AM273" s="127">
        <f t="shared" si="305"/>
        <v>0</v>
      </c>
      <c r="AN273" s="128">
        <f t="shared" si="305"/>
        <v>0</v>
      </c>
      <c r="AO273" s="128">
        <f t="shared" si="305"/>
        <v>0</v>
      </c>
      <c r="AP273" s="128">
        <f t="shared" si="305"/>
        <v>0</v>
      </c>
      <c r="AQ273" s="128">
        <f t="shared" si="305"/>
        <v>0</v>
      </c>
      <c r="AR273" s="128">
        <f t="shared" si="303"/>
        <v>0</v>
      </c>
      <c r="AS273" s="238"/>
    </row>
    <row r="274" spans="1:45" s="150" customFormat="1">
      <c r="A274" s="286" t="s">
        <v>343</v>
      </c>
      <c r="B274" s="18" t="s">
        <v>8</v>
      </c>
      <c r="C274" s="216">
        <v>1</v>
      </c>
      <c r="D274" s="91" t="s">
        <v>2</v>
      </c>
      <c r="E274" s="213">
        <v>0</v>
      </c>
      <c r="F274" s="217">
        <f t="shared" si="294"/>
        <v>0</v>
      </c>
      <c r="G274" s="218">
        <v>0</v>
      </c>
      <c r="H274" s="218">
        <v>0</v>
      </c>
      <c r="I274" s="218">
        <v>40</v>
      </c>
      <c r="J274" s="218">
        <v>0</v>
      </c>
      <c r="K274" s="219">
        <v>40</v>
      </c>
      <c r="L274" s="91" t="s">
        <v>7</v>
      </c>
      <c r="M274" s="213">
        <f t="shared" si="295"/>
        <v>0</v>
      </c>
      <c r="N274" s="42">
        <v>1</v>
      </c>
      <c r="O274" s="214">
        <f t="shared" si="296"/>
        <v>0</v>
      </c>
      <c r="P274" s="214"/>
      <c r="Q274" s="46" t="s">
        <v>31</v>
      </c>
      <c r="R274" s="66" t="s">
        <v>49</v>
      </c>
      <c r="S274" s="133" t="str">
        <f t="shared" si="297"/>
        <v>BPD2012</v>
      </c>
      <c r="T274" s="133" t="str">
        <f t="shared" si="298"/>
        <v>B1.2.2.5.22012</v>
      </c>
      <c r="U274" s="133" t="s">
        <v>206</v>
      </c>
      <c r="V274" s="215" t="str">
        <f t="shared" si="299"/>
        <v>Mass Termination Board</v>
      </c>
      <c r="W274" s="42"/>
      <c r="X274" s="42"/>
      <c r="Y274" s="42"/>
      <c r="Z274" s="42"/>
      <c r="AA274" s="42"/>
      <c r="AB274" s="61">
        <v>2012</v>
      </c>
      <c r="AC274" s="128">
        <f>IF($Q274="B", (G274*$N274),0)</f>
        <v>0</v>
      </c>
      <c r="AD274" s="128">
        <f>IF($Q274="B", (H274*$N274),0)</f>
        <v>0</v>
      </c>
      <c r="AE274" s="128">
        <f>IF($Q274="B", (I274*$N274),0)</f>
        <v>40</v>
      </c>
      <c r="AF274" s="128">
        <f>IF($Q274="B", (J274*$N274),0)</f>
        <v>0</v>
      </c>
      <c r="AG274" s="128">
        <f>IF($Q274="B", (K274*$N274),0)</f>
        <v>40</v>
      </c>
      <c r="AH274" s="236">
        <f t="shared" si="301"/>
        <v>0</v>
      </c>
      <c r="AI274" s="238"/>
      <c r="AJ274" s="244"/>
      <c r="AK274" s="244"/>
      <c r="AL274" s="162"/>
      <c r="AM274" s="127">
        <f>IF($Q274="C", (G274*$N274),0)</f>
        <v>0</v>
      </c>
      <c r="AN274" s="128">
        <f>IF($Q274="C", (H274*$N274),0)</f>
        <v>0</v>
      </c>
      <c r="AO274" s="128">
        <f>IF($Q274="C", (I274*$N274),0)</f>
        <v>0</v>
      </c>
      <c r="AP274" s="128">
        <f>IF($Q274="C", (J274*$N274),0)</f>
        <v>0</v>
      </c>
      <c r="AQ274" s="128">
        <f>IF($Q274="C", (K274*$N274),0)</f>
        <v>0</v>
      </c>
      <c r="AR274" s="128">
        <f t="shared" si="303"/>
        <v>0</v>
      </c>
      <c r="AS274" s="238"/>
    </row>
    <row r="275" spans="1:45" s="150" customFormat="1">
      <c r="A275" s="286" t="s">
        <v>320</v>
      </c>
      <c r="B275" s="18" t="s">
        <v>8</v>
      </c>
      <c r="C275" s="216">
        <v>12</v>
      </c>
      <c r="D275" s="91" t="s">
        <v>2</v>
      </c>
      <c r="E275" s="213">
        <v>500</v>
      </c>
      <c r="F275" s="217">
        <f t="shared" si="294"/>
        <v>6000</v>
      </c>
      <c r="G275" s="218">
        <v>0</v>
      </c>
      <c r="H275" s="218">
        <v>0</v>
      </c>
      <c r="I275" s="218">
        <v>16</v>
      </c>
      <c r="J275" s="218">
        <v>8</v>
      </c>
      <c r="K275" s="219">
        <v>32</v>
      </c>
      <c r="L275" s="91" t="s">
        <v>7</v>
      </c>
      <c r="M275" s="213">
        <f t="shared" si="295"/>
        <v>972.00000000000011</v>
      </c>
      <c r="N275" s="42">
        <v>1</v>
      </c>
      <c r="O275" s="214">
        <f t="shared" si="296"/>
        <v>6972</v>
      </c>
      <c r="P275" s="214"/>
      <c r="Q275" s="46" t="s">
        <v>31</v>
      </c>
      <c r="R275" s="66" t="s">
        <v>49</v>
      </c>
      <c r="S275" s="133" t="str">
        <f t="shared" si="297"/>
        <v>BPD2013</v>
      </c>
      <c r="T275" s="133" t="str">
        <f t="shared" si="298"/>
        <v>B1.2.2.5.22013</v>
      </c>
      <c r="U275" s="133" t="s">
        <v>206</v>
      </c>
      <c r="V275" s="215" t="str">
        <f t="shared" si="299"/>
        <v>Mass Termination Board</v>
      </c>
      <c r="W275" s="42"/>
      <c r="X275" s="42"/>
      <c r="Y275" s="42"/>
      <c r="Z275" s="42"/>
      <c r="AA275" s="42"/>
      <c r="AB275" s="61">
        <v>2013</v>
      </c>
      <c r="AC275" s="128">
        <f t="shared" si="304"/>
        <v>0</v>
      </c>
      <c r="AD275" s="128">
        <f t="shared" si="304"/>
        <v>0</v>
      </c>
      <c r="AE275" s="128">
        <f t="shared" si="304"/>
        <v>16</v>
      </c>
      <c r="AF275" s="128">
        <f t="shared" si="304"/>
        <v>8</v>
      </c>
      <c r="AG275" s="128">
        <f t="shared" si="304"/>
        <v>32</v>
      </c>
      <c r="AH275" s="236">
        <f t="shared" si="301"/>
        <v>6000</v>
      </c>
      <c r="AI275" s="238"/>
      <c r="AJ275" s="244"/>
      <c r="AK275" s="244"/>
      <c r="AL275" s="162"/>
      <c r="AM275" s="127">
        <f t="shared" si="305"/>
        <v>0</v>
      </c>
      <c r="AN275" s="128">
        <f t="shared" si="305"/>
        <v>0</v>
      </c>
      <c r="AO275" s="128">
        <f t="shared" si="305"/>
        <v>0</v>
      </c>
      <c r="AP275" s="128">
        <f t="shared" si="305"/>
        <v>0</v>
      </c>
      <c r="AQ275" s="128">
        <f t="shared" si="305"/>
        <v>0</v>
      </c>
      <c r="AR275" s="128">
        <f t="shared" si="303"/>
        <v>0</v>
      </c>
      <c r="AS275" s="238"/>
    </row>
    <row r="276" spans="1:45" s="150" customFormat="1">
      <c r="A276" s="286" t="s">
        <v>287</v>
      </c>
      <c r="B276" s="18" t="s">
        <v>8</v>
      </c>
      <c r="C276" s="216">
        <v>12</v>
      </c>
      <c r="D276" s="91" t="s">
        <v>2</v>
      </c>
      <c r="E276" s="213">
        <v>250</v>
      </c>
      <c r="F276" s="217">
        <f t="shared" si="294"/>
        <v>3000</v>
      </c>
      <c r="G276" s="218">
        <v>0</v>
      </c>
      <c r="H276" s="218">
        <v>90</v>
      </c>
      <c r="I276" s="218">
        <v>40</v>
      </c>
      <c r="J276" s="218">
        <v>0</v>
      </c>
      <c r="K276" s="219">
        <v>56</v>
      </c>
      <c r="L276" s="91" t="s">
        <v>7</v>
      </c>
      <c r="M276" s="213">
        <f t="shared" si="295"/>
        <v>8529.3000000000011</v>
      </c>
      <c r="N276" s="42">
        <v>1</v>
      </c>
      <c r="O276" s="214">
        <f t="shared" si="296"/>
        <v>11529.300000000001</v>
      </c>
      <c r="P276" s="214"/>
      <c r="Q276" s="46" t="s">
        <v>31</v>
      </c>
      <c r="R276" s="66" t="s">
        <v>49</v>
      </c>
      <c r="S276" s="133" t="str">
        <f t="shared" si="297"/>
        <v>BPD2013</v>
      </c>
      <c r="T276" s="133" t="str">
        <f t="shared" si="298"/>
        <v>B1.2.2.5.22013</v>
      </c>
      <c r="U276" s="133" t="s">
        <v>206</v>
      </c>
      <c r="V276" s="215" t="str">
        <f t="shared" si="299"/>
        <v>Mass Termination Board</v>
      </c>
      <c r="W276" s="42"/>
      <c r="X276" s="42"/>
      <c r="Y276" s="42"/>
      <c r="Z276" s="42"/>
      <c r="AA276" s="42"/>
      <c r="AB276" s="61">
        <v>2013</v>
      </c>
      <c r="AC276" s="128">
        <f t="shared" ref="AC276:AG282" si="306">IF($Q276="B", (G276*$N276),0)</f>
        <v>0</v>
      </c>
      <c r="AD276" s="128">
        <f t="shared" si="306"/>
        <v>90</v>
      </c>
      <c r="AE276" s="128">
        <f t="shared" si="306"/>
        <v>40</v>
      </c>
      <c r="AF276" s="128">
        <f t="shared" si="306"/>
        <v>0</v>
      </c>
      <c r="AG276" s="128">
        <f t="shared" si="306"/>
        <v>56</v>
      </c>
      <c r="AH276" s="236">
        <f t="shared" si="301"/>
        <v>3000</v>
      </c>
      <c r="AI276" s="238"/>
      <c r="AJ276" s="244"/>
      <c r="AK276" s="244"/>
      <c r="AL276" s="162"/>
      <c r="AM276" s="127">
        <f t="shared" ref="AM276:AQ282" si="307">IF($Q276="C", (G276*$N276),0)</f>
        <v>0</v>
      </c>
      <c r="AN276" s="128">
        <f t="shared" si="307"/>
        <v>0</v>
      </c>
      <c r="AO276" s="128">
        <f t="shared" si="307"/>
        <v>0</v>
      </c>
      <c r="AP276" s="128">
        <f t="shared" si="307"/>
        <v>0</v>
      </c>
      <c r="AQ276" s="128">
        <f t="shared" si="307"/>
        <v>0</v>
      </c>
      <c r="AR276" s="128">
        <f t="shared" si="303"/>
        <v>0</v>
      </c>
      <c r="AS276" s="238"/>
    </row>
    <row r="277" spans="1:45" s="150" customFormat="1" hidden="1">
      <c r="A277" s="286" t="s">
        <v>289</v>
      </c>
      <c r="B277" s="18" t="s">
        <v>8</v>
      </c>
      <c r="C277" s="216">
        <v>5</v>
      </c>
      <c r="D277" s="91" t="s">
        <v>2</v>
      </c>
      <c r="E277" s="213">
        <v>100</v>
      </c>
      <c r="F277" s="217">
        <f t="shared" si="294"/>
        <v>500</v>
      </c>
      <c r="G277" s="218">
        <v>0</v>
      </c>
      <c r="H277" s="218">
        <v>0</v>
      </c>
      <c r="I277" s="218">
        <v>8</v>
      </c>
      <c r="J277" s="218">
        <v>8</v>
      </c>
      <c r="K277" s="219">
        <v>0</v>
      </c>
      <c r="L277" s="91" t="s">
        <v>7</v>
      </c>
      <c r="M277" s="213">
        <f t="shared" si="295"/>
        <v>0</v>
      </c>
      <c r="N277" s="42">
        <v>0</v>
      </c>
      <c r="O277" s="214">
        <f t="shared" si="296"/>
        <v>0</v>
      </c>
      <c r="P277" s="214"/>
      <c r="Q277" s="46" t="s">
        <v>31</v>
      </c>
      <c r="R277" s="66" t="s">
        <v>154</v>
      </c>
      <c r="S277" s="133" t="str">
        <f t="shared" si="297"/>
        <v>BPT2009</v>
      </c>
      <c r="T277" s="133" t="str">
        <f t="shared" si="298"/>
        <v>B1.2.2.5.22009</v>
      </c>
      <c r="U277" s="133" t="s">
        <v>206</v>
      </c>
      <c r="V277" s="215" t="str">
        <f t="shared" si="299"/>
        <v>Mass Termination Board</v>
      </c>
      <c r="W277" s="42"/>
      <c r="X277" s="42"/>
      <c r="Y277" s="42"/>
      <c r="Z277" s="42"/>
      <c r="AA277" s="42"/>
      <c r="AB277" s="61">
        <v>2009</v>
      </c>
      <c r="AC277" s="128">
        <f t="shared" si="306"/>
        <v>0</v>
      </c>
      <c r="AD277" s="128">
        <f t="shared" si="306"/>
        <v>0</v>
      </c>
      <c r="AE277" s="128">
        <f t="shared" si="306"/>
        <v>0</v>
      </c>
      <c r="AF277" s="128">
        <f t="shared" si="306"/>
        <v>0</v>
      </c>
      <c r="AG277" s="128">
        <f t="shared" si="306"/>
        <v>0</v>
      </c>
      <c r="AH277" s="236">
        <f t="shared" si="301"/>
        <v>0</v>
      </c>
      <c r="AI277" s="238"/>
      <c r="AJ277" s="244"/>
      <c r="AK277" s="244"/>
      <c r="AL277" s="162"/>
      <c r="AM277" s="127">
        <f t="shared" si="307"/>
        <v>0</v>
      </c>
      <c r="AN277" s="128">
        <f t="shared" si="307"/>
        <v>0</v>
      </c>
      <c r="AO277" s="128">
        <f t="shared" si="307"/>
        <v>0</v>
      </c>
      <c r="AP277" s="128">
        <f t="shared" si="307"/>
        <v>0</v>
      </c>
      <c r="AQ277" s="128">
        <f t="shared" si="307"/>
        <v>0</v>
      </c>
      <c r="AR277" s="128">
        <f t="shared" si="303"/>
        <v>0</v>
      </c>
      <c r="AS277" s="238"/>
    </row>
    <row r="278" spans="1:45" s="150" customFormat="1" ht="13.5" customHeight="1">
      <c r="A278" s="286" t="s">
        <v>290</v>
      </c>
      <c r="B278" s="18" t="s">
        <v>8</v>
      </c>
      <c r="C278" s="216">
        <v>48</v>
      </c>
      <c r="D278" s="91" t="s">
        <v>2</v>
      </c>
      <c r="E278" s="213">
        <v>50</v>
      </c>
      <c r="F278" s="217">
        <f t="shared" si="294"/>
        <v>2400</v>
      </c>
      <c r="G278" s="218">
        <v>0</v>
      </c>
      <c r="H278" s="218">
        <v>40</v>
      </c>
      <c r="I278" s="218">
        <v>40</v>
      </c>
      <c r="J278" s="218">
        <v>8</v>
      </c>
      <c r="K278" s="219">
        <v>40</v>
      </c>
      <c r="L278" s="91" t="s">
        <v>7</v>
      </c>
      <c r="M278" s="213">
        <f t="shared" si="295"/>
        <v>4762.8</v>
      </c>
      <c r="N278" s="42">
        <v>1</v>
      </c>
      <c r="O278" s="214">
        <f t="shared" si="296"/>
        <v>7162.8</v>
      </c>
      <c r="P278" s="214"/>
      <c r="Q278" s="46" t="s">
        <v>31</v>
      </c>
      <c r="R278" s="66" t="s">
        <v>49</v>
      </c>
      <c r="S278" s="133" t="str">
        <f t="shared" si="297"/>
        <v>BPD2012</v>
      </c>
      <c r="T278" s="133" t="str">
        <f t="shared" si="298"/>
        <v>B1.2.2.5.22012</v>
      </c>
      <c r="U278" s="133" t="s">
        <v>206</v>
      </c>
      <c r="V278" s="215" t="str">
        <f t="shared" si="299"/>
        <v>Mass Termination Board</v>
      </c>
      <c r="W278" s="42"/>
      <c r="X278" s="42"/>
      <c r="Y278" s="42"/>
      <c r="Z278" s="42"/>
      <c r="AA278" s="42"/>
      <c r="AB278" s="61">
        <v>2012</v>
      </c>
      <c r="AC278" s="128">
        <f t="shared" si="306"/>
        <v>0</v>
      </c>
      <c r="AD278" s="128">
        <f t="shared" si="306"/>
        <v>40</v>
      </c>
      <c r="AE278" s="128">
        <f t="shared" si="306"/>
        <v>40</v>
      </c>
      <c r="AF278" s="128">
        <f t="shared" si="306"/>
        <v>8</v>
      </c>
      <c r="AG278" s="128">
        <f t="shared" si="306"/>
        <v>40</v>
      </c>
      <c r="AH278" s="236">
        <f t="shared" si="301"/>
        <v>2400</v>
      </c>
      <c r="AI278" s="238"/>
      <c r="AJ278" s="244"/>
      <c r="AK278" s="244"/>
      <c r="AL278" s="162"/>
      <c r="AM278" s="127">
        <f t="shared" si="307"/>
        <v>0</v>
      </c>
      <c r="AN278" s="128">
        <f t="shared" si="307"/>
        <v>0</v>
      </c>
      <c r="AO278" s="128">
        <f t="shared" si="307"/>
        <v>0</v>
      </c>
      <c r="AP278" s="128">
        <f t="shared" si="307"/>
        <v>0</v>
      </c>
      <c r="AQ278" s="128">
        <f t="shared" si="307"/>
        <v>0</v>
      </c>
      <c r="AR278" s="128">
        <f t="shared" si="303"/>
        <v>0</v>
      </c>
      <c r="AS278" s="238"/>
    </row>
    <row r="279" spans="1:45" s="150" customFormat="1">
      <c r="A279" s="149" t="s">
        <v>369</v>
      </c>
      <c r="B279" s="18" t="s">
        <v>8</v>
      </c>
      <c r="C279" s="216">
        <v>12</v>
      </c>
      <c r="D279" s="91" t="s">
        <v>2</v>
      </c>
      <c r="E279" s="213">
        <v>500</v>
      </c>
      <c r="F279" s="217">
        <f>E279*C279</f>
        <v>6000</v>
      </c>
      <c r="G279" s="218">
        <v>0</v>
      </c>
      <c r="H279" s="218">
        <v>0</v>
      </c>
      <c r="I279" s="218">
        <v>16</v>
      </c>
      <c r="J279" s="218">
        <v>8</v>
      </c>
      <c r="K279" s="219">
        <v>32</v>
      </c>
      <c r="L279" s="91" t="s">
        <v>7</v>
      </c>
      <c r="M279" s="213">
        <f>IF(R279="PD",((Shop*G279)+(M_Tech*H279)+(CMM*I279)+(ENG*J279)+(DES*K279))*N279,((Shop_RD*G279)+(MTECH_RD*H279)+(CMM_RD*I279)+(ENG_RD*J279)+(DES_RD*K279))*N279)</f>
        <v>972.00000000000011</v>
      </c>
      <c r="N279" s="42">
        <v>1</v>
      </c>
      <c r="O279" s="214">
        <f>M279+(F279*N279)</f>
        <v>6972</v>
      </c>
      <c r="P279" s="214"/>
      <c r="Q279" s="46" t="s">
        <v>31</v>
      </c>
      <c r="R279" s="66" t="s">
        <v>49</v>
      </c>
      <c r="S279" s="133" t="str">
        <f>CONCATENATE(Q279,R279,AB279)</f>
        <v>BPD2012</v>
      </c>
      <c r="T279" s="133" t="str">
        <f>CONCATENATE(Q279,U279,AB279)</f>
        <v>B1.2.2.5.22012</v>
      </c>
      <c r="U279" s="133" t="s">
        <v>206</v>
      </c>
      <c r="V279" s="215" t="str">
        <f t="shared" si="299"/>
        <v>Mass Termination Board</v>
      </c>
      <c r="W279" s="42"/>
      <c r="X279" s="42"/>
      <c r="Y279" s="42"/>
      <c r="Z279" s="42"/>
      <c r="AA279" s="42"/>
      <c r="AB279" s="61">
        <v>2012</v>
      </c>
      <c r="AC279" s="128">
        <f t="shared" si="306"/>
        <v>0</v>
      </c>
      <c r="AD279" s="128">
        <f t="shared" si="306"/>
        <v>0</v>
      </c>
      <c r="AE279" s="128">
        <f t="shared" si="306"/>
        <v>16</v>
      </c>
      <c r="AF279" s="128">
        <f t="shared" si="306"/>
        <v>8</v>
      </c>
      <c r="AG279" s="128">
        <f t="shared" si="306"/>
        <v>32</v>
      </c>
      <c r="AH279" s="236">
        <f>IF($Q279="B", (F279*$N279),0)</f>
        <v>6000</v>
      </c>
      <c r="AI279" s="238"/>
      <c r="AJ279" s="244"/>
      <c r="AK279" s="244"/>
      <c r="AL279" s="162"/>
      <c r="AM279" s="127">
        <f t="shared" si="307"/>
        <v>0</v>
      </c>
      <c r="AN279" s="128">
        <f t="shared" si="307"/>
        <v>0</v>
      </c>
      <c r="AO279" s="128">
        <f t="shared" si="307"/>
        <v>0</v>
      </c>
      <c r="AP279" s="128">
        <f t="shared" si="307"/>
        <v>0</v>
      </c>
      <c r="AQ279" s="128">
        <f t="shared" si="307"/>
        <v>0</v>
      </c>
      <c r="AR279" s="128">
        <f>IF($Q279="C", (F279*$N279),0)</f>
        <v>0</v>
      </c>
      <c r="AS279" s="238"/>
    </row>
    <row r="280" spans="1:45" s="150" customFormat="1">
      <c r="A280" s="149" t="s">
        <v>370</v>
      </c>
      <c r="B280" s="18" t="s">
        <v>8</v>
      </c>
      <c r="C280" s="216">
        <v>12</v>
      </c>
      <c r="D280" s="91" t="s">
        <v>2</v>
      </c>
      <c r="E280" s="213">
        <v>250</v>
      </c>
      <c r="F280" s="217">
        <f>E280*C280</f>
        <v>3000</v>
      </c>
      <c r="G280" s="218">
        <v>0</v>
      </c>
      <c r="H280" s="218">
        <v>90</v>
      </c>
      <c r="I280" s="218">
        <v>40</v>
      </c>
      <c r="J280" s="218">
        <v>16</v>
      </c>
      <c r="K280" s="219">
        <v>40</v>
      </c>
      <c r="L280" s="91" t="s">
        <v>7</v>
      </c>
      <c r="M280" s="213">
        <f>IF(R280="PD",((Shop*G280)+(M_Tech*H280)+(CMM*I280)+(ENG*J280)+(DES*K280))*N280,((Shop_RD*G280)+(MTECH_RD*H280)+(CMM_RD*I280)+(ENG_RD*J280)+(DES_RD*K280))*N280)</f>
        <v>10473.300000000001</v>
      </c>
      <c r="N280" s="42">
        <v>1</v>
      </c>
      <c r="O280" s="214">
        <f>M280+(F280*N280)</f>
        <v>13473.300000000001</v>
      </c>
      <c r="P280" s="214"/>
      <c r="Q280" s="46" t="s">
        <v>31</v>
      </c>
      <c r="R280" s="66" t="s">
        <v>49</v>
      </c>
      <c r="S280" s="133" t="str">
        <f>CONCATENATE(Q280,R280,AB280)</f>
        <v>BPD2012</v>
      </c>
      <c r="T280" s="133" t="str">
        <f>CONCATENATE(Q280,U280,AB280)</f>
        <v>B1.2.2.5.22012</v>
      </c>
      <c r="U280" s="133" t="s">
        <v>206</v>
      </c>
      <c r="V280" s="215" t="str">
        <f t="shared" si="299"/>
        <v>Mass Termination Board</v>
      </c>
      <c r="W280" s="42"/>
      <c r="X280" s="42"/>
      <c r="Y280" s="42"/>
      <c r="Z280" s="42"/>
      <c r="AA280" s="42"/>
      <c r="AB280" s="61">
        <v>2012</v>
      </c>
      <c r="AC280" s="128">
        <f t="shared" ref="AC280:AG281" si="308">IF($Q280="B", (G280*$N280),0)</f>
        <v>0</v>
      </c>
      <c r="AD280" s="128">
        <f t="shared" si="308"/>
        <v>90</v>
      </c>
      <c r="AE280" s="128">
        <f t="shared" si="308"/>
        <v>40</v>
      </c>
      <c r="AF280" s="128">
        <f t="shared" si="308"/>
        <v>16</v>
      </c>
      <c r="AG280" s="128">
        <f t="shared" si="308"/>
        <v>40</v>
      </c>
      <c r="AH280" s="236">
        <f>IF($Q280="B", (F280*$N280),0)</f>
        <v>3000</v>
      </c>
      <c r="AI280" s="238"/>
      <c r="AJ280" s="244"/>
      <c r="AK280" s="244"/>
      <c r="AL280" s="162"/>
      <c r="AM280" s="127">
        <f t="shared" ref="AM280:AQ281" si="309">IF($Q280="C", (G280*$N280),0)</f>
        <v>0</v>
      </c>
      <c r="AN280" s="128">
        <f t="shared" si="309"/>
        <v>0</v>
      </c>
      <c r="AO280" s="128">
        <f t="shared" si="309"/>
        <v>0</v>
      </c>
      <c r="AP280" s="128">
        <f t="shared" si="309"/>
        <v>0</v>
      </c>
      <c r="AQ280" s="128">
        <f t="shared" si="309"/>
        <v>0</v>
      </c>
      <c r="AR280" s="128">
        <f>IF($Q280="C", (F280*$N280),0)</f>
        <v>0</v>
      </c>
      <c r="AS280" s="238"/>
    </row>
    <row r="281" spans="1:45" s="150" customFormat="1">
      <c r="A281" s="149" t="s">
        <v>371</v>
      </c>
      <c r="B281" s="18" t="s">
        <v>8</v>
      </c>
      <c r="C281" s="216">
        <v>48</v>
      </c>
      <c r="D281" s="91" t="s">
        <v>2</v>
      </c>
      <c r="E281" s="213">
        <v>50</v>
      </c>
      <c r="F281" s="217">
        <f>E281*C281</f>
        <v>2400</v>
      </c>
      <c r="G281" s="218">
        <v>0</v>
      </c>
      <c r="H281" s="218">
        <v>40</v>
      </c>
      <c r="I281" s="218">
        <v>40</v>
      </c>
      <c r="J281" s="218">
        <v>8</v>
      </c>
      <c r="K281" s="219">
        <v>40</v>
      </c>
      <c r="L281" s="91" t="s">
        <v>7</v>
      </c>
      <c r="M281" s="213">
        <f>IF(R281="PD",((Shop*G281)+(M_Tech*H281)+(CMM*I281)+(ENG*J281)+(DES*K281))*N281,((Shop_RD*G281)+(MTECH_RD*H281)+(CMM_RD*I281)+(ENG_RD*J281)+(DES_RD*K281))*N281)</f>
        <v>4762.8</v>
      </c>
      <c r="N281" s="42">
        <v>1</v>
      </c>
      <c r="O281" s="214">
        <f>M281+(F281*N281)</f>
        <v>7162.8</v>
      </c>
      <c r="P281" s="214"/>
      <c r="Q281" s="46" t="s">
        <v>31</v>
      </c>
      <c r="R281" s="66" t="s">
        <v>49</v>
      </c>
      <c r="S281" s="133" t="str">
        <f>CONCATENATE(Q281,R281,AB281)</f>
        <v>BPD2012</v>
      </c>
      <c r="T281" s="133" t="str">
        <f>CONCATENATE(Q281,U281,AB281)</f>
        <v>B1.2.2.5.22012</v>
      </c>
      <c r="U281" s="133" t="s">
        <v>206</v>
      </c>
      <c r="V281" s="215" t="str">
        <f t="shared" si="299"/>
        <v>Mass Termination Board</v>
      </c>
      <c r="W281" s="42"/>
      <c r="X281" s="42"/>
      <c r="Y281" s="42"/>
      <c r="Z281" s="42"/>
      <c r="AA281" s="42"/>
      <c r="AB281" s="61">
        <v>2012</v>
      </c>
      <c r="AC281" s="128">
        <f t="shared" si="308"/>
        <v>0</v>
      </c>
      <c r="AD281" s="128">
        <f t="shared" si="308"/>
        <v>40</v>
      </c>
      <c r="AE281" s="128">
        <f t="shared" si="308"/>
        <v>40</v>
      </c>
      <c r="AF281" s="128">
        <f t="shared" si="308"/>
        <v>8</v>
      </c>
      <c r="AG281" s="128">
        <f t="shared" si="308"/>
        <v>40</v>
      </c>
      <c r="AH281" s="236">
        <f>IF($Q281="B", (F281*$N281),0)</f>
        <v>2400</v>
      </c>
      <c r="AI281" s="238"/>
      <c r="AJ281" s="244"/>
      <c r="AK281" s="244"/>
      <c r="AL281" s="162"/>
      <c r="AM281" s="127">
        <f t="shared" si="309"/>
        <v>0</v>
      </c>
      <c r="AN281" s="128">
        <f t="shared" si="309"/>
        <v>0</v>
      </c>
      <c r="AO281" s="128">
        <f t="shared" si="309"/>
        <v>0</v>
      </c>
      <c r="AP281" s="128">
        <f t="shared" si="309"/>
        <v>0</v>
      </c>
      <c r="AQ281" s="128">
        <f t="shared" si="309"/>
        <v>0</v>
      </c>
      <c r="AR281" s="128">
        <f>IF($Q281="C", (F281*$N281),0)</f>
        <v>0</v>
      </c>
      <c r="AS281" s="238"/>
    </row>
    <row r="282" spans="1:45" s="150" customFormat="1">
      <c r="A282" s="286" t="s">
        <v>349</v>
      </c>
      <c r="B282" s="18" t="s">
        <v>8</v>
      </c>
      <c r="C282" s="216">
        <v>1</v>
      </c>
      <c r="D282" s="91" t="s">
        <v>2</v>
      </c>
      <c r="E282" s="213">
        <v>4000</v>
      </c>
      <c r="F282" s="217">
        <f t="shared" si="294"/>
        <v>4000</v>
      </c>
      <c r="G282" s="218">
        <v>0</v>
      </c>
      <c r="H282" s="218">
        <v>40</v>
      </c>
      <c r="I282" s="218">
        <v>0</v>
      </c>
      <c r="J282" s="218">
        <v>40</v>
      </c>
      <c r="K282" s="219">
        <v>0</v>
      </c>
      <c r="L282" s="91" t="s">
        <v>7</v>
      </c>
      <c r="M282" s="213">
        <f t="shared" si="295"/>
        <v>8650.8000000000011</v>
      </c>
      <c r="N282" s="42">
        <v>1</v>
      </c>
      <c r="O282" s="214">
        <f t="shared" si="296"/>
        <v>12650.800000000001</v>
      </c>
      <c r="P282" s="214"/>
      <c r="Q282" s="46" t="s">
        <v>32</v>
      </c>
      <c r="R282" s="66" t="s">
        <v>49</v>
      </c>
      <c r="S282" s="133" t="str">
        <f t="shared" si="297"/>
        <v>CPD2013</v>
      </c>
      <c r="T282" s="133" t="str">
        <f t="shared" si="298"/>
        <v>C1.2.2.5.22013</v>
      </c>
      <c r="U282" s="133" t="s">
        <v>206</v>
      </c>
      <c r="V282" s="215" t="str">
        <f t="shared" si="299"/>
        <v>Mass Termination Board</v>
      </c>
      <c r="W282" s="42"/>
      <c r="X282" s="42"/>
      <c r="Y282" s="42"/>
      <c r="Z282" s="42"/>
      <c r="AA282" s="42"/>
      <c r="AB282" s="61">
        <v>2013</v>
      </c>
      <c r="AC282" s="128">
        <f t="shared" si="306"/>
        <v>0</v>
      </c>
      <c r="AD282" s="128">
        <f t="shared" si="306"/>
        <v>0</v>
      </c>
      <c r="AE282" s="128">
        <f t="shared" si="306"/>
        <v>0</v>
      </c>
      <c r="AF282" s="128">
        <f t="shared" si="306"/>
        <v>0</v>
      </c>
      <c r="AG282" s="128">
        <f t="shared" si="306"/>
        <v>0</v>
      </c>
      <c r="AH282" s="236">
        <f t="shared" si="301"/>
        <v>0</v>
      </c>
      <c r="AI282" s="238"/>
      <c r="AJ282" s="244"/>
      <c r="AK282" s="244"/>
      <c r="AL282" s="162"/>
      <c r="AM282" s="127">
        <f t="shared" si="307"/>
        <v>0</v>
      </c>
      <c r="AN282" s="128">
        <f t="shared" si="307"/>
        <v>40</v>
      </c>
      <c r="AO282" s="128">
        <f t="shared" si="307"/>
        <v>0</v>
      </c>
      <c r="AP282" s="128">
        <f t="shared" si="307"/>
        <v>40</v>
      </c>
      <c r="AQ282" s="128">
        <f t="shared" si="307"/>
        <v>0</v>
      </c>
      <c r="AR282" s="128">
        <f t="shared" si="303"/>
        <v>4000</v>
      </c>
      <c r="AS282" s="238"/>
    </row>
    <row r="283" spans="1:45" s="42" customFormat="1">
      <c r="A283" s="147" t="s">
        <v>209</v>
      </c>
      <c r="C283" s="181"/>
      <c r="E283" s="182"/>
      <c r="F283" s="183"/>
      <c r="G283" s="184"/>
      <c r="H283" s="184"/>
      <c r="I283" s="184"/>
      <c r="J283" s="184"/>
      <c r="K283" s="185"/>
      <c r="L283" s="222" t="s">
        <v>43</v>
      </c>
      <c r="M283" s="174">
        <f>SUMIF(Q268:Q282,"B",M268:M282)</f>
        <v>38151.000000000007</v>
      </c>
      <c r="N283" s="62" t="s">
        <v>43</v>
      </c>
      <c r="O283" s="174"/>
      <c r="P283" s="186"/>
      <c r="Q283" s="60"/>
      <c r="R283" s="68"/>
      <c r="S283" s="133"/>
      <c r="T283" s="133"/>
      <c r="U283" s="70"/>
      <c r="V283" s="70"/>
      <c r="W283" s="18"/>
      <c r="X283" s="18"/>
      <c r="Y283" s="18"/>
      <c r="Z283" s="18"/>
      <c r="AA283" s="18"/>
      <c r="AB283" s="30"/>
      <c r="AC283" s="128"/>
      <c r="AD283" s="128"/>
      <c r="AE283" s="128"/>
      <c r="AF283" s="128"/>
      <c r="AG283" s="128"/>
      <c r="AH283" s="236"/>
      <c r="AI283" s="237"/>
      <c r="AJ283" s="128"/>
      <c r="AK283" s="128"/>
      <c r="AL283" s="162"/>
      <c r="AM283" s="127"/>
      <c r="AN283" s="128"/>
      <c r="AO283" s="128"/>
      <c r="AP283" s="128"/>
      <c r="AQ283" s="128"/>
      <c r="AR283" s="128"/>
      <c r="AS283" s="237"/>
    </row>
    <row r="284" spans="1:45" s="277" customFormat="1">
      <c r="A284" s="286" t="s">
        <v>319</v>
      </c>
      <c r="B284" s="18" t="s">
        <v>8</v>
      </c>
      <c r="C284" s="216">
        <v>2</v>
      </c>
      <c r="D284" s="91" t="s">
        <v>2</v>
      </c>
      <c r="E284" s="213">
        <v>3250</v>
      </c>
      <c r="F284" s="163">
        <f t="shared" ref="F284:F294" si="310">E284*C284</f>
        <v>6500</v>
      </c>
      <c r="G284" s="218">
        <v>0</v>
      </c>
      <c r="H284" s="218">
        <v>0</v>
      </c>
      <c r="I284" s="218">
        <v>0</v>
      </c>
      <c r="J284" s="218">
        <v>0</v>
      </c>
      <c r="K284" s="273">
        <v>0</v>
      </c>
      <c r="L284" s="91" t="s">
        <v>7</v>
      </c>
      <c r="M284" s="213">
        <f t="shared" ref="M284:M294" si="311">IF(R284="PD",((Shop*G284)+(M_Tech*H284)+(CMM*I284)+(ENG*J284)+(DES*K284))*N284,((Shop_RD*G284)+(MTECH_RD*H284)+(CMM_RD*I284)+(ENG_RD*J284)+(DES_RD*K284))*N284)</f>
        <v>0</v>
      </c>
      <c r="N284" s="42">
        <v>1</v>
      </c>
      <c r="O284" s="214">
        <f t="shared" ref="O284:O294" si="312">M284+(F284*N284)</f>
        <v>6500</v>
      </c>
      <c r="P284" s="274"/>
      <c r="Q284" s="279" t="s">
        <v>31</v>
      </c>
      <c r="R284" s="278" t="s">
        <v>154</v>
      </c>
      <c r="S284" s="70" t="str">
        <f t="shared" ref="S284:S294" si="313">CONCATENATE(Q284,R284,AB284)</f>
        <v>BPT2011</v>
      </c>
      <c r="T284" s="70" t="str">
        <f t="shared" ref="T284:T294" si="314">CONCATENATE(Q284,U284,AB284)</f>
        <v>B1.2.2.5.32011</v>
      </c>
      <c r="U284" s="133" t="s">
        <v>208</v>
      </c>
      <c r="V284" s="133" t="str">
        <f t="shared" ref="V284:V294" si="315">LOOKUP(U284,$B$345:$B$367,$A$345:$A$367)</f>
        <v>RDO PCs</v>
      </c>
      <c r="W284" s="149"/>
      <c r="X284" s="149"/>
      <c r="Y284" s="149"/>
      <c r="Z284" s="149"/>
      <c r="AA284" s="149"/>
      <c r="AB284" s="61">
        <v>2011</v>
      </c>
      <c r="AC284" s="128">
        <f t="shared" ref="AC284:AG287" si="316">IF($Q284="B", (G284*$N284),0)</f>
        <v>0</v>
      </c>
      <c r="AD284" s="128">
        <f t="shared" si="316"/>
        <v>0</v>
      </c>
      <c r="AE284" s="128">
        <f t="shared" si="316"/>
        <v>0</v>
      </c>
      <c r="AF284" s="128">
        <f t="shared" si="316"/>
        <v>0</v>
      </c>
      <c r="AG284" s="128">
        <f t="shared" si="316"/>
        <v>0</v>
      </c>
      <c r="AH284" s="236">
        <f t="shared" ref="AH284:AH294" si="317">IF($Q284="B", (F284*$N284),0)</f>
        <v>6500</v>
      </c>
      <c r="AI284" s="275"/>
      <c r="AJ284" s="276"/>
      <c r="AK284" s="276"/>
      <c r="AL284" s="272"/>
      <c r="AM284" s="127">
        <f t="shared" ref="AM284:AQ287" si="318">IF($Q284="C", (G284*$N284),0)</f>
        <v>0</v>
      </c>
      <c r="AN284" s="128">
        <f t="shared" si="318"/>
        <v>0</v>
      </c>
      <c r="AO284" s="128">
        <f t="shared" si="318"/>
        <v>0</v>
      </c>
      <c r="AP284" s="128">
        <f t="shared" si="318"/>
        <v>0</v>
      </c>
      <c r="AQ284" s="128">
        <f t="shared" si="318"/>
        <v>0</v>
      </c>
      <c r="AR284" s="128">
        <f t="shared" ref="AR284:AR294" si="319">IF($Q284="C", (F284*$N284),0)</f>
        <v>0</v>
      </c>
      <c r="AS284" s="275"/>
    </row>
    <row r="285" spans="1:45" s="277" customFormat="1">
      <c r="A285" s="286" t="s">
        <v>399</v>
      </c>
      <c r="B285" s="18" t="s">
        <v>8</v>
      </c>
      <c r="C285" s="216">
        <v>2</v>
      </c>
      <c r="D285" s="91" t="s">
        <v>2</v>
      </c>
      <c r="E285" s="213">
        <v>3250</v>
      </c>
      <c r="F285" s="163">
        <f>E285*C285</f>
        <v>6500</v>
      </c>
      <c r="G285" s="218">
        <v>0</v>
      </c>
      <c r="H285" s="218">
        <v>0</v>
      </c>
      <c r="I285" s="218">
        <v>0</v>
      </c>
      <c r="J285" s="218">
        <v>0</v>
      </c>
      <c r="K285" s="273">
        <v>0</v>
      </c>
      <c r="L285" s="91" t="s">
        <v>7</v>
      </c>
      <c r="M285" s="213">
        <f>IF(R285="PD",((Shop*G285)+(M_Tech*H285)+(CMM*I285)+(ENG*J285)+(DES*K285))*N285,((Shop_RD*G285)+(MTECH_RD*H285)+(CMM_RD*I285)+(ENG_RD*J285)+(DES_RD*K285))*N285)</f>
        <v>0</v>
      </c>
      <c r="N285" s="42">
        <v>1</v>
      </c>
      <c r="O285" s="214">
        <f>M285+(F285*N285)</f>
        <v>6500</v>
      </c>
      <c r="P285" s="274"/>
      <c r="Q285" s="279" t="s">
        <v>31</v>
      </c>
      <c r="R285" s="278" t="s">
        <v>49</v>
      </c>
      <c r="S285" s="70" t="str">
        <f>CONCATENATE(Q285,R285,AB285)</f>
        <v>BPD2012</v>
      </c>
      <c r="T285" s="70" t="str">
        <f>CONCATENATE(Q285,U285,AB285)</f>
        <v>B1.2.2.5.32012</v>
      </c>
      <c r="U285" s="133" t="s">
        <v>208</v>
      </c>
      <c r="V285" s="133" t="str">
        <f t="shared" si="315"/>
        <v>RDO PCs</v>
      </c>
      <c r="W285" s="149"/>
      <c r="X285" s="149"/>
      <c r="Y285" s="149"/>
      <c r="Z285" s="149"/>
      <c r="AA285" s="149"/>
      <c r="AB285" s="61">
        <v>2012</v>
      </c>
      <c r="AC285" s="128">
        <f>IF($Q285="B", (G285*$N285),0)</f>
        <v>0</v>
      </c>
      <c r="AD285" s="128">
        <f>IF($Q285="B", (H285*$N285),0)</f>
        <v>0</v>
      </c>
      <c r="AE285" s="128">
        <f>IF($Q285="B", (I285*$N285),0)</f>
        <v>0</v>
      </c>
      <c r="AF285" s="128">
        <f>IF($Q285="B", (J285*$N285),0)</f>
        <v>0</v>
      </c>
      <c r="AG285" s="128">
        <f>IF($Q285="B", (K285*$N285),0)</f>
        <v>0</v>
      </c>
      <c r="AH285" s="236">
        <f>IF($Q285="B", (F285*$N285),0)</f>
        <v>6500</v>
      </c>
      <c r="AI285" s="275"/>
      <c r="AJ285" s="276"/>
      <c r="AK285" s="276"/>
      <c r="AL285" s="272"/>
      <c r="AM285" s="127">
        <f>IF($Q285="C", (G285*$N285),0)</f>
        <v>0</v>
      </c>
      <c r="AN285" s="128">
        <f>IF($Q285="C", (H285*$N285),0)</f>
        <v>0</v>
      </c>
      <c r="AO285" s="128">
        <f>IF($Q285="C", (I285*$N285),0)</f>
        <v>0</v>
      </c>
      <c r="AP285" s="128">
        <f>IF($Q285="C", (J285*$N285),0)</f>
        <v>0</v>
      </c>
      <c r="AQ285" s="128">
        <f>IF($Q285="C", (K285*$N285),0)</f>
        <v>0</v>
      </c>
      <c r="AR285" s="128">
        <f>IF($Q285="C", (F285*$N285),0)</f>
        <v>0</v>
      </c>
      <c r="AS285" s="275"/>
    </row>
    <row r="286" spans="1:45" s="277" customFormat="1">
      <c r="A286" s="286" t="s">
        <v>400</v>
      </c>
      <c r="B286" s="18" t="s">
        <v>8</v>
      </c>
      <c r="C286" s="216">
        <v>2</v>
      </c>
      <c r="D286" s="91" t="s">
        <v>2</v>
      </c>
      <c r="E286" s="213">
        <v>3250</v>
      </c>
      <c r="F286" s="163">
        <f t="shared" si="310"/>
        <v>6500</v>
      </c>
      <c r="G286" s="218">
        <v>0</v>
      </c>
      <c r="H286" s="218">
        <v>0</v>
      </c>
      <c r="I286" s="218">
        <v>0</v>
      </c>
      <c r="J286" s="218">
        <v>0</v>
      </c>
      <c r="K286" s="273">
        <v>0</v>
      </c>
      <c r="L286" s="91" t="s">
        <v>7</v>
      </c>
      <c r="M286" s="213">
        <f t="shared" si="311"/>
        <v>0</v>
      </c>
      <c r="N286" s="42">
        <v>1</v>
      </c>
      <c r="O286" s="214">
        <f t="shared" si="312"/>
        <v>6500</v>
      </c>
      <c r="P286" s="274"/>
      <c r="Q286" s="279" t="s">
        <v>31</v>
      </c>
      <c r="R286" s="278" t="s">
        <v>49</v>
      </c>
      <c r="S286" s="70" t="str">
        <f t="shared" si="313"/>
        <v>BPD2013</v>
      </c>
      <c r="T286" s="70" t="str">
        <f t="shared" si="314"/>
        <v>B1.2.2.5.32013</v>
      </c>
      <c r="U286" s="133" t="s">
        <v>208</v>
      </c>
      <c r="V286" s="133" t="str">
        <f t="shared" si="315"/>
        <v>RDO PCs</v>
      </c>
      <c r="W286" s="149"/>
      <c r="X286" s="149"/>
      <c r="Y286" s="149"/>
      <c r="Z286" s="149"/>
      <c r="AA286" s="149"/>
      <c r="AB286" s="61">
        <v>2013</v>
      </c>
      <c r="AC286" s="128">
        <f t="shared" si="316"/>
        <v>0</v>
      </c>
      <c r="AD286" s="128">
        <f t="shared" si="316"/>
        <v>0</v>
      </c>
      <c r="AE286" s="128">
        <f t="shared" si="316"/>
        <v>0</v>
      </c>
      <c r="AF286" s="128">
        <f t="shared" si="316"/>
        <v>0</v>
      </c>
      <c r="AG286" s="128">
        <f t="shared" si="316"/>
        <v>0</v>
      </c>
      <c r="AH286" s="236">
        <f t="shared" si="317"/>
        <v>6500</v>
      </c>
      <c r="AI286" s="275"/>
      <c r="AJ286" s="276"/>
      <c r="AK286" s="276"/>
      <c r="AL286" s="272"/>
      <c r="AM286" s="127">
        <f t="shared" si="318"/>
        <v>0</v>
      </c>
      <c r="AN286" s="128">
        <f t="shared" si="318"/>
        <v>0</v>
      </c>
      <c r="AO286" s="128">
        <f t="shared" si="318"/>
        <v>0</v>
      </c>
      <c r="AP286" s="128">
        <f t="shared" si="318"/>
        <v>0</v>
      </c>
      <c r="AQ286" s="128">
        <f t="shared" si="318"/>
        <v>0</v>
      </c>
      <c r="AR286" s="128">
        <f t="shared" si="319"/>
        <v>0</v>
      </c>
      <c r="AS286" s="275"/>
    </row>
    <row r="287" spans="1:45" s="277" customFormat="1">
      <c r="A287" s="286" t="s">
        <v>401</v>
      </c>
      <c r="B287" s="18" t="s">
        <v>8</v>
      </c>
      <c r="C287" s="216">
        <v>3</v>
      </c>
      <c r="D287" s="91" t="s">
        <v>2</v>
      </c>
      <c r="E287" s="213">
        <v>2000</v>
      </c>
      <c r="F287" s="163">
        <f>E287*C287</f>
        <v>6000</v>
      </c>
      <c r="G287" s="218">
        <v>0</v>
      </c>
      <c r="H287" s="218">
        <v>0</v>
      </c>
      <c r="I287" s="218">
        <v>0</v>
      </c>
      <c r="J287" s="218">
        <v>0</v>
      </c>
      <c r="K287" s="273">
        <v>0</v>
      </c>
      <c r="L287" s="91" t="s">
        <v>7</v>
      </c>
      <c r="M287" s="213">
        <f>IF(R287="PD",((Shop*G287)+(M_Tech*H287)+(CMM*I287)+(ENG*J287)+(DES*K287))*N287,((Shop_RD*G287)+(MTECH_RD*H287)+(CMM_RD*I287)+(ENG_RD*J287)+(DES_RD*K287))*N287)</f>
        <v>0</v>
      </c>
      <c r="N287" s="42">
        <v>1</v>
      </c>
      <c r="O287" s="214">
        <f>M287+(F287*N287)</f>
        <v>6000</v>
      </c>
      <c r="P287" s="274"/>
      <c r="Q287" s="279" t="s">
        <v>31</v>
      </c>
      <c r="R287" s="278" t="s">
        <v>49</v>
      </c>
      <c r="S287" s="70" t="str">
        <f>CONCATENATE(Q287,R287,AB287)</f>
        <v>BPD2012</v>
      </c>
      <c r="T287" s="70" t="str">
        <f>CONCATENATE(Q287,U287,AB287)</f>
        <v>B1.2.2.5.32012</v>
      </c>
      <c r="U287" s="133" t="s">
        <v>208</v>
      </c>
      <c r="V287" s="133" t="str">
        <f t="shared" si="315"/>
        <v>RDO PCs</v>
      </c>
      <c r="W287" s="149"/>
      <c r="X287" s="149"/>
      <c r="Y287" s="149"/>
      <c r="Z287" s="149"/>
      <c r="AA287" s="149"/>
      <c r="AB287" s="61">
        <v>2012</v>
      </c>
      <c r="AC287" s="128">
        <f t="shared" si="316"/>
        <v>0</v>
      </c>
      <c r="AD287" s="128">
        <f t="shared" si="316"/>
        <v>0</v>
      </c>
      <c r="AE287" s="128">
        <f t="shared" si="316"/>
        <v>0</v>
      </c>
      <c r="AF287" s="128">
        <f t="shared" si="316"/>
        <v>0</v>
      </c>
      <c r="AG287" s="128">
        <f t="shared" si="316"/>
        <v>0</v>
      </c>
      <c r="AH287" s="236">
        <f>IF($Q287="B", (F287*$N287),0)</f>
        <v>6000</v>
      </c>
      <c r="AI287" s="275"/>
      <c r="AJ287" s="276"/>
      <c r="AK287" s="276"/>
      <c r="AL287" s="272"/>
      <c r="AM287" s="127">
        <f t="shared" si="318"/>
        <v>0</v>
      </c>
      <c r="AN287" s="128">
        <f t="shared" si="318"/>
        <v>0</v>
      </c>
      <c r="AO287" s="128">
        <f t="shared" si="318"/>
        <v>0</v>
      </c>
      <c r="AP287" s="128">
        <f t="shared" si="318"/>
        <v>0</v>
      </c>
      <c r="AQ287" s="128">
        <f t="shared" si="318"/>
        <v>0</v>
      </c>
      <c r="AR287" s="128">
        <f>IF($Q287="C", (F287*$N287),0)</f>
        <v>0</v>
      </c>
      <c r="AS287" s="275"/>
    </row>
    <row r="288" spans="1:45" s="277" customFormat="1">
      <c r="A288" s="286" t="s">
        <v>402</v>
      </c>
      <c r="B288" s="18" t="s">
        <v>8</v>
      </c>
      <c r="C288" s="216">
        <v>4</v>
      </c>
      <c r="D288" s="91" t="s">
        <v>2</v>
      </c>
      <c r="E288" s="213">
        <v>2000</v>
      </c>
      <c r="F288" s="163">
        <f t="shared" si="310"/>
        <v>8000</v>
      </c>
      <c r="G288" s="218">
        <v>0</v>
      </c>
      <c r="H288" s="218">
        <v>0</v>
      </c>
      <c r="I288" s="218">
        <v>0</v>
      </c>
      <c r="J288" s="218">
        <v>0</v>
      </c>
      <c r="K288" s="273">
        <v>0</v>
      </c>
      <c r="L288" s="91" t="s">
        <v>7</v>
      </c>
      <c r="M288" s="213">
        <f t="shared" si="311"/>
        <v>0</v>
      </c>
      <c r="N288" s="42">
        <v>1</v>
      </c>
      <c r="O288" s="214">
        <f t="shared" si="312"/>
        <v>8000</v>
      </c>
      <c r="P288" s="274"/>
      <c r="Q288" s="279" t="s">
        <v>31</v>
      </c>
      <c r="R288" s="278" t="s">
        <v>49</v>
      </c>
      <c r="S288" s="70" t="str">
        <f t="shared" si="313"/>
        <v>BPD2013</v>
      </c>
      <c r="T288" s="70" t="str">
        <f t="shared" si="314"/>
        <v>B1.2.2.5.32013</v>
      </c>
      <c r="U288" s="133" t="s">
        <v>208</v>
      </c>
      <c r="V288" s="133" t="str">
        <f t="shared" si="315"/>
        <v>RDO PCs</v>
      </c>
      <c r="W288" s="149"/>
      <c r="X288" s="149"/>
      <c r="Y288" s="149"/>
      <c r="Z288" s="149"/>
      <c r="AA288" s="149"/>
      <c r="AB288" s="61">
        <v>2013</v>
      </c>
      <c r="AC288" s="128">
        <f t="shared" ref="AC288:AG294" si="320">IF($Q288="B", (G288*$N288),0)</f>
        <v>0</v>
      </c>
      <c r="AD288" s="128">
        <f t="shared" si="320"/>
        <v>0</v>
      </c>
      <c r="AE288" s="128">
        <f t="shared" si="320"/>
        <v>0</v>
      </c>
      <c r="AF288" s="128">
        <f t="shared" si="320"/>
        <v>0</v>
      </c>
      <c r="AG288" s="128">
        <f t="shared" si="320"/>
        <v>0</v>
      </c>
      <c r="AH288" s="236">
        <f t="shared" si="317"/>
        <v>8000</v>
      </c>
      <c r="AI288" s="275"/>
      <c r="AJ288" s="276"/>
      <c r="AK288" s="276"/>
      <c r="AL288" s="272"/>
      <c r="AM288" s="127">
        <f t="shared" ref="AM288:AQ294" si="321">IF($Q288="C", (G288*$N288),0)</f>
        <v>0</v>
      </c>
      <c r="AN288" s="128">
        <f t="shared" si="321"/>
        <v>0</v>
      </c>
      <c r="AO288" s="128">
        <f t="shared" si="321"/>
        <v>0</v>
      </c>
      <c r="AP288" s="128">
        <f t="shared" si="321"/>
        <v>0</v>
      </c>
      <c r="AQ288" s="128">
        <f t="shared" si="321"/>
        <v>0</v>
      </c>
      <c r="AR288" s="128">
        <f t="shared" si="319"/>
        <v>0</v>
      </c>
      <c r="AS288" s="275"/>
    </row>
    <row r="289" spans="1:45" s="277" customFormat="1">
      <c r="A289" s="286" t="s">
        <v>291</v>
      </c>
      <c r="B289" s="18" t="s">
        <v>8</v>
      </c>
      <c r="C289" s="216">
        <v>1</v>
      </c>
      <c r="D289" s="91" t="s">
        <v>2</v>
      </c>
      <c r="E289" s="213">
        <v>0</v>
      </c>
      <c r="F289" s="163">
        <f t="shared" si="310"/>
        <v>0</v>
      </c>
      <c r="G289" s="218">
        <v>0</v>
      </c>
      <c r="H289" s="218">
        <v>0</v>
      </c>
      <c r="I289" s="218">
        <v>40</v>
      </c>
      <c r="J289" s="218">
        <v>16</v>
      </c>
      <c r="K289" s="273">
        <v>40</v>
      </c>
      <c r="L289" s="91" t="s">
        <v>7</v>
      </c>
      <c r="M289" s="213">
        <f t="shared" si="311"/>
        <v>1944.0000000000002</v>
      </c>
      <c r="N289" s="42">
        <v>1</v>
      </c>
      <c r="O289" s="214">
        <f t="shared" si="312"/>
        <v>1944.0000000000002</v>
      </c>
      <c r="P289" s="274"/>
      <c r="Q289" s="279" t="s">
        <v>31</v>
      </c>
      <c r="R289" s="278" t="s">
        <v>49</v>
      </c>
      <c r="S289" s="70" t="str">
        <f t="shared" si="313"/>
        <v>BPD2012</v>
      </c>
      <c r="T289" s="70" t="str">
        <f t="shared" si="314"/>
        <v>B1.2.2.5.32012</v>
      </c>
      <c r="U289" s="133" t="s">
        <v>208</v>
      </c>
      <c r="V289" s="133" t="str">
        <f t="shared" si="315"/>
        <v>RDO PCs</v>
      </c>
      <c r="W289" s="149"/>
      <c r="X289" s="149"/>
      <c r="Y289" s="149"/>
      <c r="Z289" s="149"/>
      <c r="AA289" s="149"/>
      <c r="AB289" s="61">
        <v>2012</v>
      </c>
      <c r="AC289" s="128">
        <f t="shared" si="320"/>
        <v>0</v>
      </c>
      <c r="AD289" s="128">
        <f t="shared" si="320"/>
        <v>0</v>
      </c>
      <c r="AE289" s="128">
        <f t="shared" si="320"/>
        <v>40</v>
      </c>
      <c r="AF289" s="128">
        <f t="shared" si="320"/>
        <v>16</v>
      </c>
      <c r="AG289" s="128">
        <f t="shared" si="320"/>
        <v>40</v>
      </c>
      <c r="AH289" s="236">
        <f t="shared" si="317"/>
        <v>0</v>
      </c>
      <c r="AI289" s="275"/>
      <c r="AJ289" s="276"/>
      <c r="AK289" s="276"/>
      <c r="AL289" s="272"/>
      <c r="AM289" s="127">
        <f t="shared" si="321"/>
        <v>0</v>
      </c>
      <c r="AN289" s="128">
        <f t="shared" si="321"/>
        <v>0</v>
      </c>
      <c r="AO289" s="128">
        <f t="shared" si="321"/>
        <v>0</v>
      </c>
      <c r="AP289" s="128">
        <f t="shared" si="321"/>
        <v>0</v>
      </c>
      <c r="AQ289" s="128">
        <f t="shared" si="321"/>
        <v>0</v>
      </c>
      <c r="AR289" s="128">
        <f t="shared" si="319"/>
        <v>0</v>
      </c>
      <c r="AS289" s="275"/>
    </row>
    <row r="290" spans="1:45" s="277" customFormat="1">
      <c r="A290" s="149" t="s">
        <v>372</v>
      </c>
      <c r="B290" s="18" t="s">
        <v>8</v>
      </c>
      <c r="C290" s="216">
        <v>4</v>
      </c>
      <c r="D290" s="91" t="s">
        <v>2</v>
      </c>
      <c r="E290" s="213">
        <v>3250</v>
      </c>
      <c r="F290" s="163">
        <f t="shared" si="310"/>
        <v>13000</v>
      </c>
      <c r="G290" s="218">
        <v>0</v>
      </c>
      <c r="H290" s="218">
        <v>0</v>
      </c>
      <c r="I290" s="218">
        <v>0</v>
      </c>
      <c r="J290" s="218">
        <v>0</v>
      </c>
      <c r="K290" s="273">
        <v>0</v>
      </c>
      <c r="L290" s="91" t="s">
        <v>7</v>
      </c>
      <c r="M290" s="213">
        <f t="shared" si="311"/>
        <v>0</v>
      </c>
      <c r="N290" s="42">
        <v>1</v>
      </c>
      <c r="O290" s="214">
        <f t="shared" si="312"/>
        <v>13000</v>
      </c>
      <c r="P290" s="274"/>
      <c r="Q290" s="279" t="s">
        <v>31</v>
      </c>
      <c r="R290" s="278" t="s">
        <v>49</v>
      </c>
      <c r="S290" s="70" t="str">
        <f t="shared" si="313"/>
        <v>BPD2012</v>
      </c>
      <c r="T290" s="70" t="str">
        <f t="shared" si="314"/>
        <v>B1.2.2.5.32012</v>
      </c>
      <c r="U290" s="133" t="s">
        <v>208</v>
      </c>
      <c r="V290" s="133" t="str">
        <f t="shared" si="315"/>
        <v>RDO PCs</v>
      </c>
      <c r="W290" s="149"/>
      <c r="X290" s="149"/>
      <c r="Y290" s="149"/>
      <c r="Z290" s="149"/>
      <c r="AA290" s="149"/>
      <c r="AB290" s="61">
        <v>2012</v>
      </c>
      <c r="AC290" s="128">
        <f t="shared" si="320"/>
        <v>0</v>
      </c>
      <c r="AD290" s="128">
        <f t="shared" si="320"/>
        <v>0</v>
      </c>
      <c r="AE290" s="128">
        <f t="shared" si="320"/>
        <v>0</v>
      </c>
      <c r="AF290" s="128">
        <f t="shared" si="320"/>
        <v>0</v>
      </c>
      <c r="AG290" s="128">
        <f t="shared" si="320"/>
        <v>0</v>
      </c>
      <c r="AH290" s="236">
        <f t="shared" si="317"/>
        <v>13000</v>
      </c>
      <c r="AI290" s="275"/>
      <c r="AJ290" s="276"/>
      <c r="AK290" s="276"/>
      <c r="AL290" s="272"/>
      <c r="AM290" s="127">
        <f t="shared" si="321"/>
        <v>0</v>
      </c>
      <c r="AN290" s="128">
        <f t="shared" si="321"/>
        <v>0</v>
      </c>
      <c r="AO290" s="128">
        <f t="shared" si="321"/>
        <v>0</v>
      </c>
      <c r="AP290" s="128">
        <f t="shared" si="321"/>
        <v>0</v>
      </c>
      <c r="AQ290" s="128">
        <f t="shared" si="321"/>
        <v>0</v>
      </c>
      <c r="AR290" s="128">
        <f t="shared" si="319"/>
        <v>0</v>
      </c>
      <c r="AS290" s="275"/>
    </row>
    <row r="291" spans="1:45" s="277" customFormat="1">
      <c r="A291" s="149" t="s">
        <v>373</v>
      </c>
      <c r="B291" s="18" t="s">
        <v>8</v>
      </c>
      <c r="C291" s="216">
        <v>7</v>
      </c>
      <c r="D291" s="91" t="s">
        <v>2</v>
      </c>
      <c r="E291" s="213">
        <v>2000</v>
      </c>
      <c r="F291" s="163">
        <f t="shared" si="310"/>
        <v>14000</v>
      </c>
      <c r="G291" s="218">
        <v>0</v>
      </c>
      <c r="H291" s="218">
        <v>0</v>
      </c>
      <c r="I291" s="218">
        <v>0</v>
      </c>
      <c r="J291" s="218">
        <v>0</v>
      </c>
      <c r="K291" s="273">
        <v>0</v>
      </c>
      <c r="L291" s="91" t="s">
        <v>7</v>
      </c>
      <c r="M291" s="213">
        <f t="shared" si="311"/>
        <v>0</v>
      </c>
      <c r="N291" s="42">
        <v>1</v>
      </c>
      <c r="O291" s="214">
        <f t="shared" si="312"/>
        <v>14000</v>
      </c>
      <c r="P291" s="274"/>
      <c r="Q291" s="279" t="s">
        <v>31</v>
      </c>
      <c r="R291" s="278" t="s">
        <v>49</v>
      </c>
      <c r="S291" s="70" t="str">
        <f t="shared" si="313"/>
        <v>BPD2012</v>
      </c>
      <c r="T291" s="70" t="str">
        <f t="shared" si="314"/>
        <v>B1.2.2.5.32012</v>
      </c>
      <c r="U291" s="133" t="s">
        <v>208</v>
      </c>
      <c r="V291" s="133" t="str">
        <f t="shared" si="315"/>
        <v>RDO PCs</v>
      </c>
      <c r="W291" s="149"/>
      <c r="X291" s="149"/>
      <c r="Y291" s="149"/>
      <c r="Z291" s="149"/>
      <c r="AA291" s="149"/>
      <c r="AB291" s="61">
        <v>2012</v>
      </c>
      <c r="AC291" s="128">
        <f t="shared" ref="AC291:AG293" si="322">IF($Q291="B", (G291*$N291),0)</f>
        <v>0</v>
      </c>
      <c r="AD291" s="128">
        <f t="shared" si="322"/>
        <v>0</v>
      </c>
      <c r="AE291" s="128">
        <f t="shared" si="322"/>
        <v>0</v>
      </c>
      <c r="AF291" s="128">
        <f t="shared" si="322"/>
        <v>0</v>
      </c>
      <c r="AG291" s="128">
        <f t="shared" si="322"/>
        <v>0</v>
      </c>
      <c r="AH291" s="236">
        <f t="shared" si="317"/>
        <v>14000</v>
      </c>
      <c r="AI291" s="275"/>
      <c r="AJ291" s="276"/>
      <c r="AK291" s="276"/>
      <c r="AL291" s="272"/>
      <c r="AM291" s="127">
        <f t="shared" ref="AM291:AQ293" si="323">IF($Q291="C", (G291*$N291),0)</f>
        <v>0</v>
      </c>
      <c r="AN291" s="128">
        <f t="shared" si="323"/>
        <v>0</v>
      </c>
      <c r="AO291" s="128">
        <f t="shared" si="323"/>
        <v>0</v>
      </c>
      <c r="AP291" s="128">
        <f t="shared" si="323"/>
        <v>0</v>
      </c>
      <c r="AQ291" s="128">
        <f t="shared" si="323"/>
        <v>0</v>
      </c>
      <c r="AR291" s="128">
        <f t="shared" si="319"/>
        <v>0</v>
      </c>
      <c r="AS291" s="275"/>
    </row>
    <row r="292" spans="1:45" s="277" customFormat="1">
      <c r="A292" s="149" t="s">
        <v>374</v>
      </c>
      <c r="B292" s="18" t="s">
        <v>8</v>
      </c>
      <c r="C292" s="216">
        <v>1</v>
      </c>
      <c r="D292" s="91" t="s">
        <v>2</v>
      </c>
      <c r="E292" s="213">
        <v>0</v>
      </c>
      <c r="F292" s="163">
        <f t="shared" si="310"/>
        <v>0</v>
      </c>
      <c r="G292" s="218">
        <v>0</v>
      </c>
      <c r="H292" s="218">
        <v>0</v>
      </c>
      <c r="I292" s="218">
        <v>40</v>
      </c>
      <c r="J292" s="218">
        <v>16</v>
      </c>
      <c r="K292" s="273">
        <v>40</v>
      </c>
      <c r="L292" s="91" t="s">
        <v>7</v>
      </c>
      <c r="M292" s="213">
        <f t="shared" si="311"/>
        <v>1944.0000000000002</v>
      </c>
      <c r="N292" s="42">
        <v>1</v>
      </c>
      <c r="O292" s="214">
        <f t="shared" si="312"/>
        <v>1944.0000000000002</v>
      </c>
      <c r="P292" s="274"/>
      <c r="Q292" s="279" t="s">
        <v>31</v>
      </c>
      <c r="R292" s="278" t="s">
        <v>49</v>
      </c>
      <c r="S292" s="70" t="str">
        <f t="shared" si="313"/>
        <v>BPD2012</v>
      </c>
      <c r="T292" s="70" t="str">
        <f t="shared" si="314"/>
        <v>B1.2.2.5.32012</v>
      </c>
      <c r="U292" s="133" t="s">
        <v>208</v>
      </c>
      <c r="V292" s="133" t="str">
        <f t="shared" si="315"/>
        <v>RDO PCs</v>
      </c>
      <c r="W292" s="149"/>
      <c r="X292" s="149"/>
      <c r="Y292" s="149"/>
      <c r="Z292" s="149"/>
      <c r="AA292" s="149"/>
      <c r="AB292" s="61">
        <v>2012</v>
      </c>
      <c r="AC292" s="128">
        <f t="shared" si="322"/>
        <v>0</v>
      </c>
      <c r="AD292" s="128">
        <f t="shared" si="322"/>
        <v>0</v>
      </c>
      <c r="AE292" s="128">
        <f t="shared" si="322"/>
        <v>40</v>
      </c>
      <c r="AF292" s="128">
        <f t="shared" si="322"/>
        <v>16</v>
      </c>
      <c r="AG292" s="128">
        <f t="shared" si="322"/>
        <v>40</v>
      </c>
      <c r="AH292" s="236">
        <f t="shared" si="317"/>
        <v>0</v>
      </c>
      <c r="AI292" s="275"/>
      <c r="AJ292" s="276"/>
      <c r="AK292" s="276"/>
      <c r="AL292" s="272"/>
      <c r="AM292" s="127">
        <f t="shared" si="323"/>
        <v>0</v>
      </c>
      <c r="AN292" s="128">
        <f t="shared" si="323"/>
        <v>0</v>
      </c>
      <c r="AO292" s="128">
        <f t="shared" si="323"/>
        <v>0</v>
      </c>
      <c r="AP292" s="128">
        <f t="shared" si="323"/>
        <v>0</v>
      </c>
      <c r="AQ292" s="128">
        <f t="shared" si="323"/>
        <v>0</v>
      </c>
      <c r="AR292" s="128">
        <f t="shared" si="319"/>
        <v>0</v>
      </c>
      <c r="AS292" s="275"/>
    </row>
    <row r="293" spans="1:45" s="277" customFormat="1">
      <c r="A293" s="286" t="s">
        <v>416</v>
      </c>
      <c r="B293" s="18" t="s">
        <v>8</v>
      </c>
      <c r="C293" s="216">
        <v>1</v>
      </c>
      <c r="D293" s="91" t="s">
        <v>2</v>
      </c>
      <c r="E293" s="213">
        <v>4000</v>
      </c>
      <c r="F293" s="163">
        <f>E293*C293</f>
        <v>4000</v>
      </c>
      <c r="G293" s="218">
        <v>0</v>
      </c>
      <c r="H293" s="218">
        <v>0</v>
      </c>
      <c r="I293" s="218">
        <v>0</v>
      </c>
      <c r="J293" s="218">
        <v>8</v>
      </c>
      <c r="K293" s="273">
        <v>0</v>
      </c>
      <c r="L293" s="91" t="s">
        <v>7</v>
      </c>
      <c r="M293" s="213">
        <f>IF(R293="PD",((Shop*G293)+(M_Tech*H293)+(CMM*I293)+(ENG*J293)+(DES*K293))*N293,((Shop_RD*G293)+(MTECH_RD*H293)+(CMM_RD*I293)+(ENG_RD*J293)+(DES_RD*K293))*N293)</f>
        <v>972.00000000000011</v>
      </c>
      <c r="N293" s="42">
        <v>1</v>
      </c>
      <c r="O293" s="214">
        <f>M293+(F293*N293)</f>
        <v>4972</v>
      </c>
      <c r="P293" s="274"/>
      <c r="Q293" s="279" t="s">
        <v>32</v>
      </c>
      <c r="R293" s="278" t="s">
        <v>49</v>
      </c>
      <c r="S293" s="70" t="str">
        <f>CONCATENATE(Q293,R293,AB293)</f>
        <v>CPD2012</v>
      </c>
      <c r="T293" s="70" t="str">
        <f>CONCATENATE(Q293,U293,AB293)</f>
        <v>C1.2.2.5.32012</v>
      </c>
      <c r="U293" s="133" t="s">
        <v>208</v>
      </c>
      <c r="V293" s="133" t="str">
        <f t="shared" si="315"/>
        <v>RDO PCs</v>
      </c>
      <c r="W293" s="149"/>
      <c r="X293" s="149"/>
      <c r="Y293" s="149"/>
      <c r="Z293" s="149"/>
      <c r="AA293" s="149"/>
      <c r="AB293" s="61">
        <v>2012</v>
      </c>
      <c r="AC293" s="128">
        <f t="shared" si="322"/>
        <v>0</v>
      </c>
      <c r="AD293" s="128">
        <f t="shared" si="322"/>
        <v>0</v>
      </c>
      <c r="AE293" s="128">
        <f t="shared" si="322"/>
        <v>0</v>
      </c>
      <c r="AF293" s="128">
        <f t="shared" si="322"/>
        <v>0</v>
      </c>
      <c r="AG293" s="128">
        <f t="shared" si="322"/>
        <v>0</v>
      </c>
      <c r="AH293" s="236">
        <f>IF($Q293="B", (F293*$N293),0)</f>
        <v>0</v>
      </c>
      <c r="AI293" s="275"/>
      <c r="AJ293" s="276"/>
      <c r="AK293" s="276"/>
      <c r="AL293" s="272"/>
      <c r="AM293" s="127">
        <f t="shared" si="323"/>
        <v>0</v>
      </c>
      <c r="AN293" s="128">
        <f t="shared" si="323"/>
        <v>0</v>
      </c>
      <c r="AO293" s="128">
        <f t="shared" si="323"/>
        <v>0</v>
      </c>
      <c r="AP293" s="128">
        <f t="shared" si="323"/>
        <v>8</v>
      </c>
      <c r="AQ293" s="128">
        <f t="shared" si="323"/>
        <v>0</v>
      </c>
      <c r="AR293" s="128">
        <f>IF($Q293="C", (F293*$N293),0)</f>
        <v>4000</v>
      </c>
      <c r="AS293" s="275"/>
    </row>
    <row r="294" spans="1:45" s="277" customFormat="1">
      <c r="A294" s="286" t="s">
        <v>415</v>
      </c>
      <c r="B294" s="18" t="s">
        <v>8</v>
      </c>
      <c r="C294" s="216">
        <v>1</v>
      </c>
      <c r="D294" s="91" t="s">
        <v>2</v>
      </c>
      <c r="E294" s="213">
        <v>4000</v>
      </c>
      <c r="F294" s="163">
        <f t="shared" si="310"/>
        <v>4000</v>
      </c>
      <c r="G294" s="218">
        <v>0</v>
      </c>
      <c r="H294" s="218">
        <v>0</v>
      </c>
      <c r="I294" s="218">
        <v>0</v>
      </c>
      <c r="J294" s="218">
        <v>8</v>
      </c>
      <c r="K294" s="273">
        <v>0</v>
      </c>
      <c r="L294" s="91" t="s">
        <v>7</v>
      </c>
      <c r="M294" s="213">
        <f t="shared" si="311"/>
        <v>972.00000000000011</v>
      </c>
      <c r="N294" s="42">
        <v>1</v>
      </c>
      <c r="O294" s="214">
        <f t="shared" si="312"/>
        <v>4972</v>
      </c>
      <c r="P294" s="274"/>
      <c r="Q294" s="279" t="s">
        <v>32</v>
      </c>
      <c r="R294" s="278" t="s">
        <v>49</v>
      </c>
      <c r="S294" s="70" t="str">
        <f t="shared" si="313"/>
        <v>CPD2013</v>
      </c>
      <c r="T294" s="70" t="str">
        <f t="shared" si="314"/>
        <v>C1.2.2.5.32013</v>
      </c>
      <c r="U294" s="133" t="s">
        <v>208</v>
      </c>
      <c r="V294" s="133" t="str">
        <f t="shared" si="315"/>
        <v>RDO PCs</v>
      </c>
      <c r="W294" s="149"/>
      <c r="X294" s="149"/>
      <c r="Y294" s="149"/>
      <c r="Z294" s="149"/>
      <c r="AA294" s="149"/>
      <c r="AB294" s="61">
        <v>2013</v>
      </c>
      <c r="AC294" s="128">
        <f t="shared" si="320"/>
        <v>0</v>
      </c>
      <c r="AD294" s="128">
        <f t="shared" si="320"/>
        <v>0</v>
      </c>
      <c r="AE294" s="128">
        <f t="shared" si="320"/>
        <v>0</v>
      </c>
      <c r="AF294" s="128">
        <f t="shared" si="320"/>
        <v>0</v>
      </c>
      <c r="AG294" s="128">
        <f t="shared" si="320"/>
        <v>0</v>
      </c>
      <c r="AH294" s="236">
        <f t="shared" si="317"/>
        <v>0</v>
      </c>
      <c r="AI294" s="275"/>
      <c r="AJ294" s="276"/>
      <c r="AK294" s="276"/>
      <c r="AL294" s="272"/>
      <c r="AM294" s="127">
        <f t="shared" si="321"/>
        <v>0</v>
      </c>
      <c r="AN294" s="128">
        <f t="shared" si="321"/>
        <v>0</v>
      </c>
      <c r="AO294" s="128">
        <f t="shared" si="321"/>
        <v>0</v>
      </c>
      <c r="AP294" s="128">
        <f t="shared" si="321"/>
        <v>8</v>
      </c>
      <c r="AQ294" s="128">
        <f t="shared" si="321"/>
        <v>0</v>
      </c>
      <c r="AR294" s="128">
        <f t="shared" si="319"/>
        <v>4000</v>
      </c>
      <c r="AS294" s="275"/>
    </row>
    <row r="295" spans="1:45" s="42" customFormat="1">
      <c r="A295" s="147" t="s">
        <v>283</v>
      </c>
      <c r="C295" s="181"/>
      <c r="E295" s="182"/>
      <c r="F295" s="163"/>
      <c r="G295" s="184"/>
      <c r="H295" s="218"/>
      <c r="I295" s="218"/>
      <c r="J295" s="184"/>
      <c r="K295" s="185"/>
      <c r="L295" s="222" t="s">
        <v>43</v>
      </c>
      <c r="M295" s="174">
        <f>SUMIF(Q284:Q294,"B",M284:M294)</f>
        <v>3888.0000000000005</v>
      </c>
      <c r="N295" s="62" t="s">
        <v>43</v>
      </c>
      <c r="O295" s="174"/>
      <c r="P295" s="186"/>
      <c r="Q295" s="60"/>
      <c r="R295" s="68"/>
      <c r="S295" s="133"/>
      <c r="T295" s="133"/>
      <c r="U295" s="70"/>
      <c r="V295" s="133"/>
      <c r="W295" s="18"/>
      <c r="X295" s="18"/>
      <c r="Y295" s="18"/>
      <c r="Z295" s="18"/>
      <c r="AA295" s="18"/>
      <c r="AB295" s="30"/>
      <c r="AC295" s="128"/>
      <c r="AD295" s="128"/>
      <c r="AE295" s="128"/>
      <c r="AF295" s="128"/>
      <c r="AG295" s="128"/>
      <c r="AH295" s="236"/>
      <c r="AI295" s="237"/>
      <c r="AJ295" s="128"/>
      <c r="AK295" s="128"/>
      <c r="AL295" s="162"/>
      <c r="AM295" s="127"/>
      <c r="AN295" s="128"/>
      <c r="AO295" s="128"/>
      <c r="AP295" s="128"/>
      <c r="AQ295" s="128"/>
      <c r="AR295" s="128"/>
      <c r="AS295" s="237"/>
    </row>
    <row r="296" spans="1:45" s="277" customFormat="1">
      <c r="A296" s="286" t="s">
        <v>293</v>
      </c>
      <c r="B296" s="18" t="s">
        <v>8</v>
      </c>
      <c r="C296" s="271">
        <v>1</v>
      </c>
      <c r="D296" s="91" t="s">
        <v>2</v>
      </c>
      <c r="E296" s="213">
        <v>0</v>
      </c>
      <c r="F296" s="163">
        <f>E296*C296</f>
        <v>0</v>
      </c>
      <c r="G296" s="218">
        <v>0</v>
      </c>
      <c r="H296" s="218">
        <v>0</v>
      </c>
      <c r="I296" s="218">
        <v>120</v>
      </c>
      <c r="J296" s="218">
        <v>16</v>
      </c>
      <c r="K296" s="273">
        <v>120</v>
      </c>
      <c r="L296" s="91" t="s">
        <v>7</v>
      </c>
      <c r="M296" s="213">
        <f>IF(R296="PD",((Shop*G296)+(M_Tech*H296)+(CMM*I296)+(ENG*J296)+(DES*K296))*N296,((Shop_RD*G296)+(MTECH_RD*H296)+(CMM_RD*I296)+(ENG_RD*J296)+(DES_RD*K296))*N296)</f>
        <v>2400</v>
      </c>
      <c r="N296" s="42">
        <v>1</v>
      </c>
      <c r="O296" s="214">
        <f>M296+(F296*N296)</f>
        <v>2400</v>
      </c>
      <c r="P296" s="274"/>
      <c r="Q296" s="279" t="s">
        <v>31</v>
      </c>
      <c r="R296" s="278" t="s">
        <v>154</v>
      </c>
      <c r="S296" s="70" t="str">
        <f>CONCATENATE(Q296,R296,AB296)</f>
        <v>BPT2012</v>
      </c>
      <c r="T296" s="70" t="str">
        <f>CONCATENATE(Q296,U296,AB296)</f>
        <v>B1.2.2.5.42012</v>
      </c>
      <c r="U296" s="133" t="s">
        <v>210</v>
      </c>
      <c r="V296" s="133" t="str">
        <f>LOOKUP(U296,$B$345:$B$367,$A$345:$A$367)</f>
        <v>Control PC System</v>
      </c>
      <c r="W296" s="149"/>
      <c r="X296" s="149"/>
      <c r="Y296" s="149"/>
      <c r="Z296" s="149"/>
      <c r="AA296" s="149"/>
      <c r="AB296" s="61">
        <v>2012</v>
      </c>
      <c r="AC296" s="128">
        <f t="shared" ref="AC296:AG300" si="324">IF($Q296="B", (G296*$N296),0)</f>
        <v>0</v>
      </c>
      <c r="AD296" s="128">
        <f t="shared" si="324"/>
        <v>0</v>
      </c>
      <c r="AE296" s="128">
        <f t="shared" si="324"/>
        <v>120</v>
      </c>
      <c r="AF296" s="128">
        <f t="shared" si="324"/>
        <v>16</v>
      </c>
      <c r="AG296" s="128">
        <f t="shared" si="324"/>
        <v>120</v>
      </c>
      <c r="AH296" s="236">
        <f>IF($Q296="B", (F296*$N296),0)</f>
        <v>0</v>
      </c>
      <c r="AI296" s="275"/>
      <c r="AJ296" s="276"/>
      <c r="AK296" s="276"/>
      <c r="AL296" s="272"/>
      <c r="AM296" s="127">
        <f t="shared" ref="AM296:AQ300" si="325">IF($Q296="C", (G296*$N296),0)</f>
        <v>0</v>
      </c>
      <c r="AN296" s="128">
        <f t="shared" si="325"/>
        <v>0</v>
      </c>
      <c r="AO296" s="128">
        <f t="shared" si="325"/>
        <v>0</v>
      </c>
      <c r="AP296" s="128">
        <f t="shared" si="325"/>
        <v>0</v>
      </c>
      <c r="AQ296" s="128">
        <f t="shared" si="325"/>
        <v>0</v>
      </c>
      <c r="AR296" s="128">
        <f>IF($Q296="C", (F296*$N296),0)</f>
        <v>0</v>
      </c>
      <c r="AS296" s="275"/>
    </row>
    <row r="297" spans="1:45" s="277" customFormat="1">
      <c r="A297" s="286" t="s">
        <v>294</v>
      </c>
      <c r="B297" s="18" t="s">
        <v>8</v>
      </c>
      <c r="C297" s="271">
        <v>2</v>
      </c>
      <c r="D297" s="91" t="s">
        <v>2</v>
      </c>
      <c r="E297" s="213">
        <v>2000</v>
      </c>
      <c r="F297" s="163">
        <f>E297*C297</f>
        <v>4000</v>
      </c>
      <c r="G297" s="218">
        <v>0</v>
      </c>
      <c r="H297" s="218">
        <v>0</v>
      </c>
      <c r="I297" s="218">
        <v>32</v>
      </c>
      <c r="J297" s="218">
        <v>0</v>
      </c>
      <c r="K297" s="273">
        <v>32</v>
      </c>
      <c r="L297" s="91" t="s">
        <v>7</v>
      </c>
      <c r="M297" s="213">
        <f>IF(R297="PD",((Shop*G297)+(M_Tech*H297)+(CMM*I297)+(ENG*J297)+(DES*K297))*N297,((Shop_RD*G297)+(MTECH_RD*H297)+(CMM_RD*I297)+(ENG_RD*J297)+(DES_RD*K297))*N297)</f>
        <v>0</v>
      </c>
      <c r="N297" s="42">
        <v>1</v>
      </c>
      <c r="O297" s="214">
        <f>M297+(F297*N297)</f>
        <v>4000</v>
      </c>
      <c r="P297" s="274"/>
      <c r="Q297" s="279" t="s">
        <v>31</v>
      </c>
      <c r="R297" s="278" t="s">
        <v>49</v>
      </c>
      <c r="S297" s="70" t="str">
        <f>CONCATENATE(Q297,R297,AB297)</f>
        <v>BPD2013</v>
      </c>
      <c r="T297" s="70" t="str">
        <f>CONCATENATE(Q297,U297,AB297)</f>
        <v>B1.2.2.5.42013</v>
      </c>
      <c r="U297" s="133" t="s">
        <v>210</v>
      </c>
      <c r="V297" s="133" t="str">
        <f>LOOKUP(U297,$B$345:$B$367,$A$345:$A$367)</f>
        <v>Control PC System</v>
      </c>
      <c r="W297" s="149"/>
      <c r="X297" s="149"/>
      <c r="Y297" s="149"/>
      <c r="Z297" s="149"/>
      <c r="AA297" s="149"/>
      <c r="AB297" s="61">
        <v>2013</v>
      </c>
      <c r="AC297" s="128">
        <f t="shared" si="324"/>
        <v>0</v>
      </c>
      <c r="AD297" s="128">
        <f t="shared" si="324"/>
        <v>0</v>
      </c>
      <c r="AE297" s="128">
        <f t="shared" si="324"/>
        <v>32</v>
      </c>
      <c r="AF297" s="128">
        <f t="shared" si="324"/>
        <v>0</v>
      </c>
      <c r="AG297" s="128">
        <f t="shared" si="324"/>
        <v>32</v>
      </c>
      <c r="AH297" s="236">
        <f>IF($Q297="B", (F297*$N297),0)</f>
        <v>4000</v>
      </c>
      <c r="AI297" s="275"/>
      <c r="AJ297" s="276"/>
      <c r="AK297" s="276"/>
      <c r="AL297" s="272"/>
      <c r="AM297" s="127">
        <f t="shared" si="325"/>
        <v>0</v>
      </c>
      <c r="AN297" s="128">
        <f t="shared" si="325"/>
        <v>0</v>
      </c>
      <c r="AO297" s="128">
        <f t="shared" si="325"/>
        <v>0</v>
      </c>
      <c r="AP297" s="128">
        <f t="shared" si="325"/>
        <v>0</v>
      </c>
      <c r="AQ297" s="128">
        <f t="shared" si="325"/>
        <v>0</v>
      </c>
      <c r="AR297" s="128">
        <f>IF($Q297="C", (F297*$N297),0)</f>
        <v>0</v>
      </c>
      <c r="AS297" s="275"/>
    </row>
    <row r="298" spans="1:45" s="277" customFormat="1">
      <c r="A298" s="286" t="s">
        <v>295</v>
      </c>
      <c r="B298" s="18" t="s">
        <v>8</v>
      </c>
      <c r="C298" s="271">
        <v>1</v>
      </c>
      <c r="D298" s="91" t="s">
        <v>2</v>
      </c>
      <c r="E298" s="213">
        <v>2000</v>
      </c>
      <c r="F298" s="163">
        <f>E298*C298</f>
        <v>2000</v>
      </c>
      <c r="G298" s="218">
        <v>0</v>
      </c>
      <c r="H298" s="218">
        <v>0</v>
      </c>
      <c r="I298" s="218">
        <v>120</v>
      </c>
      <c r="J298" s="218">
        <v>0</v>
      </c>
      <c r="K298" s="273">
        <v>120</v>
      </c>
      <c r="L298" s="91" t="s">
        <v>7</v>
      </c>
      <c r="M298" s="213">
        <f>IF(R298="PD",((Shop*G298)+(M_Tech*H298)+(CMM*I298)+(ENG*J298)+(DES*K298))*N298,((Shop_RD*G298)+(MTECH_RD*H298)+(CMM_RD*I298)+(ENG_RD*J298)+(DES_RD*K298))*N298)</f>
        <v>0</v>
      </c>
      <c r="N298" s="42">
        <v>1</v>
      </c>
      <c r="O298" s="214">
        <f>M298+(F298*N298)</f>
        <v>2000</v>
      </c>
      <c r="P298" s="274"/>
      <c r="Q298" s="279" t="s">
        <v>31</v>
      </c>
      <c r="R298" s="278" t="s">
        <v>49</v>
      </c>
      <c r="S298" s="70" t="str">
        <f>CONCATENATE(Q298,R298,AB298)</f>
        <v>BPD2013</v>
      </c>
      <c r="T298" s="70" t="str">
        <f>CONCATENATE(Q298,U298,AB298)</f>
        <v>B1.2.2.5.42013</v>
      </c>
      <c r="U298" s="133" t="s">
        <v>210</v>
      </c>
      <c r="V298" s="133" t="str">
        <f>LOOKUP(U298,$B$345:$B$367,$A$345:$A$367)</f>
        <v>Control PC System</v>
      </c>
      <c r="W298" s="149"/>
      <c r="X298" s="149"/>
      <c r="Y298" s="149"/>
      <c r="Z298" s="149"/>
      <c r="AA298" s="149"/>
      <c r="AB298" s="61">
        <v>2013</v>
      </c>
      <c r="AC298" s="128">
        <f t="shared" si="324"/>
        <v>0</v>
      </c>
      <c r="AD298" s="128">
        <f t="shared" si="324"/>
        <v>0</v>
      </c>
      <c r="AE298" s="128">
        <f t="shared" si="324"/>
        <v>120</v>
      </c>
      <c r="AF298" s="128">
        <f t="shared" si="324"/>
        <v>0</v>
      </c>
      <c r="AG298" s="128">
        <f t="shared" si="324"/>
        <v>120</v>
      </c>
      <c r="AH298" s="236">
        <f>IF($Q298="B", (F298*$N298),0)</f>
        <v>2000</v>
      </c>
      <c r="AI298" s="275"/>
      <c r="AJ298" s="276"/>
      <c r="AK298" s="276"/>
      <c r="AL298" s="272"/>
      <c r="AM298" s="127">
        <f t="shared" si="325"/>
        <v>0</v>
      </c>
      <c r="AN298" s="128">
        <f t="shared" si="325"/>
        <v>0</v>
      </c>
      <c r="AO298" s="128">
        <f t="shared" si="325"/>
        <v>0</v>
      </c>
      <c r="AP298" s="128">
        <f t="shared" si="325"/>
        <v>0</v>
      </c>
      <c r="AQ298" s="128">
        <f t="shared" si="325"/>
        <v>0</v>
      </c>
      <c r="AR298" s="128">
        <f>IF($Q298="C", (F298*$N298),0)</f>
        <v>0</v>
      </c>
      <c r="AS298" s="275"/>
    </row>
    <row r="299" spans="1:45" s="277" customFormat="1">
      <c r="A299" s="286" t="s">
        <v>296</v>
      </c>
      <c r="B299" s="18" t="s">
        <v>8</v>
      </c>
      <c r="C299" s="271">
        <v>1</v>
      </c>
      <c r="D299" s="91" t="s">
        <v>2</v>
      </c>
      <c r="E299" s="213">
        <v>0</v>
      </c>
      <c r="F299" s="163">
        <f>E299*C299</f>
        <v>0</v>
      </c>
      <c r="G299" s="218">
        <v>0</v>
      </c>
      <c r="H299" s="218">
        <v>0</v>
      </c>
      <c r="I299" s="218">
        <v>80</v>
      </c>
      <c r="J299" s="218">
        <v>0</v>
      </c>
      <c r="K299" s="273">
        <v>80</v>
      </c>
      <c r="L299" s="91" t="s">
        <v>7</v>
      </c>
      <c r="M299" s="213">
        <f>IF(R299="PD",((Shop*G299)+(M_Tech*H299)+(CMM*I299)+(ENG*J299)+(DES*K299))*N299,((Shop_RD*G299)+(MTECH_RD*H299)+(CMM_RD*I299)+(ENG_RD*J299)+(DES_RD*K299))*N299)</f>
        <v>0</v>
      </c>
      <c r="N299" s="42">
        <v>1</v>
      </c>
      <c r="O299" s="214">
        <f>M299+(F299*N299)</f>
        <v>0</v>
      </c>
      <c r="P299" s="274"/>
      <c r="Q299" s="279" t="s">
        <v>31</v>
      </c>
      <c r="R299" s="278" t="s">
        <v>49</v>
      </c>
      <c r="S299" s="70" t="str">
        <f>CONCATENATE(Q299,R299,AB299)</f>
        <v>BPD2013</v>
      </c>
      <c r="T299" s="70" t="str">
        <f>CONCATENATE(Q299,U299,AB299)</f>
        <v>B1.2.2.5.42013</v>
      </c>
      <c r="U299" s="133" t="s">
        <v>210</v>
      </c>
      <c r="V299" s="133" t="str">
        <f>LOOKUP(U299,$B$345:$B$367,$A$345:$A$367)</f>
        <v>Control PC System</v>
      </c>
      <c r="W299" s="149"/>
      <c r="X299" s="149"/>
      <c r="Y299" s="149"/>
      <c r="Z299" s="149"/>
      <c r="AA299" s="149"/>
      <c r="AB299" s="61">
        <v>2013</v>
      </c>
      <c r="AC299" s="128">
        <f t="shared" si="324"/>
        <v>0</v>
      </c>
      <c r="AD299" s="128">
        <f t="shared" si="324"/>
        <v>0</v>
      </c>
      <c r="AE299" s="128">
        <f t="shared" si="324"/>
        <v>80</v>
      </c>
      <c r="AF299" s="128">
        <f t="shared" si="324"/>
        <v>0</v>
      </c>
      <c r="AG299" s="128">
        <f t="shared" si="324"/>
        <v>80</v>
      </c>
      <c r="AH299" s="236">
        <f>IF($Q299="B", (F299*$N299),0)</f>
        <v>0</v>
      </c>
      <c r="AI299" s="275"/>
      <c r="AJ299" s="276"/>
      <c r="AK299" s="276"/>
      <c r="AL299" s="272"/>
      <c r="AM299" s="127">
        <f t="shared" si="325"/>
        <v>0</v>
      </c>
      <c r="AN299" s="128">
        <f t="shared" si="325"/>
        <v>0</v>
      </c>
      <c r="AO299" s="128">
        <f t="shared" si="325"/>
        <v>0</v>
      </c>
      <c r="AP299" s="128">
        <f t="shared" si="325"/>
        <v>0</v>
      </c>
      <c r="AQ299" s="128">
        <f t="shared" si="325"/>
        <v>0</v>
      </c>
      <c r="AR299" s="128">
        <f>IF($Q299="C", (F299*$N299),0)</f>
        <v>0</v>
      </c>
      <c r="AS299" s="275"/>
    </row>
    <row r="300" spans="1:45" s="277" customFormat="1">
      <c r="A300" s="286" t="s">
        <v>349</v>
      </c>
      <c r="B300" s="18" t="s">
        <v>8</v>
      </c>
      <c r="C300" s="271">
        <v>1</v>
      </c>
      <c r="D300" s="91" t="s">
        <v>8</v>
      </c>
      <c r="E300" s="213">
        <v>1000</v>
      </c>
      <c r="F300" s="163">
        <f>E300*C300</f>
        <v>1000</v>
      </c>
      <c r="G300" s="218">
        <v>0</v>
      </c>
      <c r="H300" s="218">
        <v>0</v>
      </c>
      <c r="I300" s="218">
        <v>0</v>
      </c>
      <c r="J300" s="218">
        <v>8</v>
      </c>
      <c r="K300" s="273">
        <v>0</v>
      </c>
      <c r="L300" s="91" t="s">
        <v>7</v>
      </c>
      <c r="M300" s="213">
        <f>IF(R300="PD",((Shop*G300)+(M_Tech*H300)+(CMM*I300)+(ENG*J300)+(DES*K300))*N300,((Shop_RD*G300)+(MTECH_RD*H300)+(CMM_RD*I300)+(ENG_RD*J300)+(DES_RD*K300))*N300)</f>
        <v>972.00000000000011</v>
      </c>
      <c r="N300" s="42">
        <v>1</v>
      </c>
      <c r="O300" s="214">
        <f>M300+(F300*N300)</f>
        <v>1972</v>
      </c>
      <c r="P300" s="274"/>
      <c r="Q300" s="279" t="s">
        <v>32</v>
      </c>
      <c r="R300" s="278" t="s">
        <v>49</v>
      </c>
      <c r="S300" s="70" t="str">
        <f>CONCATENATE(Q300,R300,AB300)</f>
        <v>CPD2013</v>
      </c>
      <c r="T300" s="70" t="str">
        <f>CONCATENATE(Q300,U300,AB300)</f>
        <v>C1.2.2.5.42013</v>
      </c>
      <c r="U300" s="133" t="s">
        <v>210</v>
      </c>
      <c r="V300" s="133" t="str">
        <f>LOOKUP(U300,$B$345:$B$367,$A$345:$A$367)</f>
        <v>Control PC System</v>
      </c>
      <c r="W300" s="149"/>
      <c r="X300" s="149"/>
      <c r="Y300" s="149"/>
      <c r="Z300" s="149"/>
      <c r="AA300" s="149"/>
      <c r="AB300" s="61">
        <v>2013</v>
      </c>
      <c r="AC300" s="128">
        <f t="shared" si="324"/>
        <v>0</v>
      </c>
      <c r="AD300" s="128">
        <f t="shared" si="324"/>
        <v>0</v>
      </c>
      <c r="AE300" s="128">
        <f t="shared" si="324"/>
        <v>0</v>
      </c>
      <c r="AF300" s="128">
        <f t="shared" si="324"/>
        <v>0</v>
      </c>
      <c r="AG300" s="128">
        <f t="shared" si="324"/>
        <v>0</v>
      </c>
      <c r="AH300" s="236">
        <f>IF($Q300="B", (F300*$N300),0)</f>
        <v>0</v>
      </c>
      <c r="AI300" s="275"/>
      <c r="AJ300" s="276"/>
      <c r="AK300" s="276"/>
      <c r="AL300" s="272"/>
      <c r="AM300" s="127">
        <f t="shared" si="325"/>
        <v>0</v>
      </c>
      <c r="AN300" s="128">
        <f t="shared" si="325"/>
        <v>0</v>
      </c>
      <c r="AO300" s="128">
        <f t="shared" si="325"/>
        <v>0</v>
      </c>
      <c r="AP300" s="128">
        <f t="shared" si="325"/>
        <v>8</v>
      </c>
      <c r="AQ300" s="128">
        <f t="shared" si="325"/>
        <v>0</v>
      </c>
      <c r="AR300" s="128">
        <f>IF($Q300="C", (F300*$N300),0)</f>
        <v>1000</v>
      </c>
      <c r="AS300" s="275"/>
    </row>
    <row r="301" spans="1:45" s="42" customFormat="1">
      <c r="A301" s="220"/>
      <c r="C301" s="181"/>
      <c r="E301" s="182"/>
      <c r="F301" s="183"/>
      <c r="G301" s="184"/>
      <c r="H301" s="184"/>
      <c r="I301" s="184"/>
      <c r="J301" s="184"/>
      <c r="K301" s="185"/>
      <c r="L301" s="222" t="s">
        <v>43</v>
      </c>
      <c r="M301" s="174">
        <f>SUMIF(Q296:Q300,"B",M296:M300)</f>
        <v>2400</v>
      </c>
      <c r="N301" s="62" t="s">
        <v>43</v>
      </c>
      <c r="O301" s="174"/>
      <c r="P301" s="186"/>
      <c r="Q301" s="60"/>
      <c r="R301" s="68"/>
      <c r="S301" s="133"/>
      <c r="T301" s="133"/>
      <c r="U301" s="70"/>
      <c r="V301" s="133"/>
      <c r="W301" s="18"/>
      <c r="X301" s="18"/>
      <c r="Y301" s="18"/>
      <c r="Z301" s="18"/>
      <c r="AA301" s="18"/>
      <c r="AB301" s="30"/>
      <c r="AC301" s="128"/>
      <c r="AD301" s="128"/>
      <c r="AE301" s="128"/>
      <c r="AF301" s="128"/>
      <c r="AG301" s="128"/>
      <c r="AH301" s="236"/>
      <c r="AI301" s="237"/>
      <c r="AJ301" s="128"/>
      <c r="AK301" s="128"/>
      <c r="AL301" s="162"/>
      <c r="AM301" s="127"/>
      <c r="AN301" s="128"/>
      <c r="AO301" s="128"/>
      <c r="AP301" s="128"/>
      <c r="AQ301" s="128"/>
      <c r="AR301" s="128"/>
      <c r="AS301" s="237"/>
    </row>
    <row r="302" spans="1:45">
      <c r="A302" s="19" t="s">
        <v>158</v>
      </c>
      <c r="B302" s="2"/>
      <c r="C302" s="167"/>
      <c r="D302" s="13"/>
      <c r="E302" s="168"/>
      <c r="F302" s="169"/>
      <c r="G302" s="167"/>
      <c r="H302" s="167"/>
      <c r="I302" s="167"/>
      <c r="J302" s="167"/>
      <c r="K302" s="170"/>
      <c r="L302" s="13"/>
      <c r="M302" s="168">
        <f>SUMIF(Q230:Q300,"B",M230:M300)</f>
        <v>185365.79999999996</v>
      </c>
      <c r="N302" s="362" t="s">
        <v>42</v>
      </c>
      <c r="O302" s="363"/>
      <c r="P302" s="364"/>
      <c r="Q302" s="47"/>
      <c r="R302" s="69"/>
      <c r="S302" s="134"/>
      <c r="T302" s="134"/>
      <c r="U302" s="134"/>
      <c r="V302" s="134"/>
      <c r="W302" s="2"/>
      <c r="X302" s="2"/>
      <c r="Y302" s="2"/>
      <c r="Z302" s="2"/>
      <c r="AA302" s="2"/>
      <c r="AB302" s="31"/>
      <c r="AC302" s="4">
        <f>SUM(AC230:AC300)</f>
        <v>0</v>
      </c>
      <c r="AD302" s="4">
        <f>SUM(AD230:AD300)</f>
        <v>820</v>
      </c>
      <c r="AE302" s="4">
        <f>SUM(AE230:AE300)</f>
        <v>3168</v>
      </c>
      <c r="AF302" s="4">
        <f>SUM(AF230:AF300)</f>
        <v>832</v>
      </c>
      <c r="AG302" s="4">
        <f>SUM(AG230:AG300)</f>
        <v>3092</v>
      </c>
      <c r="AH302" s="168"/>
      <c r="AI302" s="169">
        <f>SUM(AH230:AH300)</f>
        <v>274050</v>
      </c>
      <c r="AJ302" s="168">
        <f>(Shop*AC302)+M_Tech*AD302+CMM*AE302+ENG*AF302+DES*AG302+AI302</f>
        <v>452849.4</v>
      </c>
      <c r="AK302" s="168"/>
      <c r="AL302" s="169">
        <f>Shop*AM302+M_Tech*AN302+CMM*AO302+ENG*AP302+DES*AQ302+AS302</f>
        <v>104951.65000000001</v>
      </c>
      <c r="AM302" s="4">
        <f>SUM(AM230:AM300)</f>
        <v>0</v>
      </c>
      <c r="AN302" s="4">
        <f>SUM(AN230:AN300)</f>
        <v>245</v>
      </c>
      <c r="AO302" s="4">
        <f>SUM(AO230:AO300)</f>
        <v>0</v>
      </c>
      <c r="AP302" s="4">
        <f>SUM(AP230:AP300)</f>
        <v>362</v>
      </c>
      <c r="AQ302" s="4">
        <f>SUM(AQ230:AQ300)</f>
        <v>0</v>
      </c>
      <c r="AR302" s="169"/>
      <c r="AS302" s="169">
        <f>SUM(AR230:AR300)</f>
        <v>37750</v>
      </c>
    </row>
    <row r="303" spans="1:45">
      <c r="A303" s="280"/>
      <c r="B303" s="281"/>
      <c r="C303" s="158"/>
      <c r="D303" s="282"/>
      <c r="E303" s="159"/>
      <c r="F303" s="160"/>
      <c r="G303" s="158"/>
      <c r="H303" s="158"/>
      <c r="I303" s="158"/>
      <c r="J303" s="158"/>
      <c r="K303" s="171"/>
      <c r="L303" s="282"/>
      <c r="M303" s="159"/>
      <c r="N303" s="133"/>
      <c r="O303" s="282"/>
      <c r="P303" s="282"/>
      <c r="Q303" s="283"/>
      <c r="R303" s="284"/>
      <c r="S303" s="285"/>
      <c r="T303" s="285"/>
      <c r="U303" s="285"/>
      <c r="V303" s="285"/>
      <c r="W303" s="281"/>
      <c r="X303" s="281"/>
      <c r="Y303" s="281"/>
      <c r="Z303" s="281"/>
      <c r="AA303" s="281"/>
      <c r="AB303" s="30"/>
      <c r="AC303" s="3"/>
      <c r="AD303" s="3"/>
      <c r="AE303" s="3"/>
      <c r="AF303" s="3"/>
      <c r="AG303" s="3"/>
      <c r="AH303" s="159"/>
      <c r="AI303" s="160"/>
      <c r="AJ303" s="159"/>
      <c r="AK303" s="159"/>
      <c r="AL303" s="159"/>
      <c r="AM303" s="3"/>
      <c r="AN303" s="3"/>
      <c r="AO303" s="3"/>
      <c r="AP303" s="3"/>
      <c r="AQ303" s="3"/>
      <c r="AR303" s="159"/>
      <c r="AS303" s="160"/>
    </row>
    <row r="304" spans="1:45" ht="15.75">
      <c r="A304" s="44" t="s">
        <v>281</v>
      </c>
      <c r="F304" s="160"/>
      <c r="G304" s="158"/>
      <c r="H304" s="158"/>
      <c r="I304" s="158"/>
      <c r="J304" s="158"/>
      <c r="K304" s="171"/>
      <c r="M304" s="107"/>
      <c r="N304" s="6"/>
      <c r="O304" s="172"/>
      <c r="P304" s="172"/>
      <c r="Q304" s="46"/>
      <c r="R304" s="66"/>
      <c r="S304" s="133"/>
      <c r="T304" s="133"/>
      <c r="U304" s="133"/>
      <c r="V304" s="133"/>
      <c r="W304"/>
      <c r="X304"/>
      <c r="Y304"/>
      <c r="Z304"/>
      <c r="AA304"/>
      <c r="AB304" s="30"/>
      <c r="AC304" s="3"/>
      <c r="AD304" s="3"/>
      <c r="AE304" s="3"/>
      <c r="AF304" s="3"/>
      <c r="AG304" s="3"/>
      <c r="AH304" s="159"/>
      <c r="AI304" s="241"/>
      <c r="AJ304" s="3"/>
      <c r="AK304" s="3"/>
      <c r="AM304" s="29"/>
      <c r="AN304" s="3"/>
      <c r="AO304" s="3"/>
      <c r="AP304" s="3"/>
      <c r="AQ304" s="3"/>
      <c r="AR304" s="3"/>
      <c r="AS304" s="241"/>
    </row>
    <row r="305" spans="1:45" s="150" customFormat="1">
      <c r="A305" s="220" t="s">
        <v>297</v>
      </c>
      <c r="B305" s="18" t="s">
        <v>8</v>
      </c>
      <c r="C305" s="216">
        <v>1</v>
      </c>
      <c r="D305" s="91" t="s">
        <v>2</v>
      </c>
      <c r="E305" s="213">
        <v>0</v>
      </c>
      <c r="F305" s="217">
        <f t="shared" ref="F305:F311" si="326">E305*C305</f>
        <v>0</v>
      </c>
      <c r="G305" s="218">
        <v>0</v>
      </c>
      <c r="H305" s="218">
        <v>0</v>
      </c>
      <c r="I305" s="218">
        <v>0</v>
      </c>
      <c r="J305" s="218">
        <v>0</v>
      </c>
      <c r="K305" s="218">
        <v>0</v>
      </c>
      <c r="L305" s="91" t="s">
        <v>7</v>
      </c>
      <c r="M305" s="213">
        <f t="shared" ref="M305:M311" si="327">IF(R305="PD",((Shop*G305)+(M_Tech*H305)+(CMM*I305)+(ENG*J305)+(DES*K305))*N305,((Shop_RD*G305)+(MTECH_RD*H305)+(CMM_RD*I305)+(ENG_RD*J305)+(DES_RD*K305))*N305)</f>
        <v>0</v>
      </c>
      <c r="N305" s="93">
        <v>1</v>
      </c>
      <c r="O305" s="214">
        <f t="shared" ref="O305:O311" si="328">M305+(F305*N305)</f>
        <v>0</v>
      </c>
      <c r="P305" s="214"/>
      <c r="Q305" s="46" t="s">
        <v>31</v>
      </c>
      <c r="R305" s="66" t="s">
        <v>154</v>
      </c>
      <c r="S305" s="133" t="str">
        <f t="shared" ref="S305:S311" si="329">CONCATENATE(Q305,R305,AB305)</f>
        <v>BPT2012</v>
      </c>
      <c r="T305" s="133" t="str">
        <f t="shared" ref="T305:T311" si="330">CONCATENATE(Q305,U305,AB305)</f>
        <v>B1.2.2.62012</v>
      </c>
      <c r="U305" s="133" t="s">
        <v>212</v>
      </c>
      <c r="V305" s="215" t="str">
        <f t="shared" ref="V305:V311" si="331">LOOKUP(U305,$B$345:$B$367,$A$345:$A$367)</f>
        <v>PXL Sensor Ladder Production</v>
      </c>
      <c r="W305" s="42"/>
      <c r="X305" s="42"/>
      <c r="Y305" s="42"/>
      <c r="Z305" s="42"/>
      <c r="AA305" s="42"/>
      <c r="AB305" s="61">
        <v>2012</v>
      </c>
      <c r="AC305" s="128">
        <f t="shared" ref="AC305:AG308" si="332">IF($Q305="B", (G305*$N305),0)</f>
        <v>0</v>
      </c>
      <c r="AD305" s="128">
        <f t="shared" si="332"/>
        <v>0</v>
      </c>
      <c r="AE305" s="128">
        <f t="shared" si="332"/>
        <v>0</v>
      </c>
      <c r="AF305" s="128">
        <f t="shared" si="332"/>
        <v>0</v>
      </c>
      <c r="AG305" s="128">
        <f t="shared" si="332"/>
        <v>0</v>
      </c>
      <c r="AH305" s="236">
        <f t="shared" ref="AH305:AH311" si="333">IF($Q305="B", (F305*$N305),0)</f>
        <v>0</v>
      </c>
      <c r="AI305" s="238"/>
      <c r="AJ305" s="244"/>
      <c r="AK305" s="244"/>
      <c r="AL305" s="162"/>
      <c r="AM305" s="127">
        <f t="shared" ref="AM305:AQ308" si="334">IF($Q305="C", (G305*$N305),0)</f>
        <v>0</v>
      </c>
      <c r="AN305" s="128">
        <f t="shared" si="334"/>
        <v>0</v>
      </c>
      <c r="AO305" s="128">
        <f t="shared" si="334"/>
        <v>0</v>
      </c>
      <c r="AP305" s="128">
        <f t="shared" si="334"/>
        <v>0</v>
      </c>
      <c r="AQ305" s="128">
        <f t="shared" si="334"/>
        <v>0</v>
      </c>
      <c r="AR305" s="128">
        <f t="shared" ref="AR305:AR311" si="335">IF($Q305="C", (F305*$N305),0)</f>
        <v>0</v>
      </c>
      <c r="AS305" s="238"/>
    </row>
    <row r="306" spans="1:45" s="150" customFormat="1" hidden="1">
      <c r="A306" s="149" t="s">
        <v>345</v>
      </c>
      <c r="B306" s="18" t="s">
        <v>8</v>
      </c>
      <c r="C306" s="216">
        <v>1</v>
      </c>
      <c r="D306" s="91" t="s">
        <v>2</v>
      </c>
      <c r="E306" s="213">
        <v>2000</v>
      </c>
      <c r="F306" s="217">
        <f t="shared" si="326"/>
        <v>2000</v>
      </c>
      <c r="G306" s="218">
        <v>80</v>
      </c>
      <c r="H306" s="218">
        <v>80</v>
      </c>
      <c r="I306" s="218">
        <v>40</v>
      </c>
      <c r="J306" s="218">
        <v>16</v>
      </c>
      <c r="K306" s="219">
        <v>40</v>
      </c>
      <c r="L306" s="91" t="s">
        <v>7</v>
      </c>
      <c r="M306" s="213">
        <f t="shared" si="327"/>
        <v>0</v>
      </c>
      <c r="N306" s="93">
        <v>0</v>
      </c>
      <c r="O306" s="214">
        <f t="shared" si="328"/>
        <v>0</v>
      </c>
      <c r="P306" s="214"/>
      <c r="Q306" s="46" t="s">
        <v>31</v>
      </c>
      <c r="R306" s="66" t="s">
        <v>154</v>
      </c>
      <c r="S306" s="133" t="str">
        <f t="shared" si="329"/>
        <v>BPT2012</v>
      </c>
      <c r="T306" s="133" t="str">
        <f t="shared" si="330"/>
        <v>B1.2.2.62012</v>
      </c>
      <c r="U306" s="133" t="s">
        <v>212</v>
      </c>
      <c r="V306" s="215" t="str">
        <f t="shared" si="331"/>
        <v>PXL Sensor Ladder Production</v>
      </c>
      <c r="W306" s="42"/>
      <c r="X306" s="42"/>
      <c r="Y306" s="42"/>
      <c r="Z306" s="42"/>
      <c r="AA306" s="42"/>
      <c r="AB306" s="61">
        <v>2012</v>
      </c>
      <c r="AC306" s="128">
        <f t="shared" si="332"/>
        <v>0</v>
      </c>
      <c r="AD306" s="128">
        <f t="shared" si="332"/>
        <v>0</v>
      </c>
      <c r="AE306" s="128">
        <f t="shared" si="332"/>
        <v>0</v>
      </c>
      <c r="AF306" s="128">
        <f t="shared" si="332"/>
        <v>0</v>
      </c>
      <c r="AG306" s="128">
        <f t="shared" si="332"/>
        <v>0</v>
      </c>
      <c r="AH306" s="236">
        <f t="shared" si="333"/>
        <v>0</v>
      </c>
      <c r="AI306" s="238"/>
      <c r="AJ306" s="244"/>
      <c r="AK306" s="244"/>
      <c r="AL306" s="162"/>
      <c r="AM306" s="127">
        <f t="shared" si="334"/>
        <v>0</v>
      </c>
      <c r="AN306" s="128">
        <f t="shared" si="334"/>
        <v>0</v>
      </c>
      <c r="AO306" s="128">
        <f t="shared" si="334"/>
        <v>0</v>
      </c>
      <c r="AP306" s="128">
        <f t="shared" si="334"/>
        <v>0</v>
      </c>
      <c r="AQ306" s="128">
        <f t="shared" si="334"/>
        <v>0</v>
      </c>
      <c r="AR306" s="128">
        <f t="shared" si="335"/>
        <v>0</v>
      </c>
      <c r="AS306" s="238"/>
    </row>
    <row r="307" spans="1:45" s="150" customFormat="1">
      <c r="A307" s="149" t="s">
        <v>346</v>
      </c>
      <c r="B307" s="18" t="s">
        <v>8</v>
      </c>
      <c r="C307" s="216">
        <v>1</v>
      </c>
      <c r="D307" s="91" t="s">
        <v>2</v>
      </c>
      <c r="E307" s="213">
        <v>2000</v>
      </c>
      <c r="F307" s="217">
        <f t="shared" si="326"/>
        <v>2000</v>
      </c>
      <c r="G307" s="218">
        <v>80</v>
      </c>
      <c r="H307" s="218">
        <v>80</v>
      </c>
      <c r="I307" s="218">
        <v>40</v>
      </c>
      <c r="J307" s="218">
        <v>16</v>
      </c>
      <c r="K307" s="219">
        <v>40</v>
      </c>
      <c r="L307" s="91" t="s">
        <v>7</v>
      </c>
      <c r="M307" s="213">
        <f t="shared" si="327"/>
        <v>21840</v>
      </c>
      <c r="N307" s="93">
        <v>1</v>
      </c>
      <c r="O307" s="214">
        <f t="shared" si="328"/>
        <v>23840</v>
      </c>
      <c r="P307" s="214"/>
      <c r="Q307" s="46" t="s">
        <v>32</v>
      </c>
      <c r="R307" s="66" t="s">
        <v>154</v>
      </c>
      <c r="S307" s="133" t="str">
        <f t="shared" si="329"/>
        <v>CPT2012</v>
      </c>
      <c r="T307" s="133" t="str">
        <f t="shared" si="330"/>
        <v>C1.2.2.62012</v>
      </c>
      <c r="U307" s="133" t="s">
        <v>212</v>
      </c>
      <c r="V307" s="215" t="str">
        <f t="shared" si="331"/>
        <v>PXL Sensor Ladder Production</v>
      </c>
      <c r="W307" s="42"/>
      <c r="X307" s="42"/>
      <c r="Y307" s="42"/>
      <c r="Z307" s="42"/>
      <c r="AA307" s="42"/>
      <c r="AB307" s="61">
        <v>2012</v>
      </c>
      <c r="AC307" s="128">
        <f t="shared" si="332"/>
        <v>0</v>
      </c>
      <c r="AD307" s="128">
        <f t="shared" si="332"/>
        <v>0</v>
      </c>
      <c r="AE307" s="128">
        <f t="shared" si="332"/>
        <v>0</v>
      </c>
      <c r="AF307" s="128">
        <f t="shared" si="332"/>
        <v>0</v>
      </c>
      <c r="AG307" s="128">
        <f t="shared" si="332"/>
        <v>0</v>
      </c>
      <c r="AH307" s="236">
        <f t="shared" si="333"/>
        <v>0</v>
      </c>
      <c r="AI307" s="238"/>
      <c r="AJ307" s="244"/>
      <c r="AK307" s="244"/>
      <c r="AL307" s="162"/>
      <c r="AM307" s="127">
        <f t="shared" si="334"/>
        <v>80</v>
      </c>
      <c r="AN307" s="128">
        <f t="shared" si="334"/>
        <v>80</v>
      </c>
      <c r="AO307" s="128">
        <f t="shared" si="334"/>
        <v>40</v>
      </c>
      <c r="AP307" s="128">
        <f t="shared" si="334"/>
        <v>16</v>
      </c>
      <c r="AQ307" s="128">
        <f t="shared" si="334"/>
        <v>40</v>
      </c>
      <c r="AR307" s="128">
        <f t="shared" si="335"/>
        <v>2000</v>
      </c>
      <c r="AS307" s="238"/>
    </row>
    <row r="308" spans="1:45" s="150" customFormat="1">
      <c r="A308" s="149" t="s">
        <v>302</v>
      </c>
      <c r="B308" s="18" t="s">
        <v>8</v>
      </c>
      <c r="C308" s="216">
        <v>1</v>
      </c>
      <c r="D308" s="91" t="s">
        <v>2</v>
      </c>
      <c r="E308" s="213">
        <v>500</v>
      </c>
      <c r="F308" s="217">
        <f t="shared" si="326"/>
        <v>500</v>
      </c>
      <c r="G308" s="218">
        <v>0</v>
      </c>
      <c r="H308" s="218">
        <v>40</v>
      </c>
      <c r="I308" s="218">
        <v>0</v>
      </c>
      <c r="J308" s="218">
        <v>16</v>
      </c>
      <c r="K308" s="219">
        <v>24</v>
      </c>
      <c r="L308" s="91" t="s">
        <v>7</v>
      </c>
      <c r="M308" s="213">
        <f t="shared" si="327"/>
        <v>7080</v>
      </c>
      <c r="N308" s="93">
        <v>1</v>
      </c>
      <c r="O308" s="214">
        <f t="shared" si="328"/>
        <v>7580</v>
      </c>
      <c r="P308" s="214"/>
      <c r="Q308" s="46" t="s">
        <v>31</v>
      </c>
      <c r="R308" s="66" t="s">
        <v>154</v>
      </c>
      <c r="S308" s="133" t="str">
        <f t="shared" si="329"/>
        <v>BPT2012</v>
      </c>
      <c r="T308" s="133" t="str">
        <f t="shared" si="330"/>
        <v>B1.2.2.62012</v>
      </c>
      <c r="U308" s="133" t="s">
        <v>212</v>
      </c>
      <c r="V308" s="215" t="str">
        <f t="shared" si="331"/>
        <v>PXL Sensor Ladder Production</v>
      </c>
      <c r="W308" s="42"/>
      <c r="X308" s="42"/>
      <c r="Y308" s="42"/>
      <c r="Z308" s="42"/>
      <c r="AA308" s="42"/>
      <c r="AB308" s="61">
        <v>2012</v>
      </c>
      <c r="AC308" s="128">
        <f t="shared" si="332"/>
        <v>0</v>
      </c>
      <c r="AD308" s="128">
        <f t="shared" si="332"/>
        <v>40</v>
      </c>
      <c r="AE308" s="128">
        <f t="shared" si="332"/>
        <v>0</v>
      </c>
      <c r="AF308" s="128">
        <f t="shared" si="332"/>
        <v>16</v>
      </c>
      <c r="AG308" s="128">
        <f t="shared" si="332"/>
        <v>24</v>
      </c>
      <c r="AH308" s="236">
        <f t="shared" si="333"/>
        <v>500</v>
      </c>
      <c r="AI308" s="238"/>
      <c r="AJ308" s="244"/>
      <c r="AK308" s="244"/>
      <c r="AL308" s="162"/>
      <c r="AM308" s="127">
        <f t="shared" si="334"/>
        <v>0</v>
      </c>
      <c r="AN308" s="128">
        <f t="shared" si="334"/>
        <v>0</v>
      </c>
      <c r="AO308" s="128">
        <f t="shared" si="334"/>
        <v>0</v>
      </c>
      <c r="AP308" s="128">
        <f t="shared" si="334"/>
        <v>0</v>
      </c>
      <c r="AQ308" s="128">
        <f t="shared" si="334"/>
        <v>0</v>
      </c>
      <c r="AR308" s="128">
        <f t="shared" si="335"/>
        <v>0</v>
      </c>
      <c r="AS308" s="238"/>
    </row>
    <row r="309" spans="1:45" s="150" customFormat="1">
      <c r="A309" s="149" t="s">
        <v>303</v>
      </c>
      <c r="B309" s="18" t="s">
        <v>8</v>
      </c>
      <c r="C309" s="216">
        <v>1</v>
      </c>
      <c r="D309" s="91" t="s">
        <v>2</v>
      </c>
      <c r="E309" s="213">
        <v>0</v>
      </c>
      <c r="F309" s="217">
        <f t="shared" si="326"/>
        <v>0</v>
      </c>
      <c r="G309" s="218">
        <v>16</v>
      </c>
      <c r="H309" s="218">
        <v>40</v>
      </c>
      <c r="I309" s="218">
        <v>40</v>
      </c>
      <c r="J309" s="218">
        <v>16</v>
      </c>
      <c r="K309" s="219">
        <v>40</v>
      </c>
      <c r="L309" s="91" t="s">
        <v>7</v>
      </c>
      <c r="M309" s="213">
        <f t="shared" si="327"/>
        <v>9096</v>
      </c>
      <c r="N309" s="93">
        <v>1</v>
      </c>
      <c r="O309" s="214">
        <f t="shared" si="328"/>
        <v>9096</v>
      </c>
      <c r="P309" s="214"/>
      <c r="Q309" s="46" t="s">
        <v>31</v>
      </c>
      <c r="R309" s="66" t="s">
        <v>154</v>
      </c>
      <c r="S309" s="133" t="str">
        <f t="shared" si="329"/>
        <v>BPT2012</v>
      </c>
      <c r="T309" s="133" t="str">
        <f t="shared" si="330"/>
        <v>B1.2.2.62012</v>
      </c>
      <c r="U309" s="133" t="s">
        <v>212</v>
      </c>
      <c r="V309" s="215" t="str">
        <f t="shared" si="331"/>
        <v>PXL Sensor Ladder Production</v>
      </c>
      <c r="W309" s="42"/>
      <c r="X309" s="42"/>
      <c r="Y309" s="42"/>
      <c r="Z309" s="42"/>
      <c r="AA309" s="42"/>
      <c r="AB309" s="61">
        <v>2012</v>
      </c>
      <c r="AC309" s="128">
        <f t="shared" ref="AC309:AG311" si="336">IF($Q309="B", (G309*$N309),0)</f>
        <v>16</v>
      </c>
      <c r="AD309" s="128">
        <f t="shared" si="336"/>
        <v>40</v>
      </c>
      <c r="AE309" s="128">
        <f t="shared" si="336"/>
        <v>40</v>
      </c>
      <c r="AF309" s="128">
        <f t="shared" si="336"/>
        <v>16</v>
      </c>
      <c r="AG309" s="128">
        <f t="shared" si="336"/>
        <v>40</v>
      </c>
      <c r="AH309" s="236">
        <f t="shared" si="333"/>
        <v>0</v>
      </c>
      <c r="AI309" s="238"/>
      <c r="AJ309" s="244"/>
      <c r="AK309" s="244"/>
      <c r="AL309" s="162"/>
      <c r="AM309" s="127">
        <f t="shared" ref="AM309:AQ311" si="337">IF($Q309="C", (G309*$N309),0)</f>
        <v>0</v>
      </c>
      <c r="AN309" s="128">
        <f t="shared" si="337"/>
        <v>0</v>
      </c>
      <c r="AO309" s="128">
        <f t="shared" si="337"/>
        <v>0</v>
      </c>
      <c r="AP309" s="128">
        <f t="shared" si="337"/>
        <v>0</v>
      </c>
      <c r="AQ309" s="128">
        <f t="shared" si="337"/>
        <v>0</v>
      </c>
      <c r="AR309" s="128">
        <f t="shared" si="335"/>
        <v>0</v>
      </c>
      <c r="AS309" s="238"/>
    </row>
    <row r="310" spans="1:45" s="150" customFormat="1">
      <c r="A310" s="149" t="s">
        <v>344</v>
      </c>
      <c r="B310" s="18" t="s">
        <v>8</v>
      </c>
      <c r="C310" s="216">
        <v>1</v>
      </c>
      <c r="D310" s="91" t="s">
        <v>2</v>
      </c>
      <c r="E310" s="213">
        <v>2500</v>
      </c>
      <c r="F310" s="217">
        <f t="shared" si="326"/>
        <v>2500</v>
      </c>
      <c r="G310" s="218">
        <v>40</v>
      </c>
      <c r="H310" s="218">
        <v>40</v>
      </c>
      <c r="I310" s="218">
        <v>40</v>
      </c>
      <c r="J310" s="218">
        <v>16</v>
      </c>
      <c r="K310" s="219">
        <v>40</v>
      </c>
      <c r="L310" s="91" t="s">
        <v>7</v>
      </c>
      <c r="M310" s="213">
        <f t="shared" si="327"/>
        <v>12120</v>
      </c>
      <c r="N310" s="93">
        <v>1</v>
      </c>
      <c r="O310" s="214">
        <f t="shared" si="328"/>
        <v>14620</v>
      </c>
      <c r="P310" s="214"/>
      <c r="Q310" s="46" t="s">
        <v>31</v>
      </c>
      <c r="R310" s="66" t="s">
        <v>154</v>
      </c>
      <c r="S310" s="133" t="str">
        <f t="shared" si="329"/>
        <v>BPT2012</v>
      </c>
      <c r="T310" s="133" t="str">
        <f t="shared" si="330"/>
        <v>B1.2.2.62012</v>
      </c>
      <c r="U310" s="133" t="s">
        <v>212</v>
      </c>
      <c r="V310" s="215" t="str">
        <f t="shared" si="331"/>
        <v>PXL Sensor Ladder Production</v>
      </c>
      <c r="W310" s="42"/>
      <c r="X310" s="42"/>
      <c r="Y310" s="42"/>
      <c r="Z310" s="42"/>
      <c r="AA310" s="42"/>
      <c r="AB310" s="61">
        <v>2012</v>
      </c>
      <c r="AC310" s="128">
        <f t="shared" si="336"/>
        <v>40</v>
      </c>
      <c r="AD310" s="128">
        <f t="shared" si="336"/>
        <v>40</v>
      </c>
      <c r="AE310" s="128">
        <f t="shared" si="336"/>
        <v>40</v>
      </c>
      <c r="AF310" s="128">
        <f t="shared" si="336"/>
        <v>16</v>
      </c>
      <c r="AG310" s="128">
        <f t="shared" si="336"/>
        <v>40</v>
      </c>
      <c r="AH310" s="236">
        <f t="shared" si="333"/>
        <v>2500</v>
      </c>
      <c r="AI310" s="238"/>
      <c r="AJ310" s="244"/>
      <c r="AK310" s="244"/>
      <c r="AL310" s="162"/>
      <c r="AM310" s="127">
        <f t="shared" si="337"/>
        <v>0</v>
      </c>
      <c r="AN310" s="128">
        <f t="shared" si="337"/>
        <v>0</v>
      </c>
      <c r="AO310" s="128">
        <f t="shared" si="337"/>
        <v>0</v>
      </c>
      <c r="AP310" s="128">
        <f t="shared" si="337"/>
        <v>0</v>
      </c>
      <c r="AQ310" s="128">
        <f t="shared" si="337"/>
        <v>0</v>
      </c>
      <c r="AR310" s="128">
        <f t="shared" si="335"/>
        <v>0</v>
      </c>
      <c r="AS310" s="238"/>
    </row>
    <row r="311" spans="1:45" s="150" customFormat="1">
      <c r="A311" s="149" t="s">
        <v>349</v>
      </c>
      <c r="B311" s="18" t="s">
        <v>8</v>
      </c>
      <c r="C311" s="216">
        <v>1</v>
      </c>
      <c r="D311" s="91" t="s">
        <v>2</v>
      </c>
      <c r="E311" s="213">
        <v>2500</v>
      </c>
      <c r="F311" s="217">
        <f t="shared" si="326"/>
        <v>2500</v>
      </c>
      <c r="G311" s="218">
        <v>40</v>
      </c>
      <c r="H311" s="218">
        <v>80</v>
      </c>
      <c r="I311" s="218">
        <v>0</v>
      </c>
      <c r="J311" s="218">
        <v>24</v>
      </c>
      <c r="K311" s="219">
        <v>0</v>
      </c>
      <c r="L311" s="91" t="s">
        <v>7</v>
      </c>
      <c r="M311" s="213">
        <f t="shared" si="327"/>
        <v>18000</v>
      </c>
      <c r="N311" s="93">
        <v>1</v>
      </c>
      <c r="O311" s="214">
        <f t="shared" si="328"/>
        <v>20500</v>
      </c>
      <c r="P311" s="214"/>
      <c r="Q311" s="46" t="s">
        <v>32</v>
      </c>
      <c r="R311" s="66" t="s">
        <v>154</v>
      </c>
      <c r="S311" s="133" t="str">
        <f t="shared" si="329"/>
        <v>CPT2012</v>
      </c>
      <c r="T311" s="133" t="str">
        <f t="shared" si="330"/>
        <v>C1.2.2.62012</v>
      </c>
      <c r="U311" s="133" t="s">
        <v>212</v>
      </c>
      <c r="V311" s="215" t="str">
        <f t="shared" si="331"/>
        <v>PXL Sensor Ladder Production</v>
      </c>
      <c r="W311" s="42"/>
      <c r="X311" s="42"/>
      <c r="Y311" s="42"/>
      <c r="Z311" s="42"/>
      <c r="AA311" s="42"/>
      <c r="AB311" s="61">
        <v>2012</v>
      </c>
      <c r="AC311" s="128">
        <f t="shared" si="336"/>
        <v>0</v>
      </c>
      <c r="AD311" s="128">
        <f t="shared" si="336"/>
        <v>0</v>
      </c>
      <c r="AE311" s="128">
        <f t="shared" si="336"/>
        <v>0</v>
      </c>
      <c r="AF311" s="128">
        <f t="shared" si="336"/>
        <v>0</v>
      </c>
      <c r="AG311" s="128">
        <f t="shared" si="336"/>
        <v>0</v>
      </c>
      <c r="AH311" s="236">
        <f t="shared" si="333"/>
        <v>0</v>
      </c>
      <c r="AI311" s="238"/>
      <c r="AJ311" s="244"/>
      <c r="AK311" s="244"/>
      <c r="AL311" s="162"/>
      <c r="AM311" s="127">
        <f t="shared" si="337"/>
        <v>40</v>
      </c>
      <c r="AN311" s="128">
        <f t="shared" si="337"/>
        <v>80</v>
      </c>
      <c r="AO311" s="128">
        <f t="shared" si="337"/>
        <v>0</v>
      </c>
      <c r="AP311" s="128">
        <f t="shared" si="337"/>
        <v>24</v>
      </c>
      <c r="AQ311" s="128">
        <f t="shared" si="337"/>
        <v>0</v>
      </c>
      <c r="AR311" s="128">
        <f t="shared" si="335"/>
        <v>2500</v>
      </c>
      <c r="AS311" s="238"/>
    </row>
    <row r="312" spans="1:45" s="42" customFormat="1">
      <c r="A312" s="220" t="s">
        <v>348</v>
      </c>
      <c r="C312" s="181"/>
      <c r="E312" s="182"/>
      <c r="F312" s="183"/>
      <c r="G312" s="184"/>
      <c r="H312" s="184"/>
      <c r="I312" s="184"/>
      <c r="J312" s="184"/>
      <c r="K312" s="185"/>
      <c r="L312" s="222" t="s">
        <v>43</v>
      </c>
      <c r="M312" s="174">
        <f>SUMIF(Q306:Q311,"B",M306:M311)</f>
        <v>28296</v>
      </c>
      <c r="N312" s="62" t="s">
        <v>43</v>
      </c>
      <c r="O312" s="174"/>
      <c r="P312" s="186"/>
      <c r="Q312" s="60"/>
      <c r="R312" s="68"/>
      <c r="S312" s="133"/>
      <c r="T312" s="133"/>
      <c r="U312" s="70"/>
      <c r="V312" s="70"/>
      <c r="W312" s="18"/>
      <c r="X312" s="18"/>
      <c r="Y312" s="18"/>
      <c r="Z312" s="18"/>
      <c r="AA312" s="18"/>
      <c r="AB312" s="30"/>
      <c r="AC312" s="128"/>
      <c r="AD312" s="128"/>
      <c r="AE312" s="128"/>
      <c r="AF312" s="128"/>
      <c r="AG312" s="128"/>
      <c r="AH312" s="236"/>
      <c r="AI312" s="237"/>
      <c r="AJ312" s="128"/>
      <c r="AK312" s="128"/>
      <c r="AL312" s="162"/>
      <c r="AM312" s="127"/>
      <c r="AN312" s="128"/>
      <c r="AO312" s="128"/>
      <c r="AP312" s="128"/>
      <c r="AQ312" s="128"/>
      <c r="AR312" s="128"/>
      <c r="AS312" s="237"/>
    </row>
    <row r="313" spans="1:45" s="150" customFormat="1">
      <c r="A313" s="149" t="s">
        <v>347</v>
      </c>
      <c r="B313" s="18" t="s">
        <v>8</v>
      </c>
      <c r="C313" s="216">
        <v>1</v>
      </c>
      <c r="D313" s="91" t="s">
        <v>2</v>
      </c>
      <c r="E313" s="213">
        <v>1000</v>
      </c>
      <c r="F313" s="217">
        <f>E313*C313</f>
        <v>1000</v>
      </c>
      <c r="G313" s="218">
        <v>24</v>
      </c>
      <c r="H313" s="218">
        <v>40</v>
      </c>
      <c r="I313" s="218">
        <v>40</v>
      </c>
      <c r="J313" s="218">
        <v>16</v>
      </c>
      <c r="K313" s="219">
        <v>40</v>
      </c>
      <c r="L313" s="91" t="s">
        <v>7</v>
      </c>
      <c r="M313" s="213">
        <f>IF(R313="PD",((Shop*G313)+(M_Tech*H313)+(CMM*I313)+(ENG*J313)+(DES*K313))*N313,((Shop_RD*G313)+(MTECH_RD*H313)+(CMM_RD*I313)+(ENG_RD*J313)+(DES_RD*K313))*N313)</f>
        <v>8184.24</v>
      </c>
      <c r="N313" s="42">
        <v>1</v>
      </c>
      <c r="O313" s="214">
        <f>M313+(F313*N313)</f>
        <v>9184.24</v>
      </c>
      <c r="P313" s="214"/>
      <c r="Q313" s="46" t="s">
        <v>31</v>
      </c>
      <c r="R313" s="66" t="s">
        <v>49</v>
      </c>
      <c r="S313" s="133" t="str">
        <f>CONCATENATE(Q313,R313,AB313)</f>
        <v>BPD2012</v>
      </c>
      <c r="T313" s="133" t="str">
        <f>CONCATENATE(Q313,U313,AB313)</f>
        <v>B1.2.2.62012</v>
      </c>
      <c r="U313" s="133" t="s">
        <v>212</v>
      </c>
      <c r="V313" s="215" t="str">
        <f>LOOKUP(U313,$B$345:$B$367,$A$345:$A$367)</f>
        <v>PXL Sensor Ladder Production</v>
      </c>
      <c r="W313" s="42"/>
      <c r="X313" s="42"/>
      <c r="Y313" s="42"/>
      <c r="Z313" s="42"/>
      <c r="AA313" s="42"/>
      <c r="AB313" s="61">
        <v>2012</v>
      </c>
      <c r="AC313" s="128">
        <f t="shared" ref="AC313:AG314" si="338">IF($Q313="B", (G313*$N313),0)</f>
        <v>24</v>
      </c>
      <c r="AD313" s="128">
        <f t="shared" si="338"/>
        <v>40</v>
      </c>
      <c r="AE313" s="128">
        <f t="shared" si="338"/>
        <v>40</v>
      </c>
      <c r="AF313" s="128">
        <f t="shared" si="338"/>
        <v>16</v>
      </c>
      <c r="AG313" s="128">
        <f t="shared" si="338"/>
        <v>40</v>
      </c>
      <c r="AH313" s="236">
        <f>IF($Q313="B", (F313*$N313),0)</f>
        <v>1000</v>
      </c>
      <c r="AI313" s="238"/>
      <c r="AJ313" s="244"/>
      <c r="AK313" s="244"/>
      <c r="AL313" s="162"/>
      <c r="AM313" s="127">
        <f t="shared" ref="AM313:AQ314" si="339">IF($Q313="C", (G313*$N313),0)</f>
        <v>0</v>
      </c>
      <c r="AN313" s="128">
        <f t="shared" si="339"/>
        <v>0</v>
      </c>
      <c r="AO313" s="128">
        <f t="shared" si="339"/>
        <v>0</v>
      </c>
      <c r="AP313" s="128">
        <f t="shared" si="339"/>
        <v>0</v>
      </c>
      <c r="AQ313" s="128">
        <f t="shared" si="339"/>
        <v>0</v>
      </c>
      <c r="AR313" s="128">
        <f>IF($Q313="C", (F313*$N313),0)</f>
        <v>0</v>
      </c>
      <c r="AS313" s="238"/>
    </row>
    <row r="314" spans="1:45" s="150" customFormat="1">
      <c r="A314" s="149" t="s">
        <v>349</v>
      </c>
      <c r="B314" s="18" t="s">
        <v>8</v>
      </c>
      <c r="C314" s="216">
        <v>1</v>
      </c>
      <c r="D314" s="91" t="s">
        <v>2</v>
      </c>
      <c r="E314" s="213">
        <v>1000</v>
      </c>
      <c r="F314" s="217">
        <f>E314*C314</f>
        <v>1000</v>
      </c>
      <c r="G314" s="218">
        <v>12</v>
      </c>
      <c r="H314" s="218">
        <v>20</v>
      </c>
      <c r="I314" s="218">
        <v>0</v>
      </c>
      <c r="J314" s="218">
        <v>8</v>
      </c>
      <c r="K314" s="219">
        <v>0</v>
      </c>
      <c r="L314" s="91" t="s">
        <v>7</v>
      </c>
      <c r="M314" s="213">
        <f>IF(R314="PD",((Shop*G314)+(M_Tech*H314)+(CMM*I314)+(ENG*J314)+(DES*K314))*N314,((Shop_RD*G314)+(MTECH_RD*H314)+(CMM_RD*I314)+(ENG_RD*J314)+(DES_RD*K314))*N314)</f>
        <v>4092.12</v>
      </c>
      <c r="N314" s="42">
        <v>1</v>
      </c>
      <c r="O314" s="214">
        <f>M314+(F314*N314)</f>
        <v>5092.12</v>
      </c>
      <c r="P314" s="214"/>
      <c r="Q314" s="46" t="s">
        <v>32</v>
      </c>
      <c r="R314" s="66" t="s">
        <v>49</v>
      </c>
      <c r="S314" s="133" t="str">
        <f>CONCATENATE(Q314,R314,AB314)</f>
        <v>CPD2012</v>
      </c>
      <c r="T314" s="133" t="str">
        <f>CONCATENATE(Q314,U314,AB314)</f>
        <v>C1.2.2.62012</v>
      </c>
      <c r="U314" s="133" t="s">
        <v>212</v>
      </c>
      <c r="V314" s="215" t="str">
        <f>LOOKUP(U314,$B$345:$B$367,$A$345:$A$367)</f>
        <v>PXL Sensor Ladder Production</v>
      </c>
      <c r="W314" s="42"/>
      <c r="X314" s="42"/>
      <c r="Y314" s="42"/>
      <c r="Z314" s="42"/>
      <c r="AA314" s="42"/>
      <c r="AB314" s="61">
        <v>2012</v>
      </c>
      <c r="AC314" s="128">
        <f t="shared" si="338"/>
        <v>0</v>
      </c>
      <c r="AD314" s="128">
        <f t="shared" si="338"/>
        <v>0</v>
      </c>
      <c r="AE314" s="128">
        <f t="shared" si="338"/>
        <v>0</v>
      </c>
      <c r="AF314" s="128">
        <f t="shared" si="338"/>
        <v>0</v>
      </c>
      <c r="AG314" s="128">
        <f t="shared" si="338"/>
        <v>0</v>
      </c>
      <c r="AH314" s="236">
        <f>IF($Q314="B", (F314*$N314),0)</f>
        <v>0</v>
      </c>
      <c r="AI314" s="238"/>
      <c r="AJ314" s="244"/>
      <c r="AK314" s="244"/>
      <c r="AL314" s="162"/>
      <c r="AM314" s="127">
        <f t="shared" si="339"/>
        <v>12</v>
      </c>
      <c r="AN314" s="128">
        <f t="shared" si="339"/>
        <v>20</v>
      </c>
      <c r="AO314" s="128">
        <f t="shared" si="339"/>
        <v>0</v>
      </c>
      <c r="AP314" s="128">
        <f t="shared" si="339"/>
        <v>8</v>
      </c>
      <c r="AQ314" s="128">
        <f t="shared" si="339"/>
        <v>0</v>
      </c>
      <c r="AR314" s="128">
        <f>IF($Q314="C", (F314*$N314),0)</f>
        <v>1000</v>
      </c>
      <c r="AS314" s="238"/>
    </row>
    <row r="315" spans="1:45" s="42" customFormat="1">
      <c r="A315" s="147" t="s">
        <v>279</v>
      </c>
      <c r="C315" s="181"/>
      <c r="E315" s="182"/>
      <c r="F315" s="183"/>
      <c r="G315" s="184"/>
      <c r="H315" s="184"/>
      <c r="I315" s="184"/>
      <c r="J315" s="184"/>
      <c r="K315" s="185"/>
      <c r="L315" s="222" t="s">
        <v>43</v>
      </c>
      <c r="M315" s="174">
        <f>SUMIF(Q313:Q314,"B",M313:M314)</f>
        <v>8184.24</v>
      </c>
      <c r="N315" s="62" t="s">
        <v>43</v>
      </c>
      <c r="O315" s="174"/>
      <c r="P315" s="186"/>
      <c r="Q315" s="60"/>
      <c r="R315" s="68"/>
      <c r="S315" s="133"/>
      <c r="T315" s="133"/>
      <c r="U315" s="70"/>
      <c r="V315" s="70"/>
      <c r="W315" s="18"/>
      <c r="X315" s="18"/>
      <c r="Y315" s="18"/>
      <c r="Z315" s="18"/>
      <c r="AA315" s="18"/>
      <c r="AB315" s="30"/>
      <c r="AC315" s="128"/>
      <c r="AD315" s="128"/>
      <c r="AE315" s="128"/>
      <c r="AF315" s="128"/>
      <c r="AG315" s="128"/>
      <c r="AH315" s="236"/>
      <c r="AI315" s="237"/>
      <c r="AJ315" s="128"/>
      <c r="AK315" s="128"/>
      <c r="AL315" s="162"/>
      <c r="AM315" s="127"/>
      <c r="AN315" s="128"/>
      <c r="AO315" s="128"/>
      <c r="AP315" s="128"/>
      <c r="AQ315" s="128"/>
      <c r="AR315" s="128"/>
      <c r="AS315" s="237"/>
    </row>
    <row r="316" spans="1:45" s="150" customFormat="1">
      <c r="A316" s="149" t="s">
        <v>388</v>
      </c>
      <c r="B316" s="18" t="s">
        <v>8</v>
      </c>
      <c r="C316" s="216">
        <v>1</v>
      </c>
      <c r="D316" s="91" t="s">
        <v>2</v>
      </c>
      <c r="E316" s="213">
        <v>2000</v>
      </c>
      <c r="F316" s="217">
        <f t="shared" ref="F316:F333" si="340">E316*C316</f>
        <v>2000</v>
      </c>
      <c r="G316" s="164">
        <v>40</v>
      </c>
      <c r="H316" s="164">
        <v>40</v>
      </c>
      <c r="I316" s="164">
        <v>40</v>
      </c>
      <c r="J316" s="164">
        <v>8</v>
      </c>
      <c r="K316" s="165">
        <v>16</v>
      </c>
      <c r="L316" s="91" t="s">
        <v>7</v>
      </c>
      <c r="M316" s="213">
        <f t="shared" ref="M316:M333" si="341">IF(R316="PD",((Shop*G316)+(M_Tech*H316)+(CMM*I316)+(ENG*J316)+(DES*K316))*N316,((Shop_RD*G316)+(MTECH_RD*H316)+(CMM_RD*I316)+(ENG_RD*J316)+(DES_RD*K316))*N316)</f>
        <v>8845.2000000000007</v>
      </c>
      <c r="N316" s="42">
        <v>1</v>
      </c>
      <c r="O316" s="214">
        <f t="shared" ref="O316:O333" si="342">M316+(F316*N316)</f>
        <v>10845.2</v>
      </c>
      <c r="P316" s="214"/>
      <c r="Q316" s="46" t="s">
        <v>31</v>
      </c>
      <c r="R316" s="66" t="s">
        <v>49</v>
      </c>
      <c r="S316" s="133" t="str">
        <f t="shared" ref="S316:S333" si="343">CONCATENATE(Q316,R316,AB316)</f>
        <v>BPD2013</v>
      </c>
      <c r="T316" s="133" t="str">
        <f t="shared" ref="T316:T333" si="344">CONCATENATE(Q316,U316,AB316)</f>
        <v>B1.2.2.62013</v>
      </c>
      <c r="U316" s="133" t="s">
        <v>212</v>
      </c>
      <c r="V316" s="215" t="str">
        <f t="shared" ref="V316:V335" si="345">LOOKUP(U316,$B$345:$B$367,$A$345:$A$367)</f>
        <v>PXL Sensor Ladder Production</v>
      </c>
      <c r="W316" s="42"/>
      <c r="X316" s="42"/>
      <c r="Y316" s="42"/>
      <c r="Z316" s="42"/>
      <c r="AA316" s="42"/>
      <c r="AB316" s="61">
        <v>2013</v>
      </c>
      <c r="AC316" s="128">
        <f t="shared" ref="AC316:AC333" si="346">IF($Q316="B", (G316*$N316),0)</f>
        <v>40</v>
      </c>
      <c r="AD316" s="128">
        <f t="shared" ref="AD316:AD333" si="347">IF($Q316="B", (H316*$N316),0)</f>
        <v>40</v>
      </c>
      <c r="AE316" s="128">
        <f t="shared" ref="AE316:AE333" si="348">IF($Q316="B", (I316*$N316),0)</f>
        <v>40</v>
      </c>
      <c r="AF316" s="128">
        <f t="shared" ref="AF316:AF333" si="349">IF($Q316="B", (J316*$N316),0)</f>
        <v>8</v>
      </c>
      <c r="AG316" s="128">
        <f t="shared" ref="AG316:AG333" si="350">IF($Q316="B", (K316*$N316),0)</f>
        <v>16</v>
      </c>
      <c r="AH316" s="236">
        <f t="shared" ref="AH316:AH333" si="351">IF($Q316="B", (F316*$N316),0)</f>
        <v>2000</v>
      </c>
      <c r="AI316" s="238"/>
      <c r="AJ316" s="244"/>
      <c r="AK316" s="244"/>
      <c r="AL316" s="162"/>
      <c r="AM316" s="127">
        <f t="shared" ref="AM316:AM333" si="352">IF($Q316="C", (G316*$N316),0)</f>
        <v>0</v>
      </c>
      <c r="AN316" s="128">
        <f t="shared" ref="AN316:AN333" si="353">IF($Q316="C", (H316*$N316),0)</f>
        <v>0</v>
      </c>
      <c r="AO316" s="128">
        <f t="shared" ref="AO316:AO333" si="354">IF($Q316="C", (I316*$N316),0)</f>
        <v>0</v>
      </c>
      <c r="AP316" s="128">
        <f t="shared" ref="AP316:AP333" si="355">IF($Q316="C", (J316*$N316),0)</f>
        <v>0</v>
      </c>
      <c r="AQ316" s="128">
        <f t="shared" ref="AQ316:AQ333" si="356">IF($Q316="C", (K316*$N316),0)</f>
        <v>0</v>
      </c>
      <c r="AR316" s="128">
        <f t="shared" ref="AR316:AR333" si="357">IF($Q316="C", (F316*$N316),0)</f>
        <v>0</v>
      </c>
      <c r="AS316" s="238"/>
    </row>
    <row r="317" spans="1:45" s="150" customFormat="1">
      <c r="A317" s="149" t="s">
        <v>390</v>
      </c>
      <c r="B317" s="18" t="s">
        <v>8</v>
      </c>
      <c r="C317" s="216">
        <v>1</v>
      </c>
      <c r="D317" s="91" t="s">
        <v>2</v>
      </c>
      <c r="E317" s="213">
        <v>1000</v>
      </c>
      <c r="F317" s="217">
        <f t="shared" si="340"/>
        <v>1000</v>
      </c>
      <c r="G317" s="218">
        <v>0</v>
      </c>
      <c r="H317" s="218">
        <v>32</v>
      </c>
      <c r="I317" s="218">
        <v>0</v>
      </c>
      <c r="J317" s="218">
        <v>8</v>
      </c>
      <c r="K317" s="219">
        <v>8</v>
      </c>
      <c r="L317" s="91" t="s">
        <v>7</v>
      </c>
      <c r="M317" s="213">
        <f t="shared" si="341"/>
        <v>4004.6400000000003</v>
      </c>
      <c r="N317" s="42">
        <v>1</v>
      </c>
      <c r="O317" s="214">
        <f t="shared" si="342"/>
        <v>5004.6400000000003</v>
      </c>
      <c r="P317" s="214"/>
      <c r="Q317" s="46" t="s">
        <v>31</v>
      </c>
      <c r="R317" s="66" t="s">
        <v>49</v>
      </c>
      <c r="S317" s="133" t="str">
        <f t="shared" si="343"/>
        <v>BPD2013</v>
      </c>
      <c r="T317" s="133" t="str">
        <f t="shared" si="344"/>
        <v>B1.2.2.62013</v>
      </c>
      <c r="U317" s="133" t="s">
        <v>212</v>
      </c>
      <c r="V317" s="215" t="str">
        <f t="shared" si="345"/>
        <v>PXL Sensor Ladder Production</v>
      </c>
      <c r="W317" s="42"/>
      <c r="X317" s="42"/>
      <c r="Y317" s="42"/>
      <c r="Z317" s="42"/>
      <c r="AA317" s="42"/>
      <c r="AB317" s="61">
        <v>2013</v>
      </c>
      <c r="AC317" s="128">
        <f t="shared" si="346"/>
        <v>0</v>
      </c>
      <c r="AD317" s="128">
        <f t="shared" si="347"/>
        <v>32</v>
      </c>
      <c r="AE317" s="128">
        <f t="shared" si="348"/>
        <v>0</v>
      </c>
      <c r="AF317" s="128">
        <f t="shared" si="349"/>
        <v>8</v>
      </c>
      <c r="AG317" s="128">
        <f t="shared" si="350"/>
        <v>8</v>
      </c>
      <c r="AH317" s="236">
        <f t="shared" si="351"/>
        <v>1000</v>
      </c>
      <c r="AI317" s="238"/>
      <c r="AJ317" s="244"/>
      <c r="AK317" s="244"/>
      <c r="AL317" s="162"/>
      <c r="AM317" s="127">
        <f t="shared" si="352"/>
        <v>0</v>
      </c>
      <c r="AN317" s="128">
        <f t="shared" si="353"/>
        <v>0</v>
      </c>
      <c r="AO317" s="128">
        <f t="shared" si="354"/>
        <v>0</v>
      </c>
      <c r="AP317" s="128">
        <f t="shared" si="355"/>
        <v>0</v>
      </c>
      <c r="AQ317" s="128">
        <f t="shared" si="356"/>
        <v>0</v>
      </c>
      <c r="AR317" s="128">
        <f t="shared" si="357"/>
        <v>0</v>
      </c>
      <c r="AS317" s="238"/>
    </row>
    <row r="318" spans="1:45" s="150" customFormat="1">
      <c r="A318" s="149" t="s">
        <v>409</v>
      </c>
      <c r="B318" s="18" t="s">
        <v>8</v>
      </c>
      <c r="C318" s="216">
        <v>1</v>
      </c>
      <c r="D318" s="91" t="s">
        <v>2</v>
      </c>
      <c r="E318" s="213">
        <v>10</v>
      </c>
      <c r="F318" s="217">
        <f>E318*C318</f>
        <v>10</v>
      </c>
      <c r="G318" s="164">
        <v>0</v>
      </c>
      <c r="H318" s="164">
        <v>3</v>
      </c>
      <c r="I318" s="164">
        <v>0.1</v>
      </c>
      <c r="J318" s="164">
        <v>0.1</v>
      </c>
      <c r="K318" s="165">
        <v>0.1</v>
      </c>
      <c r="L318" s="91" t="s">
        <v>7</v>
      </c>
      <c r="M318" s="213">
        <f>IF(R318="PD",((Shop*G318)+(M_Tech*H318)+(CMM*I318)+(ENG*J318)+(DES*K318))*N318,((Shop_RD*G318)+(MTECH_RD*H318)+(CMM_RD*I318)+(ENG_RD*J318)+(DES_RD*K318))*N318)</f>
        <v>41504.400000000009</v>
      </c>
      <c r="N318" s="42">
        <v>140</v>
      </c>
      <c r="O318" s="214">
        <f>M318+(F318*N318)</f>
        <v>42904.400000000009</v>
      </c>
      <c r="P318" s="214"/>
      <c r="Q318" s="46" t="s">
        <v>31</v>
      </c>
      <c r="R318" s="66" t="s">
        <v>49</v>
      </c>
      <c r="S318" s="133" t="str">
        <f>CONCATENATE(Q318,R318,AB318)</f>
        <v>BPD2013</v>
      </c>
      <c r="T318" s="133" t="str">
        <f>CONCATENATE(Q318,U318,AB318)</f>
        <v>B1.2.2.62013</v>
      </c>
      <c r="U318" s="133" t="s">
        <v>212</v>
      </c>
      <c r="V318" s="215" t="str">
        <f t="shared" si="345"/>
        <v>PXL Sensor Ladder Production</v>
      </c>
      <c r="W318" s="42"/>
      <c r="X318" s="42"/>
      <c r="Y318" s="42"/>
      <c r="Z318" s="42"/>
      <c r="AA318" s="42"/>
      <c r="AB318" s="61">
        <v>2013</v>
      </c>
      <c r="AC318" s="128">
        <f>IF($Q318="B", (G318*$N318),0)</f>
        <v>0</v>
      </c>
      <c r="AD318" s="128">
        <f>IF($Q318="B", (H318*$N318),0)</f>
        <v>420</v>
      </c>
      <c r="AE318" s="128">
        <f>IF($Q318="B", (I318*$N318),0)</f>
        <v>14</v>
      </c>
      <c r="AF318" s="128">
        <f>IF($Q318="B", (J318*$N318),0)</f>
        <v>14</v>
      </c>
      <c r="AG318" s="128">
        <f>IF($Q318="B", (K318*$N318),0)</f>
        <v>14</v>
      </c>
      <c r="AH318" s="236">
        <f>IF($Q318="B", (F318*$N318),0)</f>
        <v>1400</v>
      </c>
      <c r="AI318" s="238"/>
      <c r="AJ318" s="244"/>
      <c r="AK318" s="244"/>
      <c r="AL318" s="162"/>
      <c r="AM318" s="127">
        <f>IF($Q318="C", (G318*$N318),0)</f>
        <v>0</v>
      </c>
      <c r="AN318" s="128">
        <f>IF($Q318="C", (H318*$N318),0)</f>
        <v>0</v>
      </c>
      <c r="AO318" s="128">
        <f>IF($Q318="C", (I318*$N318),0)</f>
        <v>0</v>
      </c>
      <c r="AP318" s="128">
        <f>IF($Q318="C", (J318*$N318),0)</f>
        <v>0</v>
      </c>
      <c r="AQ318" s="128">
        <f>IF($Q318="C", (K318*$N318),0)</f>
        <v>0</v>
      </c>
      <c r="AR318" s="128">
        <f>IF($Q318="C", (F318*$N318),0)</f>
        <v>0</v>
      </c>
      <c r="AS318" s="238"/>
    </row>
    <row r="319" spans="1:45" s="150" customFormat="1">
      <c r="A319" s="149" t="s">
        <v>410</v>
      </c>
      <c r="B319" s="18" t="s">
        <v>8</v>
      </c>
      <c r="C319" s="216">
        <v>1</v>
      </c>
      <c r="D319" s="91" t="s">
        <v>2</v>
      </c>
      <c r="E319" s="213">
        <v>10</v>
      </c>
      <c r="F319" s="217">
        <f t="shared" si="340"/>
        <v>10</v>
      </c>
      <c r="G319" s="164">
        <v>0</v>
      </c>
      <c r="H319" s="164">
        <v>3</v>
      </c>
      <c r="I319" s="164">
        <v>0.1</v>
      </c>
      <c r="J319" s="164">
        <v>0.1</v>
      </c>
      <c r="K319" s="165">
        <v>0.1</v>
      </c>
      <c r="L319" s="91" t="s">
        <v>7</v>
      </c>
      <c r="M319" s="213">
        <f t="shared" si="341"/>
        <v>5929.2000000000007</v>
      </c>
      <c r="N319" s="42">
        <v>20</v>
      </c>
      <c r="O319" s="214">
        <f t="shared" si="342"/>
        <v>6129.2000000000007</v>
      </c>
      <c r="P319" s="214"/>
      <c r="Q319" s="46" t="s">
        <v>31</v>
      </c>
      <c r="R319" s="66" t="s">
        <v>49</v>
      </c>
      <c r="S319" s="133" t="str">
        <f t="shared" si="343"/>
        <v>BPD2014</v>
      </c>
      <c r="T319" s="133" t="str">
        <f t="shared" si="344"/>
        <v>B1.2.2.62014</v>
      </c>
      <c r="U319" s="133" t="s">
        <v>212</v>
      </c>
      <c r="V319" s="215" t="str">
        <f t="shared" si="345"/>
        <v>PXL Sensor Ladder Production</v>
      </c>
      <c r="W319" s="42"/>
      <c r="X319" s="42"/>
      <c r="Y319" s="42"/>
      <c r="Z319" s="42"/>
      <c r="AA319" s="42"/>
      <c r="AB319" s="61">
        <v>2014</v>
      </c>
      <c r="AC319" s="128">
        <f t="shared" si="346"/>
        <v>0</v>
      </c>
      <c r="AD319" s="128">
        <f t="shared" si="347"/>
        <v>60</v>
      </c>
      <c r="AE319" s="128">
        <f t="shared" si="348"/>
        <v>2</v>
      </c>
      <c r="AF319" s="128">
        <f t="shared" si="349"/>
        <v>2</v>
      </c>
      <c r="AG319" s="128">
        <f t="shared" si="350"/>
        <v>2</v>
      </c>
      <c r="AH319" s="236">
        <f t="shared" si="351"/>
        <v>200</v>
      </c>
      <c r="AI319" s="238"/>
      <c r="AJ319" s="244"/>
      <c r="AK319" s="244"/>
      <c r="AL319" s="162"/>
      <c r="AM319" s="127">
        <f t="shared" si="352"/>
        <v>0</v>
      </c>
      <c r="AN319" s="128">
        <f t="shared" si="353"/>
        <v>0</v>
      </c>
      <c r="AO319" s="128">
        <f t="shared" si="354"/>
        <v>0</v>
      </c>
      <c r="AP319" s="128">
        <f t="shared" si="355"/>
        <v>0</v>
      </c>
      <c r="AQ319" s="128">
        <f t="shared" si="356"/>
        <v>0</v>
      </c>
      <c r="AR319" s="128">
        <f t="shared" si="357"/>
        <v>0</v>
      </c>
      <c r="AS319" s="238"/>
    </row>
    <row r="320" spans="1:45" s="150" customFormat="1">
      <c r="A320" s="149" t="s">
        <v>411</v>
      </c>
      <c r="B320" s="18" t="s">
        <v>8</v>
      </c>
      <c r="C320" s="216">
        <v>1</v>
      </c>
      <c r="D320" s="91" t="s">
        <v>2</v>
      </c>
      <c r="E320" s="213">
        <v>0</v>
      </c>
      <c r="F320" s="217">
        <f>E320*C320</f>
        <v>0</v>
      </c>
      <c r="G320" s="164">
        <v>0</v>
      </c>
      <c r="H320" s="164">
        <v>1</v>
      </c>
      <c r="I320" s="164">
        <v>8</v>
      </c>
      <c r="J320" s="164">
        <v>0.5</v>
      </c>
      <c r="K320" s="165">
        <v>8</v>
      </c>
      <c r="L320" s="91" t="s">
        <v>7</v>
      </c>
      <c r="M320" s="213">
        <f>IF(R320="PD",((Shop*G320)+(M_Tech*H320)+(CMM*I320)+(ENG*J320)+(DES*K320))*N320,((Shop_RD*G320)+(MTECH_RD*H320)+(CMM_RD*I320)+(ENG_RD*J320)+(DES_RD*K320))*N320)</f>
        <v>21772.800000000003</v>
      </c>
      <c r="N320" s="42">
        <v>140</v>
      </c>
      <c r="O320" s="214">
        <f>M320+(F320*N320)</f>
        <v>21772.800000000003</v>
      </c>
      <c r="P320" s="214"/>
      <c r="Q320" s="46" t="s">
        <v>31</v>
      </c>
      <c r="R320" s="66" t="s">
        <v>49</v>
      </c>
      <c r="S320" s="133" t="str">
        <f>CONCATENATE(Q320,R320,AB320)</f>
        <v>BPD2013</v>
      </c>
      <c r="T320" s="133" t="str">
        <f>CONCATENATE(Q320,U320,AB320)</f>
        <v>B1.2.2.62013</v>
      </c>
      <c r="U320" s="133" t="s">
        <v>212</v>
      </c>
      <c r="V320" s="215" t="str">
        <f t="shared" si="345"/>
        <v>PXL Sensor Ladder Production</v>
      </c>
      <c r="W320" s="42"/>
      <c r="X320" s="42"/>
      <c r="Y320" s="42"/>
      <c r="Z320" s="42"/>
      <c r="AA320" s="42"/>
      <c r="AB320" s="61">
        <v>2013</v>
      </c>
      <c r="AC320" s="128">
        <f>IF($Q320="B", (G320*$N320),0)</f>
        <v>0</v>
      </c>
      <c r="AD320" s="128">
        <f>IF($Q320="B", (H320*$N320),0)</f>
        <v>140</v>
      </c>
      <c r="AE320" s="128">
        <f>IF($Q320="B", (I320*$N320),0)</f>
        <v>1120</v>
      </c>
      <c r="AF320" s="128">
        <f>IF($Q320="B", (J320*$N320),0)</f>
        <v>70</v>
      </c>
      <c r="AG320" s="128">
        <f>IF($Q320="B", (K320*$N320),0)</f>
        <v>1120</v>
      </c>
      <c r="AH320" s="236">
        <f>IF($Q320="B", (F320*$N320),0)</f>
        <v>0</v>
      </c>
      <c r="AI320" s="238"/>
      <c r="AJ320" s="244"/>
      <c r="AK320" s="244"/>
      <c r="AL320" s="162"/>
      <c r="AM320" s="127">
        <f>IF($Q320="C", (G320*$N320),0)</f>
        <v>0</v>
      </c>
      <c r="AN320" s="128">
        <f>IF($Q320="C", (H320*$N320),0)</f>
        <v>0</v>
      </c>
      <c r="AO320" s="128">
        <f>IF($Q320="C", (I320*$N320),0)</f>
        <v>0</v>
      </c>
      <c r="AP320" s="128">
        <f>IF($Q320="C", (J320*$N320),0)</f>
        <v>0</v>
      </c>
      <c r="AQ320" s="128">
        <f>IF($Q320="C", (K320*$N320),0)</f>
        <v>0</v>
      </c>
      <c r="AR320" s="128">
        <f>IF($Q320="C", (F320*$N320),0)</f>
        <v>0</v>
      </c>
      <c r="AS320" s="238"/>
    </row>
    <row r="321" spans="1:45" s="150" customFormat="1">
      <c r="A321" s="149" t="s">
        <v>412</v>
      </c>
      <c r="B321" s="18" t="s">
        <v>8</v>
      </c>
      <c r="C321" s="216">
        <v>1</v>
      </c>
      <c r="D321" s="91" t="s">
        <v>2</v>
      </c>
      <c r="E321" s="213">
        <v>0</v>
      </c>
      <c r="F321" s="217">
        <f t="shared" si="340"/>
        <v>0</v>
      </c>
      <c r="G321" s="164">
        <v>0</v>
      </c>
      <c r="H321" s="164">
        <v>1</v>
      </c>
      <c r="I321" s="164">
        <v>8</v>
      </c>
      <c r="J321" s="164">
        <v>0.5</v>
      </c>
      <c r="K321" s="165">
        <v>8</v>
      </c>
      <c r="L321" s="91" t="s">
        <v>7</v>
      </c>
      <c r="M321" s="213">
        <f t="shared" si="341"/>
        <v>3110.4</v>
      </c>
      <c r="N321" s="42">
        <v>20</v>
      </c>
      <c r="O321" s="214">
        <f t="shared" si="342"/>
        <v>3110.4</v>
      </c>
      <c r="P321" s="214"/>
      <c r="Q321" s="46" t="s">
        <v>31</v>
      </c>
      <c r="R321" s="66" t="s">
        <v>49</v>
      </c>
      <c r="S321" s="133" t="str">
        <f t="shared" si="343"/>
        <v>BPD2014</v>
      </c>
      <c r="T321" s="133" t="str">
        <f t="shared" si="344"/>
        <v>B1.2.2.62014</v>
      </c>
      <c r="U321" s="133" t="s">
        <v>212</v>
      </c>
      <c r="V321" s="215" t="str">
        <f t="shared" si="345"/>
        <v>PXL Sensor Ladder Production</v>
      </c>
      <c r="W321" s="42"/>
      <c r="X321" s="42"/>
      <c r="Y321" s="42"/>
      <c r="Z321" s="42"/>
      <c r="AA321" s="42"/>
      <c r="AB321" s="61">
        <v>2014</v>
      </c>
      <c r="AC321" s="128">
        <f t="shared" si="346"/>
        <v>0</v>
      </c>
      <c r="AD321" s="128">
        <f t="shared" si="347"/>
        <v>20</v>
      </c>
      <c r="AE321" s="128">
        <f t="shared" si="348"/>
        <v>160</v>
      </c>
      <c r="AF321" s="128">
        <f t="shared" si="349"/>
        <v>10</v>
      </c>
      <c r="AG321" s="128">
        <f t="shared" si="350"/>
        <v>160</v>
      </c>
      <c r="AH321" s="236">
        <f t="shared" si="351"/>
        <v>0</v>
      </c>
      <c r="AI321" s="238"/>
      <c r="AJ321" s="244"/>
      <c r="AK321" s="244"/>
      <c r="AL321" s="162"/>
      <c r="AM321" s="127">
        <f t="shared" si="352"/>
        <v>0</v>
      </c>
      <c r="AN321" s="128">
        <f t="shared" si="353"/>
        <v>0</v>
      </c>
      <c r="AO321" s="128">
        <f t="shared" si="354"/>
        <v>0</v>
      </c>
      <c r="AP321" s="128">
        <f t="shared" si="355"/>
        <v>0</v>
      </c>
      <c r="AQ321" s="128">
        <f t="shared" si="356"/>
        <v>0</v>
      </c>
      <c r="AR321" s="128">
        <f t="shared" si="357"/>
        <v>0</v>
      </c>
      <c r="AS321" s="238"/>
    </row>
    <row r="322" spans="1:45" s="150" customFormat="1">
      <c r="A322" s="149" t="s">
        <v>413</v>
      </c>
      <c r="B322" s="18" t="s">
        <v>8</v>
      </c>
      <c r="C322" s="216">
        <v>1</v>
      </c>
      <c r="D322" s="91" t="s">
        <v>2</v>
      </c>
      <c r="E322" s="213">
        <v>0</v>
      </c>
      <c r="F322" s="217">
        <f>E322*C322</f>
        <v>0</v>
      </c>
      <c r="G322" s="164">
        <v>0</v>
      </c>
      <c r="H322" s="164">
        <v>6</v>
      </c>
      <c r="I322" s="164">
        <v>0</v>
      </c>
      <c r="J322" s="164">
        <v>0</v>
      </c>
      <c r="K322" s="165">
        <v>0.5</v>
      </c>
      <c r="L322" s="91" t="s">
        <v>7</v>
      </c>
      <c r="M322" s="213">
        <f>IF(R322="PD",((Shop*G322)+(M_Tech*H322)+(CMM*I322)+(ENG*J322)+(DES*K322))*N322,((Shop_RD*G322)+(MTECH_RD*H322)+(CMM_RD*I322)+(ENG_RD*J322)+(DES_RD*K322))*N322)</f>
        <v>79606.800000000017</v>
      </c>
      <c r="N322" s="42">
        <v>140</v>
      </c>
      <c r="O322" s="214">
        <f>M322+(F322*N322)</f>
        <v>79606.800000000017</v>
      </c>
      <c r="P322" s="214"/>
      <c r="Q322" s="46" t="s">
        <v>31</v>
      </c>
      <c r="R322" s="66" t="s">
        <v>49</v>
      </c>
      <c r="S322" s="133" t="str">
        <f>CONCATENATE(Q322,R322,AB322)</f>
        <v>BPD2013</v>
      </c>
      <c r="T322" s="133" t="str">
        <f>CONCATENATE(Q322,U322,AB322)</f>
        <v>B1.2.2.62013</v>
      </c>
      <c r="U322" s="133" t="s">
        <v>212</v>
      </c>
      <c r="V322" s="215" t="str">
        <f t="shared" si="345"/>
        <v>PXL Sensor Ladder Production</v>
      </c>
      <c r="W322" s="42"/>
      <c r="X322" s="42"/>
      <c r="Y322" s="42"/>
      <c r="Z322" s="42"/>
      <c r="AA322" s="42"/>
      <c r="AB322" s="61">
        <v>2013</v>
      </c>
      <c r="AC322" s="128">
        <f>IF($Q322="B", (G322*$N322),0)</f>
        <v>0</v>
      </c>
      <c r="AD322" s="128">
        <f>IF($Q322="B", (H322*$N322),0)</f>
        <v>840</v>
      </c>
      <c r="AE322" s="128">
        <f>IF($Q322="B", (I322*$N322),0)</f>
        <v>0</v>
      </c>
      <c r="AF322" s="128">
        <f>IF($Q322="B", (J322*$N322),0)</f>
        <v>0</v>
      </c>
      <c r="AG322" s="128">
        <f>IF($Q322="B", (K322*$N322),0)</f>
        <v>70</v>
      </c>
      <c r="AH322" s="236">
        <f>IF($Q322="B", (F322*$N322),0)</f>
        <v>0</v>
      </c>
      <c r="AI322" s="238"/>
      <c r="AJ322" s="244"/>
      <c r="AK322" s="244"/>
      <c r="AL322" s="162"/>
      <c r="AM322" s="127">
        <f>IF($Q322="C", (G322*$N322),0)</f>
        <v>0</v>
      </c>
      <c r="AN322" s="128">
        <f>IF($Q322="C", (H322*$N322),0)</f>
        <v>0</v>
      </c>
      <c r="AO322" s="128">
        <f>IF($Q322="C", (I322*$N322),0)</f>
        <v>0</v>
      </c>
      <c r="AP322" s="128">
        <f>IF($Q322="C", (J322*$N322),0)</f>
        <v>0</v>
      </c>
      <c r="AQ322" s="128">
        <f>IF($Q322="C", (K322*$N322),0)</f>
        <v>0</v>
      </c>
      <c r="AR322" s="128">
        <f>IF($Q322="C", (F322*$N322),0)</f>
        <v>0</v>
      </c>
      <c r="AS322" s="238"/>
    </row>
    <row r="323" spans="1:45" s="150" customFormat="1">
      <c r="A323" s="149" t="s">
        <v>414</v>
      </c>
      <c r="B323" s="18" t="s">
        <v>8</v>
      </c>
      <c r="C323" s="216">
        <v>1</v>
      </c>
      <c r="D323" s="91" t="s">
        <v>2</v>
      </c>
      <c r="E323" s="213">
        <v>0</v>
      </c>
      <c r="F323" s="217">
        <f t="shared" si="340"/>
        <v>0</v>
      </c>
      <c r="G323" s="164">
        <v>0</v>
      </c>
      <c r="H323" s="164">
        <v>6</v>
      </c>
      <c r="I323" s="164">
        <v>0</v>
      </c>
      <c r="J323" s="164">
        <v>0</v>
      </c>
      <c r="K323" s="165">
        <v>0.5</v>
      </c>
      <c r="L323" s="91" t="s">
        <v>7</v>
      </c>
      <c r="M323" s="213">
        <f t="shared" si="341"/>
        <v>11372.400000000001</v>
      </c>
      <c r="N323" s="42">
        <v>20</v>
      </c>
      <c r="O323" s="214">
        <f t="shared" si="342"/>
        <v>11372.400000000001</v>
      </c>
      <c r="P323" s="214"/>
      <c r="Q323" s="46" t="s">
        <v>31</v>
      </c>
      <c r="R323" s="66" t="s">
        <v>49</v>
      </c>
      <c r="S323" s="133" t="str">
        <f t="shared" si="343"/>
        <v>BPD2014</v>
      </c>
      <c r="T323" s="133" t="str">
        <f t="shared" si="344"/>
        <v>B1.2.2.62014</v>
      </c>
      <c r="U323" s="133" t="s">
        <v>212</v>
      </c>
      <c r="V323" s="215" t="str">
        <f t="shared" si="345"/>
        <v>PXL Sensor Ladder Production</v>
      </c>
      <c r="W323" s="42"/>
      <c r="X323" s="42"/>
      <c r="Y323" s="42"/>
      <c r="Z323" s="42"/>
      <c r="AA323" s="42"/>
      <c r="AB323" s="61">
        <v>2014</v>
      </c>
      <c r="AC323" s="128">
        <f t="shared" si="346"/>
        <v>0</v>
      </c>
      <c r="AD323" s="128">
        <f t="shared" si="347"/>
        <v>120</v>
      </c>
      <c r="AE323" s="128">
        <f t="shared" si="348"/>
        <v>0</v>
      </c>
      <c r="AF323" s="128">
        <f t="shared" si="349"/>
        <v>0</v>
      </c>
      <c r="AG323" s="128">
        <f t="shared" si="350"/>
        <v>10</v>
      </c>
      <c r="AH323" s="236">
        <f t="shared" si="351"/>
        <v>0</v>
      </c>
      <c r="AI323" s="238"/>
      <c r="AJ323" s="244"/>
      <c r="AK323" s="244"/>
      <c r="AL323" s="162"/>
      <c r="AM323" s="127">
        <f t="shared" si="352"/>
        <v>0</v>
      </c>
      <c r="AN323" s="128">
        <f t="shared" si="353"/>
        <v>0</v>
      </c>
      <c r="AO323" s="128">
        <f t="shared" si="354"/>
        <v>0</v>
      </c>
      <c r="AP323" s="128">
        <f t="shared" si="355"/>
        <v>0</v>
      </c>
      <c r="AQ323" s="128">
        <f t="shared" si="356"/>
        <v>0</v>
      </c>
      <c r="AR323" s="128">
        <f t="shared" si="357"/>
        <v>0</v>
      </c>
      <c r="AS323" s="238"/>
    </row>
    <row r="324" spans="1:45" s="406" customFormat="1">
      <c r="A324" s="388" t="s">
        <v>403</v>
      </c>
      <c r="B324" s="389" t="s">
        <v>8</v>
      </c>
      <c r="C324" s="390">
        <v>140</v>
      </c>
      <c r="D324" s="391" t="s">
        <v>2</v>
      </c>
      <c r="E324" s="392">
        <v>1500</v>
      </c>
      <c r="F324" s="393">
        <f>E324*C324</f>
        <v>210000</v>
      </c>
      <c r="G324" s="394">
        <v>0</v>
      </c>
      <c r="H324" s="394">
        <v>16</v>
      </c>
      <c r="I324" s="394">
        <v>40</v>
      </c>
      <c r="J324" s="394">
        <v>4</v>
      </c>
      <c r="K324" s="334">
        <v>40</v>
      </c>
      <c r="L324" s="391" t="s">
        <v>7</v>
      </c>
      <c r="M324" s="395">
        <f>IF(R324="PD",((Shop*G324)+(M_Tech*H324)+(CMM*I324)+(ENG*J324)+(DES*K324))*N324,((Shop_RD*G324)+(MTECH_RD*H324)+(CMM_RD*I324)+(ENG_RD*J324)+(DES_RD*K324))*N324)</f>
        <v>2002.3200000000002</v>
      </c>
      <c r="N324" s="396">
        <v>1</v>
      </c>
      <c r="O324" s="397">
        <f>M324+(F324*N324)</f>
        <v>212002.32</v>
      </c>
      <c r="P324" s="398"/>
      <c r="Q324" s="399" t="s">
        <v>31</v>
      </c>
      <c r="R324" s="229" t="s">
        <v>49</v>
      </c>
      <c r="S324" s="333" t="str">
        <f>CONCATENATE(Q324,R324,AB324)</f>
        <v>BPD2013</v>
      </c>
      <c r="T324" s="333" t="str">
        <f>CONCATENATE(Q324,U324,AB324)</f>
        <v>B1.2.2.62013</v>
      </c>
      <c r="U324" s="400" t="s">
        <v>212</v>
      </c>
      <c r="V324" s="400" t="str">
        <f t="shared" si="345"/>
        <v>PXL Sensor Ladder Production</v>
      </c>
      <c r="W324" s="388"/>
      <c r="X324" s="388"/>
      <c r="Y324" s="388"/>
      <c r="Z324" s="388"/>
      <c r="AA324" s="388"/>
      <c r="AB324" s="401">
        <v>2013</v>
      </c>
      <c r="AC324" s="304">
        <f t="shared" si="346"/>
        <v>0</v>
      </c>
      <c r="AD324" s="304">
        <f t="shared" si="347"/>
        <v>16</v>
      </c>
      <c r="AE324" s="304">
        <f t="shared" si="348"/>
        <v>40</v>
      </c>
      <c r="AF324" s="304">
        <f t="shared" si="349"/>
        <v>4</v>
      </c>
      <c r="AG324" s="304">
        <f t="shared" si="350"/>
        <v>40</v>
      </c>
      <c r="AH324" s="211">
        <f>IF($Q324="B", (F324*$N324),0)</f>
        <v>210000</v>
      </c>
      <c r="AI324" s="402"/>
      <c r="AJ324" s="403"/>
      <c r="AK324" s="403"/>
      <c r="AL324" s="404"/>
      <c r="AM324" s="405">
        <f t="shared" si="352"/>
        <v>0</v>
      </c>
      <c r="AN324" s="304">
        <f t="shared" si="353"/>
        <v>0</v>
      </c>
      <c r="AO324" s="304">
        <f t="shared" si="354"/>
        <v>0</v>
      </c>
      <c r="AP324" s="304">
        <f t="shared" si="355"/>
        <v>0</v>
      </c>
      <c r="AQ324" s="304">
        <f t="shared" si="356"/>
        <v>0</v>
      </c>
      <c r="AR324" s="304">
        <f>IF($Q324="C", (F324*$N324),0)</f>
        <v>0</v>
      </c>
      <c r="AS324" s="402"/>
    </row>
    <row r="325" spans="1:45" s="406" customFormat="1">
      <c r="A325" s="388" t="s">
        <v>406</v>
      </c>
      <c r="B325" s="389" t="s">
        <v>8</v>
      </c>
      <c r="C325" s="390">
        <v>20</v>
      </c>
      <c r="D325" s="391" t="s">
        <v>2</v>
      </c>
      <c r="E325" s="392">
        <v>1500</v>
      </c>
      <c r="F325" s="393">
        <f>E325*C325</f>
        <v>30000</v>
      </c>
      <c r="G325" s="394">
        <v>0</v>
      </c>
      <c r="H325" s="394">
        <v>16</v>
      </c>
      <c r="I325" s="394">
        <v>40</v>
      </c>
      <c r="J325" s="394">
        <v>4</v>
      </c>
      <c r="K325" s="334">
        <v>40</v>
      </c>
      <c r="L325" s="391" t="s">
        <v>7</v>
      </c>
      <c r="M325" s="395">
        <f>IF(R325="PD",((Shop*G325)+(M_Tech*H325)+(CMM*I325)+(ENG*J325)+(DES*K325))*N325,((Shop_RD*G325)+(MTECH_RD*H325)+(CMM_RD*I325)+(ENG_RD*J325)+(DES_RD*K325))*N325)</f>
        <v>2002.3200000000002</v>
      </c>
      <c r="N325" s="396">
        <v>1</v>
      </c>
      <c r="O325" s="397">
        <f>M325+(F325*N325)</f>
        <v>32002.32</v>
      </c>
      <c r="P325" s="398"/>
      <c r="Q325" s="399" t="s">
        <v>31</v>
      </c>
      <c r="R325" s="229" t="s">
        <v>49</v>
      </c>
      <c r="S325" s="333" t="str">
        <f>CONCATENATE(Q325,R325,AB325)</f>
        <v>BPD2014</v>
      </c>
      <c r="T325" s="333" t="str">
        <f>CONCATENATE(Q325,U325,AB325)</f>
        <v>B1.2.2.62014</v>
      </c>
      <c r="U325" s="400" t="s">
        <v>212</v>
      </c>
      <c r="V325" s="400" t="str">
        <f t="shared" si="345"/>
        <v>PXL Sensor Ladder Production</v>
      </c>
      <c r="W325" s="388"/>
      <c r="X325" s="388"/>
      <c r="Y325" s="388"/>
      <c r="Z325" s="388"/>
      <c r="AA325" s="388"/>
      <c r="AB325" s="401">
        <v>2014</v>
      </c>
      <c r="AC325" s="304">
        <f t="shared" ref="AC325:AG327" si="358">IF($Q325="B", (G325*$N325),0)</f>
        <v>0</v>
      </c>
      <c r="AD325" s="304">
        <f t="shared" si="358"/>
        <v>16</v>
      </c>
      <c r="AE325" s="304">
        <f t="shared" si="358"/>
        <v>40</v>
      </c>
      <c r="AF325" s="304">
        <f t="shared" si="358"/>
        <v>4</v>
      </c>
      <c r="AG325" s="304">
        <f t="shared" si="358"/>
        <v>40</v>
      </c>
      <c r="AH325" s="211">
        <f>IF($Q325="B", (F325*$N325),0)</f>
        <v>30000</v>
      </c>
      <c r="AI325" s="402"/>
      <c r="AJ325" s="403"/>
      <c r="AK325" s="403"/>
      <c r="AL325" s="404"/>
      <c r="AM325" s="405">
        <f t="shared" ref="AM325:AQ327" si="359">IF($Q325="C", (G325*$N325),0)</f>
        <v>0</v>
      </c>
      <c r="AN325" s="304">
        <f t="shared" si="359"/>
        <v>0</v>
      </c>
      <c r="AO325" s="304">
        <f t="shared" si="359"/>
        <v>0</v>
      </c>
      <c r="AP325" s="304">
        <f t="shared" si="359"/>
        <v>0</v>
      </c>
      <c r="AQ325" s="304">
        <f t="shared" si="359"/>
        <v>0</v>
      </c>
      <c r="AR325" s="304">
        <f>IF($Q325="C", (F325*$N325),0)</f>
        <v>0</v>
      </c>
      <c r="AS325" s="402"/>
    </row>
    <row r="326" spans="1:45" s="406" customFormat="1">
      <c r="A326" s="388" t="s">
        <v>359</v>
      </c>
      <c r="B326" s="389" t="s">
        <v>8</v>
      </c>
      <c r="C326" s="390">
        <v>40</v>
      </c>
      <c r="D326" s="391" t="s">
        <v>2</v>
      </c>
      <c r="E326" s="392">
        <v>1500</v>
      </c>
      <c r="F326" s="393">
        <f>E326*C326</f>
        <v>60000</v>
      </c>
      <c r="G326" s="394">
        <v>0</v>
      </c>
      <c r="H326" s="394">
        <v>16</v>
      </c>
      <c r="I326" s="394">
        <v>40</v>
      </c>
      <c r="J326" s="394">
        <v>4</v>
      </c>
      <c r="K326" s="334">
        <v>40</v>
      </c>
      <c r="L326" s="391" t="s">
        <v>7</v>
      </c>
      <c r="M326" s="395">
        <f>IF(R326="PD",((Shop*G326)+(M_Tech*H326)+(CMM*I326)+(ENG*J326)+(DES*K326))*N326,((Shop_RD*G326)+(MTECH_RD*H326)+(CMM_RD*I326)+(ENG_RD*J326)+(DES_RD*K326))*N326)</f>
        <v>2002.3200000000002</v>
      </c>
      <c r="N326" s="396">
        <v>1</v>
      </c>
      <c r="O326" s="397">
        <f>M326+(F326*N326)</f>
        <v>62002.32</v>
      </c>
      <c r="P326" s="398"/>
      <c r="Q326" s="399" t="s">
        <v>32</v>
      </c>
      <c r="R326" s="229" t="s">
        <v>49</v>
      </c>
      <c r="S326" s="333" t="str">
        <f>CONCATENATE(Q326,R326,AB326)</f>
        <v>CPD2014</v>
      </c>
      <c r="T326" s="333" t="str">
        <f>CONCATENATE(Q326,U326,AB326)</f>
        <v>C1.2.2.62014</v>
      </c>
      <c r="U326" s="400" t="s">
        <v>212</v>
      </c>
      <c r="V326" s="400" t="str">
        <f t="shared" si="345"/>
        <v>PXL Sensor Ladder Production</v>
      </c>
      <c r="W326" s="388"/>
      <c r="X326" s="388"/>
      <c r="Y326" s="388"/>
      <c r="Z326" s="388"/>
      <c r="AA326" s="388"/>
      <c r="AB326" s="401">
        <v>2014</v>
      </c>
      <c r="AC326" s="304">
        <f t="shared" si="358"/>
        <v>0</v>
      </c>
      <c r="AD326" s="304">
        <f t="shared" si="358"/>
        <v>0</v>
      </c>
      <c r="AE326" s="304">
        <f t="shared" si="358"/>
        <v>0</v>
      </c>
      <c r="AF326" s="304">
        <f t="shared" si="358"/>
        <v>0</v>
      </c>
      <c r="AG326" s="304">
        <f t="shared" si="358"/>
        <v>0</v>
      </c>
      <c r="AH326" s="211">
        <f>IF($Q326="B", (F326*$N326),0)</f>
        <v>0</v>
      </c>
      <c r="AI326" s="402"/>
      <c r="AJ326" s="403"/>
      <c r="AK326" s="403"/>
      <c r="AL326" s="404"/>
      <c r="AM326" s="405">
        <f t="shared" si="359"/>
        <v>0</v>
      </c>
      <c r="AN326" s="304">
        <f t="shared" si="359"/>
        <v>16</v>
      </c>
      <c r="AO326" s="304">
        <f t="shared" si="359"/>
        <v>40</v>
      </c>
      <c r="AP326" s="304">
        <f t="shared" si="359"/>
        <v>4</v>
      </c>
      <c r="AQ326" s="304">
        <f t="shared" si="359"/>
        <v>40</v>
      </c>
      <c r="AR326" s="304">
        <f>IF($Q326="C", (F326*$N326),0)</f>
        <v>60000</v>
      </c>
      <c r="AS326" s="402"/>
    </row>
    <row r="327" spans="1:45" s="150" customFormat="1">
      <c r="A327" s="149" t="s">
        <v>407</v>
      </c>
      <c r="B327" s="18" t="s">
        <v>8</v>
      </c>
      <c r="C327" s="216">
        <v>1</v>
      </c>
      <c r="D327" s="91" t="s">
        <v>2</v>
      </c>
      <c r="E327" s="213">
        <v>100</v>
      </c>
      <c r="F327" s="217">
        <f>E327*C327</f>
        <v>100</v>
      </c>
      <c r="G327" s="164">
        <v>0</v>
      </c>
      <c r="H327" s="164">
        <v>4</v>
      </c>
      <c r="I327" s="164">
        <v>0</v>
      </c>
      <c r="J327" s="164">
        <v>0</v>
      </c>
      <c r="K327" s="165">
        <v>0.5</v>
      </c>
      <c r="L327" s="91" t="s">
        <v>7</v>
      </c>
      <c r="M327" s="213">
        <f>IF(R327="PD",((Shop*G327)+(M_Tech*H327)+(CMM*I327)+(ENG*J327)+(DES*K327))*N327,((Shop_RD*G327)+(MTECH_RD*H327)+(CMM_RD*I327)+(ENG_RD*J327)+(DES_RD*K327))*N327)</f>
        <v>53071.200000000004</v>
      </c>
      <c r="N327" s="42">
        <v>140</v>
      </c>
      <c r="O327" s="214">
        <f>M327+(F327*N327)</f>
        <v>67071.200000000012</v>
      </c>
      <c r="P327" s="214"/>
      <c r="Q327" s="46" t="s">
        <v>31</v>
      </c>
      <c r="R327" s="66" t="s">
        <v>49</v>
      </c>
      <c r="S327" s="133" t="str">
        <f>CONCATENATE(Q327,R327,AB327)</f>
        <v>BPD2013</v>
      </c>
      <c r="T327" s="133" t="str">
        <f>CONCATENATE(Q327,U327,AB327)</f>
        <v>B1.2.2.62013</v>
      </c>
      <c r="U327" s="133" t="s">
        <v>212</v>
      </c>
      <c r="V327" s="215" t="str">
        <f t="shared" si="345"/>
        <v>PXL Sensor Ladder Production</v>
      </c>
      <c r="W327" s="42"/>
      <c r="X327" s="42"/>
      <c r="Y327" s="42"/>
      <c r="Z327" s="42"/>
      <c r="AA327" s="42"/>
      <c r="AB327" s="61">
        <v>2013</v>
      </c>
      <c r="AC327" s="128">
        <f t="shared" si="358"/>
        <v>0</v>
      </c>
      <c r="AD327" s="128">
        <f t="shared" si="358"/>
        <v>560</v>
      </c>
      <c r="AE327" s="128">
        <f t="shared" si="358"/>
        <v>0</v>
      </c>
      <c r="AF327" s="128">
        <f t="shared" si="358"/>
        <v>0</v>
      </c>
      <c r="AG327" s="128">
        <f t="shared" si="358"/>
        <v>70</v>
      </c>
      <c r="AH327" s="236">
        <f>IF($Q327="B", (F327*$N327),0)</f>
        <v>14000</v>
      </c>
      <c r="AI327" s="238"/>
      <c r="AJ327" s="244"/>
      <c r="AK327" s="244"/>
      <c r="AL327" s="162"/>
      <c r="AM327" s="127">
        <f t="shared" si="359"/>
        <v>0</v>
      </c>
      <c r="AN327" s="128">
        <f t="shared" si="359"/>
        <v>0</v>
      </c>
      <c r="AO327" s="128">
        <f t="shared" si="359"/>
        <v>0</v>
      </c>
      <c r="AP327" s="128">
        <f t="shared" si="359"/>
        <v>0</v>
      </c>
      <c r="AQ327" s="128">
        <f t="shared" si="359"/>
        <v>0</v>
      </c>
      <c r="AR327" s="128">
        <f>IF($Q327="C", (F327*$N327),0)</f>
        <v>0</v>
      </c>
      <c r="AS327" s="238"/>
    </row>
    <row r="328" spans="1:45" s="150" customFormat="1">
      <c r="A328" s="149" t="s">
        <v>408</v>
      </c>
      <c r="B328" s="18" t="s">
        <v>8</v>
      </c>
      <c r="C328" s="216">
        <v>1</v>
      </c>
      <c r="D328" s="91" t="s">
        <v>2</v>
      </c>
      <c r="E328" s="213">
        <v>100</v>
      </c>
      <c r="F328" s="217">
        <f t="shared" si="340"/>
        <v>100</v>
      </c>
      <c r="G328" s="164">
        <v>0</v>
      </c>
      <c r="H328" s="164">
        <v>4</v>
      </c>
      <c r="I328" s="164">
        <v>0</v>
      </c>
      <c r="J328" s="164">
        <v>0</v>
      </c>
      <c r="K328" s="165">
        <v>0.5</v>
      </c>
      <c r="L328" s="91" t="s">
        <v>7</v>
      </c>
      <c r="M328" s="213">
        <f t="shared" si="341"/>
        <v>7581.6</v>
      </c>
      <c r="N328" s="42">
        <v>20</v>
      </c>
      <c r="O328" s="214">
        <f t="shared" si="342"/>
        <v>9581.6</v>
      </c>
      <c r="P328" s="214"/>
      <c r="Q328" s="46" t="s">
        <v>31</v>
      </c>
      <c r="R328" s="66" t="s">
        <v>49</v>
      </c>
      <c r="S328" s="133" t="str">
        <f t="shared" si="343"/>
        <v>BPD2014</v>
      </c>
      <c r="T328" s="133" t="str">
        <f t="shared" si="344"/>
        <v>B1.2.2.62014</v>
      </c>
      <c r="U328" s="133" t="s">
        <v>212</v>
      </c>
      <c r="V328" s="215" t="str">
        <f t="shared" si="345"/>
        <v>PXL Sensor Ladder Production</v>
      </c>
      <c r="W328" s="42"/>
      <c r="X328" s="42"/>
      <c r="Y328" s="42"/>
      <c r="Z328" s="42"/>
      <c r="AA328" s="42"/>
      <c r="AB328" s="61">
        <v>2014</v>
      </c>
      <c r="AC328" s="128">
        <f t="shared" si="346"/>
        <v>0</v>
      </c>
      <c r="AD328" s="128">
        <f t="shared" si="347"/>
        <v>80</v>
      </c>
      <c r="AE328" s="128">
        <f t="shared" si="348"/>
        <v>0</v>
      </c>
      <c r="AF328" s="128">
        <f t="shared" si="349"/>
        <v>0</v>
      </c>
      <c r="AG328" s="128">
        <f t="shared" si="350"/>
        <v>10</v>
      </c>
      <c r="AH328" s="236">
        <f t="shared" si="351"/>
        <v>2000</v>
      </c>
      <c r="AI328" s="238"/>
      <c r="AJ328" s="244"/>
      <c r="AK328" s="244"/>
      <c r="AL328" s="162"/>
      <c r="AM328" s="127">
        <f t="shared" si="352"/>
        <v>0</v>
      </c>
      <c r="AN328" s="128">
        <f t="shared" si="353"/>
        <v>0</v>
      </c>
      <c r="AO328" s="128">
        <f t="shared" si="354"/>
        <v>0</v>
      </c>
      <c r="AP328" s="128">
        <f t="shared" si="355"/>
        <v>0</v>
      </c>
      <c r="AQ328" s="128">
        <f t="shared" si="356"/>
        <v>0</v>
      </c>
      <c r="AR328" s="128">
        <f t="shared" si="357"/>
        <v>0</v>
      </c>
      <c r="AS328" s="238"/>
    </row>
    <row r="329" spans="1:45" s="150" customFormat="1" hidden="1">
      <c r="A329" s="149" t="s">
        <v>392</v>
      </c>
      <c r="B329" s="18" t="s">
        <v>8</v>
      </c>
      <c r="C329" s="216">
        <v>1</v>
      </c>
      <c r="D329" s="91" t="s">
        <v>2</v>
      </c>
      <c r="E329" s="213">
        <v>10</v>
      </c>
      <c r="F329" s="217">
        <f t="shared" si="340"/>
        <v>10</v>
      </c>
      <c r="G329" s="164">
        <v>0</v>
      </c>
      <c r="H329" s="164">
        <v>3</v>
      </c>
      <c r="I329" s="164">
        <v>0.1</v>
      </c>
      <c r="J329" s="164">
        <v>0.1</v>
      </c>
      <c r="K329" s="165">
        <v>0.1</v>
      </c>
      <c r="L329" s="91" t="s">
        <v>7</v>
      </c>
      <c r="M329" s="213">
        <f t="shared" si="341"/>
        <v>0</v>
      </c>
      <c r="N329" s="42">
        <v>0</v>
      </c>
      <c r="O329" s="214">
        <f t="shared" si="342"/>
        <v>0</v>
      </c>
      <c r="P329" s="214"/>
      <c r="Q329" s="46" t="s">
        <v>31</v>
      </c>
      <c r="R329" s="66" t="s">
        <v>49</v>
      </c>
      <c r="S329" s="133" t="str">
        <f t="shared" si="343"/>
        <v>BPD2013</v>
      </c>
      <c r="T329" s="133" t="str">
        <f t="shared" si="344"/>
        <v>B1.2.2.62013</v>
      </c>
      <c r="U329" s="133" t="s">
        <v>212</v>
      </c>
      <c r="V329" s="215" t="str">
        <f t="shared" si="345"/>
        <v>PXL Sensor Ladder Production</v>
      </c>
      <c r="W329" s="42"/>
      <c r="X329" s="42"/>
      <c r="Y329" s="42"/>
      <c r="Z329" s="42"/>
      <c r="AA329" s="42"/>
      <c r="AB329" s="61">
        <v>2013</v>
      </c>
      <c r="AC329" s="128">
        <f t="shared" si="346"/>
        <v>0</v>
      </c>
      <c r="AD329" s="128">
        <f t="shared" si="347"/>
        <v>0</v>
      </c>
      <c r="AE329" s="128">
        <f t="shared" si="348"/>
        <v>0</v>
      </c>
      <c r="AF329" s="128">
        <f t="shared" si="349"/>
        <v>0</v>
      </c>
      <c r="AG329" s="128">
        <f t="shared" si="350"/>
        <v>0</v>
      </c>
      <c r="AH329" s="236">
        <f t="shared" si="351"/>
        <v>0</v>
      </c>
      <c r="AI329" s="238"/>
      <c r="AJ329" s="244"/>
      <c r="AK329" s="244"/>
      <c r="AL329" s="162"/>
      <c r="AM329" s="127">
        <f t="shared" si="352"/>
        <v>0</v>
      </c>
      <c r="AN329" s="128">
        <f t="shared" si="353"/>
        <v>0</v>
      </c>
      <c r="AO329" s="128">
        <f t="shared" si="354"/>
        <v>0</v>
      </c>
      <c r="AP329" s="128">
        <f t="shared" si="355"/>
        <v>0</v>
      </c>
      <c r="AQ329" s="128">
        <f t="shared" si="356"/>
        <v>0</v>
      </c>
      <c r="AR329" s="128">
        <f t="shared" si="357"/>
        <v>0</v>
      </c>
      <c r="AS329" s="238"/>
    </row>
    <row r="330" spans="1:45" s="150" customFormat="1" hidden="1">
      <c r="A330" s="149" t="s">
        <v>393</v>
      </c>
      <c r="B330" s="18" t="s">
        <v>8</v>
      </c>
      <c r="C330" s="216">
        <v>1</v>
      </c>
      <c r="D330" s="91" t="s">
        <v>2</v>
      </c>
      <c r="E330" s="213">
        <v>0</v>
      </c>
      <c r="F330" s="217">
        <f t="shared" si="340"/>
        <v>0</v>
      </c>
      <c r="G330" s="164">
        <v>0</v>
      </c>
      <c r="H330" s="164">
        <v>1</v>
      </c>
      <c r="I330" s="164">
        <v>8</v>
      </c>
      <c r="J330" s="164">
        <v>0.5</v>
      </c>
      <c r="K330" s="165">
        <v>8</v>
      </c>
      <c r="L330" s="91" t="s">
        <v>7</v>
      </c>
      <c r="M330" s="213">
        <f t="shared" si="341"/>
        <v>0</v>
      </c>
      <c r="N330" s="42">
        <v>0</v>
      </c>
      <c r="O330" s="214">
        <f t="shared" si="342"/>
        <v>0</v>
      </c>
      <c r="P330" s="214"/>
      <c r="Q330" s="46" t="s">
        <v>31</v>
      </c>
      <c r="R330" s="66" t="s">
        <v>49</v>
      </c>
      <c r="S330" s="133" t="str">
        <f t="shared" si="343"/>
        <v>BPD2013</v>
      </c>
      <c r="T330" s="133" t="str">
        <f t="shared" si="344"/>
        <v>B1.2.2.62013</v>
      </c>
      <c r="U330" s="133" t="s">
        <v>212</v>
      </c>
      <c r="V330" s="215" t="str">
        <f t="shared" si="345"/>
        <v>PXL Sensor Ladder Production</v>
      </c>
      <c r="W330" s="42"/>
      <c r="X330" s="42"/>
      <c r="Y330" s="42"/>
      <c r="Z330" s="42"/>
      <c r="AA330" s="42"/>
      <c r="AB330" s="61">
        <v>2013</v>
      </c>
      <c r="AC330" s="128">
        <f t="shared" si="346"/>
        <v>0</v>
      </c>
      <c r="AD330" s="128">
        <f t="shared" si="347"/>
        <v>0</v>
      </c>
      <c r="AE330" s="128">
        <f t="shared" si="348"/>
        <v>0</v>
      </c>
      <c r="AF330" s="128">
        <f t="shared" si="349"/>
        <v>0</v>
      </c>
      <c r="AG330" s="128">
        <f t="shared" si="350"/>
        <v>0</v>
      </c>
      <c r="AH330" s="236">
        <f t="shared" si="351"/>
        <v>0</v>
      </c>
      <c r="AI330" s="238"/>
      <c r="AJ330" s="244"/>
      <c r="AK330" s="244"/>
      <c r="AL330" s="162"/>
      <c r="AM330" s="127">
        <f t="shared" si="352"/>
        <v>0</v>
      </c>
      <c r="AN330" s="128">
        <f t="shared" si="353"/>
        <v>0</v>
      </c>
      <c r="AO330" s="128">
        <f t="shared" si="354"/>
        <v>0</v>
      </c>
      <c r="AP330" s="128">
        <f t="shared" si="355"/>
        <v>0</v>
      </c>
      <c r="AQ330" s="128">
        <f t="shared" si="356"/>
        <v>0</v>
      </c>
      <c r="AR330" s="128">
        <f t="shared" si="357"/>
        <v>0</v>
      </c>
      <c r="AS330" s="238"/>
    </row>
    <row r="331" spans="1:45" s="150" customFormat="1" hidden="1">
      <c r="A331" s="149" t="s">
        <v>394</v>
      </c>
      <c r="B331" s="18" t="s">
        <v>8</v>
      </c>
      <c r="C331" s="216">
        <v>1</v>
      </c>
      <c r="D331" s="91" t="s">
        <v>2</v>
      </c>
      <c r="E331" s="213">
        <v>0</v>
      </c>
      <c r="F331" s="217">
        <f t="shared" si="340"/>
        <v>0</v>
      </c>
      <c r="G331" s="164">
        <v>0</v>
      </c>
      <c r="H331" s="164">
        <v>6</v>
      </c>
      <c r="I331" s="164">
        <v>0</v>
      </c>
      <c r="J331" s="164">
        <v>0</v>
      </c>
      <c r="K331" s="165">
        <v>0.5</v>
      </c>
      <c r="L331" s="91" t="s">
        <v>7</v>
      </c>
      <c r="M331" s="213">
        <f t="shared" si="341"/>
        <v>0</v>
      </c>
      <c r="N331" s="42">
        <v>0</v>
      </c>
      <c r="O331" s="214">
        <f t="shared" si="342"/>
        <v>0</v>
      </c>
      <c r="P331" s="214"/>
      <c r="Q331" s="46" t="s">
        <v>31</v>
      </c>
      <c r="R331" s="66" t="s">
        <v>49</v>
      </c>
      <c r="S331" s="133" t="str">
        <f t="shared" si="343"/>
        <v>BPD2013</v>
      </c>
      <c r="T331" s="133" t="str">
        <f t="shared" si="344"/>
        <v>B1.2.2.62013</v>
      </c>
      <c r="U331" s="133" t="s">
        <v>212</v>
      </c>
      <c r="V331" s="215" t="str">
        <f t="shared" si="345"/>
        <v>PXL Sensor Ladder Production</v>
      </c>
      <c r="W331" s="42"/>
      <c r="X331" s="42"/>
      <c r="Y331" s="42"/>
      <c r="Z331" s="42"/>
      <c r="AA331" s="42"/>
      <c r="AB331" s="61">
        <v>2013</v>
      </c>
      <c r="AC331" s="128">
        <f t="shared" si="346"/>
        <v>0</v>
      </c>
      <c r="AD331" s="128">
        <f t="shared" si="347"/>
        <v>0</v>
      </c>
      <c r="AE331" s="128">
        <f t="shared" si="348"/>
        <v>0</v>
      </c>
      <c r="AF331" s="128">
        <f t="shared" si="349"/>
        <v>0</v>
      </c>
      <c r="AG331" s="128">
        <f t="shared" si="350"/>
        <v>0</v>
      </c>
      <c r="AH331" s="236">
        <f t="shared" si="351"/>
        <v>0</v>
      </c>
      <c r="AI331" s="238"/>
      <c r="AJ331" s="244"/>
      <c r="AK331" s="244"/>
      <c r="AL331" s="162"/>
      <c r="AM331" s="127">
        <f t="shared" si="352"/>
        <v>0</v>
      </c>
      <c r="AN331" s="128">
        <f t="shared" si="353"/>
        <v>0</v>
      </c>
      <c r="AO331" s="128">
        <f t="shared" si="354"/>
        <v>0</v>
      </c>
      <c r="AP331" s="128">
        <f t="shared" si="355"/>
        <v>0</v>
      </c>
      <c r="AQ331" s="128">
        <f t="shared" si="356"/>
        <v>0</v>
      </c>
      <c r="AR331" s="128">
        <f t="shared" si="357"/>
        <v>0</v>
      </c>
      <c r="AS331" s="238"/>
    </row>
    <row r="332" spans="1:45" s="150" customFormat="1" hidden="1">
      <c r="A332" s="149" t="s">
        <v>395</v>
      </c>
      <c r="B332" s="18" t="s">
        <v>8</v>
      </c>
      <c r="C332" s="216">
        <v>1</v>
      </c>
      <c r="D332" s="91" t="s">
        <v>2</v>
      </c>
      <c r="E332" s="213">
        <v>100</v>
      </c>
      <c r="F332" s="217">
        <f t="shared" si="340"/>
        <v>100</v>
      </c>
      <c r="G332" s="164">
        <v>0</v>
      </c>
      <c r="H332" s="164">
        <v>4</v>
      </c>
      <c r="I332" s="164">
        <v>0</v>
      </c>
      <c r="J332" s="164">
        <v>0</v>
      </c>
      <c r="K332" s="165">
        <v>0.5</v>
      </c>
      <c r="L332" s="91" t="s">
        <v>7</v>
      </c>
      <c r="M332" s="213">
        <f t="shared" si="341"/>
        <v>0</v>
      </c>
      <c r="N332" s="42">
        <v>0</v>
      </c>
      <c r="O332" s="214">
        <f t="shared" si="342"/>
        <v>0</v>
      </c>
      <c r="P332" s="214"/>
      <c r="Q332" s="46" t="s">
        <v>31</v>
      </c>
      <c r="R332" s="66" t="s">
        <v>49</v>
      </c>
      <c r="S332" s="133" t="str">
        <f t="shared" si="343"/>
        <v>BPD2013</v>
      </c>
      <c r="T332" s="133" t="str">
        <f t="shared" si="344"/>
        <v>B1.2.2.62013</v>
      </c>
      <c r="U332" s="133" t="s">
        <v>212</v>
      </c>
      <c r="V332" s="215" t="str">
        <f t="shared" si="345"/>
        <v>PXL Sensor Ladder Production</v>
      </c>
      <c r="W332" s="42"/>
      <c r="X332" s="42"/>
      <c r="Y332" s="42"/>
      <c r="Z332" s="42"/>
      <c r="AA332" s="42"/>
      <c r="AB332" s="61">
        <v>2013</v>
      </c>
      <c r="AC332" s="128">
        <f t="shared" si="346"/>
        <v>0</v>
      </c>
      <c r="AD332" s="128">
        <f t="shared" si="347"/>
        <v>0</v>
      </c>
      <c r="AE332" s="128">
        <f t="shared" si="348"/>
        <v>0</v>
      </c>
      <c r="AF332" s="128">
        <f t="shared" si="349"/>
        <v>0</v>
      </c>
      <c r="AG332" s="128">
        <f t="shared" si="350"/>
        <v>0</v>
      </c>
      <c r="AH332" s="236">
        <f t="shared" si="351"/>
        <v>0</v>
      </c>
      <c r="AI332" s="238"/>
      <c r="AJ332" s="244"/>
      <c r="AK332" s="244"/>
      <c r="AL332" s="162"/>
      <c r="AM332" s="127">
        <f t="shared" si="352"/>
        <v>0</v>
      </c>
      <c r="AN332" s="128">
        <f t="shared" si="353"/>
        <v>0</v>
      </c>
      <c r="AO332" s="128">
        <f t="shared" si="354"/>
        <v>0</v>
      </c>
      <c r="AP332" s="128">
        <f t="shared" si="355"/>
        <v>0</v>
      </c>
      <c r="AQ332" s="128">
        <f t="shared" si="356"/>
        <v>0</v>
      </c>
      <c r="AR332" s="128">
        <f t="shared" si="357"/>
        <v>0</v>
      </c>
      <c r="AS332" s="238"/>
    </row>
    <row r="333" spans="1:45" s="150" customFormat="1">
      <c r="A333" s="149" t="s">
        <v>308</v>
      </c>
      <c r="B333" s="18" t="s">
        <v>8</v>
      </c>
      <c r="C333" s="216">
        <v>1</v>
      </c>
      <c r="D333" s="91" t="s">
        <v>2</v>
      </c>
      <c r="E333" s="213">
        <v>1000</v>
      </c>
      <c r="F333" s="217">
        <f t="shared" si="340"/>
        <v>1000</v>
      </c>
      <c r="G333" s="164">
        <v>8</v>
      </c>
      <c r="H333" s="164">
        <v>32</v>
      </c>
      <c r="I333" s="164">
        <v>0</v>
      </c>
      <c r="J333" s="164">
        <v>4</v>
      </c>
      <c r="K333" s="165">
        <v>32</v>
      </c>
      <c r="L333" s="91" t="s">
        <v>7</v>
      </c>
      <c r="M333" s="213">
        <f t="shared" si="341"/>
        <v>4335.1200000000008</v>
      </c>
      <c r="N333" s="42">
        <v>1</v>
      </c>
      <c r="O333" s="214">
        <f t="shared" si="342"/>
        <v>5335.1200000000008</v>
      </c>
      <c r="P333" s="214"/>
      <c r="Q333" s="46" t="s">
        <v>31</v>
      </c>
      <c r="R333" s="66" t="s">
        <v>49</v>
      </c>
      <c r="S333" s="133" t="str">
        <f t="shared" si="343"/>
        <v>BPD2013</v>
      </c>
      <c r="T333" s="133" t="str">
        <f t="shared" si="344"/>
        <v>B1.2.2.62013</v>
      </c>
      <c r="U333" s="133" t="s">
        <v>212</v>
      </c>
      <c r="V333" s="215" t="str">
        <f t="shared" si="345"/>
        <v>PXL Sensor Ladder Production</v>
      </c>
      <c r="W333" s="42"/>
      <c r="X333" s="42"/>
      <c r="Y333" s="42"/>
      <c r="Z333" s="42"/>
      <c r="AA333" s="42"/>
      <c r="AB333" s="61">
        <v>2013</v>
      </c>
      <c r="AC333" s="128">
        <f t="shared" si="346"/>
        <v>8</v>
      </c>
      <c r="AD333" s="128">
        <f t="shared" si="347"/>
        <v>32</v>
      </c>
      <c r="AE333" s="128">
        <f t="shared" si="348"/>
        <v>0</v>
      </c>
      <c r="AF333" s="128">
        <f t="shared" si="349"/>
        <v>4</v>
      </c>
      <c r="AG333" s="128">
        <f t="shared" si="350"/>
        <v>32</v>
      </c>
      <c r="AH333" s="236">
        <f t="shared" si="351"/>
        <v>1000</v>
      </c>
      <c r="AI333" s="238"/>
      <c r="AJ333" s="244"/>
      <c r="AK333" s="244"/>
      <c r="AL333" s="162"/>
      <c r="AM333" s="127">
        <f t="shared" si="352"/>
        <v>0</v>
      </c>
      <c r="AN333" s="128">
        <f t="shared" si="353"/>
        <v>0</v>
      </c>
      <c r="AO333" s="128">
        <f t="shared" si="354"/>
        <v>0</v>
      </c>
      <c r="AP333" s="128">
        <f t="shared" si="355"/>
        <v>0</v>
      </c>
      <c r="AQ333" s="128">
        <f t="shared" si="356"/>
        <v>0</v>
      </c>
      <c r="AR333" s="128">
        <f t="shared" si="357"/>
        <v>0</v>
      </c>
      <c r="AS333" s="238"/>
    </row>
    <row r="334" spans="1:45" s="150" customFormat="1">
      <c r="A334" s="149" t="s">
        <v>415</v>
      </c>
      <c r="B334" s="18" t="s">
        <v>8</v>
      </c>
      <c r="C334" s="216">
        <v>1</v>
      </c>
      <c r="D334" s="91" t="s">
        <v>2</v>
      </c>
      <c r="E334" s="213">
        <v>3000</v>
      </c>
      <c r="F334" s="217">
        <f>E334*C334</f>
        <v>3000</v>
      </c>
      <c r="G334" s="164">
        <v>40</v>
      </c>
      <c r="H334" s="164">
        <v>200</v>
      </c>
      <c r="I334" s="164">
        <v>0</v>
      </c>
      <c r="J334" s="164">
        <v>40</v>
      </c>
      <c r="K334" s="165">
        <v>0</v>
      </c>
      <c r="L334" s="91" t="s">
        <v>7</v>
      </c>
      <c r="M334" s="213">
        <f>IF(R334="PD",((Shop*G334)+(M_Tech*H334)+(CMM*I334)+(ENG*J334)+(DES*K334))*N334,((Shop_RD*G334)+(MTECH_RD*H334)+(CMM_RD*I334)+(ENG_RD*J334)+(DES_RD*K334))*N334)</f>
        <v>27896.400000000005</v>
      </c>
      <c r="N334" s="42">
        <v>1</v>
      </c>
      <c r="O334" s="214">
        <f>M334+(F334*N334)</f>
        <v>30896.400000000005</v>
      </c>
      <c r="P334" s="214"/>
      <c r="Q334" s="46" t="s">
        <v>32</v>
      </c>
      <c r="R334" s="66" t="s">
        <v>49</v>
      </c>
      <c r="S334" s="133" t="str">
        <f>CONCATENATE(Q334,R334,AB334)</f>
        <v>CPD2013</v>
      </c>
      <c r="T334" s="133" t="str">
        <f>CONCATENATE(Q334,U334,AB334)</f>
        <v>C1.2.2.62013</v>
      </c>
      <c r="U334" s="133" t="s">
        <v>212</v>
      </c>
      <c r="V334" s="215" t="str">
        <f t="shared" si="345"/>
        <v>PXL Sensor Ladder Production</v>
      </c>
      <c r="W334" s="42"/>
      <c r="X334" s="42"/>
      <c r="Y334" s="42"/>
      <c r="Z334" s="42"/>
      <c r="AA334" s="42"/>
      <c r="AB334" s="61">
        <v>2013</v>
      </c>
      <c r="AC334" s="128">
        <f t="shared" ref="AC334:AG335" si="360">IF($Q334="B", (G334*$N334),0)</f>
        <v>0</v>
      </c>
      <c r="AD334" s="128">
        <f t="shared" si="360"/>
        <v>0</v>
      </c>
      <c r="AE334" s="128">
        <f t="shared" si="360"/>
        <v>0</v>
      </c>
      <c r="AF334" s="128">
        <f t="shared" si="360"/>
        <v>0</v>
      </c>
      <c r="AG334" s="128">
        <f t="shared" si="360"/>
        <v>0</v>
      </c>
      <c r="AH334" s="236">
        <f>IF($Q334="B", (F334*$N334),0)</f>
        <v>0</v>
      </c>
      <c r="AI334" s="238"/>
      <c r="AJ334" s="244"/>
      <c r="AK334" s="244"/>
      <c r="AL334" s="162"/>
      <c r="AM334" s="127">
        <f t="shared" ref="AM334:AQ335" si="361">IF($Q334="C", (G334*$N334),0)</f>
        <v>40</v>
      </c>
      <c r="AN334" s="128">
        <f t="shared" si="361"/>
        <v>200</v>
      </c>
      <c r="AO334" s="128">
        <f t="shared" si="361"/>
        <v>0</v>
      </c>
      <c r="AP334" s="128">
        <f t="shared" si="361"/>
        <v>40</v>
      </c>
      <c r="AQ334" s="128">
        <f t="shared" si="361"/>
        <v>0</v>
      </c>
      <c r="AR334" s="128">
        <f>IF($Q334="C", (F334*$N334),0)</f>
        <v>3000</v>
      </c>
      <c r="AS334" s="238"/>
    </row>
    <row r="335" spans="1:45" s="150" customFormat="1">
      <c r="A335" s="149" t="s">
        <v>440</v>
      </c>
      <c r="B335" s="18" t="s">
        <v>8</v>
      </c>
      <c r="C335" s="216">
        <v>1</v>
      </c>
      <c r="D335" s="91" t="s">
        <v>2</v>
      </c>
      <c r="E335" s="213">
        <v>3000</v>
      </c>
      <c r="F335" s="217">
        <f>E335*C335</f>
        <v>3000</v>
      </c>
      <c r="G335" s="164">
        <v>40</v>
      </c>
      <c r="H335" s="164">
        <v>50</v>
      </c>
      <c r="I335" s="164">
        <v>0</v>
      </c>
      <c r="J335" s="164">
        <v>40</v>
      </c>
      <c r="K335" s="165">
        <v>0</v>
      </c>
      <c r="L335" s="91" t="s">
        <v>7</v>
      </c>
      <c r="M335" s="213">
        <f>IF(R335="PD",((Shop*G335)+(M_Tech*H335)+(CMM*I335)+(ENG*J335)+(DES*K335))*N335,((Shop_RD*G335)+(MTECH_RD*H335)+(CMM_RD*I335)+(ENG_RD*J335)+(DES_RD*K335))*N335)</f>
        <v>13680.900000000001</v>
      </c>
      <c r="N335" s="42">
        <v>1</v>
      </c>
      <c r="O335" s="214">
        <f>M335+(F335*N335)</f>
        <v>16680.900000000001</v>
      </c>
      <c r="P335" s="214"/>
      <c r="Q335" s="46" t="s">
        <v>32</v>
      </c>
      <c r="R335" s="66" t="s">
        <v>49</v>
      </c>
      <c r="S335" s="133" t="str">
        <f>CONCATENATE(Q335,R335,AB335)</f>
        <v>CPD2014</v>
      </c>
      <c r="T335" s="133" t="str">
        <f>CONCATENATE(Q335,U335,AB335)</f>
        <v>C1.2.2.62014</v>
      </c>
      <c r="U335" s="133" t="s">
        <v>212</v>
      </c>
      <c r="V335" s="215" t="str">
        <f t="shared" si="345"/>
        <v>PXL Sensor Ladder Production</v>
      </c>
      <c r="W335" s="42"/>
      <c r="X335" s="42"/>
      <c r="Y335" s="42"/>
      <c r="Z335" s="42"/>
      <c r="AA335" s="42"/>
      <c r="AB335" s="61">
        <v>2014</v>
      </c>
      <c r="AC335" s="128">
        <f t="shared" si="360"/>
        <v>0</v>
      </c>
      <c r="AD335" s="128">
        <f t="shared" si="360"/>
        <v>0</v>
      </c>
      <c r="AE335" s="128">
        <f t="shared" si="360"/>
        <v>0</v>
      </c>
      <c r="AF335" s="128">
        <f t="shared" si="360"/>
        <v>0</v>
      </c>
      <c r="AG335" s="128">
        <f t="shared" si="360"/>
        <v>0</v>
      </c>
      <c r="AH335" s="236">
        <f>IF($Q335="B", (F335*$N335),0)</f>
        <v>0</v>
      </c>
      <c r="AI335" s="238"/>
      <c r="AJ335" s="244"/>
      <c r="AK335" s="244"/>
      <c r="AL335" s="162"/>
      <c r="AM335" s="127">
        <f t="shared" si="361"/>
        <v>40</v>
      </c>
      <c r="AN335" s="128">
        <f t="shared" si="361"/>
        <v>50</v>
      </c>
      <c r="AO335" s="128">
        <f t="shared" si="361"/>
        <v>0</v>
      </c>
      <c r="AP335" s="128">
        <f t="shared" si="361"/>
        <v>40</v>
      </c>
      <c r="AQ335" s="128">
        <f t="shared" si="361"/>
        <v>0</v>
      </c>
      <c r="AR335" s="128">
        <f>IF($Q335="C", (F335*$N335),0)</f>
        <v>3000</v>
      </c>
      <c r="AS335" s="238"/>
    </row>
    <row r="336" spans="1:45" s="42" customFormat="1">
      <c r="A336" s="43"/>
      <c r="C336" s="181"/>
      <c r="E336" s="182"/>
      <c r="F336" s="183"/>
      <c r="G336" s="184"/>
      <c r="H336" s="184"/>
      <c r="I336" s="184"/>
      <c r="J336" s="184"/>
      <c r="K336" s="185"/>
      <c r="L336" s="222" t="s">
        <v>43</v>
      </c>
      <c r="M336" s="174">
        <f>SUMIF(Q316:Q335,"B",M316:M335)</f>
        <v>245138.40000000002</v>
      </c>
      <c r="N336" s="62" t="s">
        <v>43</v>
      </c>
      <c r="O336" s="174"/>
      <c r="P336" s="186"/>
      <c r="Q336" s="60"/>
      <c r="R336" s="68"/>
      <c r="S336" s="133"/>
      <c r="T336" s="133"/>
      <c r="U336" s="70"/>
      <c r="V336" s="70"/>
      <c r="W336" s="18"/>
      <c r="X336" s="18"/>
      <c r="Y336" s="18"/>
      <c r="Z336" s="18"/>
      <c r="AA336" s="18"/>
      <c r="AB336" s="30"/>
      <c r="AC336" s="128"/>
      <c r="AD336" s="128"/>
      <c r="AE336" s="128"/>
      <c r="AF336" s="128"/>
      <c r="AG336" s="128"/>
      <c r="AH336" s="236"/>
      <c r="AI336" s="237"/>
      <c r="AJ336" s="128"/>
      <c r="AK336" s="128"/>
      <c r="AL336" s="162"/>
      <c r="AM336" s="127"/>
      <c r="AN336" s="128"/>
      <c r="AO336" s="128"/>
      <c r="AP336" s="128"/>
      <c r="AQ336" s="128"/>
      <c r="AR336" s="128"/>
      <c r="AS336" s="237"/>
    </row>
    <row r="337" spans="1:46">
      <c r="A337" s="19" t="s">
        <v>158</v>
      </c>
      <c r="B337" s="2"/>
      <c r="C337" s="167"/>
      <c r="D337" s="13"/>
      <c r="E337" s="168"/>
      <c r="F337" s="169"/>
      <c r="G337" s="167"/>
      <c r="H337" s="167"/>
      <c r="I337" s="167"/>
      <c r="J337" s="167"/>
      <c r="K337" s="170"/>
      <c r="L337" s="13"/>
      <c r="M337" s="168">
        <f>SUMIF(Q305:Q336,"B",M305:M336)</f>
        <v>281618.64</v>
      </c>
      <c r="N337" s="362" t="s">
        <v>42</v>
      </c>
      <c r="O337" s="363"/>
      <c r="P337" s="364"/>
      <c r="Q337" s="47"/>
      <c r="R337" s="69"/>
      <c r="S337" s="134"/>
      <c r="T337" s="134"/>
      <c r="U337" s="134"/>
      <c r="V337" s="134"/>
      <c r="W337" s="2"/>
      <c r="X337" s="2"/>
      <c r="Y337" s="2"/>
      <c r="Z337" s="2"/>
      <c r="AA337" s="2"/>
      <c r="AB337" s="31"/>
      <c r="AC337" s="4">
        <f>SUM(AC305:AC336)</f>
        <v>128</v>
      </c>
      <c r="AD337" s="4">
        <f>SUM(AD305:AD336)</f>
        <v>2536</v>
      </c>
      <c r="AE337" s="4">
        <f>SUM(AE305:AE336)</f>
        <v>1536</v>
      </c>
      <c r="AF337" s="4">
        <f>SUM(AF305:AF336)</f>
        <v>188</v>
      </c>
      <c r="AG337" s="4">
        <f>SUM(AG305:AG336)</f>
        <v>1736</v>
      </c>
      <c r="AH337" s="4"/>
      <c r="AI337" s="169">
        <f>SUM(AH305:AH336)</f>
        <v>265600</v>
      </c>
      <c r="AJ337" s="168">
        <f>(Shop*AC337)+M_Tech*AD337+CMM*AE337+ENG*AF337+DES*AG337+AI337</f>
        <v>541842.4</v>
      </c>
      <c r="AK337" s="168"/>
      <c r="AL337" s="169">
        <f>Shop*AM337+M_Tech*AN337+CMM*AO337+ENG*AP337+DES*AQ337+AS337</f>
        <v>151442.14000000001</v>
      </c>
      <c r="AM337" s="4">
        <f>SUM(AM305:AM336)</f>
        <v>212</v>
      </c>
      <c r="AN337" s="4">
        <f>SUM(AN305:AN336)</f>
        <v>446</v>
      </c>
      <c r="AO337" s="4">
        <f>SUM(AO305:AO336)</f>
        <v>80</v>
      </c>
      <c r="AP337" s="4">
        <f>SUM(AP305:AP336)</f>
        <v>132</v>
      </c>
      <c r="AQ337" s="4">
        <f>SUM(AQ305:AQ336)</f>
        <v>80</v>
      </c>
      <c r="AR337" s="4"/>
      <c r="AS337" s="169">
        <f>SUM(AR305:AR336)</f>
        <v>71500</v>
      </c>
    </row>
    <row r="338" spans="1:46" ht="13.5" thickBot="1">
      <c r="F338" s="160"/>
      <c r="G338" s="158"/>
      <c r="H338" s="158"/>
      <c r="I338" s="158"/>
      <c r="J338" s="158"/>
      <c r="K338" s="171"/>
      <c r="L338" s="222"/>
      <c r="M338" s="174"/>
      <c r="N338" s="62"/>
      <c r="O338" s="172"/>
      <c r="P338" s="172"/>
      <c r="Q338" s="32"/>
      <c r="R338" s="67"/>
      <c r="S338" s="135"/>
      <c r="T338" s="135"/>
      <c r="U338" s="135"/>
      <c r="V338" s="135"/>
      <c r="W338"/>
      <c r="X338"/>
      <c r="Y338"/>
      <c r="Z338"/>
      <c r="AA338"/>
      <c r="AB338" s="33"/>
      <c r="AC338" s="28"/>
      <c r="AD338" s="28"/>
      <c r="AE338" s="28"/>
      <c r="AF338" s="28"/>
      <c r="AG338" s="28"/>
      <c r="AH338" s="239"/>
      <c r="AI338" s="240"/>
      <c r="AJ338" s="5"/>
      <c r="AK338" s="5"/>
      <c r="AM338" s="29"/>
      <c r="AN338" s="3"/>
      <c r="AO338" s="3"/>
      <c r="AP338" s="3"/>
      <c r="AQ338" s="3"/>
      <c r="AR338" s="3"/>
      <c r="AS338" s="241"/>
    </row>
    <row r="339" spans="1:46" ht="13.5" thickBot="1">
      <c r="J339" s="151"/>
      <c r="K339" s="151"/>
      <c r="N339" s="6"/>
      <c r="O339" s="189"/>
      <c r="P339" s="50"/>
      <c r="Q339" s="34"/>
      <c r="R339" s="34"/>
      <c r="S339" s="136"/>
      <c r="T339" s="136"/>
      <c r="U339" s="136"/>
      <c r="V339" s="136"/>
      <c r="W339" s="35"/>
      <c r="X339" s="36"/>
      <c r="Y339" s="36"/>
      <c r="Z339" s="36"/>
      <c r="AA339" s="36">
        <f>SUM(AA4:AA338)</f>
        <v>0</v>
      </c>
      <c r="AB339" s="37"/>
      <c r="AC339" s="249">
        <f>SUMIF($Q4:$Q338,"B",AC4:AC338)</f>
        <v>464</v>
      </c>
      <c r="AD339" s="246">
        <f>SUMIF($Q4:$Q338,"B",AD4:AD338)</f>
        <v>5720</v>
      </c>
      <c r="AE339" s="246">
        <f>SUMIF($Q4:$Q338,"B",AE4:AE338)</f>
        <v>9678</v>
      </c>
      <c r="AF339" s="246">
        <f>SUMIF($Q4:$Q338,"B",AF4:AF338)</f>
        <v>2204</v>
      </c>
      <c r="AG339" s="246">
        <f>SUMIF($Q4:$Q338,"B",AG4:AG338)</f>
        <v>10232</v>
      </c>
      <c r="AH339" s="246"/>
      <c r="AI339" s="248">
        <f>SUM(AI4:AI338)</f>
        <v>1406468</v>
      </c>
      <c r="AJ339" s="35"/>
      <c r="AK339" s="35"/>
      <c r="AM339" s="249">
        <f>SUMIF($Q4:$Q338,"C",AM4:AM338)</f>
        <v>404</v>
      </c>
      <c r="AN339" s="246">
        <f>SUMIF($Q4:$Q338,"C",AN4:AN338)</f>
        <v>1779</v>
      </c>
      <c r="AO339" s="246">
        <f>SUMIF($Q4:$Q338,"C",AO4:AO338)</f>
        <v>196</v>
      </c>
      <c r="AP339" s="246">
        <f>SUMIF($Q4:$Q338,"C",AP4:AP338)</f>
        <v>742</v>
      </c>
      <c r="AQ339" s="246">
        <f>SUMIF($Q4:$Q338,"C",AQ4:AQ338)</f>
        <v>304</v>
      </c>
      <c r="AR339" s="270"/>
      <c r="AS339" s="248">
        <f>SUM(AS4:AS338)</f>
        <v>405000</v>
      </c>
    </row>
    <row r="340" spans="1:46" ht="13.5" thickBot="1">
      <c r="A340" s="15"/>
      <c r="B340" s="15"/>
      <c r="C340" s="190"/>
      <c r="D340" s="226"/>
      <c r="E340" s="191"/>
      <c r="F340" s="191"/>
      <c r="G340" s="190"/>
      <c r="H340" s="192"/>
      <c r="I340" s="192"/>
      <c r="J340" s="193"/>
      <c r="K340" s="193"/>
      <c r="L340" s="221"/>
      <c r="M340" s="5"/>
      <c r="N340" s="194"/>
      <c r="O340" s="5"/>
      <c r="P340" s="5"/>
      <c r="W340" s="5"/>
      <c r="X340" s="10"/>
      <c r="Y340" s="10"/>
      <c r="Z340" s="10"/>
      <c r="AA340" s="10"/>
      <c r="AB340" s="21"/>
      <c r="AC340" s="5" t="s">
        <v>10</v>
      </c>
      <c r="AD340" s="5" t="s">
        <v>9</v>
      </c>
      <c r="AE340" s="5" t="s">
        <v>23</v>
      </c>
      <c r="AF340" s="5" t="s">
        <v>16</v>
      </c>
      <c r="AG340" s="5" t="s">
        <v>17</v>
      </c>
      <c r="AH340" s="5"/>
      <c r="AI340" s="5" t="s">
        <v>14</v>
      </c>
      <c r="AJ340" s="5"/>
      <c r="AK340" s="5"/>
      <c r="AM340" s="5" t="s">
        <v>10</v>
      </c>
      <c r="AN340" s="5" t="s">
        <v>9</v>
      </c>
      <c r="AO340" s="5" t="s">
        <v>23</v>
      </c>
      <c r="AP340" s="5" t="s">
        <v>16</v>
      </c>
      <c r="AQ340" s="5" t="s">
        <v>17</v>
      </c>
      <c r="AR340" s="5"/>
      <c r="AS340" s="5" t="s">
        <v>14</v>
      </c>
    </row>
    <row r="341" spans="1:46" s="18" customFormat="1" ht="13.5" thickBot="1">
      <c r="A341" s="16"/>
      <c r="B341" s="16"/>
      <c r="C341" s="195"/>
      <c r="D341" s="227"/>
      <c r="E341" s="196"/>
      <c r="F341" s="196"/>
      <c r="G341" s="195"/>
      <c r="H341" s="197"/>
      <c r="I341" s="197"/>
      <c r="J341" s="198"/>
      <c r="K341" s="198"/>
      <c r="L341" s="223"/>
      <c r="M341" s="141"/>
      <c r="N341" s="199"/>
      <c r="O341" s="141"/>
      <c r="P341" s="141"/>
      <c r="Q341" s="71"/>
      <c r="R341" s="71"/>
      <c r="S341" s="91"/>
      <c r="T341" s="91"/>
      <c r="U341" s="91"/>
      <c r="V341" s="91"/>
      <c r="W341" s="141"/>
      <c r="X341" s="142"/>
      <c r="Y341" s="142"/>
      <c r="Z341" s="142"/>
      <c r="AA341" s="142"/>
      <c r="AB341" s="143" t="s">
        <v>159</v>
      </c>
      <c r="AC341" s="249">
        <f>AC66+AC132+AC196+AC227+AC302+AC337</f>
        <v>464</v>
      </c>
      <c r="AD341" s="249">
        <f>AD66+AD132+AD196+AD227+AD302+AD337</f>
        <v>5720</v>
      </c>
      <c r="AE341" s="249">
        <f>AE66+AE132+AE196+AE227+AE302+AE337</f>
        <v>9678</v>
      </c>
      <c r="AF341" s="249">
        <f>AF66+AF132+AF196+AF227+AF302+AF337</f>
        <v>2204</v>
      </c>
      <c r="AG341" s="249">
        <f>AG66+AG132+AG196+AG227+AG302+AG337</f>
        <v>10232</v>
      </c>
      <c r="AH341" s="247"/>
      <c r="AI341" s="248">
        <f>SUM(AI4:AI338)</f>
        <v>1406468</v>
      </c>
      <c r="AJ341" s="141"/>
      <c r="AK341" s="141"/>
      <c r="AL341" s="162"/>
      <c r="AM341" s="249">
        <f>AM66+AM132+AM196+AM227+AM302+AM337</f>
        <v>404</v>
      </c>
      <c r="AN341" s="249">
        <f>AN66+AN132+AN196+AN227+AN302+AN337</f>
        <v>1779</v>
      </c>
      <c r="AO341" s="249">
        <f>AO66+AO132+AO196+AO227+AO302+AO337</f>
        <v>196</v>
      </c>
      <c r="AP341" s="249">
        <f>AP66+AP132+AP196+AP227+AP302+AP337</f>
        <v>742</v>
      </c>
      <c r="AQ341" s="249">
        <f>AQ66+AQ132+AQ196+AQ227+AQ302+AQ337</f>
        <v>304</v>
      </c>
      <c r="AR341" s="247"/>
      <c r="AS341" s="248">
        <f>SUM(AS4:AS338)</f>
        <v>405000</v>
      </c>
      <c r="AT341" s="144" t="s">
        <v>159</v>
      </c>
    </row>
    <row r="342" spans="1:46" ht="13.5" thickBot="1">
      <c r="A342" s="14"/>
      <c r="B342" s="15"/>
      <c r="C342" s="190"/>
      <c r="D342" s="226"/>
      <c r="E342" s="191"/>
      <c r="F342" s="191"/>
      <c r="G342" s="190"/>
      <c r="H342" s="192"/>
      <c r="I342" s="192"/>
      <c r="J342" s="193"/>
      <c r="K342" s="193"/>
      <c r="L342" s="221"/>
      <c r="M342" s="200"/>
      <c r="N342" s="194"/>
      <c r="O342" s="201"/>
      <c r="P342" s="201"/>
      <c r="W342" s="5"/>
      <c r="X342" s="10"/>
      <c r="Y342" s="10"/>
      <c r="Z342" s="10"/>
      <c r="AA342" s="10"/>
      <c r="AB342" s="21"/>
      <c r="AC342" s="5"/>
      <c r="AD342" s="5"/>
      <c r="AE342" s="5"/>
      <c r="AF342" s="5"/>
      <c r="AG342" s="5"/>
    </row>
    <row r="343" spans="1:46" ht="13.5" thickBot="1">
      <c r="A343" s="14"/>
      <c r="B343" s="8"/>
      <c r="C343" s="202"/>
      <c r="D343" s="228"/>
      <c r="E343" s="203"/>
      <c r="F343" s="203"/>
      <c r="G343" s="202"/>
      <c r="AH343" s="5" t="s">
        <v>45</v>
      </c>
      <c r="AI343" s="250">
        <f>(AC341*Shop)+(AD341*M_Tech)+(AE341*CMM)+(AF341*ENG)+(AG341*DES)+AI339+(Shop*AM341)+(M_Tech*AN341)+(CMM*AO341)+(ENG*AP341)+(DES*AQ341)+AS341</f>
        <v>2968675.3100000005</v>
      </c>
      <c r="AJ343" s="251">
        <f>AI363+AS363</f>
        <v>3041902.0700000003</v>
      </c>
      <c r="AK343" s="251"/>
      <c r="AL343" s="148" t="s">
        <v>135</v>
      </c>
    </row>
    <row r="344" spans="1:46" ht="13.5" thickBot="1">
      <c r="A344" s="14" t="str">
        <f>'WBS in Estimate'!E7</f>
        <v>Description</v>
      </c>
      <c r="B344" s="8" t="str">
        <f>'WBS in Estimate'!D7</f>
        <v>WBS</v>
      </c>
      <c r="C344" s="202"/>
      <c r="D344" s="228"/>
      <c r="E344" s="203"/>
      <c r="F344" s="203"/>
      <c r="G344" s="202"/>
      <c r="O344" s="30">
        <v>2009</v>
      </c>
      <c r="Q344" s="46" t="s">
        <v>31</v>
      </c>
      <c r="U344" s="133" t="s">
        <v>141</v>
      </c>
      <c r="W344" s="107">
        <f>SUMIF($T$4:$T$338,CONCATENATE(Q344,#REF!,O344),$O$4:$O$338)</f>
        <v>0</v>
      </c>
      <c r="X344" s="107">
        <f>SUMIF($T$4:$T$338,CONCATENATE(Q344,#REF!,Y344),$O$4:$O$338)</f>
        <v>0</v>
      </c>
      <c r="Y344" s="30">
        <v>2009</v>
      </c>
    </row>
    <row r="345" spans="1:46" ht="15.75" thickTop="1">
      <c r="A345" s="18" t="s">
        <v>171</v>
      </c>
      <c r="B345" s="18" t="s">
        <v>172</v>
      </c>
      <c r="C345" s="359" t="s">
        <v>145</v>
      </c>
      <c r="D345" s="360"/>
      <c r="E345" s="360"/>
      <c r="F345" s="360"/>
      <c r="G345" s="360"/>
      <c r="H345" s="360"/>
      <c r="I345" s="360"/>
      <c r="J345" s="360"/>
      <c r="K345" s="360"/>
      <c r="L345" s="360"/>
      <c r="O345" s="30">
        <v>2009</v>
      </c>
      <c r="Q345" s="46" t="s">
        <v>31</v>
      </c>
      <c r="U345" s="133" t="s">
        <v>141</v>
      </c>
      <c r="W345" s="107">
        <f>SUMIF($T$4:$T$338,CONCATENATE(Q345,#REF!,O345),$O$4:$O$338)</f>
        <v>0</v>
      </c>
      <c r="X345" s="107">
        <f>SUMIF($T$4:$T$338,CONCATENATE(Q345,#REF!,Y345),$O$4:$O$338)</f>
        <v>0</v>
      </c>
      <c r="Y345" s="30">
        <v>2009</v>
      </c>
      <c r="AC345" s="375" t="s">
        <v>33</v>
      </c>
      <c r="AD345" s="376"/>
      <c r="AE345" s="376"/>
      <c r="AF345" s="376"/>
      <c r="AG345" s="376"/>
      <c r="AH345" s="376"/>
      <c r="AI345" s="377"/>
      <c r="AJ345" s="232"/>
      <c r="AK345" s="232"/>
      <c r="AM345" s="378" t="s">
        <v>34</v>
      </c>
      <c r="AN345" s="379"/>
      <c r="AO345" s="379"/>
      <c r="AP345" s="379"/>
      <c r="AQ345" s="379"/>
      <c r="AR345" s="379"/>
      <c r="AS345" s="380"/>
    </row>
    <row r="346" spans="1:46">
      <c r="A346" s="18" t="s">
        <v>174</v>
      </c>
      <c r="B346" s="123" t="s">
        <v>173</v>
      </c>
      <c r="C346" s="204"/>
      <c r="D346" s="228"/>
      <c r="E346" s="203"/>
      <c r="F346" s="203"/>
      <c r="G346" s="204"/>
      <c r="L346" s="224"/>
      <c r="O346" s="30">
        <v>2009</v>
      </c>
      <c r="Q346" s="46" t="s">
        <v>31</v>
      </c>
      <c r="U346" s="133" t="s">
        <v>141</v>
      </c>
      <c r="W346" s="107">
        <f>SUMIF($T$4:$T$338,CONCATENATE(Q346,#REF!,O346),$O$4:$O$338)</f>
        <v>0</v>
      </c>
      <c r="X346" s="107">
        <f>SUMIF($T$4:$T$338,CONCATENATE(Q346,#REF!,Y346),$O$4:$O$338)</f>
        <v>0</v>
      </c>
      <c r="Y346" s="30">
        <v>2009</v>
      </c>
      <c r="AB346" s="22"/>
      <c r="AC346" s="23" t="s">
        <v>10</v>
      </c>
      <c r="AD346" s="12" t="s">
        <v>9</v>
      </c>
      <c r="AE346" s="12" t="s">
        <v>23</v>
      </c>
      <c r="AF346" s="12" t="s">
        <v>16</v>
      </c>
      <c r="AG346" s="12" t="s">
        <v>17</v>
      </c>
      <c r="AH346" s="12" t="s">
        <v>14</v>
      </c>
      <c r="AI346" s="252"/>
      <c r="AL346" s="73"/>
      <c r="AM346" s="26" t="s">
        <v>10</v>
      </c>
      <c r="AN346" s="12" t="s">
        <v>9</v>
      </c>
      <c r="AO346" s="12" t="s">
        <v>23</v>
      </c>
      <c r="AP346" s="12" t="s">
        <v>16</v>
      </c>
      <c r="AQ346" s="12" t="s">
        <v>17</v>
      </c>
      <c r="AR346" s="12" t="s">
        <v>14</v>
      </c>
      <c r="AS346" s="253"/>
    </row>
    <row r="347" spans="1:46">
      <c r="A347" s="18" t="s">
        <v>176</v>
      </c>
      <c r="B347" s="42" t="s">
        <v>175</v>
      </c>
      <c r="C347" s="204"/>
      <c r="D347" s="228"/>
      <c r="E347" s="203"/>
      <c r="F347" s="203"/>
      <c r="G347" s="204"/>
      <c r="L347" s="224"/>
      <c r="O347" s="30">
        <v>2009</v>
      </c>
      <c r="Q347" s="46" t="s">
        <v>31</v>
      </c>
      <c r="U347" s="133" t="s">
        <v>141</v>
      </c>
      <c r="W347" s="107">
        <f>SUMIF($T$4:$T$338,CONCATENATE(Q347,#REF!,O347),$O$4:$O$338)</f>
        <v>0</v>
      </c>
      <c r="X347" s="107">
        <f>SUMIF($T$4:$T$338,CONCATENATE(Q347,#REF!,Y347),$O$4:$O$338)</f>
        <v>0</v>
      </c>
      <c r="Y347" s="30">
        <v>2009</v>
      </c>
      <c r="AB347" s="20">
        <v>2009</v>
      </c>
      <c r="AC347" s="254">
        <f>SUMIF($AB$4:$AB338,$AB347,AC$4:AC338)</f>
        <v>0</v>
      </c>
      <c r="AD347" s="255">
        <f>SUMIF($AB$4:$AB338,$AB347,AD$4:AD338)</f>
        <v>0</v>
      </c>
      <c r="AE347" s="255">
        <f>SUMIF($AB$4:$AB338,$AB347,AE$4:AE338)</f>
        <v>0</v>
      </c>
      <c r="AF347" s="255">
        <f>SUMIF($AB$4:$AB338,$AB347,AF$4:AF338)</f>
        <v>0</v>
      </c>
      <c r="AG347" s="255">
        <f>SUMIF($AB$4:$AB338,$AB347,AG$4:AG338)</f>
        <v>0</v>
      </c>
      <c r="AH347" s="256">
        <f>SUMIF($AB$4:$AB338,$AB347,AH$4:AH338)</f>
        <v>0</v>
      </c>
      <c r="AI347" s="252"/>
      <c r="AL347" s="73">
        <f>AB347</f>
        <v>2009</v>
      </c>
      <c r="AM347" s="257">
        <f>SUMIF($AB$4:$AB338,$AB347,AM$4:AM338)</f>
        <v>0</v>
      </c>
      <c r="AN347" s="255">
        <f>SUMIF($AB$4:$AB338,$AB347,AN$4:AN338)</f>
        <v>0</v>
      </c>
      <c r="AO347" s="255">
        <f>SUMIF($AB$4:$AB338,$AB347,AO$4:AO338)</f>
        <v>0</v>
      </c>
      <c r="AP347" s="255">
        <f>SUMIF($AB$4:$AB338,$AB347,AP$4:AP338)</f>
        <v>0</v>
      </c>
      <c r="AQ347" s="255">
        <f>SUMIF($AB$4:$AB338,$AB347,AQ$4:AQ338)</f>
        <v>0</v>
      </c>
      <c r="AR347" s="256">
        <f>SUMIF($AB$4:$AB338,$AB347,AR$4:AR338)</f>
        <v>0</v>
      </c>
      <c r="AS347" s="253"/>
    </row>
    <row r="348" spans="1:46">
      <c r="A348" s="18" t="s">
        <v>178</v>
      </c>
      <c r="B348" s="42" t="s">
        <v>177</v>
      </c>
      <c r="C348" s="205"/>
      <c r="D348" s="229"/>
      <c r="E348" s="206"/>
      <c r="F348" s="206"/>
      <c r="G348" s="205"/>
      <c r="L348" s="224"/>
      <c r="O348" s="30">
        <v>2009</v>
      </c>
      <c r="Q348" s="46" t="s">
        <v>31</v>
      </c>
      <c r="U348" s="133" t="s">
        <v>141</v>
      </c>
      <c r="W348" s="107">
        <f>SUMIF($T$4:$T$338,CONCATENATE(Q348,#REF!,O348),$O$4:$O$338)</f>
        <v>0</v>
      </c>
      <c r="X348" s="107">
        <f>SUMIF($T$4:$T$338,CONCATENATE(Q348,#REF!,Y348),$O$4:$O$338)</f>
        <v>0</v>
      </c>
      <c r="Y348" s="30">
        <v>2009</v>
      </c>
      <c r="AB348" s="20">
        <v>2010</v>
      </c>
      <c r="AC348" s="254">
        <f>SUMIF($AB$4:$AB339,$AB348,AC$4:AC341)</f>
        <v>128</v>
      </c>
      <c r="AD348" s="255">
        <f>SUMIF($AB$4:$AB339,$AB348,AD$4:AD341)</f>
        <v>464</v>
      </c>
      <c r="AE348" s="255">
        <f>SUMIF($AB$4:$AB339,$AB348,AE$4:AE341)</f>
        <v>2756</v>
      </c>
      <c r="AF348" s="255">
        <f>SUMIF($AB$4:$AB338,$AB348,AF$4:AF338)</f>
        <v>336</v>
      </c>
      <c r="AG348" s="255">
        <f>SUMIF($AB$4:$AB339,$AB348,AG$4:AG341)</f>
        <v>2644</v>
      </c>
      <c r="AH348" s="256">
        <f>SUMIF($AB$4:$AB339,$AB348,AH$4:AH341)</f>
        <v>87108</v>
      </c>
      <c r="AI348" s="252"/>
      <c r="AL348" s="73">
        <f t="shared" ref="AL348:AL354" si="362">AB348</f>
        <v>2010</v>
      </c>
      <c r="AM348" s="257">
        <f>SUMIF($AB$4:$AB339,$AB348,AM$4:AM341)</f>
        <v>0</v>
      </c>
      <c r="AN348" s="255">
        <f>SUMIF($AB$4:$AB339,$AB348,AN$4:AN341)</f>
        <v>208</v>
      </c>
      <c r="AO348" s="255">
        <f>SUMIF($AB$4:$AB339,$AB348,AO$4:AO341)</f>
        <v>16</v>
      </c>
      <c r="AP348" s="255">
        <f>SUMIF($AB$4:$AB339,$AB348,AP$4:AP341)</f>
        <v>16</v>
      </c>
      <c r="AQ348" s="255">
        <f>SUMIF($AB$4:$AB339,$AB348,AQ$4:AQ341)</f>
        <v>48</v>
      </c>
      <c r="AR348" s="256">
        <f>SUMIF($AB$4:$AB339,$AB348,AR$4:AR341)</f>
        <v>7500</v>
      </c>
      <c r="AS348" s="253"/>
    </row>
    <row r="349" spans="1:46">
      <c r="A349" s="18" t="s">
        <v>180</v>
      </c>
      <c r="B349" s="123" t="s">
        <v>179</v>
      </c>
      <c r="C349" s="205"/>
      <c r="D349" s="229"/>
      <c r="E349" s="206"/>
      <c r="F349" s="206"/>
      <c r="G349" s="205"/>
      <c r="L349" s="224"/>
      <c r="O349" s="30">
        <v>2009</v>
      </c>
      <c r="Q349" s="46" t="s">
        <v>31</v>
      </c>
      <c r="U349" s="133" t="s">
        <v>141</v>
      </c>
      <c r="W349" s="107">
        <f>SUMIF($T$4:$T$338,CONCATENATE(Q349,#REF!,O349),$O$4:$O$338)</f>
        <v>0</v>
      </c>
      <c r="X349" s="107">
        <f>SUMIF($T$4:$T$338,CONCATENATE(Q349,#REF!,Y349),$O$4:$O$338)</f>
        <v>0</v>
      </c>
      <c r="Y349" s="30">
        <v>2009</v>
      </c>
      <c r="AB349" s="20">
        <v>2011</v>
      </c>
      <c r="AC349" s="254">
        <f>SUMIF($AB$4:$AB340,$AB349,AC$4:AC340)</f>
        <v>136</v>
      </c>
      <c r="AD349" s="255">
        <f>SUMIF($AB$4:$AB340,$AB349,AD$4:AD340)</f>
        <v>804</v>
      </c>
      <c r="AE349" s="255">
        <f>SUMIF($AB$4:$AB340,$AB349,AE$4:AE340)</f>
        <v>2052</v>
      </c>
      <c r="AF349" s="255">
        <f>SUMIF($AB$4:$AB340,$AB349,AF$4:AF340)</f>
        <v>676</v>
      </c>
      <c r="AG349" s="255">
        <f>SUMIF($AB$4:$AB340,$AB349,AG$4:AG340)</f>
        <v>2256</v>
      </c>
      <c r="AH349" s="256">
        <f>SUMIF($AB$4:$AB340,$AB349,AH$4:AH340)</f>
        <v>214750</v>
      </c>
      <c r="AI349" s="252"/>
      <c r="AL349" s="73">
        <f t="shared" si="362"/>
        <v>2011</v>
      </c>
      <c r="AM349" s="257">
        <f>SUMIF($AB$4:$AB340,$AB349,AM$4:AM340)</f>
        <v>40</v>
      </c>
      <c r="AN349" s="255">
        <f>SUMIF($AB$4:$AB340,$AB349,AN$4:AN340)</f>
        <v>168</v>
      </c>
      <c r="AO349" s="255">
        <f>SUMIF($AB$4:$AB340,$AB349,AO$4:AO340)</f>
        <v>88</v>
      </c>
      <c r="AP349" s="255">
        <f>SUMIF($AB$4:$AB340,$AB349,AP$4:AP340)</f>
        <v>64</v>
      </c>
      <c r="AQ349" s="255">
        <f>SUMIF($AB$4:$AB340,$AB349,AQ$4:AQ340)</f>
        <v>136</v>
      </c>
      <c r="AR349" s="256">
        <f>SUMIF($AB$4:$AB340,$AB349,AR$4:AR340)</f>
        <v>22250</v>
      </c>
      <c r="AS349" s="253"/>
    </row>
    <row r="350" spans="1:46">
      <c r="A350" s="18" t="s">
        <v>182</v>
      </c>
      <c r="B350" s="42" t="s">
        <v>181</v>
      </c>
      <c r="C350" s="205"/>
      <c r="D350" s="229"/>
      <c r="E350" s="206"/>
      <c r="F350" s="206"/>
      <c r="G350" s="205"/>
      <c r="L350" s="224"/>
      <c r="O350" s="30">
        <v>2009</v>
      </c>
      <c r="Q350" s="46" t="s">
        <v>31</v>
      </c>
      <c r="U350" s="133" t="s">
        <v>141</v>
      </c>
      <c r="W350" s="107">
        <f>SUM(W344:W349)</f>
        <v>0</v>
      </c>
      <c r="X350" s="107">
        <f>SUM(X344:X349)</f>
        <v>0</v>
      </c>
      <c r="Y350" s="30">
        <v>2009</v>
      </c>
      <c r="AB350" s="22">
        <v>2012</v>
      </c>
      <c r="AC350" s="254">
        <f>SUMIF($AB$4:$AB342,$AB350,AC$4:AC342)</f>
        <v>152</v>
      </c>
      <c r="AD350" s="255">
        <f>SUMIF($AB$4:$AB342,$AB350,AD$4:AD342)</f>
        <v>1634</v>
      </c>
      <c r="AE350" s="255">
        <f>SUMIF($AB$4:$AB342,$AB350,AE$4:AE342)</f>
        <v>2122</v>
      </c>
      <c r="AF350" s="255">
        <f>SUMIF($AB$4:$AB342,$AB350,AF$4:AF342)</f>
        <v>926</v>
      </c>
      <c r="AG350" s="255">
        <f>SUMIF($AB$4:$AB342,$AB350,AG$4:AG342)</f>
        <v>2516</v>
      </c>
      <c r="AH350" s="256">
        <f>SUMIF($AB$4:$AB342,$AB350,AH$4:AH342)</f>
        <v>425760</v>
      </c>
      <c r="AI350" s="252"/>
      <c r="AL350" s="73">
        <f t="shared" si="362"/>
        <v>2012</v>
      </c>
      <c r="AM350" s="257">
        <f>SUMIF($AB$4:$AB342,$AB350,AM$4:AM342)</f>
        <v>252</v>
      </c>
      <c r="AN350" s="255">
        <f>SUMIF($AB$4:$AB342,$AB350,AN$4:AN342)</f>
        <v>849</v>
      </c>
      <c r="AO350" s="255">
        <f>SUMIF($AB$4:$AB342,$AB350,AO$4:AO342)</f>
        <v>52</v>
      </c>
      <c r="AP350" s="255">
        <f>SUMIF($AB$4:$AB342,$AB350,AP$4:AP342)</f>
        <v>316</v>
      </c>
      <c r="AQ350" s="255">
        <f>SUMIF($AB$4:$AB342,$AB350,AQ$4:AQ342)</f>
        <v>80</v>
      </c>
      <c r="AR350" s="256">
        <f>SUMIF($AB$4:$AB342,$AB350,AR$4:AR342)</f>
        <v>256750</v>
      </c>
      <c r="AS350" s="253"/>
    </row>
    <row r="351" spans="1:46">
      <c r="A351" s="18" t="s">
        <v>184</v>
      </c>
      <c r="B351" s="42" t="s">
        <v>183</v>
      </c>
      <c r="C351" s="205"/>
      <c r="D351" s="229"/>
      <c r="E351" s="206"/>
      <c r="F351" s="206"/>
      <c r="G351" s="205"/>
      <c r="L351" s="224"/>
      <c r="O351" s="30">
        <v>2009</v>
      </c>
      <c r="Q351" s="46" t="s">
        <v>31</v>
      </c>
      <c r="U351" s="133" t="s">
        <v>141</v>
      </c>
      <c r="W351" s="107"/>
      <c r="X351" s="107"/>
      <c r="Y351" s="30">
        <v>2009</v>
      </c>
      <c r="AB351" s="22">
        <v>2013</v>
      </c>
      <c r="AC351" s="254">
        <f>SUMIF($AB$4:$AB343,$AB351,AC$4:AC343)</f>
        <v>48</v>
      </c>
      <c r="AD351" s="255">
        <f>SUMIF($AB$4:$AB343,$AB351,AD$4:AD343)</f>
        <v>2522</v>
      </c>
      <c r="AE351" s="255">
        <f>SUMIF($AB$4:$AB343,$AB351,AE$4:AE343)</f>
        <v>2546</v>
      </c>
      <c r="AF351" s="255">
        <f>SUMIF($AB$4:$AB343,$AB351,AF$4:AF343)</f>
        <v>250</v>
      </c>
      <c r="AG351" s="255">
        <f>SUMIF($AB$4:$AB343,$AB351,AG$4:AG343)</f>
        <v>2594</v>
      </c>
      <c r="AH351" s="256">
        <f>SUMIF($AB$4:$AB343,$AB351,AH$4:AH343)</f>
        <v>646650</v>
      </c>
      <c r="AI351" s="252"/>
      <c r="AL351" s="73">
        <f t="shared" si="362"/>
        <v>2013</v>
      </c>
      <c r="AM351" s="257">
        <f>SUMIF($AB$4:$AB343,$AB351,AM$4:AM343)</f>
        <v>72</v>
      </c>
      <c r="AN351" s="255">
        <f>SUMIF($AB$4:$AB343,$AB351,AN$4:AN343)</f>
        <v>488</v>
      </c>
      <c r="AO351" s="255">
        <f>SUMIF($AB$4:$AB343,$AB351,AO$4:AO343)</f>
        <v>0</v>
      </c>
      <c r="AP351" s="255">
        <f>SUMIF($AB$4:$AB343,$AB351,AP$4:AP343)</f>
        <v>302</v>
      </c>
      <c r="AQ351" s="255">
        <f>SUMIF($AB$4:$AB343,$AB351,AQ$4:AQ343)</f>
        <v>0</v>
      </c>
      <c r="AR351" s="256">
        <f>SUMIF($AB$4:$AB343,$AB351,AR$4:AR343)</f>
        <v>55500</v>
      </c>
      <c r="AS351" s="253"/>
    </row>
    <row r="352" spans="1:46">
      <c r="A352" s="18"/>
      <c r="B352" s="42"/>
      <c r="C352" s="205"/>
      <c r="D352" s="229"/>
      <c r="E352" s="206"/>
      <c r="F352" s="206"/>
      <c r="G352" s="205"/>
      <c r="L352" s="224"/>
      <c r="O352" s="30">
        <v>2009</v>
      </c>
      <c r="Q352" s="46" t="s">
        <v>31</v>
      </c>
      <c r="U352" s="133"/>
      <c r="W352" s="107"/>
      <c r="X352" s="107"/>
      <c r="Y352" s="30"/>
      <c r="AB352" s="22">
        <v>2014</v>
      </c>
      <c r="AC352" s="254">
        <f>SUMIF($AB$4:$AB344,$AB352,AC$4:AC344)</f>
        <v>0</v>
      </c>
      <c r="AD352" s="255">
        <f>SUMIF($AB$4:$AB344,$AB352,AD$4:AD344)</f>
        <v>296</v>
      </c>
      <c r="AE352" s="255">
        <f>SUMIF($AB$4:$AB344,$AB352,AE$4:AE344)</f>
        <v>202</v>
      </c>
      <c r="AF352" s="255">
        <f>SUMIF($AB$4:$AB344,$AB352,AF$4:AF344)</f>
        <v>16</v>
      </c>
      <c r="AG352" s="255">
        <f>SUMIF($AB$4:$AB344,$AB352,AG$4:AG344)</f>
        <v>222</v>
      </c>
      <c r="AH352" s="256">
        <f>SUMIF($AB$4:$AB344,$AB352,AH$4:AH344)</f>
        <v>32200</v>
      </c>
      <c r="AI352" s="252"/>
      <c r="AL352" s="73">
        <f>AB352</f>
        <v>2014</v>
      </c>
      <c r="AM352" s="257">
        <f>SUMIF($AB$4:$AB344,$AB352,AM$4:AM344)</f>
        <v>40</v>
      </c>
      <c r="AN352" s="255">
        <f>SUMIF($AB$4:$AB344,$AB352,AN$4:AN344)</f>
        <v>66</v>
      </c>
      <c r="AO352" s="255">
        <f>SUMIF($AB$4:$AB344,$AB352,AO$4:AO344)</f>
        <v>40</v>
      </c>
      <c r="AP352" s="255">
        <f>SUMIF($AB$4:$AB344,$AB352,AP$4:AP344)</f>
        <v>44</v>
      </c>
      <c r="AQ352" s="255">
        <f>SUMIF($AB$4:$AB344,$AB352,AQ$4:AQ344)</f>
        <v>40</v>
      </c>
      <c r="AR352" s="256">
        <f>SUMIF($AB$4:$AB344,$AB352,AR$4:AR344)</f>
        <v>63000</v>
      </c>
      <c r="AS352" s="253"/>
    </row>
    <row r="353" spans="1:46">
      <c r="A353" s="18" t="s">
        <v>186</v>
      </c>
      <c r="B353" s="123" t="s">
        <v>185</v>
      </c>
      <c r="C353" s="205"/>
      <c r="D353" s="229"/>
      <c r="E353" s="206"/>
      <c r="F353" s="206"/>
      <c r="G353" s="205"/>
      <c r="L353" s="224"/>
      <c r="O353" s="30">
        <v>2009</v>
      </c>
      <c r="Q353" s="46" t="s">
        <v>31</v>
      </c>
      <c r="U353" s="133" t="s">
        <v>141</v>
      </c>
      <c r="W353" s="107"/>
      <c r="X353" s="107"/>
      <c r="Y353" s="30">
        <v>2009</v>
      </c>
      <c r="AB353" s="22" t="s">
        <v>138</v>
      </c>
      <c r="AC353" s="254">
        <f>SUMIF($AB$4:$AB344,$AB353,AC$4:AC344)</f>
        <v>0</v>
      </c>
      <c r="AD353" s="255">
        <f>SUMIF($AB$4:$AB344,$AB353,AD$4:AD344)</f>
        <v>0</v>
      </c>
      <c r="AE353" s="255">
        <f>SUMIF($AB$4:$AB344,$AB353,AE$4:AE344)</f>
        <v>0</v>
      </c>
      <c r="AF353" s="255">
        <f>SUMIF($AB$4:$AB344,$AB353,AF$4:AF344)</f>
        <v>0</v>
      </c>
      <c r="AG353" s="255">
        <f>SUMIF($AB$4:$AB344,$AB353,AG$4:AG344)</f>
        <v>0</v>
      </c>
      <c r="AH353" s="256">
        <f>SUMIF($AB$4:$AB344,$AB353,AH$4:AH344)</f>
        <v>0</v>
      </c>
      <c r="AI353" s="252"/>
      <c r="AL353" s="73" t="str">
        <f t="shared" si="362"/>
        <v>CONT</v>
      </c>
      <c r="AM353" s="257">
        <f>SUMIF($AB$4:$AB344,$AB353,AM$4:AM344)</f>
        <v>0</v>
      </c>
      <c r="AN353" s="255">
        <f>SUMIF($AB$4:$AB344,$AB353,AN$4:AN344)</f>
        <v>0</v>
      </c>
      <c r="AO353" s="255">
        <f>SUMIF($AB$4:$AB344,$AB353,AO$4:AO344)</f>
        <v>0</v>
      </c>
      <c r="AP353" s="255">
        <f>SUMIF($AB$4:$AB344,$AB353,AP$4:AP344)</f>
        <v>0</v>
      </c>
      <c r="AQ353" s="255">
        <f>SUMIF($AB$4:$AB344,$AB353,AQ$4:AQ344)</f>
        <v>0</v>
      </c>
      <c r="AR353" s="256">
        <f>SUMIF($AB$4:$AB344,$AB353,AR$4:AR344)</f>
        <v>0</v>
      </c>
      <c r="AS353" s="253"/>
    </row>
    <row r="354" spans="1:46">
      <c r="A354" s="18" t="s">
        <v>188</v>
      </c>
      <c r="B354" s="42" t="s">
        <v>187</v>
      </c>
      <c r="C354" s="207"/>
      <c r="D354" s="227"/>
      <c r="E354" s="196"/>
      <c r="F354" s="203"/>
      <c r="G354" s="207"/>
      <c r="L354" s="224"/>
      <c r="O354" s="30">
        <v>2009</v>
      </c>
      <c r="Q354" s="46" t="s">
        <v>31</v>
      </c>
      <c r="U354" s="133" t="s">
        <v>141</v>
      </c>
      <c r="W354" s="107">
        <f>SUMIF($T$4:$T$338,CONCATENATE(Q354,#REF!,O354),$O$4:$O$338)</f>
        <v>0</v>
      </c>
      <c r="X354" s="107">
        <f>SUMIF($T$4:$T$338,CONCATENATE(Q354,#REF!,Y354),$O$4:$O$338)</f>
        <v>0</v>
      </c>
      <c r="Y354" s="30">
        <v>2009</v>
      </c>
      <c r="AB354" s="22" t="s">
        <v>134</v>
      </c>
      <c r="AC354" s="254">
        <f>SUMIF($AB$4:$AB340,$AB354,AC$4:AC340)</f>
        <v>0</v>
      </c>
      <c r="AD354" s="255">
        <f>SUMIF($AB$4:$AB340,$AB354,AD$4:AD340)</f>
        <v>0</v>
      </c>
      <c r="AE354" s="255">
        <f>SUMIF($AB$4:$AB340,$AB354,AE$4:AE340)</f>
        <v>0</v>
      </c>
      <c r="AF354" s="255">
        <f>SUMIF($AB$4:$AB340,$AB354,AF$4:AF340)</f>
        <v>0</v>
      </c>
      <c r="AG354" s="255">
        <f>SUMIF($AB$4:$AB340,$AB354,AG$4:AG340)</f>
        <v>0</v>
      </c>
      <c r="AH354" s="256">
        <f>SUMIF($AB$4:$AB340,$AB354,AH$4:AH340)</f>
        <v>0</v>
      </c>
      <c r="AI354" s="252"/>
      <c r="AL354" s="73" t="str">
        <f t="shared" si="362"/>
        <v>STAR</v>
      </c>
      <c r="AM354" s="257">
        <f>SUMIF($AB$4:$AB340,$AB354,AM$4:AM340)</f>
        <v>0</v>
      </c>
      <c r="AN354" s="255">
        <f>SUMIF($AB$4:$AB340,$AB354,AN$4:AN340)</f>
        <v>0</v>
      </c>
      <c r="AO354" s="255">
        <f>SUMIF($AB$4:$AB340,$AB354,AO$4:AO340)</f>
        <v>0</v>
      </c>
      <c r="AP354" s="255">
        <f>SUMIF($AB$4:$AB340,$AB354,AP$4:AP340)</f>
        <v>0</v>
      </c>
      <c r="AQ354" s="255">
        <f>SUMIF($AB$4:$AB340,$AB354,AQ$4:AQ340)</f>
        <v>0</v>
      </c>
      <c r="AR354" s="256">
        <f>SUMIF($AB$4:$AB340,$AB354,AR$4:AR340)</f>
        <v>0</v>
      </c>
      <c r="AS354" s="253"/>
    </row>
    <row r="355" spans="1:46" ht="15.75">
      <c r="A355" s="18" t="s">
        <v>190</v>
      </c>
      <c r="B355" s="42" t="s">
        <v>189</v>
      </c>
      <c r="C355" s="204"/>
      <c r="D355" s="228"/>
      <c r="E355" s="203"/>
      <c r="F355" s="203"/>
      <c r="G355" s="208"/>
      <c r="L355" s="224"/>
      <c r="O355" s="30">
        <v>2009</v>
      </c>
      <c r="Q355" s="46" t="s">
        <v>31</v>
      </c>
      <c r="U355" s="133" t="s">
        <v>141</v>
      </c>
      <c r="W355" s="107">
        <f>SUMIF($T$4:$T$338,CONCATENATE(Q355,#REF!,O355),$O$4:$O$338)</f>
        <v>0</v>
      </c>
      <c r="X355" s="107">
        <f>SUMIF($T$4:$T$338,CONCATENATE(Q355,#REF!,Y355),$O$4:$O$338)</f>
        <v>0</v>
      </c>
      <c r="Y355" s="30">
        <v>2009</v>
      </c>
      <c r="AC355" s="381" t="s">
        <v>136</v>
      </c>
      <c r="AD355" s="367"/>
      <c r="AE355" s="367"/>
      <c r="AF355" s="367"/>
      <c r="AG355" s="367"/>
      <c r="AH355" s="367"/>
      <c r="AI355" s="382"/>
      <c r="AL355" s="73"/>
      <c r="AM355" s="366" t="s">
        <v>137</v>
      </c>
      <c r="AN355" s="367"/>
      <c r="AO355" s="367"/>
      <c r="AP355" s="367"/>
      <c r="AQ355" s="367"/>
      <c r="AR355" s="367"/>
      <c r="AS355" s="368"/>
    </row>
    <row r="356" spans="1:46">
      <c r="A356" s="18" t="s">
        <v>192</v>
      </c>
      <c r="B356" s="42" t="s">
        <v>191</v>
      </c>
      <c r="C356" s="204"/>
      <c r="D356" s="228"/>
      <c r="E356" s="203"/>
      <c r="F356" s="203"/>
      <c r="G356" s="208"/>
      <c r="L356" s="224"/>
      <c r="O356" s="30">
        <v>2009</v>
      </c>
      <c r="Q356" s="46" t="s">
        <v>31</v>
      </c>
      <c r="U356" s="133" t="s">
        <v>141</v>
      </c>
      <c r="W356" s="107">
        <f>SUMIF($T$4:$T$338,CONCATENATE(Q356,#REF!,O356),$O$4:$O$338)</f>
        <v>0</v>
      </c>
      <c r="X356" s="107">
        <f>SUMIF($T$4:$T$338,CONCATENATE(Q356,#REF!,Y356),$O$4:$O$338)</f>
        <v>0</v>
      </c>
      <c r="Y356" s="30">
        <v>2009</v>
      </c>
      <c r="AC356" s="23" t="s">
        <v>35</v>
      </c>
      <c r="AD356" s="12" t="s">
        <v>36</v>
      </c>
      <c r="AE356" s="12" t="s">
        <v>23</v>
      </c>
      <c r="AF356" s="12" t="s">
        <v>16</v>
      </c>
      <c r="AG356" s="12" t="s">
        <v>17</v>
      </c>
      <c r="AH356" s="12" t="s">
        <v>14</v>
      </c>
      <c r="AI356" s="25" t="s">
        <v>37</v>
      </c>
      <c r="AL356" s="73"/>
      <c r="AM356" s="26" t="s">
        <v>35</v>
      </c>
      <c r="AN356" s="12" t="s">
        <v>36</v>
      </c>
      <c r="AO356" s="12" t="s">
        <v>23</v>
      </c>
      <c r="AP356" s="12" t="s">
        <v>16</v>
      </c>
      <c r="AQ356" s="12" t="s">
        <v>17</v>
      </c>
      <c r="AR356" s="12" t="s">
        <v>14</v>
      </c>
      <c r="AS356" s="27" t="s">
        <v>37</v>
      </c>
    </row>
    <row r="357" spans="1:46">
      <c r="A357" s="18" t="s">
        <v>194</v>
      </c>
      <c r="B357" s="42" t="s">
        <v>193</v>
      </c>
      <c r="C357" s="204"/>
      <c r="D357" s="228"/>
      <c r="E357" s="203"/>
      <c r="F357" s="203"/>
      <c r="G357" s="204"/>
      <c r="L357" s="224"/>
      <c r="O357" s="30">
        <v>2009</v>
      </c>
      <c r="Q357" s="46" t="s">
        <v>31</v>
      </c>
      <c r="U357" s="133" t="s">
        <v>141</v>
      </c>
      <c r="W357" s="107">
        <f>SUMIF($T$4:$T$338,CONCATENATE(Q357,#REF!,O357),$O$4:$O$338)</f>
        <v>0</v>
      </c>
      <c r="X357" s="107">
        <f>SUMIF($T$4:$T$338,CONCATENATE(Q357,#REF!,Y357),$O$4:$O$338)</f>
        <v>0</v>
      </c>
      <c r="Y357" s="30">
        <v>2009</v>
      </c>
      <c r="AB357" s="20">
        <f>AB347</f>
        <v>2009</v>
      </c>
      <c r="AC357" s="258">
        <f>AC379+AC400</f>
        <v>0</v>
      </c>
      <c r="AD357" s="256">
        <f t="shared" ref="AD357:AI357" si="363">AD379+AD400</f>
        <v>0</v>
      </c>
      <c r="AE357" s="256">
        <f t="shared" si="363"/>
        <v>0</v>
      </c>
      <c r="AF357" s="256">
        <f t="shared" si="363"/>
        <v>0</v>
      </c>
      <c r="AG357" s="256">
        <f t="shared" si="363"/>
        <v>0</v>
      </c>
      <c r="AH357" s="256">
        <f t="shared" si="363"/>
        <v>0</v>
      </c>
      <c r="AI357" s="259">
        <f t="shared" si="363"/>
        <v>0</v>
      </c>
      <c r="AL357" s="73">
        <f>AL347</f>
        <v>2009</v>
      </c>
      <c r="AM357" s="260">
        <f t="shared" ref="AM357:AS357" si="364">AM379+AM400</f>
        <v>0</v>
      </c>
      <c r="AN357" s="256">
        <f t="shared" si="364"/>
        <v>0</v>
      </c>
      <c r="AO357" s="256">
        <f t="shared" si="364"/>
        <v>0</v>
      </c>
      <c r="AP357" s="256">
        <f t="shared" si="364"/>
        <v>0</v>
      </c>
      <c r="AQ357" s="256">
        <f t="shared" si="364"/>
        <v>0</v>
      </c>
      <c r="AR357" s="256">
        <f t="shared" si="364"/>
        <v>0</v>
      </c>
      <c r="AS357" s="261">
        <f t="shared" si="364"/>
        <v>0</v>
      </c>
    </row>
    <row r="358" spans="1:46">
      <c r="A358" s="18" t="s">
        <v>196</v>
      </c>
      <c r="B358" s="42" t="s">
        <v>195</v>
      </c>
      <c r="C358" s="204"/>
      <c r="D358" s="228"/>
      <c r="E358" s="203"/>
      <c r="F358" s="203"/>
      <c r="G358" s="204"/>
      <c r="L358" s="224"/>
      <c r="O358" s="30">
        <v>2009</v>
      </c>
      <c r="Q358" s="46" t="s">
        <v>31</v>
      </c>
      <c r="U358" s="133" t="s">
        <v>141</v>
      </c>
      <c r="W358" s="107"/>
      <c r="X358" s="107"/>
      <c r="Y358" s="30">
        <v>2009</v>
      </c>
      <c r="AB358" s="20">
        <v>2010</v>
      </c>
      <c r="AC358" s="258">
        <f t="shared" ref="AC358:AI358" si="365">AC380+AC401</f>
        <v>15170.4</v>
      </c>
      <c r="AD358" s="256">
        <f t="shared" si="365"/>
        <v>51976.08</v>
      </c>
      <c r="AE358" s="256">
        <f t="shared" si="365"/>
        <v>0</v>
      </c>
      <c r="AF358" s="256">
        <f t="shared" si="365"/>
        <v>48576</v>
      </c>
      <c r="AG358" s="256">
        <f t="shared" si="365"/>
        <v>0</v>
      </c>
      <c r="AH358" s="256">
        <f t="shared" si="365"/>
        <v>87108</v>
      </c>
      <c r="AI358" s="259">
        <f t="shared" si="365"/>
        <v>202830.48</v>
      </c>
      <c r="AL358" s="73">
        <f>AL348</f>
        <v>2010</v>
      </c>
      <c r="AM358" s="260">
        <f t="shared" ref="AM358:AS358" si="366">AM380+AM401</f>
        <v>0</v>
      </c>
      <c r="AN358" s="256">
        <f t="shared" si="366"/>
        <v>24336</v>
      </c>
      <c r="AO358" s="256">
        <f t="shared" si="366"/>
        <v>0</v>
      </c>
      <c r="AP358" s="256">
        <f t="shared" si="366"/>
        <v>2400</v>
      </c>
      <c r="AQ358" s="256">
        <f t="shared" si="366"/>
        <v>0</v>
      </c>
      <c r="AR358" s="256">
        <f t="shared" si="366"/>
        <v>7500</v>
      </c>
      <c r="AS358" s="261">
        <f t="shared" si="366"/>
        <v>34236</v>
      </c>
    </row>
    <row r="359" spans="1:46">
      <c r="A359" s="18" t="s">
        <v>439</v>
      </c>
      <c r="B359" s="123" t="s">
        <v>197</v>
      </c>
      <c r="C359" s="204"/>
      <c r="D359" s="228"/>
      <c r="E359" s="203"/>
      <c r="F359" s="203"/>
      <c r="G359" s="204"/>
      <c r="L359" s="224"/>
      <c r="O359" s="30">
        <v>2009</v>
      </c>
      <c r="Q359" s="46" t="s">
        <v>31</v>
      </c>
      <c r="U359" s="133" t="s">
        <v>141</v>
      </c>
      <c r="W359" s="107"/>
      <c r="X359" s="107"/>
      <c r="Y359" s="30">
        <v>2009</v>
      </c>
      <c r="AB359" s="20">
        <v>2011</v>
      </c>
      <c r="AC359" s="258">
        <f t="shared" ref="AC359:AI359" si="367">AC381+AC402</f>
        <v>15603.84</v>
      </c>
      <c r="AD359" s="256">
        <f t="shared" si="367"/>
        <v>87487.92</v>
      </c>
      <c r="AE359" s="256">
        <f t="shared" si="367"/>
        <v>0</v>
      </c>
      <c r="AF359" s="256">
        <f t="shared" si="367"/>
        <v>88176</v>
      </c>
      <c r="AG359" s="256">
        <f t="shared" si="367"/>
        <v>0</v>
      </c>
      <c r="AH359" s="256">
        <f t="shared" si="367"/>
        <v>214750</v>
      </c>
      <c r="AI359" s="259">
        <f t="shared" si="367"/>
        <v>406017.76</v>
      </c>
      <c r="AL359" s="73">
        <f>AL349</f>
        <v>2011</v>
      </c>
      <c r="AM359" s="260">
        <f t="shared" ref="AM359:AS359" si="368">AM381+AM402</f>
        <v>4561.2</v>
      </c>
      <c r="AN359" s="256">
        <f t="shared" si="368"/>
        <v>17166.240000000002</v>
      </c>
      <c r="AO359" s="256">
        <f t="shared" si="368"/>
        <v>0</v>
      </c>
      <c r="AP359" s="256">
        <f t="shared" si="368"/>
        <v>8460</v>
      </c>
      <c r="AQ359" s="256">
        <f t="shared" si="368"/>
        <v>0</v>
      </c>
      <c r="AR359" s="256">
        <f t="shared" si="368"/>
        <v>22250</v>
      </c>
      <c r="AS359" s="261">
        <f t="shared" si="368"/>
        <v>52437.440000000002</v>
      </c>
    </row>
    <row r="360" spans="1:46">
      <c r="A360" s="18" t="s">
        <v>201</v>
      </c>
      <c r="B360" s="42" t="s">
        <v>199</v>
      </c>
      <c r="C360" s="204"/>
      <c r="D360" s="228"/>
      <c r="E360" s="203"/>
      <c r="F360" s="203"/>
      <c r="G360" s="204"/>
      <c r="L360" s="224"/>
      <c r="O360" s="30">
        <v>2009</v>
      </c>
      <c r="Q360" s="46" t="s">
        <v>31</v>
      </c>
      <c r="U360" s="133" t="s">
        <v>141</v>
      </c>
      <c r="W360" s="107">
        <f>SUMIF($T$4:$T$338,CONCATENATE(Q360,#REF!,O360),$O$4:$O$338)</f>
        <v>0</v>
      </c>
      <c r="X360" s="107">
        <f>SUMIF($T$4:$T$338,CONCATENATE(Q360,#REF!,Y360),$O$4:$O$338)</f>
        <v>0</v>
      </c>
      <c r="Y360" s="30">
        <v>2009</v>
      </c>
      <c r="AB360" s="20">
        <f>AB350</f>
        <v>2012</v>
      </c>
      <c r="AC360" s="258">
        <f t="shared" ref="AC360:AI361" si="369">AC382+AC403</f>
        <v>18385.919999999998</v>
      </c>
      <c r="AD360" s="256">
        <f t="shared" si="369"/>
        <v>159300.18000000002</v>
      </c>
      <c r="AE360" s="256">
        <f t="shared" si="369"/>
        <v>0</v>
      </c>
      <c r="AF360" s="256">
        <f t="shared" si="369"/>
        <v>115017.00000000001</v>
      </c>
      <c r="AG360" s="256">
        <f t="shared" si="369"/>
        <v>0</v>
      </c>
      <c r="AH360" s="256">
        <f t="shared" si="369"/>
        <v>425760</v>
      </c>
      <c r="AI360" s="259">
        <f t="shared" si="369"/>
        <v>718463.10000000009</v>
      </c>
      <c r="AL360" s="73">
        <f>AL350</f>
        <v>2012</v>
      </c>
      <c r="AM360" s="260">
        <f t="shared" ref="AM360:AS361" si="370">AM382+AM403</f>
        <v>31464.720000000001</v>
      </c>
      <c r="AN360" s="256">
        <f t="shared" si="370"/>
        <v>88462.53</v>
      </c>
      <c r="AO360" s="256">
        <f t="shared" si="370"/>
        <v>0</v>
      </c>
      <c r="AP360" s="256">
        <f t="shared" si="370"/>
        <v>43638</v>
      </c>
      <c r="AQ360" s="256">
        <f t="shared" si="370"/>
        <v>0</v>
      </c>
      <c r="AR360" s="256">
        <f t="shared" si="370"/>
        <v>256750</v>
      </c>
      <c r="AS360" s="261">
        <f t="shared" si="370"/>
        <v>420315.25</v>
      </c>
    </row>
    <row r="361" spans="1:46">
      <c r="A361" s="18"/>
      <c r="B361" s="42"/>
      <c r="C361" s="204"/>
      <c r="D361" s="228"/>
      <c r="E361" s="203"/>
      <c r="F361" s="203"/>
      <c r="G361" s="204"/>
      <c r="L361" s="224"/>
      <c r="O361" s="30"/>
      <c r="Q361" s="46"/>
      <c r="U361" s="133"/>
      <c r="W361" s="107"/>
      <c r="X361" s="107"/>
      <c r="Y361" s="30"/>
      <c r="AB361" s="20">
        <f>AB351</f>
        <v>2013</v>
      </c>
      <c r="AC361" s="258">
        <f t="shared" si="369"/>
        <v>4898.88</v>
      </c>
      <c r="AD361" s="256">
        <f t="shared" si="369"/>
        <v>239009.94000000003</v>
      </c>
      <c r="AE361" s="256">
        <f t="shared" si="369"/>
        <v>0</v>
      </c>
      <c r="AF361" s="256">
        <f t="shared" si="369"/>
        <v>30375.000000000004</v>
      </c>
      <c r="AG361" s="256">
        <f t="shared" si="369"/>
        <v>0</v>
      </c>
      <c r="AH361" s="256">
        <f t="shared" si="369"/>
        <v>646650</v>
      </c>
      <c r="AI361" s="259">
        <f t="shared" si="369"/>
        <v>920933.82000000007</v>
      </c>
      <c r="AL361" s="73">
        <f>AL351</f>
        <v>2013</v>
      </c>
      <c r="AM361" s="260">
        <f t="shared" si="370"/>
        <v>7348.32</v>
      </c>
      <c r="AN361" s="256">
        <f t="shared" si="370"/>
        <v>46247.76</v>
      </c>
      <c r="AO361" s="256">
        <f t="shared" si="370"/>
        <v>0</v>
      </c>
      <c r="AP361" s="256">
        <f t="shared" si="370"/>
        <v>36693.000000000007</v>
      </c>
      <c r="AQ361" s="256">
        <f t="shared" si="370"/>
        <v>0</v>
      </c>
      <c r="AR361" s="256">
        <f t="shared" si="370"/>
        <v>55500</v>
      </c>
      <c r="AS361" s="261">
        <f t="shared" si="370"/>
        <v>145789.08000000002</v>
      </c>
    </row>
    <row r="362" spans="1:46" ht="13.5" thickBot="1">
      <c r="A362" s="18" t="s">
        <v>203</v>
      </c>
      <c r="B362" s="123" t="s">
        <v>202</v>
      </c>
      <c r="C362" s="204"/>
      <c r="D362" s="228"/>
      <c r="E362" s="203"/>
      <c r="F362" s="203"/>
      <c r="G362" s="204"/>
      <c r="L362" s="224"/>
      <c r="O362" s="30">
        <v>2009</v>
      </c>
      <c r="Q362" s="46" t="s">
        <v>31</v>
      </c>
      <c r="U362" s="133" t="s">
        <v>141</v>
      </c>
      <c r="W362" s="107">
        <f>SUMIF($T$4:$T$338,CONCATENATE(Q362,#REF!,O362),$O$4:$O$338)</f>
        <v>0</v>
      </c>
      <c r="X362" s="107">
        <f>SUMIF($T$4:$T$338,CONCATENATE(Q362,#REF!,Y362),$O$4:$O$338)</f>
        <v>0</v>
      </c>
      <c r="Y362" s="30">
        <v>2009</v>
      </c>
      <c r="AB362" s="20">
        <v>2014</v>
      </c>
      <c r="AC362" s="262">
        <f t="shared" ref="AC362:AI362" si="371">AC384+AC405</f>
        <v>0</v>
      </c>
      <c r="AD362" s="263">
        <f t="shared" si="371"/>
        <v>28051.920000000002</v>
      </c>
      <c r="AE362" s="263">
        <f t="shared" si="371"/>
        <v>0</v>
      </c>
      <c r="AF362" s="263">
        <f t="shared" si="371"/>
        <v>1944.0000000000002</v>
      </c>
      <c r="AG362" s="263">
        <f t="shared" si="371"/>
        <v>0</v>
      </c>
      <c r="AH362" s="263">
        <f t="shared" si="371"/>
        <v>32200</v>
      </c>
      <c r="AI362" s="264">
        <f t="shared" si="371"/>
        <v>62195.92</v>
      </c>
      <c r="AL362" s="73">
        <v>2014</v>
      </c>
      <c r="AM362" s="265">
        <f t="shared" ref="AM362:AS362" si="372">AM384+AM405</f>
        <v>4082.4</v>
      </c>
      <c r="AN362" s="266">
        <f t="shared" si="372"/>
        <v>6254.8200000000006</v>
      </c>
      <c r="AO362" s="266">
        <f t="shared" si="372"/>
        <v>0</v>
      </c>
      <c r="AP362" s="266">
        <f t="shared" si="372"/>
        <v>5346.0000000000009</v>
      </c>
      <c r="AQ362" s="266">
        <f t="shared" si="372"/>
        <v>0</v>
      </c>
      <c r="AR362" s="266">
        <f t="shared" si="372"/>
        <v>63000</v>
      </c>
      <c r="AS362" s="267">
        <f t="shared" si="372"/>
        <v>78683.22</v>
      </c>
    </row>
    <row r="363" spans="1:46" ht="15.75" thickTop="1">
      <c r="A363" s="18" t="s">
        <v>205</v>
      </c>
      <c r="B363" s="42" t="s">
        <v>204</v>
      </c>
      <c r="C363" s="204"/>
      <c r="D363" s="228"/>
      <c r="E363" s="203"/>
      <c r="F363" s="203"/>
      <c r="G363" s="204"/>
      <c r="L363" s="224"/>
      <c r="O363" s="30">
        <v>2009</v>
      </c>
      <c r="Q363" s="46" t="s">
        <v>31</v>
      </c>
      <c r="U363" s="133" t="s">
        <v>141</v>
      </c>
      <c r="W363" s="107">
        <f>SUM(W354:W362)</f>
        <v>0</v>
      </c>
      <c r="X363" s="107">
        <f>SUM(X354:X362)</f>
        <v>0</v>
      </c>
      <c r="Y363" s="30">
        <v>2009</v>
      </c>
      <c r="AC363" s="107"/>
      <c r="AD363" s="107"/>
      <c r="AE363" s="107"/>
      <c r="AF363" s="107"/>
      <c r="AG363" s="107"/>
      <c r="AH363" s="64" t="s">
        <v>46</v>
      </c>
      <c r="AI363" s="64">
        <f>SUM(AI357:AI362)</f>
        <v>2310441.08</v>
      </c>
      <c r="AM363" s="107"/>
      <c r="AN363" s="107"/>
      <c r="AO363" s="107"/>
      <c r="AP363" s="107"/>
      <c r="AQ363" s="107"/>
      <c r="AR363" s="64" t="s">
        <v>44</v>
      </c>
      <c r="AS363" s="64">
        <f>SUM(AS357:AS362)</f>
        <v>731460.99</v>
      </c>
    </row>
    <row r="364" spans="1:46" ht="15">
      <c r="A364" s="18" t="s">
        <v>207</v>
      </c>
      <c r="B364" s="42" t="s">
        <v>206</v>
      </c>
      <c r="C364" s="204"/>
      <c r="D364" s="228"/>
      <c r="E364" s="203"/>
      <c r="F364" s="203"/>
      <c r="G364" s="204"/>
      <c r="L364" s="224"/>
      <c r="O364" s="30">
        <v>2009</v>
      </c>
      <c r="Q364" s="46" t="s">
        <v>31</v>
      </c>
      <c r="U364" s="133" t="s">
        <v>141</v>
      </c>
      <c r="W364" s="107">
        <f>W350+W363</f>
        <v>0</v>
      </c>
      <c r="X364" s="107">
        <f>X350+X363</f>
        <v>0</v>
      </c>
      <c r="Y364" s="30">
        <v>2009</v>
      </c>
      <c r="AC364" s="107"/>
      <c r="AD364" s="107"/>
      <c r="AE364" s="107"/>
      <c r="AF364" s="107"/>
      <c r="AG364" s="107"/>
      <c r="AH364" s="64"/>
      <c r="AM364" s="107"/>
      <c r="AN364" s="107"/>
      <c r="AO364" s="107"/>
      <c r="AP364" s="107"/>
      <c r="AQ364" s="107"/>
      <c r="AR364" s="64" t="s">
        <v>59</v>
      </c>
      <c r="AS364" s="268">
        <f>AS363/AI363</f>
        <v>0.31658932847575577</v>
      </c>
    </row>
    <row r="365" spans="1:46" ht="15">
      <c r="A365" s="18" t="s">
        <v>209</v>
      </c>
      <c r="B365" s="42" t="s">
        <v>208</v>
      </c>
      <c r="C365" s="204"/>
      <c r="D365" s="228"/>
      <c r="E365" s="203"/>
      <c r="F365" s="203"/>
      <c r="G365" s="204"/>
      <c r="L365" s="224"/>
      <c r="O365" s="269"/>
      <c r="Q365" s="66"/>
      <c r="U365" s="133"/>
      <c r="W365" s="107"/>
      <c r="X365" s="107"/>
      <c r="Y365" s="269"/>
      <c r="AC365" s="107"/>
      <c r="AD365" s="107"/>
      <c r="AE365" s="107"/>
      <c r="AF365" s="107"/>
      <c r="AG365" s="107"/>
      <c r="AH365" s="64"/>
      <c r="AI365" s="107">
        <f>AI385+AI406</f>
        <v>2310441.08</v>
      </c>
      <c r="AJ365" s="87" t="s">
        <v>56</v>
      </c>
      <c r="AM365" s="107"/>
      <c r="AN365" s="107"/>
      <c r="AO365" s="107"/>
      <c r="AP365" s="107"/>
      <c r="AQ365" s="107"/>
      <c r="AR365" s="64"/>
      <c r="AS365" s="107">
        <f>AS385+AS406</f>
        <v>731460.99</v>
      </c>
      <c r="AT365" s="18" t="s">
        <v>56</v>
      </c>
    </row>
    <row r="366" spans="1:46" ht="13.5" thickBot="1">
      <c r="A366" s="18" t="s">
        <v>211</v>
      </c>
      <c r="B366" s="42" t="s">
        <v>210</v>
      </c>
      <c r="C366" s="204"/>
      <c r="D366" s="228"/>
      <c r="E366" s="203"/>
      <c r="F366" s="203"/>
      <c r="G366" s="204"/>
      <c r="L366" s="224"/>
    </row>
    <row r="367" spans="1:46" ht="15.75" thickTop="1">
      <c r="A367" s="18" t="s">
        <v>213</v>
      </c>
      <c r="B367" s="123" t="s">
        <v>212</v>
      </c>
      <c r="C367" s="361" t="s">
        <v>146</v>
      </c>
      <c r="D367" s="361"/>
      <c r="E367" s="361"/>
      <c r="F367" s="361"/>
      <c r="G367" s="361"/>
      <c r="H367" s="361"/>
      <c r="I367" s="361"/>
      <c r="J367" s="361"/>
      <c r="K367" s="361"/>
      <c r="L367" s="361"/>
      <c r="AC367" s="375" t="s">
        <v>60</v>
      </c>
      <c r="AD367" s="376"/>
      <c r="AE367" s="376"/>
      <c r="AF367" s="376"/>
      <c r="AG367" s="376"/>
      <c r="AH367" s="376"/>
      <c r="AI367" s="377"/>
      <c r="AK367" s="87"/>
      <c r="AL367" s="75"/>
      <c r="AM367" s="375" t="s">
        <v>61</v>
      </c>
      <c r="AN367" s="376"/>
      <c r="AO367" s="376"/>
      <c r="AP367" s="376"/>
      <c r="AQ367" s="376"/>
      <c r="AR367" s="376"/>
      <c r="AS367" s="377"/>
    </row>
    <row r="368" spans="1:46">
      <c r="A368" s="18" t="s">
        <v>171</v>
      </c>
      <c r="B368" s="123" t="s">
        <v>318</v>
      </c>
      <c r="C368" s="361"/>
      <c r="D368" s="361"/>
      <c r="E368" s="361"/>
      <c r="F368" s="361"/>
      <c r="G368" s="361"/>
      <c r="H368" s="361"/>
      <c r="I368" s="361"/>
      <c r="J368" s="361"/>
      <c r="K368" s="361"/>
      <c r="L368" s="361"/>
      <c r="AC368" s="23" t="s">
        <v>10</v>
      </c>
      <c r="AD368" s="12" t="s">
        <v>9</v>
      </c>
      <c r="AE368" s="12" t="s">
        <v>23</v>
      </c>
      <c r="AF368" s="12" t="s">
        <v>16</v>
      </c>
      <c r="AG368" s="12" t="s">
        <v>17</v>
      </c>
      <c r="AH368" s="12" t="s">
        <v>14</v>
      </c>
      <c r="AI368" s="252"/>
      <c r="AK368" s="87"/>
      <c r="AL368" s="75"/>
      <c r="AM368" s="23" t="s">
        <v>10</v>
      </c>
      <c r="AN368" s="12" t="s">
        <v>9</v>
      </c>
      <c r="AO368" s="12" t="s">
        <v>23</v>
      </c>
      <c r="AP368" s="12" t="s">
        <v>16</v>
      </c>
      <c r="AQ368" s="12" t="s">
        <v>17</v>
      </c>
      <c r="AR368" s="12" t="s">
        <v>14</v>
      </c>
      <c r="AS368" s="252"/>
    </row>
    <row r="369" spans="1:47">
      <c r="A369" s="8"/>
      <c r="B369" s="123"/>
      <c r="C369" s="202"/>
      <c r="D369" s="228"/>
      <c r="E369" s="209"/>
      <c r="F369" s="203"/>
      <c r="G369" s="202"/>
      <c r="S369" s="91" t="s">
        <v>53</v>
      </c>
      <c r="AB369" s="20">
        <v>2009</v>
      </c>
      <c r="AC369" s="254">
        <f>SUMIF($S$4:$S338,CONCATENATE($S369,$AB369),AC$4:AC338)</f>
        <v>0</v>
      </c>
      <c r="AD369" s="255">
        <f>SUMIF($S$4:$S338,CONCATENATE($S369,$AB369),AD$4:AD338)</f>
        <v>0</v>
      </c>
      <c r="AE369" s="255">
        <f>SUMIF($S$4:$S338,CONCATENATE($S369,$AB369),AE$4:AE338)</f>
        <v>0</v>
      </c>
      <c r="AF369" s="255">
        <f>SUMIF($S$4:$S338,CONCATENATE($S369,$AB369),AF$4:AF338)</f>
        <v>0</v>
      </c>
      <c r="AG369" s="255">
        <f>SUMIF($S$4:$S338,CONCATENATE($S369,$AB369),AG$4:AG338)</f>
        <v>0</v>
      </c>
      <c r="AH369" s="255">
        <f>SUMIF($S$4:$S338,CONCATENATE($S369,$AB369),AH$4:AH338)</f>
        <v>0</v>
      </c>
      <c r="AI369" s="252"/>
      <c r="AK369" s="87" t="s">
        <v>54</v>
      </c>
      <c r="AL369" s="73">
        <f>AB369</f>
        <v>2009</v>
      </c>
      <c r="AM369" s="254">
        <f>SUMIF($S$4:$S338,CONCATENATE($AK369,$AL369),AM$4:AM338)</f>
        <v>0</v>
      </c>
      <c r="AN369" s="255">
        <f>SUMIF($S$4:$S338,CONCATENATE($AK369,$AL369),AN$4:AN338)</f>
        <v>0</v>
      </c>
      <c r="AO369" s="255">
        <f>SUMIF($S$4:$S338,CONCATENATE($AK369,$AL369),AO$4:AO338)</f>
        <v>0</v>
      </c>
      <c r="AP369" s="255">
        <f>SUMIF($S$4:$S338,CONCATENATE($AK369,$AL369),AP$4:AP338)</f>
        <v>0</v>
      </c>
      <c r="AQ369" s="255">
        <f>SUMIF($S$4:$S338,CONCATENATE($AK369,$AL369),AQ$4:AQ338)</f>
        <v>0</v>
      </c>
      <c r="AR369" s="255">
        <f>SUMIF($S$4:$S338,CONCATENATE($AK369,$AL369),AR$4:AR338)</f>
        <v>0</v>
      </c>
      <c r="AS369" s="252"/>
    </row>
    <row r="370" spans="1:47">
      <c r="A370" s="18"/>
      <c r="B370" s="123"/>
      <c r="C370" s="202"/>
      <c r="D370" s="228"/>
      <c r="E370" s="209"/>
      <c r="F370" s="203"/>
      <c r="G370" s="202"/>
      <c r="S370" s="91" t="s">
        <v>53</v>
      </c>
      <c r="AB370" s="20">
        <v>2010</v>
      </c>
      <c r="AC370" s="254">
        <f>SUMIF($S$4:$S338,CONCATENATE($S370,$AB370),AC$4:AC338)</f>
        <v>88</v>
      </c>
      <c r="AD370" s="255">
        <f>SUMIF($S$4:$S338,CONCATENATE($S370,$AB370),AD$4:AD338)</f>
        <v>360</v>
      </c>
      <c r="AE370" s="255">
        <f>SUMIF($S$4:$S338,CONCATENATE($S370,$AB370),AE$4:AE338)</f>
        <v>2184</v>
      </c>
      <c r="AF370" s="255">
        <f>SUMIF($S$4:$S338,CONCATENATE($S370,$AB370),AF$4:AF338)</f>
        <v>272</v>
      </c>
      <c r="AG370" s="255">
        <f>SUMIF($S$4:$S338,CONCATENATE($S370,$AB370),AG$4:AG338)</f>
        <v>2188</v>
      </c>
      <c r="AH370" s="255">
        <f>SUMIF($S$4:$S338,CONCATENATE($S370,$AB370),AH$4:AH338)</f>
        <v>37708</v>
      </c>
      <c r="AI370" s="252"/>
      <c r="AK370" s="87" t="s">
        <v>54</v>
      </c>
      <c r="AL370" s="73">
        <f t="shared" ref="AL370:AL376" si="373">AB370</f>
        <v>2010</v>
      </c>
      <c r="AM370" s="254">
        <f>SUMIF($S$4:$S338,CONCATENATE($AK370,$AL370),AM$4:AM338)</f>
        <v>0</v>
      </c>
      <c r="AN370" s="255">
        <f>SUMIF($S$4:$S338,CONCATENATE($AK370,$AL370),AN$4:AN338)</f>
        <v>208</v>
      </c>
      <c r="AO370" s="255">
        <f>SUMIF($S$4:$S338,CONCATENATE($AK370,$AL370),AO$4:AO338)</f>
        <v>8</v>
      </c>
      <c r="AP370" s="255">
        <f>SUMIF($S$4:$S338,CONCATENATE($AK370,$AL370),AP$4:AP338)</f>
        <v>16</v>
      </c>
      <c r="AQ370" s="255">
        <f>SUMIF($S$4:$S338,CONCATENATE($AK370,$AL370),AQ$4:AQ338)</f>
        <v>8</v>
      </c>
      <c r="AR370" s="255">
        <f>SUMIF($S$4:$S338,CONCATENATE($AK370,$AL370),AR$4:AR338)</f>
        <v>7500</v>
      </c>
      <c r="AS370" s="252"/>
    </row>
    <row r="371" spans="1:47">
      <c r="A371" s="8"/>
      <c r="B371" s="123"/>
      <c r="C371" s="202"/>
      <c r="D371" s="228"/>
      <c r="E371" s="209"/>
      <c r="F371" s="203"/>
      <c r="G371" s="202"/>
      <c r="S371" s="91" t="s">
        <v>53</v>
      </c>
      <c r="AB371" s="20">
        <v>2011</v>
      </c>
      <c r="AC371" s="254">
        <f>SUMIF($S$4:$S339,CONCATENATE($S371,$AB371),AC$4:AC341)</f>
        <v>72</v>
      </c>
      <c r="AD371" s="255">
        <f>SUMIF($S$4:$S339,CONCATENATE($S371,$AB371),AD$4:AD341)</f>
        <v>508</v>
      </c>
      <c r="AE371" s="255">
        <f>SUMIF($S$4:$S339,CONCATENATE($S371,$AB371),AE$4:AE341)</f>
        <v>980</v>
      </c>
      <c r="AF371" s="255">
        <f>SUMIF($S$4:$S339,CONCATENATE($S371,$AB371),AF$4:AF341)</f>
        <v>212</v>
      </c>
      <c r="AG371" s="255">
        <f>SUMIF($S$4:$S339,CONCATENATE($S371,$AB371),AG$4:AG341)</f>
        <v>1408</v>
      </c>
      <c r="AH371" s="255">
        <f>SUMIF($S$4:$S339,CONCATENATE($S371,$AB371),AH$4:AH341)</f>
        <v>202100</v>
      </c>
      <c r="AI371" s="252"/>
      <c r="AK371" s="87" t="s">
        <v>54</v>
      </c>
      <c r="AL371" s="73">
        <f t="shared" si="373"/>
        <v>2011</v>
      </c>
      <c r="AM371" s="254">
        <f>SUMIF($S$4:$S339,CONCATENATE($AK371,$AL371),AM$4:AM341)</f>
        <v>20</v>
      </c>
      <c r="AN371" s="255">
        <f>SUMIF($S$4:$S339,CONCATENATE($AK371,$AL371),AN$4:AN341)</f>
        <v>56</v>
      </c>
      <c r="AO371" s="255">
        <f>SUMIF($S$4:$S339,CONCATENATE($AK371,$AL371),AO$4:AO341)</f>
        <v>0</v>
      </c>
      <c r="AP371" s="255">
        <f>SUMIF($S$4:$S339,CONCATENATE($AK371,$AL371),AP$4:AP341)</f>
        <v>24</v>
      </c>
      <c r="AQ371" s="255">
        <f>SUMIF($S$4:$S339,CONCATENATE($AK371,$AL371),AQ$4:AQ341)</f>
        <v>0</v>
      </c>
      <c r="AR371" s="255">
        <f>SUMIF($S$4:$S339,CONCATENATE($AK371,$AL371),AR$4:AR341)</f>
        <v>7500</v>
      </c>
      <c r="AS371" s="252"/>
    </row>
    <row r="372" spans="1:47">
      <c r="A372" s="8"/>
      <c r="B372" s="8"/>
      <c r="C372" s="202"/>
      <c r="D372" s="228"/>
      <c r="E372" s="203"/>
      <c r="F372" s="203"/>
      <c r="G372" s="202"/>
      <c r="S372" s="91" t="s">
        <v>53</v>
      </c>
      <c r="AB372" s="20">
        <v>2012</v>
      </c>
      <c r="AC372" s="254">
        <f>SUMIF($S$4:$S338,CONCATENATE($S372,$AB372),AC$4:AC338)</f>
        <v>120</v>
      </c>
      <c r="AD372" s="255">
        <f>SUMIF($S$4:$S338,CONCATENATE($S372,$AB372),AD$4:AD338)</f>
        <v>200</v>
      </c>
      <c r="AE372" s="255">
        <f>SUMIF($S$4:$S338,CONCATENATE($S372,$AB372),AE$4:AE338)</f>
        <v>280</v>
      </c>
      <c r="AF372" s="255">
        <f>SUMIF($S$4:$S338,CONCATENATE($S372,$AB372),AF$4:AF338)</f>
        <v>88</v>
      </c>
      <c r="AG372" s="255">
        <f>SUMIF($S$4:$S338,CONCATENATE($S372,$AB372),AG$4:AG338)</f>
        <v>336</v>
      </c>
      <c r="AH372" s="255">
        <f>SUMIF($S$4:$S338,CONCATENATE($S372,$AB372),AH$4:AH338)</f>
        <v>161500</v>
      </c>
      <c r="AI372" s="252"/>
      <c r="AK372" s="87" t="s">
        <v>54</v>
      </c>
      <c r="AL372" s="73">
        <f t="shared" si="373"/>
        <v>2012</v>
      </c>
      <c r="AM372" s="254">
        <f>SUMIF($S$4:$S338,CONCATENATE($AK372,$AL372),AM$4:AM338)</f>
        <v>240</v>
      </c>
      <c r="AN372" s="255">
        <f>SUMIF($S$4:$S338,CONCATENATE($AK372,$AL372),AN$4:AN338)</f>
        <v>360</v>
      </c>
      <c r="AO372" s="255">
        <f>SUMIF($S$4:$S338,CONCATENATE($AK372,$AL372),AO$4:AO338)</f>
        <v>48</v>
      </c>
      <c r="AP372" s="255">
        <f>SUMIF($S$4:$S338,CONCATENATE($AK372,$AL372),AP$4:AP338)</f>
        <v>184</v>
      </c>
      <c r="AQ372" s="255">
        <f>SUMIF($S$4:$S338,CONCATENATE($AK372,$AL372),AQ$4:AQ338)</f>
        <v>80</v>
      </c>
      <c r="AR372" s="255">
        <f>SUMIF($S$4:$S338,CONCATENATE($AK372,$AL372),AR$4:AR338)</f>
        <v>199150</v>
      </c>
      <c r="AS372" s="252"/>
    </row>
    <row r="373" spans="1:47">
      <c r="A373" s="8"/>
      <c r="B373" s="8"/>
      <c r="C373" s="202"/>
      <c r="D373" s="228"/>
      <c r="E373" s="209"/>
      <c r="F373" s="203"/>
      <c r="G373" s="202"/>
      <c r="S373" s="91" t="s">
        <v>53</v>
      </c>
      <c r="AB373" s="20">
        <v>2013</v>
      </c>
      <c r="AC373" s="254">
        <f>SUMIF($S$4:$S338,CONCATENATE($S373,$AB373),AC$4:AC338)</f>
        <v>0</v>
      </c>
      <c r="AD373" s="255">
        <f>SUMIF($S$4:$S338,CONCATENATE($S373,$AB373),AD$4:AD338)</f>
        <v>0</v>
      </c>
      <c r="AE373" s="255">
        <f>SUMIF($S$4:$S338,CONCATENATE($S373,$AB373),AE$4:AE338)</f>
        <v>0</v>
      </c>
      <c r="AF373" s="255">
        <f>SUMIF($S$4:$S338,CONCATENATE($S373,$AB373),AF$4:AF338)</f>
        <v>0</v>
      </c>
      <c r="AG373" s="255">
        <f>SUMIF($S$4:$S338,CONCATENATE($S373,$AB373),AG$4:AG338)</f>
        <v>0</v>
      </c>
      <c r="AH373" s="255">
        <f>SUMIF($S$4:$S338,CONCATENATE($S373,$AB373),AH$4:AH338)</f>
        <v>0</v>
      </c>
      <c r="AI373" s="252"/>
      <c r="AK373" s="87" t="s">
        <v>54</v>
      </c>
      <c r="AL373" s="73">
        <f t="shared" si="373"/>
        <v>2013</v>
      </c>
      <c r="AM373" s="254">
        <f>SUMIF($S$4:$S338,CONCATENATE($AK373,$AL373),AM$4:AM338)</f>
        <v>0</v>
      </c>
      <c r="AN373" s="255">
        <f>SUMIF($S$4:$S338,CONCATENATE($AK373,$AL373),AN$4:AN338)</f>
        <v>0</v>
      </c>
      <c r="AO373" s="255">
        <f>SUMIF($S$4:$S338,CONCATENATE($AK373,$AL373),AO$4:AO338)</f>
        <v>0</v>
      </c>
      <c r="AP373" s="255">
        <f>SUMIF($S$4:$S338,CONCATENATE($AK373,$AL373),AP$4:AP338)</f>
        <v>0</v>
      </c>
      <c r="AQ373" s="255">
        <f>SUMIF($S$4:$S338,CONCATENATE($AK373,$AL373),AQ$4:AQ338)</f>
        <v>0</v>
      </c>
      <c r="AR373" s="255">
        <f>SUMIF($S$4:$S338,CONCATENATE($AK373,$AL373),AR$4:AR338)</f>
        <v>0</v>
      </c>
      <c r="AS373" s="252"/>
    </row>
    <row r="374" spans="1:47">
      <c r="A374" s="8"/>
      <c r="B374" s="8"/>
      <c r="C374" s="202"/>
      <c r="D374" s="228"/>
      <c r="E374" s="209"/>
      <c r="F374" s="203"/>
      <c r="G374" s="202"/>
      <c r="S374" s="91" t="s">
        <v>53</v>
      </c>
      <c r="AB374" s="20">
        <v>2014</v>
      </c>
      <c r="AC374" s="254">
        <f>SUMIF($S$4:$S339,CONCATENATE($S374,$AB374),AC$4:AC339)</f>
        <v>0</v>
      </c>
      <c r="AD374" s="255">
        <f>SUMIF($S$4:$S339,CONCATENATE($S374,$AB374),AD$4:AD339)</f>
        <v>0</v>
      </c>
      <c r="AE374" s="255">
        <f>SUMIF($S$4:$S339,CONCATENATE($S374,$AB374),AE$4:AE339)</f>
        <v>0</v>
      </c>
      <c r="AF374" s="255">
        <f>SUMIF($S$4:$S339,CONCATENATE($S374,$AB374),AF$4:AF339)</f>
        <v>0</v>
      </c>
      <c r="AG374" s="255">
        <f>SUMIF($S$4:$S339,CONCATENATE($S374,$AB374),AG$4:AG339)</f>
        <v>0</v>
      </c>
      <c r="AH374" s="255">
        <f>SUMIF($S$4:$S339,CONCATENATE($S374,$AB374),AH$4:AH339)</f>
        <v>0</v>
      </c>
      <c r="AI374" s="252"/>
      <c r="AK374" s="87" t="s">
        <v>54</v>
      </c>
      <c r="AL374" s="73">
        <f>AB374</f>
        <v>2014</v>
      </c>
      <c r="AM374" s="254">
        <f>SUMIF($S$4:$S339,CONCATENATE($AK374,$AL374),AM$4:AM339)</f>
        <v>0</v>
      </c>
      <c r="AN374" s="255">
        <f>SUMIF($S$4:$S339,CONCATENATE($AK374,$AL374),AN$4:AN339)</f>
        <v>0</v>
      </c>
      <c r="AO374" s="255">
        <f>SUMIF($S$4:$S339,CONCATENATE($AK374,$AL374),AO$4:AO339)</f>
        <v>0</v>
      </c>
      <c r="AP374" s="255">
        <f>SUMIF($S$4:$S339,CONCATENATE($AK374,$AL374),AP$4:AP339)</f>
        <v>0</v>
      </c>
      <c r="AQ374" s="255">
        <f>SUMIF($S$4:$S339,CONCATENATE($AK374,$AL374),AQ$4:AQ339)</f>
        <v>0</v>
      </c>
      <c r="AR374" s="255">
        <f>SUMIF($S$4:$S339,CONCATENATE($AK374,$AL374),AR$4:AR339)</f>
        <v>0</v>
      </c>
      <c r="AS374" s="252"/>
    </row>
    <row r="375" spans="1:47">
      <c r="A375" s="8"/>
      <c r="B375" s="8"/>
      <c r="C375" s="202"/>
      <c r="D375" s="228"/>
      <c r="E375" s="203"/>
      <c r="F375" s="203"/>
      <c r="G375" s="202"/>
      <c r="S375" s="91" t="s">
        <v>53</v>
      </c>
      <c r="AB375" s="22" t="s">
        <v>138</v>
      </c>
      <c r="AC375" s="254">
        <f>SUMIF($S$4:$S338,CONCATENATE($S375,$AB375),AC$4:AC338)</f>
        <v>0</v>
      </c>
      <c r="AD375" s="255">
        <f>SUMIF($S$4:$S338,CONCATENATE($S375,$AB375),AD$4:AD338)</f>
        <v>0</v>
      </c>
      <c r="AE375" s="255">
        <f>SUMIF($S$4:$S338,CONCATENATE($S375,$AB375),AE$4:AE338)</f>
        <v>0</v>
      </c>
      <c r="AF375" s="255">
        <f>SUMIF($S$4:$S338,CONCATENATE($S375,$AB375),AF$4:AF338)</f>
        <v>0</v>
      </c>
      <c r="AG375" s="255">
        <f>SUMIF($S$4:$S338,CONCATENATE($S375,$AB375),AG$4:AG338)</f>
        <v>0</v>
      </c>
      <c r="AH375" s="255">
        <f>SUMIF($S$4:$S338,CONCATENATE($S375,$AB375),AH$4:AH338)</f>
        <v>0</v>
      </c>
      <c r="AI375" s="252"/>
      <c r="AK375" s="87" t="s">
        <v>54</v>
      </c>
      <c r="AL375" s="73" t="str">
        <f t="shared" si="373"/>
        <v>CONT</v>
      </c>
      <c r="AM375" s="254">
        <f>SUMIF($S$4:$S338,CONCATENATE($AK375,$AL375),AM$4:AM338)</f>
        <v>0</v>
      </c>
      <c r="AN375" s="255">
        <f>SUMIF($S$4:$S338,CONCATENATE($AK375,$AL375),AN$4:AN338)</f>
        <v>0</v>
      </c>
      <c r="AO375" s="255">
        <f>SUMIF($S$4:$S338,CONCATENATE($AK375,$AL375),AO$4:AO338)</f>
        <v>0</v>
      </c>
      <c r="AP375" s="255">
        <f>SUMIF($S$4:$S338,CONCATENATE($AK375,$AL375),AP$4:AP338)</f>
        <v>0</v>
      </c>
      <c r="AQ375" s="255">
        <f>SUMIF($S$4:$S338,CONCATENATE($AK375,$AL375),AQ$4:AQ338)</f>
        <v>0</v>
      </c>
      <c r="AR375" s="255">
        <f>SUMIF($S$4:$S338,CONCATENATE($AK375,$AL375),AR$4:AR338)</f>
        <v>0</v>
      </c>
      <c r="AS375" s="252"/>
    </row>
    <row r="376" spans="1:47">
      <c r="A376" s="8"/>
      <c r="B376" s="8"/>
      <c r="C376" s="202"/>
      <c r="D376" s="230"/>
      <c r="E376" s="209"/>
      <c r="F376" s="203"/>
      <c r="G376" s="210"/>
      <c r="S376" s="91" t="s">
        <v>53</v>
      </c>
      <c r="AB376" s="22" t="s">
        <v>134</v>
      </c>
      <c r="AC376" s="254">
        <f>SUMIF($S$4:$S338,CONCATENATE($S376,$AB376),AC$4:AC338)</f>
        <v>0</v>
      </c>
      <c r="AD376" s="255">
        <f>SUMIF($S$4:$S338,CONCATENATE($S376,$AB376),AD$4:AD338)</f>
        <v>0</v>
      </c>
      <c r="AE376" s="255">
        <f>SUMIF($S$4:$S338,CONCATENATE($S376,$AB376),AE$4:AE338)</f>
        <v>0</v>
      </c>
      <c r="AF376" s="255">
        <f>SUMIF($S$4:$S338,CONCATENATE($S376,$AB376),AF$4:AF338)</f>
        <v>0</v>
      </c>
      <c r="AG376" s="255">
        <f>SUMIF($S$4:$S338,CONCATENATE($S376,$AB376),AG$4:AG338)</f>
        <v>0</v>
      </c>
      <c r="AH376" s="255">
        <f>SUMIF($S$4:$S338,CONCATENATE($S376,$AB376),AH$4:AH338)</f>
        <v>0</v>
      </c>
      <c r="AI376" s="252"/>
      <c r="AK376" s="87" t="s">
        <v>54</v>
      </c>
      <c r="AL376" s="73" t="str">
        <f t="shared" si="373"/>
        <v>STAR</v>
      </c>
      <c r="AM376" s="254">
        <f>SUMIF($S$4:$S338,CONCATENATE($AK376,$AL376),AM$4:AM338)</f>
        <v>0</v>
      </c>
      <c r="AN376" s="255">
        <f>SUMIF($S$4:$S338,CONCATENATE($AK376,$AL376),AN$4:AN338)</f>
        <v>0</v>
      </c>
      <c r="AO376" s="255">
        <f>SUMIF($S$4:$S338,CONCATENATE($AK376,$AL376),AO$4:AO338)</f>
        <v>0</v>
      </c>
      <c r="AP376" s="255">
        <f>SUMIF($S$4:$S338,CONCATENATE($AK376,$AL376),AP$4:AP338)</f>
        <v>0</v>
      </c>
      <c r="AQ376" s="255">
        <f>SUMIF($S$4:$S338,CONCATENATE($AK376,$AL376),AQ$4:AQ338)</f>
        <v>0</v>
      </c>
      <c r="AR376" s="255">
        <f>SUMIF($S$4:$S338,CONCATENATE($AK376,$AL376),AR$4:AR338)</f>
        <v>0</v>
      </c>
      <c r="AS376" s="252"/>
    </row>
    <row r="377" spans="1:47" ht="15.75">
      <c r="A377" s="8"/>
      <c r="B377" s="8"/>
      <c r="C377" s="202"/>
      <c r="D377" s="231"/>
      <c r="E377" s="203"/>
      <c r="F377" s="203"/>
      <c r="G377" s="202"/>
      <c r="AC377" s="381" t="s">
        <v>136</v>
      </c>
      <c r="AD377" s="367"/>
      <c r="AE377" s="367"/>
      <c r="AF377" s="367"/>
      <c r="AG377" s="367"/>
      <c r="AH377" s="367"/>
      <c r="AI377" s="382"/>
      <c r="AK377" s="87"/>
      <c r="AL377" s="75"/>
      <c r="AM377" s="381" t="s">
        <v>136</v>
      </c>
      <c r="AN377" s="367"/>
      <c r="AO377" s="367"/>
      <c r="AP377" s="367"/>
      <c r="AQ377" s="367"/>
      <c r="AR377" s="367"/>
      <c r="AS377" s="382"/>
      <c r="AU377" s="24"/>
    </row>
    <row r="378" spans="1:47">
      <c r="A378" s="8"/>
      <c r="B378" s="8"/>
      <c r="C378" s="202"/>
      <c r="D378" s="231"/>
      <c r="E378" s="211"/>
      <c r="F378" s="212"/>
      <c r="G378" s="202"/>
      <c r="AC378" s="23" t="s">
        <v>35</v>
      </c>
      <c r="AD378" s="12" t="s">
        <v>36</v>
      </c>
      <c r="AE378" s="12" t="s">
        <v>23</v>
      </c>
      <c r="AF378" s="12" t="s">
        <v>16</v>
      </c>
      <c r="AG378" s="12" t="s">
        <v>17</v>
      </c>
      <c r="AH378" s="12" t="s">
        <v>14</v>
      </c>
      <c r="AI378" s="25" t="s">
        <v>37</v>
      </c>
      <c r="AK378" s="87"/>
      <c r="AL378" s="75"/>
      <c r="AM378" s="23" t="s">
        <v>35</v>
      </c>
      <c r="AN378" s="12" t="s">
        <v>36</v>
      </c>
      <c r="AO378" s="12" t="s">
        <v>23</v>
      </c>
      <c r="AP378" s="12" t="s">
        <v>16</v>
      </c>
      <c r="AQ378" s="12" t="s">
        <v>17</v>
      </c>
      <c r="AR378" s="12" t="s">
        <v>14</v>
      </c>
      <c r="AS378" s="25" t="s">
        <v>37</v>
      </c>
    </row>
    <row r="379" spans="1:47">
      <c r="A379" s="8"/>
      <c r="B379" s="8"/>
      <c r="C379" s="202"/>
      <c r="D379" s="228"/>
      <c r="E379" s="211"/>
      <c r="F379" s="203"/>
      <c r="G379" s="202"/>
      <c r="S379" s="91" t="s">
        <v>53</v>
      </c>
      <c r="AB379" s="20">
        <f>AB369</f>
        <v>2009</v>
      </c>
      <c r="AC379" s="258">
        <f>Shop_RD*AC369</f>
        <v>0</v>
      </c>
      <c r="AD379" s="256">
        <f>MTECH_RD*AD369</f>
        <v>0</v>
      </c>
      <c r="AE379" s="256">
        <f>CMM_RD*AE369</f>
        <v>0</v>
      </c>
      <c r="AF379" s="256">
        <f>ENG_RD*AF369</f>
        <v>0</v>
      </c>
      <c r="AG379" s="256">
        <f>DES_RD*AG369</f>
        <v>0</v>
      </c>
      <c r="AH379" s="256">
        <f t="shared" ref="AH379:AH384" si="374">AH369</f>
        <v>0</v>
      </c>
      <c r="AI379" s="259">
        <f t="shared" ref="AI379:AI384" si="375">SUM(AC379:AH379)</f>
        <v>0</v>
      </c>
      <c r="AK379" s="87" t="s">
        <v>54</v>
      </c>
      <c r="AL379" s="73">
        <f t="shared" ref="AL379:AL384" si="376">AB379</f>
        <v>2009</v>
      </c>
      <c r="AM379" s="258">
        <f>Shop_RD*AM369</f>
        <v>0</v>
      </c>
      <c r="AN379" s="256">
        <f>MTECH_RD*AN369</f>
        <v>0</v>
      </c>
      <c r="AO379" s="256">
        <f>CMM_RD*AO369</f>
        <v>0</v>
      </c>
      <c r="AP379" s="256">
        <f>ENG_RD*AP369</f>
        <v>0</v>
      </c>
      <c r="AQ379" s="256">
        <f>DES_RD*AQ369</f>
        <v>0</v>
      </c>
      <c r="AR379" s="256">
        <f t="shared" ref="AR379:AR384" si="377">AR369</f>
        <v>0</v>
      </c>
      <c r="AS379" s="259">
        <f t="shared" ref="AS379:AS384" si="378">SUM(AM379:AR379)</f>
        <v>0</v>
      </c>
    </row>
    <row r="380" spans="1:47">
      <c r="A380" s="8"/>
      <c r="B380" s="8"/>
      <c r="C380" s="202"/>
      <c r="D380" s="228"/>
      <c r="E380" s="211"/>
      <c r="F380" s="203"/>
      <c r="G380" s="202"/>
      <c r="S380" s="91" t="s">
        <v>53</v>
      </c>
      <c r="AB380" s="20">
        <v>2010</v>
      </c>
      <c r="AC380" s="258">
        <f>Shop_RD*AC370</f>
        <v>11088</v>
      </c>
      <c r="AD380" s="256">
        <f>MTECH_RD*AD370</f>
        <v>42120</v>
      </c>
      <c r="AE380" s="256">
        <f>CMM_RD*AE370</f>
        <v>0</v>
      </c>
      <c r="AF380" s="256">
        <f>ENG_RD*AF370</f>
        <v>40800</v>
      </c>
      <c r="AG380" s="256">
        <f>DES_RD*AG370</f>
        <v>0</v>
      </c>
      <c r="AH380" s="256">
        <f t="shared" si="374"/>
        <v>37708</v>
      </c>
      <c r="AI380" s="259">
        <f t="shared" si="375"/>
        <v>131716</v>
      </c>
      <c r="AK380" s="87" t="s">
        <v>54</v>
      </c>
      <c r="AL380" s="73">
        <f t="shared" si="376"/>
        <v>2010</v>
      </c>
      <c r="AM380" s="258">
        <f>Shop_RD*AM370</f>
        <v>0</v>
      </c>
      <c r="AN380" s="256">
        <f>MTECH_RD*AN370</f>
        <v>24336</v>
      </c>
      <c r="AO380" s="256">
        <f>CMM_RD*AO370</f>
        <v>0</v>
      </c>
      <c r="AP380" s="256">
        <f>ENG_RD*AP370</f>
        <v>2400</v>
      </c>
      <c r="AQ380" s="256">
        <f>DES_RD*AQ370</f>
        <v>0</v>
      </c>
      <c r="AR380" s="256">
        <f t="shared" si="377"/>
        <v>7500</v>
      </c>
      <c r="AS380" s="259">
        <f t="shared" si="378"/>
        <v>34236</v>
      </c>
    </row>
    <row r="381" spans="1:47">
      <c r="A381" s="8"/>
      <c r="B381" s="8"/>
      <c r="C381" s="202"/>
      <c r="D381" s="228"/>
      <c r="E381" s="211"/>
      <c r="F381" s="203"/>
      <c r="G381" s="202"/>
      <c r="S381" s="91" t="s">
        <v>53</v>
      </c>
      <c r="AB381" s="20">
        <v>2011</v>
      </c>
      <c r="AC381" s="258">
        <f>Shop_RD*AC371</f>
        <v>9072</v>
      </c>
      <c r="AD381" s="256">
        <f>MTECH_RD*AD371</f>
        <v>59436</v>
      </c>
      <c r="AE381" s="256">
        <f>CMM_RD*AE371</f>
        <v>0</v>
      </c>
      <c r="AF381" s="256">
        <f>ENG_RD*AF371</f>
        <v>31800</v>
      </c>
      <c r="AG381" s="256">
        <f>DES_RD*AG371</f>
        <v>0</v>
      </c>
      <c r="AH381" s="256">
        <f t="shared" si="374"/>
        <v>202100</v>
      </c>
      <c r="AI381" s="259">
        <f t="shared" si="375"/>
        <v>302408</v>
      </c>
      <c r="AK381" s="87" t="s">
        <v>54</v>
      </c>
      <c r="AL381" s="73">
        <f t="shared" si="376"/>
        <v>2011</v>
      </c>
      <c r="AM381" s="258">
        <f>Shop_RD*AM371</f>
        <v>2520</v>
      </c>
      <c r="AN381" s="256">
        <f>MTECH_RD*AN371</f>
        <v>6552</v>
      </c>
      <c r="AO381" s="256">
        <f>CMM_RD*AO371</f>
        <v>0</v>
      </c>
      <c r="AP381" s="256">
        <f>ENG_RD*AP371</f>
        <v>3600</v>
      </c>
      <c r="AQ381" s="256">
        <f>DES_RD*AQ371</f>
        <v>0</v>
      </c>
      <c r="AR381" s="256">
        <f t="shared" si="377"/>
        <v>7500</v>
      </c>
      <c r="AS381" s="259">
        <f t="shared" si="378"/>
        <v>20172</v>
      </c>
    </row>
    <row r="382" spans="1:47">
      <c r="S382" s="91" t="s">
        <v>53</v>
      </c>
      <c r="AB382" s="20">
        <f>AB372</f>
        <v>2012</v>
      </c>
      <c r="AC382" s="258">
        <f>Shop_RD*AC372</f>
        <v>15120</v>
      </c>
      <c r="AD382" s="256">
        <f>MTECH_RD*AD372</f>
        <v>23400</v>
      </c>
      <c r="AE382" s="256">
        <f>CMM_RD*AE372</f>
        <v>0</v>
      </c>
      <c r="AF382" s="256">
        <f>ENG_RD*AF372</f>
        <v>13200</v>
      </c>
      <c r="AG382" s="256">
        <f>DES_RD*AG372</f>
        <v>0</v>
      </c>
      <c r="AH382" s="256">
        <f t="shared" si="374"/>
        <v>161500</v>
      </c>
      <c r="AI382" s="259">
        <f t="shared" si="375"/>
        <v>213220</v>
      </c>
      <c r="AK382" s="87" t="s">
        <v>54</v>
      </c>
      <c r="AL382" s="73">
        <f t="shared" si="376"/>
        <v>2012</v>
      </c>
      <c r="AM382" s="258">
        <f>Shop_RD*AM372</f>
        <v>30240</v>
      </c>
      <c r="AN382" s="256">
        <f>MTECH_RD*AN372</f>
        <v>42120</v>
      </c>
      <c r="AO382" s="256">
        <f>CMM_RD*AO372</f>
        <v>0</v>
      </c>
      <c r="AP382" s="256">
        <f>ENG_RD*AP372</f>
        <v>27600</v>
      </c>
      <c r="AQ382" s="256">
        <f>DES_RD*AQ372</f>
        <v>0</v>
      </c>
      <c r="AR382" s="256">
        <f t="shared" si="377"/>
        <v>199150</v>
      </c>
      <c r="AS382" s="259">
        <f t="shared" si="378"/>
        <v>299110</v>
      </c>
    </row>
    <row r="383" spans="1:47">
      <c r="S383" s="91" t="s">
        <v>53</v>
      </c>
      <c r="AB383" s="20">
        <f>AB373</f>
        <v>2013</v>
      </c>
      <c r="AC383" s="258">
        <f>Shop_RD*AC373</f>
        <v>0</v>
      </c>
      <c r="AD383" s="256">
        <f>MTECH_RD*AD373</f>
        <v>0</v>
      </c>
      <c r="AE383" s="256">
        <f>CMM_RD*AE373</f>
        <v>0</v>
      </c>
      <c r="AF383" s="256">
        <f>ENG_RD*AF373</f>
        <v>0</v>
      </c>
      <c r="AG383" s="256">
        <f>DES_RD*AG373</f>
        <v>0</v>
      </c>
      <c r="AH383" s="256">
        <f t="shared" si="374"/>
        <v>0</v>
      </c>
      <c r="AI383" s="259">
        <f t="shared" si="375"/>
        <v>0</v>
      </c>
      <c r="AK383" s="87" t="s">
        <v>54</v>
      </c>
      <c r="AL383" s="73">
        <f t="shared" si="376"/>
        <v>2013</v>
      </c>
      <c r="AM383" s="258">
        <f>Shop_RD*AM373</f>
        <v>0</v>
      </c>
      <c r="AN383" s="256">
        <f>MTECH_RD*AN373</f>
        <v>0</v>
      </c>
      <c r="AO383" s="256">
        <f>CMM_RD*AO373</f>
        <v>0</v>
      </c>
      <c r="AP383" s="256">
        <f>ENG_RD*AP373</f>
        <v>0</v>
      </c>
      <c r="AQ383" s="256">
        <f>DES_RD*AQ373</f>
        <v>0</v>
      </c>
      <c r="AR383" s="256">
        <f t="shared" si="377"/>
        <v>0</v>
      </c>
      <c r="AS383" s="259">
        <f t="shared" si="378"/>
        <v>0</v>
      </c>
    </row>
    <row r="384" spans="1:47" ht="13.5" thickBot="1">
      <c r="S384" s="91" t="s">
        <v>53</v>
      </c>
      <c r="AB384" s="20">
        <v>2014</v>
      </c>
      <c r="AC384" s="262">
        <f>Shop*AC374</f>
        <v>0</v>
      </c>
      <c r="AD384" s="263">
        <f>M_Tech*AD374</f>
        <v>0</v>
      </c>
      <c r="AE384" s="263">
        <f>CMM*AE374</f>
        <v>0</v>
      </c>
      <c r="AF384" s="263">
        <f>ENG*AF374</f>
        <v>0</v>
      </c>
      <c r="AG384" s="263">
        <f>DES*AG374</f>
        <v>0</v>
      </c>
      <c r="AH384" s="263">
        <f t="shared" si="374"/>
        <v>0</v>
      </c>
      <c r="AI384" s="264">
        <f t="shared" si="375"/>
        <v>0</v>
      </c>
      <c r="AK384" s="87" t="s">
        <v>54</v>
      </c>
      <c r="AL384" s="73">
        <f t="shared" si="376"/>
        <v>2014</v>
      </c>
      <c r="AM384" s="262">
        <f>Shop*AM374</f>
        <v>0</v>
      </c>
      <c r="AN384" s="263">
        <f>M_Tech*AN374</f>
        <v>0</v>
      </c>
      <c r="AO384" s="263">
        <f>CMM*AO374</f>
        <v>0</v>
      </c>
      <c r="AP384" s="263">
        <f>ENG*AP374</f>
        <v>0</v>
      </c>
      <c r="AQ384" s="263">
        <f>DES*AQ374</f>
        <v>0</v>
      </c>
      <c r="AR384" s="263">
        <f t="shared" si="377"/>
        <v>0</v>
      </c>
      <c r="AS384" s="264">
        <f t="shared" si="378"/>
        <v>0</v>
      </c>
    </row>
    <row r="385" spans="19:50" ht="15.75" thickTop="1">
      <c r="AH385" s="64" t="s">
        <v>46</v>
      </c>
      <c r="AI385" s="64">
        <f>SUM(AI379:AI384)</f>
        <v>647344</v>
      </c>
      <c r="AK385" s="87"/>
      <c r="AL385" s="6"/>
      <c r="AM385" s="139"/>
      <c r="AN385" s="139"/>
      <c r="AO385" s="139"/>
      <c r="AP385" s="139"/>
      <c r="AQ385" s="75"/>
      <c r="AR385" s="64" t="s">
        <v>44</v>
      </c>
      <c r="AS385" s="64">
        <f>SUM(AS379:AS384)</f>
        <v>353518</v>
      </c>
      <c r="AW385" s="63"/>
      <c r="AX385" s="63"/>
    </row>
    <row r="386" spans="19:50">
      <c r="AR386" s="74" t="s">
        <v>59</v>
      </c>
      <c r="AS386" s="268">
        <f>AS385/AI385</f>
        <v>0.54610531649324012</v>
      </c>
    </row>
    <row r="387" spans="19:50" ht="13.5" thickBot="1"/>
    <row r="388" spans="19:50" ht="15.75" thickTop="1">
      <c r="AC388" s="375" t="s">
        <v>57</v>
      </c>
      <c r="AD388" s="376"/>
      <c r="AE388" s="376"/>
      <c r="AF388" s="376"/>
      <c r="AG388" s="376"/>
      <c r="AH388" s="376"/>
      <c r="AI388" s="377"/>
      <c r="AK388" s="87"/>
      <c r="AL388" s="75"/>
      <c r="AM388" s="375" t="s">
        <v>58</v>
      </c>
      <c r="AN388" s="376"/>
      <c r="AO388" s="376"/>
      <c r="AP388" s="376"/>
      <c r="AQ388" s="376"/>
      <c r="AR388" s="376"/>
      <c r="AS388" s="377"/>
    </row>
    <row r="389" spans="19:50">
      <c r="AC389" s="23" t="s">
        <v>10</v>
      </c>
      <c r="AD389" s="12" t="s">
        <v>9</v>
      </c>
      <c r="AE389" s="12" t="s">
        <v>23</v>
      </c>
      <c r="AF389" s="12" t="s">
        <v>16</v>
      </c>
      <c r="AG389" s="12" t="s">
        <v>17</v>
      </c>
      <c r="AH389" s="12" t="s">
        <v>14</v>
      </c>
      <c r="AI389" s="252"/>
      <c r="AK389" s="87"/>
      <c r="AL389" s="75"/>
      <c r="AM389" s="23" t="s">
        <v>10</v>
      </c>
      <c r="AN389" s="12" t="s">
        <v>9</v>
      </c>
      <c r="AO389" s="12" t="s">
        <v>23</v>
      </c>
      <c r="AP389" s="12" t="s">
        <v>16</v>
      </c>
      <c r="AQ389" s="12" t="s">
        <v>17</v>
      </c>
      <c r="AR389" s="12" t="s">
        <v>14</v>
      </c>
      <c r="AS389" s="252"/>
    </row>
    <row r="390" spans="19:50">
      <c r="S390" s="91" t="s">
        <v>52</v>
      </c>
      <c r="AB390" s="20">
        <v>2009</v>
      </c>
      <c r="AC390" s="254">
        <f>SUMIF($S$4:$S338,CONCATENATE($S390,$AB390),AC$4:AC338)</f>
        <v>0</v>
      </c>
      <c r="AD390" s="255">
        <f>SUMIF($S$4:$S338,CONCATENATE($S390,$AB390),AD$4:AD338)</f>
        <v>0</v>
      </c>
      <c r="AE390" s="255">
        <f>SUMIF($S$4:$S338,CONCATENATE($S390,$AB390),AE$4:AE338)</f>
        <v>0</v>
      </c>
      <c r="AF390" s="255">
        <f>SUMIF($S$4:$S338,CONCATENATE($S390,$AB390),AF$4:AF338)</f>
        <v>0</v>
      </c>
      <c r="AG390" s="255">
        <f>SUMIF($S$4:$S338,CONCATENATE($S390,$AB390),AG$4:AG338)</f>
        <v>0</v>
      </c>
      <c r="AH390" s="255">
        <f>SUMIF($S$4:$S338,CONCATENATE($S390,$AB390),AH$4:AH338)</f>
        <v>0</v>
      </c>
      <c r="AI390" s="252"/>
      <c r="AK390" s="87" t="s">
        <v>55</v>
      </c>
      <c r="AL390" s="73">
        <f>AB390</f>
        <v>2009</v>
      </c>
      <c r="AM390" s="254">
        <f>SUMIF($S$4:$S338,CONCATENATE($AK390,$AL390),AM$4:AM338)</f>
        <v>0</v>
      </c>
      <c r="AN390" s="255">
        <f>SUMIF($S$4:$S338,CONCATENATE($AK390,$AL390),AN$4:AN338)</f>
        <v>0</v>
      </c>
      <c r="AO390" s="255">
        <f>SUMIF($S$4:$S338,CONCATENATE($AK390,$AL390),AO$4:AO338)</f>
        <v>0</v>
      </c>
      <c r="AP390" s="255">
        <f>SUMIF($S$4:$S338,CONCATENATE($AK390,$AL390),AP$4:AP338)</f>
        <v>0</v>
      </c>
      <c r="AQ390" s="255">
        <f>SUMIF($S$4:$S338,CONCATENATE($AK390,$AL390),AQ$4:AQ338)</f>
        <v>0</v>
      </c>
      <c r="AR390" s="255">
        <f>SUMIF($S$4:$S338,CONCATENATE($AK390,$AL390),AR$4:AR338)</f>
        <v>0</v>
      </c>
      <c r="AS390" s="252"/>
    </row>
    <row r="391" spans="19:50">
      <c r="S391" s="91" t="s">
        <v>52</v>
      </c>
      <c r="AB391" s="20">
        <v>2010</v>
      </c>
      <c r="AC391" s="254">
        <f>SUMIF($S$4:$S338,CONCATENATE($S391,$AB391),AC$4:AC338)</f>
        <v>40</v>
      </c>
      <c r="AD391" s="255">
        <f>SUMIF($S$4:$S338,CONCATENATE($S391,$AB391),AD$4:AD338)</f>
        <v>104</v>
      </c>
      <c r="AE391" s="255">
        <f>SUMIF($S$4:$S338,CONCATENATE($S391,$AB391),AE$4:AE338)</f>
        <v>572</v>
      </c>
      <c r="AF391" s="255">
        <f>SUMIF($S$4:$S338,CONCATENATE($S391,$AB391),AF$4:AF338)</f>
        <v>64</v>
      </c>
      <c r="AG391" s="255">
        <f>SUMIF($S$4:$S338,CONCATENATE($S391,$AB391),AG$4:AG338)</f>
        <v>456</v>
      </c>
      <c r="AH391" s="255">
        <f>SUMIF($S$4:$S338,CONCATENATE($S391,$AB391),AH$4:AH338)</f>
        <v>49400</v>
      </c>
      <c r="AI391" s="252"/>
      <c r="AK391" s="87" t="s">
        <v>55</v>
      </c>
      <c r="AL391" s="73">
        <f t="shared" ref="AL391:AL397" si="379">AB391</f>
        <v>2010</v>
      </c>
      <c r="AM391" s="254">
        <f>SUMIF($S$4:$S338,CONCATENATE($AK391,$AL391),AM$4:AM338)</f>
        <v>0</v>
      </c>
      <c r="AN391" s="255">
        <f>SUMIF($S$4:$S338,CONCATENATE($AK391,$AL391),AN$4:AN338)</f>
        <v>0</v>
      </c>
      <c r="AO391" s="255">
        <f>SUMIF($S$4:$S338,CONCATENATE($AK391,$AL391),AO$4:AO338)</f>
        <v>8</v>
      </c>
      <c r="AP391" s="255">
        <f>SUMIF($S$4:$S338,CONCATENATE($AK391,$AL391),AP$4:AP338)</f>
        <v>0</v>
      </c>
      <c r="AQ391" s="255">
        <f>SUMIF($S$4:$S338,CONCATENATE($AK391,$AL391),AQ$4:AQ338)</f>
        <v>40</v>
      </c>
      <c r="AR391" s="255">
        <f>SUMIF($S$4:$S338,CONCATENATE($AK391,$AL391),AR$4:AR338)</f>
        <v>0</v>
      </c>
      <c r="AS391" s="252"/>
    </row>
    <row r="392" spans="19:50">
      <c r="S392" s="91" t="s">
        <v>52</v>
      </c>
      <c r="AB392" s="20">
        <v>2011</v>
      </c>
      <c r="AC392" s="254">
        <f>SUMIF($S$4:$S338,CONCATENATE($S392,$AB392),AC$4:AC338)</f>
        <v>64</v>
      </c>
      <c r="AD392" s="255">
        <f>SUMIF($S$4:$S338,CONCATENATE($S392,$AB392),AD$4:AD338)</f>
        <v>296</v>
      </c>
      <c r="AE392" s="255">
        <f>SUMIF($S$4:$S338,CONCATENATE($S392,$AB392),AE$4:AE338)</f>
        <v>1072</v>
      </c>
      <c r="AF392" s="255">
        <f>SUMIF($S$4:$S338,CONCATENATE($S392,$AB392),AF$4:AF338)</f>
        <v>464</v>
      </c>
      <c r="AG392" s="255">
        <f>SUMIF($S$4:$S338,CONCATENATE($S392,$AB392),AG$4:AG338)</f>
        <v>848</v>
      </c>
      <c r="AH392" s="255">
        <f>SUMIF($S$4:$S338,CONCATENATE($S392,$AB392),AH$4:AH338)</f>
        <v>12650</v>
      </c>
      <c r="AI392" s="252"/>
      <c r="AK392" s="87" t="s">
        <v>55</v>
      </c>
      <c r="AL392" s="73">
        <f t="shared" si="379"/>
        <v>2011</v>
      </c>
      <c r="AM392" s="254">
        <f>SUMIF($S$4:$S338,CONCATENATE($AK392,$AL392),AM$4:AM338)</f>
        <v>20</v>
      </c>
      <c r="AN392" s="255">
        <f>SUMIF($S$4:$S338,CONCATENATE($AK392,$AL392),AN$4:AN338)</f>
        <v>112</v>
      </c>
      <c r="AO392" s="255">
        <f>SUMIF($S$4:$S338,CONCATENATE($AK392,$AL392),AO$4:AO338)</f>
        <v>88</v>
      </c>
      <c r="AP392" s="255">
        <f>SUMIF($S$4:$S338,CONCATENATE($AK392,$AL392),AP$4:AP338)</f>
        <v>40</v>
      </c>
      <c r="AQ392" s="255">
        <f>SUMIF($S$4:$S338,CONCATENATE($AK392,$AL392),AQ$4:AQ338)</f>
        <v>136</v>
      </c>
      <c r="AR392" s="255">
        <f>SUMIF($S$4:$S338,CONCATENATE($AK392,$AL392),AR$4:AR338)</f>
        <v>14750</v>
      </c>
      <c r="AS392" s="252"/>
    </row>
    <row r="393" spans="19:50">
      <c r="S393" s="91" t="s">
        <v>52</v>
      </c>
      <c r="AB393" s="20">
        <v>2012</v>
      </c>
      <c r="AC393" s="254">
        <f>SUMIF($S$4:$S339,CONCATENATE($S393,$AB393),AC$4:AC341)</f>
        <v>32</v>
      </c>
      <c r="AD393" s="255">
        <f>SUMIF($S$4:$S339,CONCATENATE($S393,$AB393),AD$4:AD341)</f>
        <v>1434</v>
      </c>
      <c r="AE393" s="255">
        <f>SUMIF($S$4:$S339,CONCATENATE($S393,$AB393),AE$4:AE341)</f>
        <v>1842</v>
      </c>
      <c r="AF393" s="255">
        <f>SUMIF($S$4:$S339,CONCATENATE($S393,$AB393),AF$4:AF341)</f>
        <v>838</v>
      </c>
      <c r="AG393" s="255">
        <f>SUMIF($S$4:$S339,CONCATENATE($S393,$AB393),AG$4:AG341)</f>
        <v>2180</v>
      </c>
      <c r="AH393" s="255">
        <f>SUMIF($S$4:$S339,CONCATENATE($S393,$AB393),AH$4:AH341)</f>
        <v>264260</v>
      </c>
      <c r="AI393" s="252"/>
      <c r="AK393" s="87" t="s">
        <v>55</v>
      </c>
      <c r="AL393" s="73">
        <f t="shared" si="379"/>
        <v>2012</v>
      </c>
      <c r="AM393" s="254">
        <f>SUMIF($S$4:$S339,CONCATENATE($AK393,$AL393),AM$4:AM341)</f>
        <v>12</v>
      </c>
      <c r="AN393" s="255">
        <f>SUMIF($S$4:$S339,CONCATENATE($AK393,$AL393),AN$4:AN341)</f>
        <v>489</v>
      </c>
      <c r="AO393" s="255">
        <f>SUMIF($S$4:$S339,CONCATENATE($AK393,$AL393),AO$4:AO341)</f>
        <v>4</v>
      </c>
      <c r="AP393" s="255">
        <f>SUMIF($S$4:$S339,CONCATENATE($AK393,$AL393),AP$4:AP341)</f>
        <v>132</v>
      </c>
      <c r="AQ393" s="255">
        <f>SUMIF($S$4:$S339,CONCATENATE($AK393,$AL393),AQ$4:AQ341)</f>
        <v>0</v>
      </c>
      <c r="AR393" s="255">
        <f>SUMIF($S$4:$S339,CONCATENATE($AK393,$AL393),AR$4:AR341)</f>
        <v>57600</v>
      </c>
      <c r="AS393" s="252"/>
    </row>
    <row r="394" spans="19:50">
      <c r="S394" s="91" t="s">
        <v>52</v>
      </c>
      <c r="AB394" s="20">
        <v>2013</v>
      </c>
      <c r="AC394" s="254">
        <f>SUMIF($S$4:$S340,CONCATENATE($S394,$AB394),AC$4:AC340)</f>
        <v>48</v>
      </c>
      <c r="AD394" s="255">
        <f>SUMIF($S$4:$S340,CONCATENATE($S394,$AB394),AD$4:AD340)</f>
        <v>2522</v>
      </c>
      <c r="AE394" s="255">
        <f>SUMIF($S$4:$S340,CONCATENATE($S394,$AB394),AE$4:AE340)</f>
        <v>2546</v>
      </c>
      <c r="AF394" s="255">
        <f>SUMIF($S$4:$S340,CONCATENATE($S394,$AB394),AF$4:AF340)</f>
        <v>250</v>
      </c>
      <c r="AG394" s="255">
        <f>SUMIF($S$4:$S340,CONCATENATE($S394,$AB394),AG$4:AG340)</f>
        <v>2594</v>
      </c>
      <c r="AH394" s="255">
        <f>SUMIF($S$4:$S340,CONCATENATE($S394,$AB394),AH$4:AH340)</f>
        <v>646650</v>
      </c>
      <c r="AI394" s="252"/>
      <c r="AK394" s="87" t="s">
        <v>55</v>
      </c>
      <c r="AL394" s="73">
        <f t="shared" si="379"/>
        <v>2013</v>
      </c>
      <c r="AM394" s="254">
        <f>SUMIF($S$4:$S340,CONCATENATE($AK394,$AL394),AM$4:AM340)</f>
        <v>72</v>
      </c>
      <c r="AN394" s="255">
        <f>SUMIF($S$4:$S340,CONCATENATE($AK394,$AL394),AN$4:AN340)</f>
        <v>488</v>
      </c>
      <c r="AO394" s="255">
        <f>SUMIF($S$4:$S340,CONCATENATE($AK394,$AL394),AO$4:AO340)</f>
        <v>0</v>
      </c>
      <c r="AP394" s="255">
        <f>SUMIF($S$4:$S340,CONCATENATE($AK394,$AL394),AP$4:AP340)</f>
        <v>302</v>
      </c>
      <c r="AQ394" s="255">
        <f>SUMIF($S$4:$S340,CONCATENATE($AK394,$AL394),AQ$4:AQ340)</f>
        <v>0</v>
      </c>
      <c r="AR394" s="255">
        <f>SUMIF($S$4:$S340,CONCATENATE($AK394,$AL394),AR$4:AR340)</f>
        <v>55500</v>
      </c>
      <c r="AS394" s="252"/>
    </row>
    <row r="395" spans="19:50">
      <c r="S395" s="91" t="s">
        <v>52</v>
      </c>
      <c r="AB395" s="20">
        <v>2014</v>
      </c>
      <c r="AC395" s="254">
        <f>SUMIF($S$4:$S341,CONCATENATE($S395,$AB395),AC$4:AC341)</f>
        <v>0</v>
      </c>
      <c r="AD395" s="255">
        <f>SUMIF($S$4:$S341,CONCATENATE($S395,$AB395),AD$4:AD341)</f>
        <v>296</v>
      </c>
      <c r="AE395" s="255">
        <f>SUMIF($S$4:$S341,CONCATENATE($S395,$AB395),AE$4:AE341)</f>
        <v>202</v>
      </c>
      <c r="AF395" s="255">
        <f>SUMIF($S$4:$S341,CONCATENATE($S395,$AB395),AF$4:AF341)</f>
        <v>16</v>
      </c>
      <c r="AG395" s="255">
        <f>SUMIF($S$4:$S341,CONCATENATE($S395,$AB395),AG$4:AG341)</f>
        <v>222</v>
      </c>
      <c r="AH395" s="255">
        <f>SUMIF($S$4:$S341,CONCATENATE($S395,$AB395),AH$4:AH341)</f>
        <v>32200</v>
      </c>
      <c r="AI395" s="252"/>
      <c r="AK395" s="87" t="s">
        <v>55</v>
      </c>
      <c r="AL395" s="73">
        <f>AB395</f>
        <v>2014</v>
      </c>
      <c r="AM395" s="254">
        <f>SUMIF($S$4:$S341,CONCATENATE($AK395,$AL395),AM$4:AM341)</f>
        <v>40</v>
      </c>
      <c r="AN395" s="255">
        <f>SUMIF($S$4:$S341,CONCATENATE($AK395,$AL395),AN$4:AN341)</f>
        <v>66</v>
      </c>
      <c r="AO395" s="255">
        <f>SUMIF($S$4:$S341,CONCATENATE($AK395,$AL395),AO$4:AO341)</f>
        <v>40</v>
      </c>
      <c r="AP395" s="255">
        <f>SUMIF($S$4:$S341,CONCATENATE($AK395,$AL395),AP$4:AP341)</f>
        <v>44</v>
      </c>
      <c r="AQ395" s="255">
        <f>SUMIF($S$4:$S341,CONCATENATE($AK395,$AL395),AQ$4:AQ341)</f>
        <v>40</v>
      </c>
      <c r="AR395" s="255">
        <f>SUMIF($S$4:$S341,CONCATENATE($AK395,$AL395),AR$4:AR341)</f>
        <v>63000</v>
      </c>
      <c r="AS395" s="252"/>
    </row>
    <row r="396" spans="19:50">
      <c r="S396" s="91" t="s">
        <v>52</v>
      </c>
      <c r="AB396" s="22" t="s">
        <v>138</v>
      </c>
      <c r="AC396" s="254">
        <f>SUMIF($S$4:$S338,CONCATENATE($S396,$AB396),AC$4:AC338)</f>
        <v>0</v>
      </c>
      <c r="AD396" s="255">
        <f>SUMIF($S$4:$S338,CONCATENATE($S396,$AB396),AD$4:AD338)</f>
        <v>0</v>
      </c>
      <c r="AE396" s="255">
        <f>SUMIF($S$4:$S338,CONCATENATE($S396,$AB396),AE$4:AE338)</f>
        <v>0</v>
      </c>
      <c r="AF396" s="255">
        <f>SUMIF($S$4:$S338,CONCATENATE($S396,$AB396),AF$4:AF338)</f>
        <v>0</v>
      </c>
      <c r="AG396" s="255">
        <f>SUMIF($S$4:$S338,CONCATENATE($S396,$AB396),AG$4:AG338)</f>
        <v>0</v>
      </c>
      <c r="AH396" s="255">
        <f>SUMIF($S$4:$S338,CONCATENATE($S396,$AB396),AH$4:AH338)</f>
        <v>0</v>
      </c>
      <c r="AI396" s="252"/>
      <c r="AK396" s="87" t="s">
        <v>55</v>
      </c>
      <c r="AL396" s="73" t="str">
        <f t="shared" si="379"/>
        <v>CONT</v>
      </c>
      <c r="AM396" s="254">
        <f>SUMIF($S$4:$S338,CONCATENATE($AK396,$AL396),AM$4:AM338)</f>
        <v>0</v>
      </c>
      <c r="AN396" s="255">
        <f>SUMIF($S$4:$S338,CONCATENATE($AK396,$AL396),AN$4:AN338)</f>
        <v>0</v>
      </c>
      <c r="AO396" s="255">
        <f>SUMIF($S$4:$S338,CONCATENATE($AK396,$AL396),AO$4:AO338)</f>
        <v>0</v>
      </c>
      <c r="AP396" s="255">
        <f>SUMIF($S$4:$S338,CONCATENATE($AK396,$AL396),AP$4:AP338)</f>
        <v>0</v>
      </c>
      <c r="AQ396" s="255">
        <f>SUMIF($S$4:$S338,CONCATENATE($AK396,$AL396),AQ$4:AQ338)</f>
        <v>0</v>
      </c>
      <c r="AR396" s="255">
        <f>SUMIF($S$4:$S338,CONCATENATE($AK396,$AL396),AR$4:AR338)</f>
        <v>0</v>
      </c>
      <c r="AS396" s="252"/>
    </row>
    <row r="397" spans="19:50">
      <c r="S397" s="91" t="s">
        <v>52</v>
      </c>
      <c r="AB397" s="22" t="s">
        <v>134</v>
      </c>
      <c r="AC397" s="254">
        <f>SUMIF($S$4:$S338,CONCATENATE($S397,$AB397),AC$4:AC338)</f>
        <v>0</v>
      </c>
      <c r="AD397" s="255">
        <f>SUMIF($S$4:$S338,CONCATENATE($S397,$AB397),AD$4:AD338)</f>
        <v>0</v>
      </c>
      <c r="AE397" s="255">
        <f>SUMIF($S$4:$S338,CONCATENATE($S397,$AB397),AE$4:AE338)</f>
        <v>0</v>
      </c>
      <c r="AF397" s="255">
        <f>SUMIF($S$4:$S338,CONCATENATE($S397,$AB397),AF$4:AF338)</f>
        <v>0</v>
      </c>
      <c r="AG397" s="255">
        <f>SUMIF($S$4:$S338,CONCATENATE($S397,$AB397),AG$4:AG338)</f>
        <v>0</v>
      </c>
      <c r="AH397" s="255">
        <f>SUMIF($S$4:$S338,CONCATENATE($S397,$AB397),AH$4:AH338)</f>
        <v>0</v>
      </c>
      <c r="AI397" s="252"/>
      <c r="AK397" s="87" t="s">
        <v>55</v>
      </c>
      <c r="AL397" s="73" t="str">
        <f t="shared" si="379"/>
        <v>STAR</v>
      </c>
      <c r="AM397" s="254">
        <f>SUMIF($S$4:$S338,CONCATENATE($AK397,$AL397),AM$4:AM338)</f>
        <v>0</v>
      </c>
      <c r="AN397" s="255">
        <f>SUMIF($S$4:$S338,CONCATENATE($AK397,$AL397),AN$4:AN338)</f>
        <v>0</v>
      </c>
      <c r="AO397" s="255">
        <f>SUMIF($S$4:$S338,CONCATENATE($AK397,$AL397),AO$4:AO338)</f>
        <v>0</v>
      </c>
      <c r="AP397" s="255">
        <f>SUMIF($S$4:$S338,CONCATENATE($AK397,$AL397),AP$4:AP338)</f>
        <v>0</v>
      </c>
      <c r="AQ397" s="255">
        <f>SUMIF($S$4:$S338,CONCATENATE($AK397,$AL397),AQ$4:AQ338)</f>
        <v>0</v>
      </c>
      <c r="AR397" s="255">
        <f>SUMIF($S$4:$S338,CONCATENATE($AK397,$AL397),AR$4:AR338)</f>
        <v>0</v>
      </c>
      <c r="AS397" s="252"/>
    </row>
    <row r="398" spans="19:50" ht="15.75">
      <c r="AC398" s="381" t="s">
        <v>136</v>
      </c>
      <c r="AD398" s="367"/>
      <c r="AE398" s="367"/>
      <c r="AF398" s="367"/>
      <c r="AG398" s="367"/>
      <c r="AH398" s="367"/>
      <c r="AI398" s="382"/>
      <c r="AK398" s="87"/>
      <c r="AL398" s="75"/>
      <c r="AM398" s="381" t="s">
        <v>136</v>
      </c>
      <c r="AN398" s="367"/>
      <c r="AO398" s="367"/>
      <c r="AP398" s="367"/>
      <c r="AQ398" s="367"/>
      <c r="AR398" s="367"/>
      <c r="AS398" s="382"/>
    </row>
    <row r="399" spans="19:50">
      <c r="AC399" s="23" t="s">
        <v>35</v>
      </c>
      <c r="AD399" s="12" t="s">
        <v>36</v>
      </c>
      <c r="AE399" s="12" t="s">
        <v>23</v>
      </c>
      <c r="AF399" s="12" t="s">
        <v>16</v>
      </c>
      <c r="AG399" s="12" t="s">
        <v>17</v>
      </c>
      <c r="AH399" s="12" t="s">
        <v>14</v>
      </c>
      <c r="AI399" s="25" t="s">
        <v>37</v>
      </c>
      <c r="AK399" s="87"/>
      <c r="AL399" s="75"/>
      <c r="AM399" s="23" t="s">
        <v>35</v>
      </c>
      <c r="AN399" s="12" t="s">
        <v>36</v>
      </c>
      <c r="AO399" s="12" t="s">
        <v>23</v>
      </c>
      <c r="AP399" s="12" t="s">
        <v>16</v>
      </c>
      <c r="AQ399" s="12" t="s">
        <v>17</v>
      </c>
      <c r="AR399" s="12" t="s">
        <v>14</v>
      </c>
      <c r="AS399" s="25" t="s">
        <v>37</v>
      </c>
    </row>
    <row r="400" spans="19:50">
      <c r="S400" s="91" t="s">
        <v>52</v>
      </c>
      <c r="AB400" s="20">
        <f>AB390</f>
        <v>2009</v>
      </c>
      <c r="AC400" s="258">
        <f t="shared" ref="AC400:AC405" si="380">Shop*AC390</f>
        <v>0</v>
      </c>
      <c r="AD400" s="256">
        <f t="shared" ref="AD400:AD405" si="381">M_Tech*AD390</f>
        <v>0</v>
      </c>
      <c r="AE400" s="256">
        <f t="shared" ref="AE400:AE405" si="382">CMM*AE390</f>
        <v>0</v>
      </c>
      <c r="AF400" s="256">
        <f t="shared" ref="AF400:AF405" si="383">ENG*AF390</f>
        <v>0</v>
      </c>
      <c r="AG400" s="256">
        <f t="shared" ref="AG400:AG405" si="384">DES*AG390</f>
        <v>0</v>
      </c>
      <c r="AH400" s="256">
        <f t="shared" ref="AH400:AH405" si="385">AH390</f>
        <v>0</v>
      </c>
      <c r="AI400" s="259">
        <f t="shared" ref="AI400:AI405" si="386">SUM(AC400:AH400)</f>
        <v>0</v>
      </c>
      <c r="AK400" s="87" t="s">
        <v>55</v>
      </c>
      <c r="AL400" s="73">
        <f t="shared" ref="AL400:AL405" si="387">AB400</f>
        <v>2009</v>
      </c>
      <c r="AM400" s="258">
        <f t="shared" ref="AM400:AM405" si="388">Shop*AM390</f>
        <v>0</v>
      </c>
      <c r="AN400" s="256">
        <f t="shared" ref="AN400:AN405" si="389">M_Tech*AN390</f>
        <v>0</v>
      </c>
      <c r="AO400" s="256">
        <f t="shared" ref="AO400:AO405" si="390">CMM*AO390</f>
        <v>0</v>
      </c>
      <c r="AP400" s="256">
        <f t="shared" ref="AP400:AP405" si="391">ENG*AP390</f>
        <v>0</v>
      </c>
      <c r="AQ400" s="256">
        <f t="shared" ref="AQ400:AQ405" si="392">DES*AQ390</f>
        <v>0</v>
      </c>
      <c r="AR400" s="256">
        <f t="shared" ref="AR400:AR405" si="393">AR390</f>
        <v>0</v>
      </c>
      <c r="AS400" s="259">
        <f t="shared" ref="AS400:AS405" si="394">SUM(AM400:AR400)</f>
        <v>0</v>
      </c>
    </row>
    <row r="401" spans="19:45">
      <c r="S401" s="91" t="s">
        <v>52</v>
      </c>
      <c r="AB401" s="20">
        <v>2010</v>
      </c>
      <c r="AC401" s="258">
        <f t="shared" si="380"/>
        <v>4082.4</v>
      </c>
      <c r="AD401" s="256">
        <f t="shared" si="381"/>
        <v>9856.0800000000017</v>
      </c>
      <c r="AE401" s="256">
        <f t="shared" si="382"/>
        <v>0</v>
      </c>
      <c r="AF401" s="256">
        <f t="shared" si="383"/>
        <v>7776.0000000000009</v>
      </c>
      <c r="AG401" s="256">
        <f t="shared" si="384"/>
        <v>0</v>
      </c>
      <c r="AH401" s="256">
        <f t="shared" si="385"/>
        <v>49400</v>
      </c>
      <c r="AI401" s="259">
        <f t="shared" si="386"/>
        <v>71114.48000000001</v>
      </c>
      <c r="AK401" s="87" t="s">
        <v>55</v>
      </c>
      <c r="AL401" s="73">
        <f t="shared" si="387"/>
        <v>2010</v>
      </c>
      <c r="AM401" s="258">
        <f t="shared" si="388"/>
        <v>0</v>
      </c>
      <c r="AN401" s="256">
        <f t="shared" si="389"/>
        <v>0</v>
      </c>
      <c r="AO401" s="256">
        <f t="shared" si="390"/>
        <v>0</v>
      </c>
      <c r="AP401" s="256">
        <f t="shared" si="391"/>
        <v>0</v>
      </c>
      <c r="AQ401" s="256">
        <f t="shared" si="392"/>
        <v>0</v>
      </c>
      <c r="AR401" s="256">
        <f t="shared" si="393"/>
        <v>0</v>
      </c>
      <c r="AS401" s="259">
        <f t="shared" si="394"/>
        <v>0</v>
      </c>
    </row>
    <row r="402" spans="19:45">
      <c r="S402" s="91" t="s">
        <v>52</v>
      </c>
      <c r="AB402" s="20">
        <v>2011</v>
      </c>
      <c r="AC402" s="258">
        <f t="shared" si="380"/>
        <v>6531.84</v>
      </c>
      <c r="AD402" s="256">
        <f t="shared" si="381"/>
        <v>28051.920000000002</v>
      </c>
      <c r="AE402" s="256">
        <f t="shared" si="382"/>
        <v>0</v>
      </c>
      <c r="AF402" s="256">
        <f t="shared" si="383"/>
        <v>56376.000000000007</v>
      </c>
      <c r="AG402" s="256">
        <f t="shared" si="384"/>
        <v>0</v>
      </c>
      <c r="AH402" s="256">
        <f t="shared" si="385"/>
        <v>12650</v>
      </c>
      <c r="AI402" s="259">
        <f t="shared" si="386"/>
        <v>103609.76000000001</v>
      </c>
      <c r="AK402" s="87" t="s">
        <v>55</v>
      </c>
      <c r="AL402" s="73">
        <f t="shared" si="387"/>
        <v>2011</v>
      </c>
      <c r="AM402" s="258">
        <f t="shared" si="388"/>
        <v>2041.2</v>
      </c>
      <c r="AN402" s="256">
        <f t="shared" si="389"/>
        <v>10614.240000000002</v>
      </c>
      <c r="AO402" s="256">
        <f t="shared" si="390"/>
        <v>0</v>
      </c>
      <c r="AP402" s="256">
        <f t="shared" si="391"/>
        <v>4860.0000000000009</v>
      </c>
      <c r="AQ402" s="256">
        <f t="shared" si="392"/>
        <v>0</v>
      </c>
      <c r="AR402" s="256">
        <f t="shared" si="393"/>
        <v>14750</v>
      </c>
      <c r="AS402" s="259">
        <f t="shared" si="394"/>
        <v>32265.440000000002</v>
      </c>
    </row>
    <row r="403" spans="19:45">
      <c r="S403" s="91" t="s">
        <v>52</v>
      </c>
      <c r="AB403" s="20">
        <f>AB393</f>
        <v>2012</v>
      </c>
      <c r="AC403" s="258">
        <f t="shared" si="380"/>
        <v>3265.92</v>
      </c>
      <c r="AD403" s="256">
        <f t="shared" si="381"/>
        <v>135900.18000000002</v>
      </c>
      <c r="AE403" s="256">
        <f t="shared" si="382"/>
        <v>0</v>
      </c>
      <c r="AF403" s="256">
        <f t="shared" si="383"/>
        <v>101817.00000000001</v>
      </c>
      <c r="AG403" s="256">
        <f t="shared" si="384"/>
        <v>0</v>
      </c>
      <c r="AH403" s="256">
        <f t="shared" si="385"/>
        <v>264260</v>
      </c>
      <c r="AI403" s="259">
        <f t="shared" si="386"/>
        <v>505243.10000000003</v>
      </c>
      <c r="AK403" s="87" t="s">
        <v>55</v>
      </c>
      <c r="AL403" s="73">
        <f t="shared" si="387"/>
        <v>2012</v>
      </c>
      <c r="AM403" s="258">
        <f t="shared" si="388"/>
        <v>1224.72</v>
      </c>
      <c r="AN403" s="256">
        <f t="shared" si="389"/>
        <v>46342.530000000006</v>
      </c>
      <c r="AO403" s="256">
        <f t="shared" si="390"/>
        <v>0</v>
      </c>
      <c r="AP403" s="256">
        <f t="shared" si="391"/>
        <v>16038.000000000002</v>
      </c>
      <c r="AQ403" s="256">
        <f t="shared" si="392"/>
        <v>0</v>
      </c>
      <c r="AR403" s="256">
        <f t="shared" si="393"/>
        <v>57600</v>
      </c>
      <c r="AS403" s="259">
        <f t="shared" si="394"/>
        <v>121205.25</v>
      </c>
    </row>
    <row r="404" spans="19:45">
      <c r="S404" s="91" t="s">
        <v>52</v>
      </c>
      <c r="AB404" s="20">
        <f>AB394</f>
        <v>2013</v>
      </c>
      <c r="AC404" s="258">
        <f t="shared" si="380"/>
        <v>4898.88</v>
      </c>
      <c r="AD404" s="256">
        <f t="shared" si="381"/>
        <v>239009.94000000003</v>
      </c>
      <c r="AE404" s="256">
        <f t="shared" si="382"/>
        <v>0</v>
      </c>
      <c r="AF404" s="256">
        <f t="shared" si="383"/>
        <v>30375.000000000004</v>
      </c>
      <c r="AG404" s="256">
        <f t="shared" si="384"/>
        <v>0</v>
      </c>
      <c r="AH404" s="256">
        <f t="shared" si="385"/>
        <v>646650</v>
      </c>
      <c r="AI404" s="259">
        <f t="shared" si="386"/>
        <v>920933.82000000007</v>
      </c>
      <c r="AK404" s="87" t="s">
        <v>55</v>
      </c>
      <c r="AL404" s="73">
        <f t="shared" si="387"/>
        <v>2013</v>
      </c>
      <c r="AM404" s="258">
        <f t="shared" si="388"/>
        <v>7348.32</v>
      </c>
      <c r="AN404" s="256">
        <f t="shared" si="389"/>
        <v>46247.76</v>
      </c>
      <c r="AO404" s="256">
        <f t="shared" si="390"/>
        <v>0</v>
      </c>
      <c r="AP404" s="256">
        <f t="shared" si="391"/>
        <v>36693.000000000007</v>
      </c>
      <c r="AQ404" s="256">
        <f t="shared" si="392"/>
        <v>0</v>
      </c>
      <c r="AR404" s="256">
        <f t="shared" si="393"/>
        <v>55500</v>
      </c>
      <c r="AS404" s="259">
        <f t="shared" si="394"/>
        <v>145789.08000000002</v>
      </c>
    </row>
    <row r="405" spans="19:45" ht="13.5" thickBot="1">
      <c r="S405" s="91" t="s">
        <v>52</v>
      </c>
      <c r="AB405" s="20">
        <v>2014</v>
      </c>
      <c r="AC405" s="262">
        <f t="shared" si="380"/>
        <v>0</v>
      </c>
      <c r="AD405" s="263">
        <f t="shared" si="381"/>
        <v>28051.920000000002</v>
      </c>
      <c r="AE405" s="263">
        <f t="shared" si="382"/>
        <v>0</v>
      </c>
      <c r="AF405" s="263">
        <f t="shared" si="383"/>
        <v>1944.0000000000002</v>
      </c>
      <c r="AG405" s="263">
        <f t="shared" si="384"/>
        <v>0</v>
      </c>
      <c r="AH405" s="263">
        <f t="shared" si="385"/>
        <v>32200</v>
      </c>
      <c r="AI405" s="264">
        <f t="shared" si="386"/>
        <v>62195.92</v>
      </c>
      <c r="AK405" s="87" t="s">
        <v>55</v>
      </c>
      <c r="AL405" s="73">
        <f t="shared" si="387"/>
        <v>2014</v>
      </c>
      <c r="AM405" s="262">
        <f t="shared" si="388"/>
        <v>4082.4</v>
      </c>
      <c r="AN405" s="263">
        <f t="shared" si="389"/>
        <v>6254.8200000000006</v>
      </c>
      <c r="AO405" s="263">
        <f t="shared" si="390"/>
        <v>0</v>
      </c>
      <c r="AP405" s="263">
        <f t="shared" si="391"/>
        <v>5346.0000000000009</v>
      </c>
      <c r="AQ405" s="263">
        <f t="shared" si="392"/>
        <v>0</v>
      </c>
      <c r="AR405" s="263">
        <f t="shared" si="393"/>
        <v>63000</v>
      </c>
      <c r="AS405" s="264">
        <f t="shared" si="394"/>
        <v>78683.22</v>
      </c>
    </row>
    <row r="406" spans="19:45" ht="15.75" thickTop="1">
      <c r="AH406" s="64" t="s">
        <v>46</v>
      </c>
      <c r="AI406" s="64">
        <f>SUM(AI400:AI405)</f>
        <v>1663097.08</v>
      </c>
      <c r="AK406" s="87"/>
      <c r="AL406" s="6"/>
      <c r="AM406" s="139"/>
      <c r="AN406" s="139"/>
      <c r="AO406" s="139"/>
      <c r="AP406" s="139"/>
      <c r="AQ406" s="75"/>
      <c r="AR406" s="64" t="s">
        <v>44</v>
      </c>
      <c r="AS406" s="64">
        <f>SUM(AS400:AS405)</f>
        <v>377942.99</v>
      </c>
    </row>
    <row r="407" spans="19:45">
      <c r="AR407" s="74" t="s">
        <v>59</v>
      </c>
      <c r="AS407" s="268">
        <f>AS406/AI406</f>
        <v>0.22725251252320158</v>
      </c>
    </row>
  </sheetData>
  <mergeCells count="25">
    <mergeCell ref="AC398:AI398"/>
    <mergeCell ref="AM388:AS388"/>
    <mergeCell ref="AM398:AS398"/>
    <mergeCell ref="AC367:AI367"/>
    <mergeCell ref="AC377:AI377"/>
    <mergeCell ref="AM367:AS367"/>
    <mergeCell ref="AM377:AS377"/>
    <mergeCell ref="AC388:AI388"/>
    <mergeCell ref="AM355:AS355"/>
    <mergeCell ref="Q2:AB2"/>
    <mergeCell ref="AC2:AI2"/>
    <mergeCell ref="AM2:AS2"/>
    <mergeCell ref="AC345:AI345"/>
    <mergeCell ref="AM345:AS345"/>
    <mergeCell ref="AC355:AI355"/>
    <mergeCell ref="S1:T1"/>
    <mergeCell ref="W1:AA1"/>
    <mergeCell ref="C345:L345"/>
    <mergeCell ref="C367:L368"/>
    <mergeCell ref="N132:P132"/>
    <mergeCell ref="N66:P66"/>
    <mergeCell ref="N337:P337"/>
    <mergeCell ref="N227:P227"/>
    <mergeCell ref="N196:P196"/>
    <mergeCell ref="N302:P302"/>
  </mergeCells>
  <phoneticPr fontId="0" type="noConversion"/>
  <conditionalFormatting sqref="N67 A66:M67 L69:M69 O69 O80 O135 O147 L39:N39 O158 O336 L91:O91 O171 O181 A295:O295 A267:O267 A207:O207 A212:O212 A315:O315 A195:O195 A133:N133 A5:M38 A199:O199 A41:N64 A338:N339 A226:O226 A65:O65 A301:O301 A205:N225 L117:N127 C199:C204 A199:A204 B200:B204 D200:D204 E199:N204 A312:O312 A39:E40 F40:N40 B92:N100 A91:A100 A128:N131 N5:N40 K283:O284 A135:N197 A28:N28 A70:N90 A117:A127 A305:N336 B118:K127 A101:N116 A230:N300">
    <cfRule type="expression" dxfId="1" priority="62" stopIfTrue="1">
      <formula>IF($N5=0,TRUE,FALSE)</formula>
    </cfRule>
  </conditionalFormatting>
  <conditionalFormatting sqref="B117:K117">
    <cfRule type="expression" dxfId="0" priority="64" stopIfTrue="1">
      <formula>IF(#REF!=0,TRUE,FALSE)</formula>
    </cfRule>
  </conditionalFormatting>
  <dataValidations count="7">
    <dataValidation type="list" allowBlank="1" showInputMessage="1" showErrorMessage="1" sqref="Y344:Y365 O344:O365">
      <formula1>"2009, 2010, 2011, 2012, 2013, 2014, STAR, LBNL,"</formula1>
    </dataValidation>
    <dataValidation type="list" allowBlank="1" showInputMessage="1" showErrorMessage="1" sqref="Q344:Q365 R22:U22 Q69:U69 R5:U5 R12:U12 R39:U39 Q5:Q64 R46:U46 R107:U107 Q230:Q266 Q70:Q79 Q81:Q90 R117:U117 Q208:Q211 Q200:Q206 Q182:Q194 Q172:Q180 Q159:Q170 Q148:Q157 Q136:Q146 Q316:Q335 R131:U131 Q213:Q225 Q305:Q311 Q268:Q282 Q313:Q314 Q284:Q294 Q296:Q300 Q92:Q131">
      <formula1>"B,C"</formula1>
    </dataValidation>
    <dataValidation type="list" allowBlank="1" showInputMessage="1" showErrorMessage="1" sqref="U344:U365">
      <formula1>$B$345:$B$360</formula1>
    </dataValidation>
    <dataValidation type="list" allowBlank="1" showInputMessage="1" showErrorMessage="1" sqref="AB336 AB12 AB5 AB46 AB22 AB39 AB69 AB107 AB131 AB117 AB226 AB207 AB212 AB158 AB147 AB181 AB195 AB171 AB312 AB315 AB267 AB283 AB301 AB295">
      <formula1>"2007, 2008, 2009, 2010, Hytec, LANL"</formula1>
    </dataValidation>
    <dataValidation type="list" allowBlank="1" showInputMessage="1" showErrorMessage="1" sqref="AB305:AB311 AB6:AB11 AB13:AB21 AB40:AB45 AB23:AB38 AB92:AB106 AB47:AB64 AB118:AB130 AB70:AB79 AB81:AB90 AB208:AB211 AB200:AB206 AB172:AB180 AB108:AB116 AB148:AB157 AB136:AB146 AB213:AB225 AB230:AB266 AB182:AB194 AB316:AB335 AB268:AB282 AB284:AB294 AB313:AB314 AB296:AB300 AB159:AB170">
      <formula1>"2009, 2010, 2011, 2012, 2013, 2014, STAR, CONT,"</formula1>
    </dataValidation>
    <dataValidation type="list" allowBlank="1" showInputMessage="1" showErrorMessage="1" sqref="R305:R311 R13:R21 R6:R11 R40:R45 R23:R38 R92:R106 R47:R64 R118:R130 R70:R79 R81:R90 R208:R211 R200:R206 R182:R194 R172:R180 R159:R170 R148:R157 R136:R146 R316:R335 R230:R266 R213:R225 R268:R282 R284:R294 R313:R314 R296:R300 R108:R116">
      <formula1>"PD, PT"</formula1>
    </dataValidation>
    <dataValidation type="list" allowBlank="1" showInputMessage="1" showErrorMessage="1" sqref="U305:U311 U118:U130 U316:U335 U47:U64 U23:U38 U6:U11 U13:U21 U92:U106 U40:U45 U213:U225 U136:U146 U159:U170 U230:U266 U284:U294 U172:U180 U296:U300 U268:U282 U200:U206 U148:U157 U70:U79 U182:U194 U208:U211 U313:U314 U81:U90 U108:U116">
      <formula1>$B$345:$B$368</formula1>
    </dataValidation>
  </dataValidations>
  <pageMargins left="0.12" right="0.13" top="0.33" bottom="0.25" header="0.18" footer="0.12"/>
  <pageSetup paperSize="160" scale="16" orientation="portrait" r:id="rId1"/>
  <headerFooter alignWithMargins="0">
    <oddHeader xml:space="preserve">&amp;LPHENIX&amp;CFull Project Estimate&amp;R25-October 2007 </oddHeader>
    <oddFooter>&amp;RE Anderssen, LBNL</oddFooter>
  </headerFooter>
  <legacyDrawing r:id="rId2"/>
</worksheet>
</file>

<file path=xl/worksheets/sheet6.xml><?xml version="1.0" encoding="utf-8"?>
<worksheet xmlns="http://schemas.openxmlformats.org/spreadsheetml/2006/main" xmlns:r="http://schemas.openxmlformats.org/officeDocument/2006/relationships">
  <dimension ref="B2:M24"/>
  <sheetViews>
    <sheetView workbookViewId="0">
      <selection activeCell="D22" sqref="D22"/>
    </sheetView>
  </sheetViews>
  <sheetFormatPr defaultRowHeight="12.75"/>
  <cols>
    <col min="2" max="2" width="13.5703125" customWidth="1"/>
    <col min="3" max="3" width="11.42578125" bestFit="1" customWidth="1"/>
    <col min="7" max="7" width="14.28515625" bestFit="1" customWidth="1"/>
    <col min="13" max="13" width="10.28515625" customWidth="1"/>
  </cols>
  <sheetData>
    <row r="2" spans="2:13">
      <c r="G2" s="383" t="s">
        <v>149</v>
      </c>
      <c r="H2" s="383"/>
      <c r="I2" s="383"/>
      <c r="J2" s="383"/>
      <c r="K2" s="383"/>
      <c r="L2" s="383"/>
      <c r="M2" s="383"/>
    </row>
    <row r="3" spans="2:13">
      <c r="C3" s="18" t="s">
        <v>150</v>
      </c>
      <c r="D3" s="71" t="s">
        <v>148</v>
      </c>
      <c r="H3" s="18" t="s">
        <v>105</v>
      </c>
      <c r="I3" s="18" t="s">
        <v>106</v>
      </c>
      <c r="J3" s="18" t="s">
        <v>107</v>
      </c>
      <c r="L3" s="103" t="s">
        <v>106</v>
      </c>
    </row>
    <row r="4" spans="2:13" ht="15">
      <c r="B4" s="18" t="s">
        <v>27</v>
      </c>
      <c r="C4" s="125">
        <f>D4*$C$14</f>
        <v>102.06</v>
      </c>
      <c r="D4" s="124">
        <v>126</v>
      </c>
      <c r="G4" s="18" t="s">
        <v>5</v>
      </c>
      <c r="H4" s="18" t="s">
        <v>108</v>
      </c>
      <c r="I4" s="18" t="s">
        <v>109</v>
      </c>
      <c r="J4" s="18" t="s">
        <v>110</v>
      </c>
      <c r="K4" s="18" t="s">
        <v>18</v>
      </c>
      <c r="L4" s="103" t="s">
        <v>110</v>
      </c>
      <c r="M4" s="18" t="s">
        <v>18</v>
      </c>
    </row>
    <row r="5" spans="2:13" ht="15">
      <c r="B5" s="18" t="s">
        <v>312</v>
      </c>
      <c r="C5" s="125">
        <f>D5*$C$14</f>
        <v>0</v>
      </c>
      <c r="D5" s="124">
        <v>0</v>
      </c>
      <c r="G5" s="18" t="s">
        <v>6</v>
      </c>
      <c r="H5" s="18">
        <v>9.8000000000000004E-2</v>
      </c>
      <c r="I5" s="104">
        <f t="shared" ref="I5:I22" si="0">H5*454/(2.54^3)</f>
        <v>2.7150684222628292</v>
      </c>
      <c r="J5">
        <v>8</v>
      </c>
      <c r="K5" s="18" t="s">
        <v>111</v>
      </c>
      <c r="L5" s="105">
        <f t="shared" ref="L5:L16" si="1">J5/484</f>
        <v>1.6528925619834711E-2</v>
      </c>
      <c r="M5" s="18" t="s">
        <v>112</v>
      </c>
    </row>
    <row r="6" spans="2:13" ht="15">
      <c r="B6" s="18" t="s">
        <v>28</v>
      </c>
      <c r="C6" s="125">
        <f>D6*$C$14</f>
        <v>94.77000000000001</v>
      </c>
      <c r="D6" s="124">
        <v>117</v>
      </c>
      <c r="G6" s="18" t="s">
        <v>113</v>
      </c>
      <c r="H6" s="18">
        <v>9.8000000000000004E-2</v>
      </c>
      <c r="I6" s="104">
        <f t="shared" si="0"/>
        <v>2.7150684222628292</v>
      </c>
      <c r="J6">
        <v>10</v>
      </c>
      <c r="K6" s="18" t="s">
        <v>111</v>
      </c>
      <c r="L6" s="105">
        <f t="shared" si="1"/>
        <v>2.0661157024793389E-2</v>
      </c>
      <c r="M6" s="18" t="s">
        <v>112</v>
      </c>
    </row>
    <row r="7" spans="2:13" ht="15">
      <c r="B7" s="18" t="s">
        <v>29</v>
      </c>
      <c r="C7" s="125">
        <f>D7*$C$14</f>
        <v>121.50000000000001</v>
      </c>
      <c r="D7" s="124">
        <v>150</v>
      </c>
      <c r="G7" s="18" t="s">
        <v>102</v>
      </c>
      <c r="H7" s="18">
        <v>9.8000000000000004E-2</v>
      </c>
      <c r="I7" s="104">
        <f t="shared" si="0"/>
        <v>2.7150684222628292</v>
      </c>
      <c r="J7">
        <v>8</v>
      </c>
      <c r="K7" s="18" t="s">
        <v>111</v>
      </c>
      <c r="L7" s="105">
        <f t="shared" si="1"/>
        <v>1.6528925619834711E-2</v>
      </c>
      <c r="M7" s="18" t="s">
        <v>112</v>
      </c>
    </row>
    <row r="8" spans="2:13" ht="15">
      <c r="B8" s="18" t="s">
        <v>311</v>
      </c>
      <c r="C8" s="125">
        <f>D8*$C$14</f>
        <v>0</v>
      </c>
      <c r="D8" s="124">
        <v>0</v>
      </c>
      <c r="G8" s="18" t="s">
        <v>114</v>
      </c>
      <c r="H8" s="18">
        <v>9.8000000000000004E-2</v>
      </c>
      <c r="I8" s="104">
        <f t="shared" si="0"/>
        <v>2.7150684222628292</v>
      </c>
      <c r="J8">
        <v>10</v>
      </c>
      <c r="K8" s="18" t="s">
        <v>111</v>
      </c>
      <c r="L8" s="105">
        <f t="shared" si="1"/>
        <v>2.0661157024793389E-2</v>
      </c>
      <c r="M8" s="18" t="s">
        <v>112</v>
      </c>
    </row>
    <row r="9" spans="2:13">
      <c r="G9" s="18" t="s">
        <v>115</v>
      </c>
      <c r="H9">
        <v>0.19800000000000001</v>
      </c>
      <c r="I9" s="104">
        <f t="shared" si="0"/>
        <v>5.4855464041636752</v>
      </c>
      <c r="J9">
        <v>15</v>
      </c>
      <c r="K9" s="18" t="s">
        <v>111</v>
      </c>
      <c r="L9" s="105">
        <f t="shared" si="1"/>
        <v>3.0991735537190084E-2</v>
      </c>
      <c r="M9" s="18" t="s">
        <v>112</v>
      </c>
    </row>
    <row r="10" spans="2:13">
      <c r="B10" s="338" t="s">
        <v>153</v>
      </c>
      <c r="C10" s="384"/>
      <c r="D10" s="384"/>
      <c r="G10" s="18" t="s">
        <v>116</v>
      </c>
      <c r="H10">
        <v>0.19800000000000001</v>
      </c>
      <c r="I10" s="104">
        <f t="shared" si="0"/>
        <v>5.4855464041636752</v>
      </c>
      <c r="J10">
        <v>20</v>
      </c>
      <c r="K10" s="18" t="s">
        <v>111</v>
      </c>
      <c r="L10" s="105">
        <f t="shared" si="1"/>
        <v>4.1322314049586778E-2</v>
      </c>
      <c r="M10" s="18" t="s">
        <v>112</v>
      </c>
    </row>
    <row r="11" spans="2:13">
      <c r="B11" s="384"/>
      <c r="C11" s="384"/>
      <c r="D11" s="384"/>
      <c r="G11" s="18" t="s">
        <v>64</v>
      </c>
      <c r="H11">
        <v>0.29799999999999999</v>
      </c>
      <c r="I11" s="104">
        <f t="shared" si="0"/>
        <v>8.2560243860645208</v>
      </c>
      <c r="J11">
        <v>3</v>
      </c>
      <c r="K11" s="18" t="s">
        <v>111</v>
      </c>
      <c r="L11" s="105">
        <f t="shared" si="1"/>
        <v>6.1983471074380167E-3</v>
      </c>
      <c r="M11" s="18" t="s">
        <v>112</v>
      </c>
    </row>
    <row r="12" spans="2:13">
      <c r="B12" s="384"/>
      <c r="C12" s="384"/>
      <c r="D12" s="384"/>
      <c r="G12" s="18" t="s">
        <v>117</v>
      </c>
      <c r="H12">
        <v>0.29799999999999999</v>
      </c>
      <c r="I12" s="104">
        <f t="shared" si="0"/>
        <v>8.2560243860645208</v>
      </c>
      <c r="J12">
        <v>15</v>
      </c>
      <c r="K12" s="18" t="s">
        <v>111</v>
      </c>
      <c r="L12" s="105">
        <f t="shared" si="1"/>
        <v>3.0991735537190084E-2</v>
      </c>
      <c r="M12" s="18" t="s">
        <v>112</v>
      </c>
    </row>
    <row r="13" spans="2:13">
      <c r="G13" s="18" t="s">
        <v>118</v>
      </c>
      <c r="H13">
        <v>6.5000000000000002E-2</v>
      </c>
      <c r="I13" s="104">
        <f t="shared" si="0"/>
        <v>1.8008106882355499</v>
      </c>
      <c r="J13">
        <v>100</v>
      </c>
      <c r="K13" s="18" t="s">
        <v>111</v>
      </c>
      <c r="L13" s="105">
        <f t="shared" si="1"/>
        <v>0.20661157024793389</v>
      </c>
      <c r="M13" s="18" t="s">
        <v>112</v>
      </c>
    </row>
    <row r="14" spans="2:13" ht="15">
      <c r="B14" s="18" t="s">
        <v>151</v>
      </c>
      <c r="C14" s="126">
        <v>0.81</v>
      </c>
      <c r="G14" s="18" t="s">
        <v>119</v>
      </c>
      <c r="H14">
        <v>6.5000000000000002E-2</v>
      </c>
      <c r="I14" s="104">
        <f t="shared" si="0"/>
        <v>1.8008106882355499</v>
      </c>
      <c r="J14">
        <v>800</v>
      </c>
      <c r="K14" s="18" t="s">
        <v>111</v>
      </c>
      <c r="L14" s="105">
        <f t="shared" si="1"/>
        <v>1.6528925619834711</v>
      </c>
      <c r="M14" s="18" t="s">
        <v>112</v>
      </c>
    </row>
    <row r="15" spans="2:13" ht="15">
      <c r="B15" s="385" t="s">
        <v>152</v>
      </c>
      <c r="C15" s="385"/>
      <c r="D15" s="385"/>
      <c r="G15" s="18" t="s">
        <v>120</v>
      </c>
      <c r="H15">
        <v>6.5000000000000002E-2</v>
      </c>
      <c r="I15" s="104">
        <f t="shared" si="0"/>
        <v>1.8008106882355499</v>
      </c>
      <c r="J15">
        <v>500</v>
      </c>
      <c r="K15" s="18" t="s">
        <v>111</v>
      </c>
      <c r="L15" s="105">
        <f t="shared" si="1"/>
        <v>1.0330578512396693</v>
      </c>
      <c r="M15" s="18" t="s">
        <v>112</v>
      </c>
    </row>
    <row r="16" spans="2:13">
      <c r="B16" s="18"/>
      <c r="G16" s="18" t="s">
        <v>121</v>
      </c>
      <c r="H16">
        <v>6.5000000000000002E-2</v>
      </c>
      <c r="I16" s="104">
        <f t="shared" si="0"/>
        <v>1.8008106882355499</v>
      </c>
      <c r="J16">
        <v>1200</v>
      </c>
      <c r="K16" s="18" t="s">
        <v>111</v>
      </c>
      <c r="L16" s="105">
        <f t="shared" si="1"/>
        <v>2.4793388429752068</v>
      </c>
      <c r="M16" s="18" t="s">
        <v>112</v>
      </c>
    </row>
    <row r="17" spans="7:13">
      <c r="G17" s="18" t="s">
        <v>99</v>
      </c>
      <c r="H17">
        <v>5.5E-2</v>
      </c>
      <c r="I17" s="104">
        <f>H17*454/(2.54^3)</f>
        <v>1.5237628900454652</v>
      </c>
      <c r="J17">
        <v>400</v>
      </c>
      <c r="K17" s="18" t="s">
        <v>122</v>
      </c>
      <c r="L17" s="105">
        <f>J17/946</f>
        <v>0.42283298097251587</v>
      </c>
      <c r="M17" s="18" t="s">
        <v>123</v>
      </c>
    </row>
    <row r="18" spans="7:13">
      <c r="G18" s="18" t="s">
        <v>98</v>
      </c>
      <c r="H18">
        <v>5.5E-2</v>
      </c>
      <c r="I18" s="104">
        <f t="shared" si="0"/>
        <v>1.5237628900454652</v>
      </c>
      <c r="J18">
        <v>350</v>
      </c>
      <c r="K18" s="18" t="s">
        <v>122</v>
      </c>
      <c r="L18" s="105">
        <f>J18/946</f>
        <v>0.3699788583509514</v>
      </c>
      <c r="M18" s="18" t="s">
        <v>123</v>
      </c>
    </row>
    <row r="19" spans="7:13">
      <c r="G19" s="18" t="s">
        <v>124</v>
      </c>
      <c r="H19">
        <v>7.4999999999999997E-2</v>
      </c>
      <c r="I19" s="104">
        <f t="shared" si="0"/>
        <v>2.0778584864256344</v>
      </c>
      <c r="J19">
        <v>450</v>
      </c>
      <c r="K19" s="18" t="s">
        <v>122</v>
      </c>
      <c r="L19" s="105">
        <f>J19/946</f>
        <v>0.47568710359408034</v>
      </c>
      <c r="M19" s="18" t="s">
        <v>123</v>
      </c>
    </row>
    <row r="20" spans="7:13">
      <c r="G20" s="18" t="s">
        <v>101</v>
      </c>
      <c r="H20">
        <f>3/12^3</f>
        <v>1.736111111111111E-3</v>
      </c>
      <c r="I20" s="104">
        <f t="shared" si="0"/>
        <v>4.8098576074667464E-2</v>
      </c>
      <c r="J20">
        <v>600</v>
      </c>
      <c r="K20" s="18" t="s">
        <v>125</v>
      </c>
      <c r="L20" s="105">
        <f>J20/2360</f>
        <v>0.25423728813559321</v>
      </c>
      <c r="M20" s="18" t="s">
        <v>123</v>
      </c>
    </row>
    <row r="21" spans="7:13">
      <c r="G21" s="18" t="s">
        <v>126</v>
      </c>
      <c r="H21">
        <f>3/12^3</f>
        <v>1.736111111111111E-3</v>
      </c>
      <c r="I21" s="104">
        <f t="shared" si="0"/>
        <v>4.8098576074667464E-2</v>
      </c>
      <c r="J21">
        <v>75</v>
      </c>
      <c r="K21" s="18" t="s">
        <v>125</v>
      </c>
      <c r="L21" s="105">
        <f>J21/2360</f>
        <v>3.1779661016949151E-2</v>
      </c>
      <c r="M21" s="18" t="s">
        <v>123</v>
      </c>
    </row>
    <row r="22" spans="7:13">
      <c r="G22" s="18" t="s">
        <v>127</v>
      </c>
      <c r="H22">
        <f>4/12^3</f>
        <v>2.3148148148148147E-3</v>
      </c>
      <c r="I22" s="104">
        <f t="shared" si="0"/>
        <v>6.413143476622328E-2</v>
      </c>
      <c r="J22">
        <v>100</v>
      </c>
      <c r="K22" s="18" t="s">
        <v>125</v>
      </c>
      <c r="L22" s="105">
        <f>J22/2360</f>
        <v>4.2372881355932202E-2</v>
      </c>
      <c r="M22" s="18" t="s">
        <v>123</v>
      </c>
    </row>
    <row r="23" spans="7:13">
      <c r="G23" s="18" t="s">
        <v>131</v>
      </c>
      <c r="H23">
        <v>5.5E-2</v>
      </c>
      <c r="I23" s="104">
        <f>H23*454/(2.54^3)</f>
        <v>1.5237628900454652</v>
      </c>
      <c r="J23">
        <v>400</v>
      </c>
      <c r="K23" s="18" t="s">
        <v>111</v>
      </c>
      <c r="L23" s="105">
        <f>J23/484</f>
        <v>0.82644628099173556</v>
      </c>
      <c r="M23" s="18" t="s">
        <v>112</v>
      </c>
    </row>
    <row r="24" spans="7:13">
      <c r="G24" s="18" t="s">
        <v>63</v>
      </c>
      <c r="H24">
        <v>5.5E-2</v>
      </c>
      <c r="I24" s="104">
        <f>H24*454/(2.54^3)</f>
        <v>1.5237628900454652</v>
      </c>
      <c r="J24">
        <v>600</v>
      </c>
      <c r="K24" s="18" t="s">
        <v>111</v>
      </c>
      <c r="L24" s="105">
        <f>J24/484</f>
        <v>1.2396694214876034</v>
      </c>
      <c r="M24" s="18" t="s">
        <v>112</v>
      </c>
    </row>
  </sheetData>
  <mergeCells count="3">
    <mergeCell ref="G2:M2"/>
    <mergeCell ref="B10:D12"/>
    <mergeCell ref="B15:D15"/>
  </mergeCells>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F32"/>
  <sheetViews>
    <sheetView workbookViewId="0">
      <selection activeCell="B14" sqref="B14"/>
    </sheetView>
  </sheetViews>
  <sheetFormatPr defaultRowHeight="12.75"/>
  <cols>
    <col min="1" max="1" width="30" bestFit="1" customWidth="1"/>
    <col min="2" max="2" width="14.28515625" bestFit="1" customWidth="1"/>
    <col min="3" max="3" width="11" bestFit="1" customWidth="1"/>
    <col min="4" max="4" width="9.85546875" style="94" bestFit="1" customWidth="1"/>
    <col min="5" max="5" width="11.140625" style="94" bestFit="1" customWidth="1"/>
    <col min="6" max="6" width="12" style="6" bestFit="1" customWidth="1"/>
    <col min="7" max="7" width="8" bestFit="1" customWidth="1"/>
    <col min="8" max="8" width="8.7109375" style="86" bestFit="1" customWidth="1"/>
    <col min="9" max="9" width="5.5703125" style="146" bestFit="1" customWidth="1"/>
    <col min="10" max="10" width="4.5703125" style="146" bestFit="1" customWidth="1"/>
    <col min="11" max="11" width="5.140625" style="146" bestFit="1" customWidth="1"/>
    <col min="12" max="12" width="11" style="97" bestFit="1" customWidth="1"/>
    <col min="13" max="13" width="9" style="97" bestFit="1" customWidth="1"/>
    <col min="14" max="14" width="10.42578125" style="98" bestFit="1" customWidth="1"/>
    <col min="15" max="15" width="8.28515625" style="99" bestFit="1" customWidth="1"/>
    <col min="16" max="16" width="7.28515625" style="86" bestFit="1" customWidth="1"/>
    <col min="17" max="17" width="11.140625" style="86" bestFit="1" customWidth="1"/>
    <col min="18" max="18" width="9" style="76" bestFit="1" customWidth="1"/>
    <col min="19" max="19" width="9" style="77" bestFit="1" customWidth="1"/>
    <col min="20" max="20" width="10.85546875" style="76" bestFit="1" customWidth="1"/>
    <col min="21" max="21" width="12.5703125" customWidth="1"/>
    <col min="22" max="22" width="4.85546875" style="78" bestFit="1" customWidth="1"/>
    <col min="23" max="23" width="6.28515625" style="78" bestFit="1" customWidth="1"/>
    <col min="24" max="24" width="2" style="78" bestFit="1" customWidth="1"/>
  </cols>
  <sheetData>
    <row r="1" spans="1:32" ht="18">
      <c r="A1" s="386" t="s">
        <v>66</v>
      </c>
      <c r="B1" s="339"/>
      <c r="C1" s="339"/>
      <c r="D1" s="387" t="s">
        <v>67</v>
      </c>
      <c r="E1" s="339"/>
      <c r="F1" s="339"/>
      <c r="G1" s="339"/>
      <c r="H1" s="339"/>
      <c r="I1" s="339"/>
      <c r="J1" s="339"/>
      <c r="K1" s="339"/>
      <c r="L1" s="339"/>
      <c r="M1" s="339"/>
      <c r="N1" s="339"/>
      <c r="O1" s="339"/>
      <c r="P1" s="339"/>
      <c r="Q1" s="339"/>
    </row>
    <row r="2" spans="1:32" ht="96.75">
      <c r="A2" s="18" t="s">
        <v>0</v>
      </c>
      <c r="B2" s="18" t="s">
        <v>5</v>
      </c>
      <c r="C2" s="18" t="s">
        <v>68</v>
      </c>
      <c r="D2" s="71" t="s">
        <v>69</v>
      </c>
      <c r="E2" s="79" t="s">
        <v>70</v>
      </c>
      <c r="F2" s="79" t="s">
        <v>71</v>
      </c>
      <c r="G2" s="79" t="s">
        <v>72</v>
      </c>
      <c r="H2" s="79" t="s">
        <v>73</v>
      </c>
      <c r="I2" s="145" t="s">
        <v>74</v>
      </c>
      <c r="J2" s="145" t="s">
        <v>75</v>
      </c>
      <c r="K2" s="145" t="s">
        <v>76</v>
      </c>
      <c r="L2" s="80" t="s">
        <v>77</v>
      </c>
      <c r="M2" s="80" t="s">
        <v>78</v>
      </c>
      <c r="N2" s="81" t="s">
        <v>79</v>
      </c>
      <c r="O2" s="82" t="s">
        <v>80</v>
      </c>
      <c r="P2" s="79" t="s">
        <v>81</v>
      </c>
      <c r="Q2" s="83" t="s">
        <v>82</v>
      </c>
      <c r="R2" s="84" t="s">
        <v>83</v>
      </c>
      <c r="S2" s="85" t="s">
        <v>84</v>
      </c>
      <c r="T2" s="84" t="s">
        <v>103</v>
      </c>
      <c r="U2" s="83"/>
      <c r="Y2" s="86"/>
      <c r="Z2" s="86"/>
      <c r="AA2" s="86"/>
      <c r="AB2" s="86"/>
      <c r="AC2" s="86"/>
      <c r="AD2" s="86"/>
      <c r="AE2" s="86"/>
      <c r="AF2" s="86"/>
    </row>
    <row r="3" spans="1:32" ht="15.75">
      <c r="A3" s="44" t="s">
        <v>155</v>
      </c>
      <c r="B3" s="18"/>
      <c r="C3" s="18"/>
      <c r="D3" s="71"/>
      <c r="E3" s="71"/>
      <c r="F3" s="87"/>
      <c r="G3" s="79"/>
      <c r="H3" s="83"/>
      <c r="I3" s="145"/>
      <c r="J3" s="145"/>
      <c r="K3" s="145"/>
      <c r="L3" s="88"/>
      <c r="M3" s="88"/>
      <c r="N3" s="89"/>
      <c r="O3" s="90"/>
      <c r="P3" s="83"/>
      <c r="Q3" s="83"/>
      <c r="U3" s="86"/>
      <c r="V3" s="91" t="s">
        <v>85</v>
      </c>
      <c r="W3" s="91" t="s">
        <v>86</v>
      </c>
      <c r="X3" s="78">
        <v>1</v>
      </c>
      <c r="Y3" s="86"/>
      <c r="Z3" s="86"/>
      <c r="AA3" s="86"/>
      <c r="AB3" s="86"/>
      <c r="AC3" s="86"/>
      <c r="AD3" s="86"/>
      <c r="AE3" s="86"/>
      <c r="AF3" s="86"/>
    </row>
    <row r="4" spans="1:32" ht="15">
      <c r="A4" s="92" t="s">
        <v>156</v>
      </c>
      <c r="B4" s="18"/>
      <c r="C4" s="18"/>
      <c r="D4" s="71"/>
      <c r="E4" s="71"/>
      <c r="F4" s="87"/>
      <c r="G4" s="79"/>
      <c r="H4" s="83"/>
      <c r="I4" s="145"/>
      <c r="J4" s="145"/>
      <c r="K4" s="145"/>
      <c r="L4" s="88"/>
      <c r="M4" s="88"/>
      <c r="N4" s="89"/>
      <c r="O4" s="90"/>
      <c r="P4" s="83"/>
      <c r="Q4" s="83"/>
      <c r="U4" s="86"/>
      <c r="V4" s="91" t="s">
        <v>87</v>
      </c>
      <c r="W4" s="91" t="s">
        <v>88</v>
      </c>
      <c r="X4" s="78">
        <v>2</v>
      </c>
      <c r="Y4" s="86"/>
      <c r="Z4" s="86"/>
      <c r="AA4" s="86"/>
      <c r="AB4" s="86"/>
      <c r="AC4" s="86"/>
      <c r="AD4" s="86"/>
      <c r="AE4" s="86"/>
      <c r="AF4" s="86"/>
    </row>
    <row r="5" spans="1:32">
      <c r="A5" s="43" t="s">
        <v>41</v>
      </c>
      <c r="B5" s="18"/>
      <c r="C5" s="18"/>
      <c r="D5" s="71"/>
      <c r="E5" s="71"/>
      <c r="F5" s="87"/>
      <c r="G5" s="79"/>
      <c r="H5" s="83"/>
      <c r="I5" s="145"/>
      <c r="J5" s="145"/>
      <c r="K5" s="145"/>
      <c r="L5" s="88"/>
      <c r="M5" s="88"/>
      <c r="N5" s="89"/>
      <c r="O5" s="90"/>
      <c r="P5" s="83"/>
      <c r="Q5" s="83"/>
      <c r="U5" s="86"/>
      <c r="V5" s="91" t="s">
        <v>89</v>
      </c>
      <c r="W5" s="91" t="s">
        <v>90</v>
      </c>
      <c r="X5" s="78">
        <v>3</v>
      </c>
      <c r="Y5" s="86"/>
      <c r="Z5" s="86"/>
      <c r="AA5" s="86"/>
      <c r="AB5" s="86"/>
      <c r="AC5" s="86"/>
      <c r="AD5" s="86"/>
      <c r="AE5" s="86"/>
      <c r="AF5" s="86"/>
    </row>
    <row r="6" spans="1:32" s="95" customFormat="1">
      <c r="A6" s="42" t="s">
        <v>91</v>
      </c>
      <c r="B6" s="93" t="s">
        <v>64</v>
      </c>
      <c r="C6" s="93" t="s">
        <v>92</v>
      </c>
      <c r="D6" s="94">
        <v>1</v>
      </c>
      <c r="E6" s="71" t="s">
        <v>93</v>
      </c>
      <c r="F6" s="6">
        <v>8.3000000000000007</v>
      </c>
      <c r="G6" s="95" t="s">
        <v>94</v>
      </c>
      <c r="H6" s="96">
        <v>0</v>
      </c>
      <c r="I6" s="146">
        <v>60</v>
      </c>
      <c r="J6" s="146">
        <v>20</v>
      </c>
      <c r="K6" s="146">
        <v>1.5</v>
      </c>
      <c r="L6" s="97">
        <f>CHOOSE(LOOKUP(G6,$W$3:$X$6), "Enter Value", I6*D6*J6*K6*(1+H6), (PI()/4)*D6*I6*(1+H6)*J6^2, PI()*(1+H6)*D6*I6*J6*K6)</f>
        <v>5654.8667764616275</v>
      </c>
      <c r="M6" s="97">
        <f>L6*F6</f>
        <v>46935.394244631512</v>
      </c>
      <c r="N6" s="98" t="e">
        <f>L6/E6</f>
        <v>#VALUE!</v>
      </c>
      <c r="O6" s="99">
        <v>6.0000000000000001E-3</v>
      </c>
      <c r="P6" s="86" t="s">
        <v>87</v>
      </c>
      <c r="Q6" s="100">
        <f>CHOOSE(LOOKUP(P6,$V$3:$V$5,$X$3:$X$5), O6*L6, O6*M6, O6*N6)</f>
        <v>281.61236546778906</v>
      </c>
      <c r="R6" s="101">
        <f>IF(C6="Test", M6, 0)</f>
        <v>0</v>
      </c>
      <c r="S6" s="101">
        <f>IF(C6="Test", N6, 0)</f>
        <v>0</v>
      </c>
      <c r="T6" s="76">
        <f t="shared" ref="T6:T20" si="0">IF(C6="Test", Q6, 0)</f>
        <v>0</v>
      </c>
      <c r="V6" s="78"/>
      <c r="W6" s="91" t="s">
        <v>94</v>
      </c>
      <c r="X6" s="78">
        <v>4</v>
      </c>
    </row>
    <row r="7" spans="1:32">
      <c r="A7" s="42" t="s">
        <v>95</v>
      </c>
      <c r="B7" s="93" t="s">
        <v>64</v>
      </c>
      <c r="C7" s="93" t="s">
        <v>88</v>
      </c>
      <c r="D7" s="94">
        <v>1</v>
      </c>
      <c r="E7" s="71" t="s">
        <v>93</v>
      </c>
      <c r="F7" s="6">
        <v>8.3000000000000007</v>
      </c>
      <c r="G7" s="95" t="s">
        <v>88</v>
      </c>
      <c r="H7" s="96">
        <v>0</v>
      </c>
      <c r="I7" s="146">
        <v>60</v>
      </c>
      <c r="J7" s="146">
        <v>25</v>
      </c>
      <c r="K7" s="146">
        <v>3</v>
      </c>
      <c r="L7" s="97">
        <f>CHOOSE(LOOKUP(G7,$W$3:$X$6), "Enter Value", I7*D7*J7*K7*(1+H7), (PI()/4)*D7*I7*(1+H7)*J7^2, PI()*(1+H7)*D7*I7*J7*K7)</f>
        <v>4500</v>
      </c>
      <c r="M7" s="97">
        <f>L7*F7</f>
        <v>37350</v>
      </c>
      <c r="N7" s="98" t="e">
        <f>L7/E7</f>
        <v>#VALUE!</v>
      </c>
      <c r="O7" s="99">
        <v>6.0000000000000001E-3</v>
      </c>
      <c r="P7" s="86" t="s">
        <v>87</v>
      </c>
      <c r="Q7" s="100">
        <f>CHOOSE(LOOKUP(P7,$V$3:$V$5,$X$3:$X$5), O7*L7, O7*M7, O7*N7)</f>
        <v>224.1</v>
      </c>
      <c r="R7" s="101">
        <f>IF(C7="Test", M7, 0)</f>
        <v>0</v>
      </c>
      <c r="S7" s="101">
        <f>IF(C7="Test", N7, 0)</f>
        <v>0</v>
      </c>
      <c r="T7" s="76">
        <f t="shared" si="0"/>
        <v>0</v>
      </c>
    </row>
    <row r="8" spans="1:32" ht="15">
      <c r="A8" s="92" t="s">
        <v>157</v>
      </c>
      <c r="B8" s="18"/>
      <c r="C8" s="18"/>
      <c r="D8" s="71"/>
      <c r="E8" s="71"/>
      <c r="F8" s="87"/>
      <c r="G8" s="79"/>
      <c r="H8" s="83"/>
      <c r="I8" s="145"/>
      <c r="J8" s="145"/>
      <c r="K8" s="145"/>
      <c r="L8" s="88"/>
      <c r="M8" s="88"/>
      <c r="N8" s="89"/>
      <c r="O8" s="90"/>
      <c r="P8" s="83"/>
      <c r="Q8" s="83"/>
      <c r="R8" s="101"/>
      <c r="S8" s="101"/>
    </row>
    <row r="9" spans="1:32">
      <c r="A9" s="43" t="s">
        <v>41</v>
      </c>
      <c r="B9" s="18"/>
      <c r="C9" s="18"/>
      <c r="D9" s="71"/>
      <c r="E9" s="71"/>
      <c r="F9" s="87"/>
      <c r="G9" s="79"/>
      <c r="H9" s="83"/>
      <c r="I9" s="145"/>
      <c r="J9" s="145"/>
      <c r="K9" s="145"/>
      <c r="L9" s="88"/>
      <c r="M9" s="88"/>
      <c r="N9" s="89"/>
      <c r="O9" s="90"/>
      <c r="P9" s="83"/>
      <c r="Q9" s="83"/>
      <c r="R9" s="101"/>
      <c r="S9" s="101"/>
    </row>
    <row r="10" spans="1:32">
      <c r="A10" s="42" t="s">
        <v>104</v>
      </c>
      <c r="B10" s="93" t="s">
        <v>6</v>
      </c>
      <c r="C10" s="93" t="s">
        <v>88</v>
      </c>
      <c r="D10" s="94">
        <v>1</v>
      </c>
      <c r="E10" s="71" t="s">
        <v>93</v>
      </c>
      <c r="F10" s="6">
        <v>2.7</v>
      </c>
      <c r="G10" s="95" t="s">
        <v>88</v>
      </c>
      <c r="H10" s="96">
        <v>0</v>
      </c>
      <c r="I10" s="146">
        <v>100</v>
      </c>
      <c r="J10" s="146">
        <v>30</v>
      </c>
      <c r="K10" s="146">
        <v>3</v>
      </c>
      <c r="L10" s="97">
        <f>CHOOSE(LOOKUP(G10,$W$3:$X$6), "Enter Value", I10*D10*J10*K10*(1+H10), (PI()/4)*D10*I10*(1+H10)*J10^2, PI()*(1+H10)*D10*I10*J10*K10)</f>
        <v>9000</v>
      </c>
      <c r="M10" s="97">
        <f>L10*F10</f>
        <v>24300</v>
      </c>
      <c r="N10" s="98" t="e">
        <f>L10/E10</f>
        <v>#VALUE!</v>
      </c>
      <c r="O10" s="99">
        <v>1.7000000000000001E-2</v>
      </c>
      <c r="P10" s="86" t="s">
        <v>87</v>
      </c>
      <c r="Q10" s="100">
        <f>CHOOSE(LOOKUP(P10,$V$3:$V$5,$X$3:$X$5), O10*L10, O10*M10, O10*N10)</f>
        <v>413.1</v>
      </c>
      <c r="R10" s="101">
        <f>IF(C10="Test", M10, 0)</f>
        <v>0</v>
      </c>
      <c r="S10" s="101">
        <f>IF(C10="Test", N10, 0)</f>
        <v>0</v>
      </c>
      <c r="T10" s="76">
        <f>IF(C10="Test", Q10, 0)</f>
        <v>0</v>
      </c>
    </row>
    <row r="11" spans="1:32">
      <c r="A11" s="42" t="s">
        <v>128</v>
      </c>
      <c r="B11" s="93" t="s">
        <v>6</v>
      </c>
      <c r="C11" s="93" t="s">
        <v>88</v>
      </c>
      <c r="D11" s="94">
        <v>2</v>
      </c>
      <c r="E11" s="71" t="s">
        <v>93</v>
      </c>
      <c r="F11" s="6">
        <v>2.7</v>
      </c>
      <c r="G11" s="95" t="s">
        <v>88</v>
      </c>
      <c r="H11" s="96">
        <v>0</v>
      </c>
      <c r="I11" s="146">
        <v>30</v>
      </c>
      <c r="J11" s="146">
        <v>15</v>
      </c>
      <c r="K11" s="146">
        <v>5</v>
      </c>
      <c r="L11" s="97">
        <f>CHOOSE(LOOKUP(G11,$W$3:$X$6), "Enter Value", I11*D11*J11*K11*(1+H11), (PI()/4)*D11*I11*(1+H11)*J11^2, PI()*(1+H11)*D11*I11*J11*K11)</f>
        <v>4500</v>
      </c>
      <c r="M11" s="97">
        <f>L11*F11</f>
        <v>12150</v>
      </c>
      <c r="N11" s="98" t="e">
        <f>L11/E11</f>
        <v>#VALUE!</v>
      </c>
      <c r="O11" s="99">
        <v>1.7000000000000001E-2</v>
      </c>
      <c r="P11" s="86" t="s">
        <v>87</v>
      </c>
      <c r="Q11" s="100">
        <f>CHOOSE(LOOKUP(P11,$V$3:$V$5,$X$3:$X$5), O11*L11, O11*M11, O11*N11)</f>
        <v>206.55</v>
      </c>
      <c r="R11" s="101">
        <f>IF(C11="Test", M11, 0)</f>
        <v>0</v>
      </c>
      <c r="S11" s="101">
        <f>IF(C11="Test", N11, 0)</f>
        <v>0</v>
      </c>
      <c r="T11" s="76">
        <f>IF(C11="Test", Q11, 0)</f>
        <v>0</v>
      </c>
    </row>
    <row r="12" spans="1:32" ht="15">
      <c r="A12" s="43" t="s">
        <v>100</v>
      </c>
      <c r="M12" s="140">
        <f>(M10+M11)/454</f>
        <v>80.286343612334804</v>
      </c>
      <c r="R12" s="101"/>
      <c r="S12" s="101"/>
    </row>
    <row r="13" spans="1:32">
      <c r="A13" s="42" t="s">
        <v>129</v>
      </c>
      <c r="B13" s="18" t="s">
        <v>96</v>
      </c>
      <c r="C13" s="93" t="s">
        <v>97</v>
      </c>
      <c r="D13" s="94">
        <v>5</v>
      </c>
      <c r="E13" s="94">
        <v>330</v>
      </c>
      <c r="F13" s="6">
        <v>1.8</v>
      </c>
      <c r="G13" s="95" t="s">
        <v>88</v>
      </c>
      <c r="H13" s="96">
        <v>0.3</v>
      </c>
      <c r="I13" s="146">
        <v>80</v>
      </c>
      <c r="J13" s="146">
        <v>2.5</v>
      </c>
      <c r="K13" s="146">
        <v>0.8</v>
      </c>
      <c r="L13" s="97">
        <f>CHOOSE(LOOKUP(G13,$W$3:$X$6), "Enter Value", I13*D13*J13*K13*(1+H13), (PI()/4)*D13*I13*(1+H13)*J13^2, PI()*(1+H13)*D13*I13*J13*K13)</f>
        <v>1040</v>
      </c>
      <c r="M13" s="97">
        <f>L13*F13</f>
        <v>1872</v>
      </c>
      <c r="N13" s="98">
        <f>L13/E13</f>
        <v>3.1515151515151514</v>
      </c>
      <c r="O13" s="99">
        <v>1.0329999999999999</v>
      </c>
      <c r="P13" s="86" t="s">
        <v>87</v>
      </c>
      <c r="Q13" s="100">
        <f>CHOOSE(LOOKUP(P13,$V$3:$V$5,$X$3:$X$5), O13*L13, O13*M13, O13*N13)</f>
        <v>1933.7759999999998</v>
      </c>
      <c r="R13" s="101">
        <f>IF(C13="Test", M13, 0)</f>
        <v>0</v>
      </c>
      <c r="S13" s="101">
        <f>IF(C13="Test", N13, 0)</f>
        <v>0</v>
      </c>
      <c r="T13" s="76">
        <f t="shared" si="0"/>
        <v>0</v>
      </c>
    </row>
    <row r="14" spans="1:32">
      <c r="A14" s="42" t="s">
        <v>130</v>
      </c>
      <c r="B14" s="18" t="s">
        <v>96</v>
      </c>
      <c r="C14" s="93" t="s">
        <v>38</v>
      </c>
      <c r="D14" s="94">
        <v>2</v>
      </c>
      <c r="E14" s="94">
        <v>330</v>
      </c>
      <c r="F14" s="6">
        <v>1.8</v>
      </c>
      <c r="G14" s="95" t="s">
        <v>88</v>
      </c>
      <c r="H14" s="96">
        <v>0.5</v>
      </c>
      <c r="I14" s="146">
        <v>20</v>
      </c>
      <c r="J14" s="146">
        <v>3</v>
      </c>
      <c r="K14" s="146">
        <v>0.8</v>
      </c>
      <c r="L14" s="97">
        <f>CHOOSE(LOOKUP(G14,$W$3:$X$6), "Enter Value", I14*D14*J14*K14*(1+H14), (PI()/4)*D14*I14*(1+H14)*J14^2, PI()*(1+H14)*D14*I14*J14*K14)</f>
        <v>144</v>
      </c>
      <c r="M14" s="97">
        <f>L14*F14</f>
        <v>259.2</v>
      </c>
      <c r="N14" s="98">
        <f>L14/E14</f>
        <v>0.43636363636363634</v>
      </c>
      <c r="O14" s="99">
        <v>1.0329999999999999</v>
      </c>
      <c r="P14" s="86" t="s">
        <v>87</v>
      </c>
      <c r="Q14" s="100">
        <f>CHOOSE(LOOKUP(P14,$V$3:$V$5,$X$3:$X$5), O14*L14, O14*M14, O14*N14)</f>
        <v>267.75359999999995</v>
      </c>
      <c r="R14" s="101">
        <f>IF(C14="Test", M14, 0)</f>
        <v>259.2</v>
      </c>
      <c r="S14" s="101">
        <f>IF(C14="Test", N14, 0)</f>
        <v>0.43636363636363634</v>
      </c>
      <c r="T14" s="76">
        <f t="shared" si="0"/>
        <v>267.75359999999995</v>
      </c>
    </row>
    <row r="15" spans="1:32" ht="15">
      <c r="A15" s="92" t="s">
        <v>142</v>
      </c>
      <c r="B15" s="18"/>
      <c r="C15" s="18"/>
      <c r="D15" s="71"/>
      <c r="E15" s="71"/>
      <c r="F15" s="87"/>
      <c r="G15" s="79"/>
      <c r="H15" s="83"/>
      <c r="I15" s="145"/>
      <c r="J15" s="145"/>
      <c r="K15" s="145"/>
      <c r="L15" s="88"/>
      <c r="M15" s="88"/>
      <c r="N15" s="89"/>
      <c r="O15" s="90"/>
      <c r="P15" s="83"/>
      <c r="Q15" s="83"/>
      <c r="R15" s="101"/>
      <c r="S15" s="101"/>
    </row>
    <row r="16" spans="1:32">
      <c r="A16" s="43" t="s">
        <v>165</v>
      </c>
      <c r="B16" s="18"/>
      <c r="C16" s="18"/>
      <c r="D16" s="71"/>
      <c r="E16" s="71"/>
      <c r="F16" s="87"/>
      <c r="G16" s="79"/>
      <c r="H16" s="83"/>
      <c r="I16" s="145"/>
      <c r="J16" s="145"/>
      <c r="K16" s="145"/>
      <c r="L16" s="88"/>
      <c r="M16" s="88"/>
      <c r="N16" s="89"/>
      <c r="O16" s="90"/>
      <c r="P16" s="83"/>
      <c r="Q16" s="83"/>
      <c r="R16" s="101"/>
      <c r="S16" s="101"/>
    </row>
    <row r="17" spans="1:20">
      <c r="A17" s="42" t="s">
        <v>160</v>
      </c>
      <c r="B17" s="93" t="s">
        <v>6</v>
      </c>
      <c r="C17" s="93" t="s">
        <v>88</v>
      </c>
      <c r="D17" s="94">
        <v>4</v>
      </c>
      <c r="E17" s="71" t="s">
        <v>93</v>
      </c>
      <c r="F17" s="6">
        <v>2.7</v>
      </c>
      <c r="G17" s="95" t="s">
        <v>88</v>
      </c>
      <c r="H17" s="96">
        <v>0.3</v>
      </c>
      <c r="I17" s="146">
        <v>250</v>
      </c>
      <c r="J17" s="146">
        <v>7.5</v>
      </c>
      <c r="K17" s="146">
        <v>7.5</v>
      </c>
      <c r="L17" s="97">
        <f>CHOOSE(LOOKUP(G17,$W$3:$X$6), "Enter Value", I17*D17*J17*K17*(1+H17), (PI()/4)*D17*I17*(1+H17)*J17^2, PI()*(1+H17)*D17*I17*J17*K17)</f>
        <v>73125</v>
      </c>
      <c r="M17" s="97">
        <f>L17*F17</f>
        <v>197437.5</v>
      </c>
      <c r="N17" s="98" t="e">
        <f>L17/E17</f>
        <v>#VALUE!</v>
      </c>
      <c r="O17" s="99">
        <v>1.7000000000000001E-2</v>
      </c>
      <c r="P17" s="86" t="s">
        <v>87</v>
      </c>
      <c r="Q17" s="100">
        <f>CHOOSE(LOOKUP(P17,$V$3:$V$5,$X$3:$X$5), O17*L17, O17*M17, O17*N17)</f>
        <v>3356.4375000000005</v>
      </c>
      <c r="R17" s="101">
        <f>IF(C17="Test", M17, 0)</f>
        <v>0</v>
      </c>
      <c r="S17" s="101">
        <f>IF(C17="Test", N17, 0)</f>
        <v>0</v>
      </c>
      <c r="T17" s="76">
        <f t="shared" si="0"/>
        <v>0</v>
      </c>
    </row>
    <row r="18" spans="1:20">
      <c r="A18" s="42" t="s">
        <v>161</v>
      </c>
      <c r="B18" s="93" t="s">
        <v>6</v>
      </c>
      <c r="C18" s="93" t="s">
        <v>88</v>
      </c>
      <c r="D18" s="94">
        <v>3</v>
      </c>
      <c r="E18" s="71" t="s">
        <v>93</v>
      </c>
      <c r="F18" s="6">
        <v>2.7</v>
      </c>
      <c r="G18" s="95" t="s">
        <v>88</v>
      </c>
      <c r="H18" s="96">
        <v>0.3</v>
      </c>
      <c r="I18" s="146">
        <v>50</v>
      </c>
      <c r="J18" s="146">
        <v>50</v>
      </c>
      <c r="K18" s="146">
        <v>5</v>
      </c>
      <c r="L18" s="97">
        <f>CHOOSE(LOOKUP(G18,$W$3:$X$6), "Enter Value", I18*D18*J18*K18*(1+H18), (PI()/4)*D18*I18*(1+H18)*J18^2, PI()*(1+H18)*D18*I18*J18*K18)</f>
        <v>48750</v>
      </c>
      <c r="M18" s="97">
        <f>L18*F18</f>
        <v>131625</v>
      </c>
      <c r="N18" s="98" t="e">
        <f>L18/E18</f>
        <v>#VALUE!</v>
      </c>
      <c r="O18" s="99">
        <v>1.7000000000000001E-2</v>
      </c>
      <c r="P18" s="86" t="s">
        <v>87</v>
      </c>
      <c r="Q18" s="100">
        <f>CHOOSE(LOOKUP(P18,$V$3:$V$5,$X$3:$X$5), O18*L18, O18*M18, O18*N18)</f>
        <v>2237.625</v>
      </c>
      <c r="R18" s="101">
        <f>IF(C18="Test", M18, 0)</f>
        <v>0</v>
      </c>
      <c r="S18" s="101">
        <f>IF(C18="Test", N18, 0)</f>
        <v>0</v>
      </c>
      <c r="T18" s="76">
        <f t="shared" si="0"/>
        <v>0</v>
      </c>
    </row>
    <row r="19" spans="1:20">
      <c r="A19" s="42" t="s">
        <v>162</v>
      </c>
      <c r="B19" s="93" t="s">
        <v>6</v>
      </c>
      <c r="C19" s="93" t="s">
        <v>88</v>
      </c>
      <c r="D19" s="94">
        <v>2</v>
      </c>
      <c r="E19" s="71" t="s">
        <v>93</v>
      </c>
      <c r="F19" s="6">
        <v>2.7</v>
      </c>
      <c r="G19" s="95" t="s">
        <v>88</v>
      </c>
      <c r="H19" s="96">
        <v>0.3</v>
      </c>
      <c r="I19" s="146">
        <v>50</v>
      </c>
      <c r="J19" s="146">
        <v>10</v>
      </c>
      <c r="K19" s="146">
        <v>5</v>
      </c>
      <c r="L19" s="97">
        <f>CHOOSE(LOOKUP(G19,$W$3:$X$6), "Enter Value", I19*D19*J19*K19*(1+H19), (PI()/4)*D19*I19*(1+H19)*J19^2, PI()*(1+H19)*D19*I19*J19*K19)</f>
        <v>6500</v>
      </c>
      <c r="M19" s="97">
        <f>L19*F19</f>
        <v>17550</v>
      </c>
      <c r="N19" s="98" t="e">
        <f>L19/E19</f>
        <v>#VALUE!</v>
      </c>
      <c r="O19" s="99">
        <v>1.7000000000000001E-2</v>
      </c>
      <c r="P19" s="86" t="s">
        <v>87</v>
      </c>
      <c r="Q19" s="100">
        <f>CHOOSE(LOOKUP(P19,$V$3:$V$5,$X$3:$X$5), O19*L19, O19*M19, O19*N19)</f>
        <v>298.35000000000002</v>
      </c>
      <c r="R19" s="101">
        <f>IF(C19="Test", M19, 0)</f>
        <v>0</v>
      </c>
      <c r="S19" s="101">
        <f>IF(C19="Test", N19, 0)</f>
        <v>0</v>
      </c>
      <c r="T19" s="76">
        <f>IF(C19="Test", Q19, 0)</f>
        <v>0</v>
      </c>
    </row>
    <row r="20" spans="1:20">
      <c r="A20" s="42" t="s">
        <v>163</v>
      </c>
      <c r="B20" s="93" t="s">
        <v>6</v>
      </c>
      <c r="C20" s="93" t="s">
        <v>88</v>
      </c>
      <c r="D20" s="94">
        <v>4</v>
      </c>
      <c r="E20" s="71" t="s">
        <v>93</v>
      </c>
      <c r="F20" s="6">
        <v>2.7</v>
      </c>
      <c r="G20" s="95" t="s">
        <v>88</v>
      </c>
      <c r="H20" s="96">
        <v>0.3</v>
      </c>
      <c r="I20" s="146">
        <v>50</v>
      </c>
      <c r="J20" s="146">
        <v>10</v>
      </c>
      <c r="K20" s="146">
        <v>5</v>
      </c>
      <c r="L20" s="97">
        <f>CHOOSE(LOOKUP(G20,$W$3:$X$6), "Enter Value", I20*D20*J20*K20*(1+H20), (PI()/4)*D20*I20*(1+H20)*J20^2, PI()*(1+H20)*D20*I20*J20*K20)</f>
        <v>13000</v>
      </c>
      <c r="M20" s="97">
        <f>L20*F20</f>
        <v>35100</v>
      </c>
      <c r="N20" s="98" t="e">
        <f>L20/E20</f>
        <v>#VALUE!</v>
      </c>
      <c r="O20" s="99">
        <v>1.7000000000000001E-2</v>
      </c>
      <c r="P20" s="86" t="s">
        <v>87</v>
      </c>
      <c r="Q20" s="100">
        <f>CHOOSE(LOOKUP(P20,$V$3:$V$5,$X$3:$X$5), O20*L20, O20*M20, O20*N20)</f>
        <v>596.70000000000005</v>
      </c>
      <c r="R20" s="101">
        <f>IF(C20="Test", M20, 0)</f>
        <v>0</v>
      </c>
      <c r="S20" s="101">
        <f>IF(C20="Test", N20, 0)</f>
        <v>0</v>
      </c>
      <c r="T20" s="76">
        <f t="shared" si="0"/>
        <v>0</v>
      </c>
    </row>
    <row r="21" spans="1:20" ht="15">
      <c r="A21" s="43" t="s">
        <v>164</v>
      </c>
      <c r="M21" s="140">
        <f>SUM(M17:M20)/454</f>
        <v>840.77643171806164</v>
      </c>
      <c r="Q21" s="140">
        <f>SUM(Q17:Q20)</f>
        <v>6489.1125000000002</v>
      </c>
      <c r="R21" s="101"/>
      <c r="S21" s="101"/>
    </row>
    <row r="22" spans="1:20">
      <c r="A22" s="42" t="s">
        <v>162</v>
      </c>
      <c r="B22" s="93" t="s">
        <v>6</v>
      </c>
      <c r="C22" s="93" t="s">
        <v>88</v>
      </c>
      <c r="D22" s="94">
        <v>2</v>
      </c>
      <c r="E22" s="71" t="s">
        <v>93</v>
      </c>
      <c r="F22" s="6">
        <v>2.7</v>
      </c>
      <c r="G22" s="95" t="s">
        <v>88</v>
      </c>
      <c r="H22" s="96">
        <v>0.3</v>
      </c>
      <c r="I22" s="146">
        <v>50</v>
      </c>
      <c r="J22" s="146">
        <v>10</v>
      </c>
      <c r="K22" s="146">
        <v>5</v>
      </c>
      <c r="L22" s="97">
        <f>CHOOSE(LOOKUP(G22,$W$3:$X$6), "Enter Value", I22*D22*J22*K22*(1+H22), (PI()/4)*D22*I22*(1+H22)*J22^2, PI()*(1+H22)*D22*I22*J22*K22)</f>
        <v>6500</v>
      </c>
      <c r="M22" s="97">
        <f>L22*F22</f>
        <v>17550</v>
      </c>
      <c r="N22" s="98" t="e">
        <f>L22/E22</f>
        <v>#VALUE!</v>
      </c>
      <c r="O22" s="99">
        <v>1.7000000000000001E-2</v>
      </c>
      <c r="P22" s="86" t="s">
        <v>87</v>
      </c>
      <c r="Q22" s="100">
        <f>CHOOSE(LOOKUP(P22,$V$3:$V$5,$X$3:$X$5), O22*L22, O22*M22, O22*N22)</f>
        <v>298.35000000000002</v>
      </c>
      <c r="R22" s="101">
        <f>IF(C22="Test", M22, 0)</f>
        <v>0</v>
      </c>
      <c r="S22" s="101">
        <f>IF(C22="Test", N22, 0)</f>
        <v>0</v>
      </c>
      <c r="T22" s="76">
        <f>IF(C22="Test", Q22, 0)</f>
        <v>0</v>
      </c>
    </row>
    <row r="23" spans="1:20">
      <c r="A23" s="42" t="s">
        <v>163</v>
      </c>
      <c r="B23" s="93" t="s">
        <v>6</v>
      </c>
      <c r="C23" s="93" t="s">
        <v>88</v>
      </c>
      <c r="D23" s="94">
        <v>4</v>
      </c>
      <c r="E23" s="71" t="s">
        <v>93</v>
      </c>
      <c r="F23" s="6">
        <v>2.7</v>
      </c>
      <c r="G23" s="95" t="s">
        <v>88</v>
      </c>
      <c r="H23" s="96">
        <v>0.3</v>
      </c>
      <c r="I23" s="146">
        <v>50</v>
      </c>
      <c r="J23" s="146">
        <v>10</v>
      </c>
      <c r="K23" s="146">
        <v>5</v>
      </c>
      <c r="L23" s="97">
        <f>CHOOSE(LOOKUP(G23,$W$3:$X$6), "Enter Value", I23*D23*J23*K23*(1+H23), (PI()/4)*D23*I23*(1+H23)*J23^2, PI()*(1+H23)*D23*I23*J23*K23)</f>
        <v>13000</v>
      </c>
      <c r="M23" s="97">
        <f>L23*F23</f>
        <v>35100</v>
      </c>
      <c r="N23" s="98" t="e">
        <f>L23/E23</f>
        <v>#VALUE!</v>
      </c>
      <c r="O23" s="99">
        <v>1.7000000000000001E-2</v>
      </c>
      <c r="P23" s="86" t="s">
        <v>87</v>
      </c>
      <c r="Q23" s="100">
        <f>CHOOSE(LOOKUP(P23,$V$3:$V$5,$X$3:$X$5), O23*L23, O23*M23, O23*N23)</f>
        <v>596.70000000000005</v>
      </c>
      <c r="R23" s="101">
        <f>IF(C23="Test", M23, 0)</f>
        <v>0</v>
      </c>
      <c r="S23" s="101">
        <f>IF(C23="Test", N23, 0)</f>
        <v>0</v>
      </c>
      <c r="T23" s="76">
        <f>IF(C23="Test", Q23, 0)</f>
        <v>0</v>
      </c>
    </row>
    <row r="24" spans="1:20" ht="15">
      <c r="A24" s="43" t="s">
        <v>166</v>
      </c>
      <c r="M24" s="140">
        <f>SUM(M22:M23)/454</f>
        <v>115.96916299559471</v>
      </c>
      <c r="Q24" s="140">
        <f>SUM(Q22:Q23)</f>
        <v>895.05000000000007</v>
      </c>
      <c r="R24" s="101"/>
      <c r="S24" s="101"/>
    </row>
    <row r="25" spans="1:20">
      <c r="A25" s="42" t="s">
        <v>167</v>
      </c>
      <c r="B25" s="18" t="s">
        <v>6</v>
      </c>
      <c r="C25" s="93" t="s">
        <v>88</v>
      </c>
      <c r="D25" s="94">
        <v>1</v>
      </c>
      <c r="E25" s="94">
        <v>330</v>
      </c>
      <c r="F25" s="6">
        <v>2.7</v>
      </c>
      <c r="G25" s="95" t="s">
        <v>88</v>
      </c>
      <c r="H25" s="96">
        <v>0.3</v>
      </c>
      <c r="I25" s="146">
        <v>50</v>
      </c>
      <c r="J25" s="146">
        <v>20</v>
      </c>
      <c r="K25" s="146">
        <v>10</v>
      </c>
      <c r="L25" s="97">
        <f>CHOOSE(LOOKUP(G25,$W$3:$X$6), "Enter Value", I25*D25*J25*K25*(1+H25), (PI()/4)*D25*I25*(1+H25)*J25^2, PI()*(1+H25)*D25*I25*J25*K25)</f>
        <v>13000</v>
      </c>
      <c r="M25" s="97">
        <f>L25*F25</f>
        <v>35100</v>
      </c>
      <c r="N25" s="98">
        <f>L25/E25</f>
        <v>39.393939393939391</v>
      </c>
      <c r="O25" s="99">
        <v>1.7000000000000001E-2</v>
      </c>
      <c r="P25" s="86" t="s">
        <v>87</v>
      </c>
      <c r="Q25" s="100">
        <f>CHOOSE(LOOKUP(P25,$V$3:$V$5,$X$3:$X$5), O25*L25, O25*M25, O25*N25)</f>
        <v>596.70000000000005</v>
      </c>
      <c r="R25" s="101">
        <f>IF(C25="Test", M25, 0)</f>
        <v>0</v>
      </c>
      <c r="S25" s="101">
        <f>IF(C25="Test", N25, 0)</f>
        <v>0</v>
      </c>
      <c r="T25" s="76">
        <f>IF(C25="Test", Q25, 0)</f>
        <v>0</v>
      </c>
    </row>
    <row r="26" spans="1:20">
      <c r="A26" s="42" t="s">
        <v>168</v>
      </c>
      <c r="B26" s="18" t="s">
        <v>6</v>
      </c>
      <c r="C26" s="93" t="s">
        <v>88</v>
      </c>
      <c r="D26" s="94">
        <v>1</v>
      </c>
      <c r="E26" s="94">
        <v>330</v>
      </c>
      <c r="F26" s="6">
        <v>2.7</v>
      </c>
      <c r="G26" s="95" t="s">
        <v>88</v>
      </c>
      <c r="H26" s="96">
        <v>0.3</v>
      </c>
      <c r="I26" s="146">
        <v>50</v>
      </c>
      <c r="J26" s="146">
        <v>20</v>
      </c>
      <c r="K26" s="146">
        <v>10</v>
      </c>
      <c r="L26" s="97">
        <f>CHOOSE(LOOKUP(G26,$W$3:$X$6), "Enter Value", I26*D26*J26*K26*(1+H26), (PI()/4)*D26*I26*(1+H26)*J26^2, PI()*(1+H26)*D26*I26*J26*K26)</f>
        <v>13000</v>
      </c>
      <c r="M26" s="97">
        <f>L26*F26</f>
        <v>35100</v>
      </c>
      <c r="N26" s="98">
        <f>L26/E26</f>
        <v>39.393939393939391</v>
      </c>
      <c r="O26" s="99">
        <v>1.7000000000000001E-2</v>
      </c>
      <c r="P26" s="86" t="s">
        <v>87</v>
      </c>
      <c r="Q26" s="100">
        <f>CHOOSE(LOOKUP(P26,$V$3:$V$5,$X$3:$X$5), O26*L26, O26*M26, O26*N26)</f>
        <v>596.70000000000005</v>
      </c>
      <c r="R26" s="101">
        <f>IF(C26="Test", M26, 0)</f>
        <v>0</v>
      </c>
      <c r="S26" s="101">
        <f>IF(C26="Test", N26, 0)</f>
        <v>0</v>
      </c>
      <c r="T26" s="76">
        <f>IF(C26="Test", Q26, 0)</f>
        <v>0</v>
      </c>
    </row>
    <row r="27" spans="1:20" ht="15">
      <c r="A27" s="43" t="s">
        <v>169</v>
      </c>
      <c r="M27" s="140">
        <f>SUM(M25:M26)/454</f>
        <v>154.62555066079295</v>
      </c>
      <c r="Q27" s="140">
        <f>SUM(Q25:Q26)</f>
        <v>1193.4000000000001</v>
      </c>
      <c r="R27" s="101"/>
      <c r="S27" s="101"/>
    </row>
    <row r="28" spans="1:20">
      <c r="A28" s="42" t="s">
        <v>170</v>
      </c>
      <c r="B28" s="18" t="s">
        <v>6</v>
      </c>
      <c r="C28" s="93" t="s">
        <v>88</v>
      </c>
      <c r="D28" s="94">
        <v>1</v>
      </c>
      <c r="E28" s="94">
        <v>330</v>
      </c>
      <c r="F28" s="6">
        <v>2.7</v>
      </c>
      <c r="G28" s="95" t="s">
        <v>88</v>
      </c>
      <c r="H28" s="96">
        <v>0.3</v>
      </c>
      <c r="I28" s="146">
        <v>10</v>
      </c>
      <c r="J28" s="146">
        <v>20</v>
      </c>
      <c r="K28" s="146">
        <v>10</v>
      </c>
      <c r="L28" s="97">
        <f>CHOOSE(LOOKUP(G28,$W$3:$X$6), "Enter Value", I28*D28*J28*K28*(1+H28), (PI()/4)*D28*I28*(1+H28)*J28^2, PI()*(1+H28)*D28*I28*J28*K28)</f>
        <v>2600</v>
      </c>
      <c r="M28" s="97">
        <f>L28*F28</f>
        <v>7020.0000000000009</v>
      </c>
      <c r="N28" s="98">
        <f>L28/E28</f>
        <v>7.8787878787878789</v>
      </c>
      <c r="O28" s="99">
        <v>1.7000000000000001E-2</v>
      </c>
      <c r="P28" s="86" t="s">
        <v>87</v>
      </c>
      <c r="Q28" s="100">
        <f>CHOOSE(LOOKUP(P28,$V$3:$V$5,$X$3:$X$5), O28*L28, O28*M28, O28*N28)</f>
        <v>119.34000000000002</v>
      </c>
      <c r="R28" s="101">
        <f>IF(C28="Test", M28, 0)</f>
        <v>0</v>
      </c>
      <c r="S28" s="101">
        <f>IF(C28="Test", N28, 0)</f>
        <v>0</v>
      </c>
      <c r="T28" s="76">
        <f>IF(C28="Test", Q28, 0)</f>
        <v>0</v>
      </c>
    </row>
    <row r="29" spans="1:20">
      <c r="A29" s="42" t="s">
        <v>168</v>
      </c>
      <c r="B29" s="18" t="s">
        <v>6</v>
      </c>
      <c r="C29" s="93" t="s">
        <v>88</v>
      </c>
      <c r="D29" s="94">
        <v>1</v>
      </c>
      <c r="E29" s="94">
        <v>330</v>
      </c>
      <c r="F29" s="6">
        <v>2.7</v>
      </c>
      <c r="G29" s="95" t="s">
        <v>88</v>
      </c>
      <c r="H29" s="96">
        <v>0.3</v>
      </c>
      <c r="I29" s="146">
        <v>10</v>
      </c>
      <c r="J29" s="146">
        <v>20</v>
      </c>
      <c r="K29" s="146">
        <v>10</v>
      </c>
      <c r="L29" s="97">
        <f>CHOOSE(LOOKUP(G29,$W$3:$X$6), "Enter Value", I29*D29*J29*K29*(1+H29), (PI()/4)*D29*I29*(1+H29)*J29^2, PI()*(1+H29)*D29*I29*J29*K29)</f>
        <v>2600</v>
      </c>
      <c r="M29" s="97">
        <f>L29*F29</f>
        <v>7020.0000000000009</v>
      </c>
      <c r="N29" s="98">
        <f>L29/E29</f>
        <v>7.8787878787878789</v>
      </c>
      <c r="O29" s="99">
        <v>1.7000000000000001E-2</v>
      </c>
      <c r="P29" s="86" t="s">
        <v>87</v>
      </c>
      <c r="Q29" s="100">
        <f>CHOOSE(LOOKUP(P29,$V$3:$V$5,$X$3:$X$5), O29*L29, O29*M29, O29*N29)</f>
        <v>119.34000000000002</v>
      </c>
      <c r="R29" s="101">
        <f>IF(C29="Test", M29, 0)</f>
        <v>0</v>
      </c>
      <c r="S29" s="101">
        <f>IF(C29="Test", N29, 0)</f>
        <v>0</v>
      </c>
      <c r="T29" s="76">
        <f>IF(C29="Test", Q29, 0)</f>
        <v>0</v>
      </c>
    </row>
    <row r="30" spans="1:20">
      <c r="A30" s="42" t="s">
        <v>41</v>
      </c>
      <c r="B30" s="18" t="s">
        <v>6</v>
      </c>
      <c r="C30" s="93" t="s">
        <v>88</v>
      </c>
      <c r="D30" s="94">
        <v>1</v>
      </c>
      <c r="E30" s="94">
        <v>330</v>
      </c>
      <c r="F30" s="6">
        <v>2.7</v>
      </c>
      <c r="G30" s="95" t="s">
        <v>88</v>
      </c>
      <c r="H30" s="96">
        <v>0.3</v>
      </c>
      <c r="I30" s="146">
        <v>60</v>
      </c>
      <c r="J30" s="146">
        <v>30</v>
      </c>
      <c r="K30" s="146">
        <v>5</v>
      </c>
      <c r="L30" s="97">
        <f>CHOOSE(LOOKUP(G30,$W$3:$X$6), "Enter Value", I30*D30*J30*K30*(1+H30), (PI()/4)*D30*I30*(1+H30)*J30^2, PI()*(1+H30)*D30*I30*J30*K30)</f>
        <v>11700</v>
      </c>
      <c r="M30" s="97">
        <f>L30*F30</f>
        <v>31590.000000000004</v>
      </c>
      <c r="N30" s="98">
        <f>L30/E30</f>
        <v>35.454545454545453</v>
      </c>
      <c r="O30" s="99">
        <v>1.7000000000000001E-2</v>
      </c>
      <c r="P30" s="86" t="s">
        <v>87</v>
      </c>
      <c r="Q30" s="100">
        <f>CHOOSE(LOOKUP(P30,$V$3:$V$5,$X$3:$X$5), O30*L30, O30*M30, O30*N30)</f>
        <v>537.03000000000009</v>
      </c>
      <c r="R30" s="101">
        <f>IF(C30="Test", M30, 0)</f>
        <v>0</v>
      </c>
      <c r="S30" s="101">
        <f>IF(C30="Test", N30, 0)</f>
        <v>0</v>
      </c>
      <c r="T30" s="76">
        <f>IF(C30="Test", Q30, 0)</f>
        <v>0</v>
      </c>
    </row>
    <row r="32" spans="1:20">
      <c r="P32" s="102"/>
      <c r="Q32" s="100"/>
    </row>
  </sheetData>
  <mergeCells count="2">
    <mergeCell ref="A1:C1"/>
    <mergeCell ref="D1:Q1"/>
  </mergeCells>
  <phoneticPr fontId="26" type="noConversion"/>
  <dataValidations count="2">
    <dataValidation type="list" allowBlank="1" showInputMessage="1" showErrorMessage="1" sqref="P22:P23 P10:P11 P13:P14 P17:P20 P6:P7 P25:P26 P28:P30">
      <formula1>$V$3:$V$5</formula1>
    </dataValidation>
    <dataValidation type="list" allowBlank="1" showInputMessage="1" showErrorMessage="1" sqref="G22:G23 G10:G11 G13:G14 G17:G20 G6:G7 G25:G26 G28:G30">
      <formula1>$W$3:$W$6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12</vt:i4>
      </vt:variant>
    </vt:vector>
  </HeadingPairs>
  <TitlesOfParts>
    <vt:vector size="20" baseType="lpstr">
      <vt:lpstr>WBS in Estimate</vt:lpstr>
      <vt:lpstr>SUMMARY</vt:lpstr>
      <vt:lpstr>WBS Summary</vt:lpstr>
      <vt:lpstr>WBS Summary by Year</vt:lpstr>
      <vt:lpstr>Pre- and Production</vt:lpstr>
      <vt:lpstr>Rates</vt:lpstr>
      <vt:lpstr>Material Estimates</vt:lpstr>
      <vt:lpstr>Cost Profile Chart</vt:lpstr>
      <vt:lpstr>CMM</vt:lpstr>
      <vt:lpstr>CMM_RD</vt:lpstr>
      <vt:lpstr>DES</vt:lpstr>
      <vt:lpstr>DES_RD</vt:lpstr>
      <vt:lpstr>ENG</vt:lpstr>
      <vt:lpstr>ENG_RD</vt:lpstr>
      <vt:lpstr>M_Tech</vt:lpstr>
      <vt:lpstr>MT</vt:lpstr>
      <vt:lpstr>MTECH_RD</vt:lpstr>
      <vt:lpstr>SUMMARY!Print_Area</vt:lpstr>
      <vt:lpstr>Shop</vt:lpstr>
      <vt:lpstr>Shop_RD</vt:lpstr>
    </vt:vector>
  </TitlesOfParts>
  <Company>LBNL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Anderssen</dc:creator>
  <cp:lastModifiedBy>leo</cp:lastModifiedBy>
  <cp:lastPrinted>2009-08-13T02:34:43Z</cp:lastPrinted>
  <dcterms:created xsi:type="dcterms:W3CDTF">2000-10-18T16:25:26Z</dcterms:created>
  <dcterms:modified xsi:type="dcterms:W3CDTF">2009-11-09T00:16:09Z</dcterms:modified>
</cp:coreProperties>
</file>