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630" yWindow="150" windowWidth="23130" windowHeight="14490" activeTab="3"/>
  </bookViews>
  <sheets>
    <sheet name="WBS in Estimate" sheetId="18" r:id="rId1"/>
    <sheet name="WBS Summary" sheetId="21" r:id="rId2"/>
    <sheet name="WBS Summary by Year" sheetId="20" r:id="rId3"/>
    <sheet name="SUMMARY" sheetId="16" r:id="rId4"/>
    <sheet name="Cost Profile Chart" sheetId="19" r:id="rId5"/>
    <sheet name="Pre- and Production" sheetId="13" r:id="rId6"/>
    <sheet name="Rates" sheetId="15" r:id="rId7"/>
    <sheet name="Material Estimates" sheetId="17" r:id="rId8"/>
  </sheets>
  <definedNames>
    <definedName name="CMM">Rates!$C$5</definedName>
    <definedName name="CMM_RD">Rates!$D$5</definedName>
    <definedName name="DES">Rates!$C$8</definedName>
    <definedName name="DES_RD">Rates!$D$8</definedName>
    <definedName name="ENG">Rates!$C$7</definedName>
    <definedName name="ENG_RD">Rates!$D$7</definedName>
    <definedName name="M_Tech">Rates!$C$6</definedName>
    <definedName name="MT">Rates!$C$6</definedName>
    <definedName name="MTECH_RD">Rates!$D$6</definedName>
    <definedName name="_xlnm.Print_Area" localSheetId="5">'Pre- and Production'!$A$2:$AB$533</definedName>
    <definedName name="_xlnm.Print_Area" localSheetId="3">SUMMARY!$A$1:$R$61</definedName>
    <definedName name="_xlnm.Print_Area" localSheetId="1">'WBS Summary'!$R$7:$X$39</definedName>
    <definedName name="_xlnm.Print_Area" localSheetId="2">'WBS Summary by Year'!$B$43:$O$281</definedName>
    <definedName name="Shop">Rates!$C$4</definedName>
    <definedName name="Shop_RD">Rates!$D$4</definedName>
  </definedNames>
  <calcPr calcId="125725"/>
</workbook>
</file>

<file path=xl/calcChain.xml><?xml version="1.0" encoding="utf-8"?>
<calcChain xmlns="http://schemas.openxmlformats.org/spreadsheetml/2006/main">
  <c r="S20" i="16"/>
  <c r="I20"/>
  <c r="W39" i="21" l="1"/>
  <c r="A9" i="16"/>
  <c r="K9"/>
  <c r="Y9"/>
  <c r="A18"/>
  <c r="K18"/>
  <c r="W18"/>
  <c r="A38"/>
  <c r="K38"/>
  <c r="A58"/>
  <c r="K58"/>
  <c r="AL546" i="13"/>
  <c r="AM546"/>
  <c r="L9" i="16" s="1"/>
  <c r="AN546" i="13"/>
  <c r="M9" i="16" s="1"/>
  <c r="AO546" i="13"/>
  <c r="N9" i="16" s="1"/>
  <c r="AP546" i="13"/>
  <c r="O9" i="16" s="1"/>
  <c r="AQ546" i="13"/>
  <c r="P9" i="16" s="1"/>
  <c r="AR546" i="13"/>
  <c r="Q9" i="16" s="1"/>
  <c r="AC546" i="13"/>
  <c r="B9" i="16" s="1"/>
  <c r="AD546" i="13"/>
  <c r="C9" i="16" s="1"/>
  <c r="AE546" i="13"/>
  <c r="D9" i="16" s="1"/>
  <c r="AF546" i="13"/>
  <c r="E9" i="16" s="1"/>
  <c r="AG546" i="13"/>
  <c r="F9" i="16" s="1"/>
  <c r="AH546" i="13"/>
  <c r="G9" i="16" s="1"/>
  <c r="AL555" i="13"/>
  <c r="AB555"/>
  <c r="AL568"/>
  <c r="AL577"/>
  <c r="AB577"/>
  <c r="AL589"/>
  <c r="AL598"/>
  <c r="AB598"/>
  <c r="J335"/>
  <c r="J336"/>
  <c r="J340"/>
  <c r="J346"/>
  <c r="J348"/>
  <c r="J349"/>
  <c r="J351"/>
  <c r="J353"/>
  <c r="J369"/>
  <c r="J403"/>
  <c r="J410"/>
  <c r="J427"/>
  <c r="Y10" i="16"/>
  <c r="X10"/>
  <c r="W10"/>
  <c r="Y5"/>
  <c r="Y6"/>
  <c r="Y7"/>
  <c r="Y8"/>
  <c r="Y4"/>
  <c r="W15"/>
  <c r="W16"/>
  <c r="W20" s="1"/>
  <c r="W17"/>
  <c r="W19"/>
  <c r="W14"/>
  <c r="AI266" i="13" l="1"/>
  <c r="AQ266"/>
  <c r="AP266"/>
  <c r="AO266"/>
  <c r="AN266"/>
  <c r="AM266"/>
  <c r="AD266"/>
  <c r="AE266"/>
  <c r="AF266"/>
  <c r="AG266"/>
  <c r="AC266"/>
  <c r="AC188"/>
  <c r="AC113"/>
  <c r="AC71"/>
  <c r="AS532"/>
  <c r="AI532"/>
  <c r="AC532"/>
  <c r="AC458"/>
  <c r="AS327"/>
  <c r="AI327"/>
  <c r="AQ327"/>
  <c r="AP327"/>
  <c r="AO327"/>
  <c r="AN327"/>
  <c r="AM327"/>
  <c r="AD327"/>
  <c r="AE327"/>
  <c r="AF327"/>
  <c r="AG327"/>
  <c r="AC327"/>
  <c r="AS266"/>
  <c r="AI188"/>
  <c r="AQ188"/>
  <c r="AP188"/>
  <c r="AO188"/>
  <c r="AN188"/>
  <c r="AM188"/>
  <c r="AD188"/>
  <c r="AE188"/>
  <c r="AF188"/>
  <c r="AG188"/>
  <c r="AS113"/>
  <c r="AI113"/>
  <c r="AQ113"/>
  <c r="AP113"/>
  <c r="AO113"/>
  <c r="AN113"/>
  <c r="AM113"/>
  <c r="AD113"/>
  <c r="AE113"/>
  <c r="AF113"/>
  <c r="AG113"/>
  <c r="AQ185"/>
  <c r="AP185"/>
  <c r="AO185"/>
  <c r="AN185"/>
  <c r="AM185"/>
  <c r="AH185"/>
  <c r="AG185"/>
  <c r="AF185"/>
  <c r="AE185"/>
  <c r="AD185"/>
  <c r="AC185"/>
  <c r="T185"/>
  <c r="S185"/>
  <c r="M185"/>
  <c r="F185"/>
  <c r="AR185" s="1"/>
  <c r="AQ184"/>
  <c r="AP184"/>
  <c r="AO184"/>
  <c r="AN184"/>
  <c r="AM184"/>
  <c r="AH184"/>
  <c r="AG184"/>
  <c r="AF184"/>
  <c r="AE184"/>
  <c r="AD184"/>
  <c r="AC184"/>
  <c r="T184"/>
  <c r="S184"/>
  <c r="M184"/>
  <c r="F184"/>
  <c r="AR184" s="1"/>
  <c r="AQ183"/>
  <c r="AP183"/>
  <c r="AO183"/>
  <c r="AN183"/>
  <c r="AM183"/>
  <c r="AH183"/>
  <c r="AG183"/>
  <c r="AF183"/>
  <c r="AE183"/>
  <c r="AD183"/>
  <c r="AC183"/>
  <c r="T183"/>
  <c r="S183"/>
  <c r="M183"/>
  <c r="F183"/>
  <c r="AR183" s="1"/>
  <c r="AR182"/>
  <c r="AQ182"/>
  <c r="AP182"/>
  <c r="AO182"/>
  <c r="AN182"/>
  <c r="AM182"/>
  <c r="AH182"/>
  <c r="AG182"/>
  <c r="AF182"/>
  <c r="AE182"/>
  <c r="AD182"/>
  <c r="AC182"/>
  <c r="T182"/>
  <c r="S182"/>
  <c r="M182"/>
  <c r="O182" s="1"/>
  <c r="F182"/>
  <c r="AR181"/>
  <c r="AQ181"/>
  <c r="AP181"/>
  <c r="AO181"/>
  <c r="AN181"/>
  <c r="AM181"/>
  <c r="AH181"/>
  <c r="AG181"/>
  <c r="AF181"/>
  <c r="AE181"/>
  <c r="AD181"/>
  <c r="AC181"/>
  <c r="T181"/>
  <c r="S181"/>
  <c r="M181"/>
  <c r="O181" s="1"/>
  <c r="F181"/>
  <c r="AR523"/>
  <c r="AQ523"/>
  <c r="AP523"/>
  <c r="AO523"/>
  <c r="AN523"/>
  <c r="AM523"/>
  <c r="AG523"/>
  <c r="AF523"/>
  <c r="AE523"/>
  <c r="AD523"/>
  <c r="AC523"/>
  <c r="T523"/>
  <c r="S523"/>
  <c r="M523"/>
  <c r="F523"/>
  <c r="AH523" s="1"/>
  <c r="AR522"/>
  <c r="AQ522"/>
  <c r="AP522"/>
  <c r="AO522"/>
  <c r="AN522"/>
  <c r="AM522"/>
  <c r="AG522"/>
  <c r="AF522"/>
  <c r="AE522"/>
  <c r="AD522"/>
  <c r="AC522"/>
  <c r="T522"/>
  <c r="S522"/>
  <c r="M522"/>
  <c r="F522"/>
  <c r="AH522" s="1"/>
  <c r="AR521"/>
  <c r="AQ521"/>
  <c r="AP521"/>
  <c r="AO521"/>
  <c r="AN521"/>
  <c r="AM521"/>
  <c r="AG521"/>
  <c r="AF521"/>
  <c r="AE521"/>
  <c r="AD521"/>
  <c r="AC521"/>
  <c r="T521"/>
  <c r="S521"/>
  <c r="M521"/>
  <c r="F521"/>
  <c r="AH521" s="1"/>
  <c r="AR520"/>
  <c r="AQ520"/>
  <c r="AP520"/>
  <c r="AO520"/>
  <c r="AN520"/>
  <c r="AM520"/>
  <c r="AG520"/>
  <c r="AF520"/>
  <c r="AE520"/>
  <c r="AD520"/>
  <c r="AC520"/>
  <c r="T520"/>
  <c r="S520"/>
  <c r="M520"/>
  <c r="F520"/>
  <c r="AH520" s="1"/>
  <c r="AR519"/>
  <c r="AQ519"/>
  <c r="AP519"/>
  <c r="AO519"/>
  <c r="AN519"/>
  <c r="AM519"/>
  <c r="AG519"/>
  <c r="AF519"/>
  <c r="AE519"/>
  <c r="AD519"/>
  <c r="AC519"/>
  <c r="T519"/>
  <c r="S519"/>
  <c r="M519"/>
  <c r="F519"/>
  <c r="AH519" s="1"/>
  <c r="AR518"/>
  <c r="AQ518"/>
  <c r="AP518"/>
  <c r="AO518"/>
  <c r="AN518"/>
  <c r="AM518"/>
  <c r="AG518"/>
  <c r="AF518"/>
  <c r="AE518"/>
  <c r="AD518"/>
  <c r="AC518"/>
  <c r="T518"/>
  <c r="S518"/>
  <c r="M518"/>
  <c r="F518"/>
  <c r="AH518" s="1"/>
  <c r="AR517"/>
  <c r="AQ517"/>
  <c r="AP517"/>
  <c r="AO517"/>
  <c r="AN517"/>
  <c r="AM517"/>
  <c r="AG517"/>
  <c r="AF517"/>
  <c r="AE517"/>
  <c r="AD517"/>
  <c r="AC517"/>
  <c r="T517"/>
  <c r="S517"/>
  <c r="M517"/>
  <c r="F517"/>
  <c r="AH517" s="1"/>
  <c r="AR515"/>
  <c r="AQ515"/>
  <c r="AP515"/>
  <c r="AO515"/>
  <c r="AN515"/>
  <c r="AM515"/>
  <c r="AG515"/>
  <c r="AF515"/>
  <c r="AE515"/>
  <c r="AD515"/>
  <c r="AC515"/>
  <c r="T515"/>
  <c r="S515"/>
  <c r="M515"/>
  <c r="F515"/>
  <c r="AH515" s="1"/>
  <c r="AR514"/>
  <c r="AQ514"/>
  <c r="AP514"/>
  <c r="AO514"/>
  <c r="AN514"/>
  <c r="AM514"/>
  <c r="AG514"/>
  <c r="AF514"/>
  <c r="AE514"/>
  <c r="AD514"/>
  <c r="AC514"/>
  <c r="T514"/>
  <c r="S514"/>
  <c r="M514"/>
  <c r="F514"/>
  <c r="AH514" s="1"/>
  <c r="AR513"/>
  <c r="AQ513"/>
  <c r="AP513"/>
  <c r="AO513"/>
  <c r="AN513"/>
  <c r="AM513"/>
  <c r="AG513"/>
  <c r="AF513"/>
  <c r="AE513"/>
  <c r="AD513"/>
  <c r="AC513"/>
  <c r="T513"/>
  <c r="S513"/>
  <c r="M513"/>
  <c r="F513"/>
  <c r="AH513" s="1"/>
  <c r="AR512"/>
  <c r="AQ512"/>
  <c r="AP512"/>
  <c r="AO512"/>
  <c r="AN512"/>
  <c r="AM512"/>
  <c r="AG512"/>
  <c r="AF512"/>
  <c r="AE512"/>
  <c r="AD512"/>
  <c r="AC512"/>
  <c r="T512"/>
  <c r="S512"/>
  <c r="M512"/>
  <c r="F512"/>
  <c r="AH512" s="1"/>
  <c r="AR511"/>
  <c r="AQ511"/>
  <c r="AP511"/>
  <c r="AO511"/>
  <c r="AN511"/>
  <c r="AM511"/>
  <c r="AG511"/>
  <c r="AF511"/>
  <c r="AE511"/>
  <c r="AD511"/>
  <c r="AC511"/>
  <c r="T511"/>
  <c r="S511"/>
  <c r="M511"/>
  <c r="F511"/>
  <c r="AH511" s="1"/>
  <c r="AR510"/>
  <c r="AQ510"/>
  <c r="AP510"/>
  <c r="AO510"/>
  <c r="AN510"/>
  <c r="AM510"/>
  <c r="AG510"/>
  <c r="AF510"/>
  <c r="AE510"/>
  <c r="AD510"/>
  <c r="AC510"/>
  <c r="T510"/>
  <c r="S510"/>
  <c r="M510"/>
  <c r="F510"/>
  <c r="AH510" s="1"/>
  <c r="AR509"/>
  <c r="AQ509"/>
  <c r="AP509"/>
  <c r="AO509"/>
  <c r="AN509"/>
  <c r="AM509"/>
  <c r="AG509"/>
  <c r="AF509"/>
  <c r="AE509"/>
  <c r="AD509"/>
  <c r="AC509"/>
  <c r="T509"/>
  <c r="S509"/>
  <c r="M509"/>
  <c r="F509"/>
  <c r="AH509" s="1"/>
  <c r="AR507"/>
  <c r="AQ507"/>
  <c r="AP507"/>
  <c r="AO507"/>
  <c r="AN507"/>
  <c r="AM507"/>
  <c r="AG507"/>
  <c r="AF507"/>
  <c r="AE507"/>
  <c r="AD507"/>
  <c r="AC507"/>
  <c r="T507"/>
  <c r="S507"/>
  <c r="M507"/>
  <c r="F507"/>
  <c r="AH507" s="1"/>
  <c r="AR506"/>
  <c r="AQ506"/>
  <c r="AP506"/>
  <c r="AO506"/>
  <c r="AN506"/>
  <c r="AM506"/>
  <c r="AG506"/>
  <c r="AF506"/>
  <c r="AE506"/>
  <c r="AD506"/>
  <c r="AC506"/>
  <c r="T506"/>
  <c r="S506"/>
  <c r="M506"/>
  <c r="F506"/>
  <c r="AH506" s="1"/>
  <c r="AR505"/>
  <c r="AQ505"/>
  <c r="AP505"/>
  <c r="AO505"/>
  <c r="AN505"/>
  <c r="AM505"/>
  <c r="AG505"/>
  <c r="AF505"/>
  <c r="AE505"/>
  <c r="AD505"/>
  <c r="AC505"/>
  <c r="T505"/>
  <c r="S505"/>
  <c r="M505"/>
  <c r="F505"/>
  <c r="AH505" s="1"/>
  <c r="AR504"/>
  <c r="AQ504"/>
  <c r="AP504"/>
  <c r="AO504"/>
  <c r="AN504"/>
  <c r="AM504"/>
  <c r="AG504"/>
  <c r="AF504"/>
  <c r="AE504"/>
  <c r="AD504"/>
  <c r="AC504"/>
  <c r="T504"/>
  <c r="S504"/>
  <c r="M504"/>
  <c r="F504"/>
  <c r="AH504" s="1"/>
  <c r="AR503"/>
  <c r="AQ503"/>
  <c r="AP503"/>
  <c r="AO503"/>
  <c r="AN503"/>
  <c r="AM503"/>
  <c r="AG503"/>
  <c r="AF503"/>
  <c r="AE503"/>
  <c r="AD503"/>
  <c r="AC503"/>
  <c r="T503"/>
  <c r="S503"/>
  <c r="M503"/>
  <c r="F503"/>
  <c r="AH503" s="1"/>
  <c r="AR502"/>
  <c r="AQ502"/>
  <c r="AP502"/>
  <c r="AO502"/>
  <c r="AN502"/>
  <c r="AM502"/>
  <c r="AG502"/>
  <c r="AF502"/>
  <c r="AE502"/>
  <c r="AD502"/>
  <c r="AC502"/>
  <c r="T502"/>
  <c r="S502"/>
  <c r="M502"/>
  <c r="F502"/>
  <c r="AH502" s="1"/>
  <c r="AR501"/>
  <c r="AQ501"/>
  <c r="AP501"/>
  <c r="AO501"/>
  <c r="AN501"/>
  <c r="AM501"/>
  <c r="AG501"/>
  <c r="AF501"/>
  <c r="AE501"/>
  <c r="AD501"/>
  <c r="AC501"/>
  <c r="T501"/>
  <c r="S501"/>
  <c r="M501"/>
  <c r="F501"/>
  <c r="AH501" s="1"/>
  <c r="M492"/>
  <c r="AR499"/>
  <c r="AQ499"/>
  <c r="AP499"/>
  <c r="AO499"/>
  <c r="AN499"/>
  <c r="AM499"/>
  <c r="AG499"/>
  <c r="AF499"/>
  <c r="AE499"/>
  <c r="AD499"/>
  <c r="AC499"/>
  <c r="T499"/>
  <c r="S499"/>
  <c r="M499"/>
  <c r="F499"/>
  <c r="AH499" s="1"/>
  <c r="AR498"/>
  <c r="AQ498"/>
  <c r="AP498"/>
  <c r="AO498"/>
  <c r="AN498"/>
  <c r="AM498"/>
  <c r="AG498"/>
  <c r="AF498"/>
  <c r="AE498"/>
  <c r="AD498"/>
  <c r="AC498"/>
  <c r="T498"/>
  <c r="S498"/>
  <c r="M498"/>
  <c r="F498"/>
  <c r="AH498" s="1"/>
  <c r="AR497"/>
  <c r="AQ497"/>
  <c r="AP497"/>
  <c r="AO497"/>
  <c r="AN497"/>
  <c r="AM497"/>
  <c r="AG497"/>
  <c r="AF497"/>
  <c r="AE497"/>
  <c r="AD497"/>
  <c r="AC497"/>
  <c r="T497"/>
  <c r="S497"/>
  <c r="M497"/>
  <c r="F497"/>
  <c r="AH497" s="1"/>
  <c r="AR496"/>
  <c r="AQ496"/>
  <c r="AP496"/>
  <c r="AO496"/>
  <c r="AN496"/>
  <c r="AM496"/>
  <c r="AG496"/>
  <c r="AF496"/>
  <c r="AE496"/>
  <c r="AD496"/>
  <c r="AC496"/>
  <c r="T496"/>
  <c r="S496"/>
  <c r="M496"/>
  <c r="F496"/>
  <c r="AH496" s="1"/>
  <c r="AR495"/>
  <c r="AQ495"/>
  <c r="AP495"/>
  <c r="AO495"/>
  <c r="AN495"/>
  <c r="AM495"/>
  <c r="AG495"/>
  <c r="AF495"/>
  <c r="AE495"/>
  <c r="AD495"/>
  <c r="AC495"/>
  <c r="T495"/>
  <c r="S495"/>
  <c r="M495"/>
  <c r="F495"/>
  <c r="AH495" s="1"/>
  <c r="AR494"/>
  <c r="AQ494"/>
  <c r="AP494"/>
  <c r="AO494"/>
  <c r="AN494"/>
  <c r="AM494"/>
  <c r="AG494"/>
  <c r="AF494"/>
  <c r="AE494"/>
  <c r="AD494"/>
  <c r="AC494"/>
  <c r="T494"/>
  <c r="S494"/>
  <c r="M494"/>
  <c r="F494"/>
  <c r="AH494" s="1"/>
  <c r="AR493"/>
  <c r="AQ493"/>
  <c r="AP493"/>
  <c r="AO493"/>
  <c r="AN493"/>
  <c r="AM493"/>
  <c r="AG493"/>
  <c r="AF493"/>
  <c r="AE493"/>
  <c r="AD493"/>
  <c r="AC493"/>
  <c r="T493"/>
  <c r="S493"/>
  <c r="M493"/>
  <c r="F493"/>
  <c r="AH493" s="1"/>
  <c r="AQ491"/>
  <c r="AP491"/>
  <c r="AO491"/>
  <c r="AN491"/>
  <c r="AM491"/>
  <c r="AH491"/>
  <c r="AG491"/>
  <c r="AF491"/>
  <c r="AE491"/>
  <c r="AD491"/>
  <c r="AC491"/>
  <c r="T491"/>
  <c r="S491"/>
  <c r="M491"/>
  <c r="F491"/>
  <c r="AR491" s="1"/>
  <c r="AQ490"/>
  <c r="AP490"/>
  <c r="AO490"/>
  <c r="AN490"/>
  <c r="AM490"/>
  <c r="AH490"/>
  <c r="AG490"/>
  <c r="AF490"/>
  <c r="AE490"/>
  <c r="AD490"/>
  <c r="AC490"/>
  <c r="T490"/>
  <c r="S490"/>
  <c r="M490"/>
  <c r="F490"/>
  <c r="AR490" s="1"/>
  <c r="AQ489"/>
  <c r="AP489"/>
  <c r="AO489"/>
  <c r="AN489"/>
  <c r="AM489"/>
  <c r="AH489"/>
  <c r="AG489"/>
  <c r="AF489"/>
  <c r="AE489"/>
  <c r="AD489"/>
  <c r="AC489"/>
  <c r="T489"/>
  <c r="S489"/>
  <c r="M489"/>
  <c r="F489"/>
  <c r="AR489" s="1"/>
  <c r="AQ488"/>
  <c r="AP488"/>
  <c r="AO488"/>
  <c r="AN488"/>
  <c r="AM488"/>
  <c r="AH488"/>
  <c r="AG488"/>
  <c r="AF488"/>
  <c r="AE488"/>
  <c r="AD488"/>
  <c r="AC488"/>
  <c r="T488"/>
  <c r="S488"/>
  <c r="M488"/>
  <c r="F488"/>
  <c r="AR488" s="1"/>
  <c r="AQ487"/>
  <c r="AP487"/>
  <c r="AO487"/>
  <c r="AN487"/>
  <c r="AM487"/>
  <c r="AH487"/>
  <c r="AG487"/>
  <c r="AF487"/>
  <c r="AE487"/>
  <c r="AD487"/>
  <c r="AC487"/>
  <c r="T487"/>
  <c r="S487"/>
  <c r="M487"/>
  <c r="F487"/>
  <c r="AR487" s="1"/>
  <c r="AQ486"/>
  <c r="AP486"/>
  <c r="AO486"/>
  <c r="AN486"/>
  <c r="AM486"/>
  <c r="AH486"/>
  <c r="AG486"/>
  <c r="AF486"/>
  <c r="AE486"/>
  <c r="AD486"/>
  <c r="AC486"/>
  <c r="T486"/>
  <c r="S486"/>
  <c r="M486"/>
  <c r="F486"/>
  <c r="AR486" s="1"/>
  <c r="AQ485"/>
  <c r="AP485"/>
  <c r="AO485"/>
  <c r="AN485"/>
  <c r="AM485"/>
  <c r="AH485"/>
  <c r="AG485"/>
  <c r="AF485"/>
  <c r="AE485"/>
  <c r="AD485"/>
  <c r="AC485"/>
  <c r="T485"/>
  <c r="S485"/>
  <c r="M485"/>
  <c r="F485"/>
  <c r="AR485" s="1"/>
  <c r="AR475"/>
  <c r="AQ475"/>
  <c r="AP475"/>
  <c r="AO475"/>
  <c r="AN475"/>
  <c r="AM475"/>
  <c r="AG475"/>
  <c r="AF475"/>
  <c r="AE475"/>
  <c r="AD475"/>
  <c r="AC475"/>
  <c r="T475"/>
  <c r="S475"/>
  <c r="M475"/>
  <c r="F475"/>
  <c r="AH475" s="1"/>
  <c r="AR474"/>
  <c r="AQ474"/>
  <c r="AP474"/>
  <c r="AO474"/>
  <c r="AN474"/>
  <c r="AM474"/>
  <c r="AG474"/>
  <c r="AF474"/>
  <c r="AE474"/>
  <c r="AD474"/>
  <c r="AC474"/>
  <c r="T474"/>
  <c r="S474"/>
  <c r="M474"/>
  <c r="F474"/>
  <c r="AH474" s="1"/>
  <c r="AR473"/>
  <c r="AQ473"/>
  <c r="AP473"/>
  <c r="AO473"/>
  <c r="AN473"/>
  <c r="AM473"/>
  <c r="AG473"/>
  <c r="AF473"/>
  <c r="AE473"/>
  <c r="AD473"/>
  <c r="AC473"/>
  <c r="T473"/>
  <c r="S473"/>
  <c r="M473"/>
  <c r="F473"/>
  <c r="AH473" s="1"/>
  <c r="AR472"/>
  <c r="AQ472"/>
  <c r="AP472"/>
  <c r="AO472"/>
  <c r="AN472"/>
  <c r="AM472"/>
  <c r="AG472"/>
  <c r="AF472"/>
  <c r="AE472"/>
  <c r="AD472"/>
  <c r="AC472"/>
  <c r="T472"/>
  <c r="S472"/>
  <c r="M472"/>
  <c r="F472"/>
  <c r="AH472" s="1"/>
  <c r="AR471"/>
  <c r="AQ471"/>
  <c r="AP471"/>
  <c r="AO471"/>
  <c r="AN471"/>
  <c r="AM471"/>
  <c r="AG471"/>
  <c r="AF471"/>
  <c r="AE471"/>
  <c r="AD471"/>
  <c r="AC471"/>
  <c r="T471"/>
  <c r="S471"/>
  <c r="M471"/>
  <c r="F471"/>
  <c r="AH471" s="1"/>
  <c r="AR470"/>
  <c r="AQ470"/>
  <c r="AP470"/>
  <c r="AO470"/>
  <c r="AN470"/>
  <c r="AM470"/>
  <c r="AG470"/>
  <c r="AF470"/>
  <c r="AE470"/>
  <c r="AD470"/>
  <c r="AC470"/>
  <c r="T470"/>
  <c r="S470"/>
  <c r="M470"/>
  <c r="F470"/>
  <c r="AH470" s="1"/>
  <c r="AR469"/>
  <c r="AQ469"/>
  <c r="AP469"/>
  <c r="AO469"/>
  <c r="AN469"/>
  <c r="AM469"/>
  <c r="AG469"/>
  <c r="AF469"/>
  <c r="AE469"/>
  <c r="AD469"/>
  <c r="AC469"/>
  <c r="T469"/>
  <c r="S469"/>
  <c r="M469"/>
  <c r="F469"/>
  <c r="AH469" s="1"/>
  <c r="AR483"/>
  <c r="AQ483"/>
  <c r="AP483"/>
  <c r="AO483"/>
  <c r="AN483"/>
  <c r="AM483"/>
  <c r="AG483"/>
  <c r="AF483"/>
  <c r="AE483"/>
  <c r="AD483"/>
  <c r="AC483"/>
  <c r="T483"/>
  <c r="S483"/>
  <c r="M483"/>
  <c r="F483"/>
  <c r="AH483" s="1"/>
  <c r="AR482"/>
  <c r="AQ482"/>
  <c r="AP482"/>
  <c r="AO482"/>
  <c r="AN482"/>
  <c r="AM482"/>
  <c r="AG482"/>
  <c r="AF482"/>
  <c r="AE482"/>
  <c r="AD482"/>
  <c r="AC482"/>
  <c r="T482"/>
  <c r="S482"/>
  <c r="M482"/>
  <c r="F482"/>
  <c r="AH482" s="1"/>
  <c r="AR481"/>
  <c r="AQ481"/>
  <c r="AP481"/>
  <c r="AO481"/>
  <c r="AN481"/>
  <c r="AM481"/>
  <c r="AG481"/>
  <c r="AF481"/>
  <c r="AE481"/>
  <c r="AD481"/>
  <c r="AC481"/>
  <c r="T481"/>
  <c r="S481"/>
  <c r="M481"/>
  <c r="F481"/>
  <c r="AH481" s="1"/>
  <c r="AR480"/>
  <c r="AQ480"/>
  <c r="AP480"/>
  <c r="AO480"/>
  <c r="AN480"/>
  <c r="AM480"/>
  <c r="AG480"/>
  <c r="AF480"/>
  <c r="AE480"/>
  <c r="AD480"/>
  <c r="AC480"/>
  <c r="T480"/>
  <c r="S480"/>
  <c r="M480"/>
  <c r="F480"/>
  <c r="AH480" s="1"/>
  <c r="AR479"/>
  <c r="AQ479"/>
  <c r="AP479"/>
  <c r="AO479"/>
  <c r="AN479"/>
  <c r="AM479"/>
  <c r="AG479"/>
  <c r="AF479"/>
  <c r="AE479"/>
  <c r="AD479"/>
  <c r="AC479"/>
  <c r="T479"/>
  <c r="S479"/>
  <c r="M479"/>
  <c r="F479"/>
  <c r="AH479" s="1"/>
  <c r="AR478"/>
  <c r="AQ478"/>
  <c r="AP478"/>
  <c r="AO478"/>
  <c r="AN478"/>
  <c r="AM478"/>
  <c r="AG478"/>
  <c r="AF478"/>
  <c r="AE478"/>
  <c r="AD478"/>
  <c r="AC478"/>
  <c r="T478"/>
  <c r="S478"/>
  <c r="M478"/>
  <c r="F478"/>
  <c r="AH478" s="1"/>
  <c r="AR477"/>
  <c r="AQ477"/>
  <c r="AP477"/>
  <c r="AO477"/>
  <c r="AN477"/>
  <c r="AM477"/>
  <c r="AG477"/>
  <c r="AF477"/>
  <c r="AE477"/>
  <c r="AD477"/>
  <c r="AC477"/>
  <c r="T477"/>
  <c r="S477"/>
  <c r="M477"/>
  <c r="F477"/>
  <c r="AH477" s="1"/>
  <c r="AR452"/>
  <c r="AQ452"/>
  <c r="AP452"/>
  <c r="AO452"/>
  <c r="AN452"/>
  <c r="AM452"/>
  <c r="AG452"/>
  <c r="AF452"/>
  <c r="AE452"/>
  <c r="AD452"/>
  <c r="AC452"/>
  <c r="T452"/>
  <c r="S452"/>
  <c r="M452"/>
  <c r="F452"/>
  <c r="AH452" s="1"/>
  <c r="AR451"/>
  <c r="AQ451"/>
  <c r="AP451"/>
  <c r="AO451"/>
  <c r="AN451"/>
  <c r="AM451"/>
  <c r="AG451"/>
  <c r="AF451"/>
  <c r="AE451"/>
  <c r="AD451"/>
  <c r="AC451"/>
  <c r="T451"/>
  <c r="S451"/>
  <c r="M451"/>
  <c r="F451"/>
  <c r="AH451" s="1"/>
  <c r="AR450"/>
  <c r="AQ450"/>
  <c r="AP450"/>
  <c r="AO450"/>
  <c r="AN450"/>
  <c r="AM450"/>
  <c r="AG450"/>
  <c r="AF450"/>
  <c r="AE450"/>
  <c r="AD450"/>
  <c r="AC450"/>
  <c r="T450"/>
  <c r="S450"/>
  <c r="M450"/>
  <c r="F450"/>
  <c r="AH450" s="1"/>
  <c r="AR449"/>
  <c r="AQ449"/>
  <c r="AP449"/>
  <c r="AO449"/>
  <c r="AN449"/>
  <c r="AM449"/>
  <c r="AG449"/>
  <c r="AF449"/>
  <c r="AE449"/>
  <c r="AD449"/>
  <c r="AC449"/>
  <c r="T449"/>
  <c r="S449"/>
  <c r="M449"/>
  <c r="F449"/>
  <c r="AH449" s="1"/>
  <c r="AR448"/>
  <c r="AQ448"/>
  <c r="AP448"/>
  <c r="AO448"/>
  <c r="AN448"/>
  <c r="AM448"/>
  <c r="AG448"/>
  <c r="AF448"/>
  <c r="AE448"/>
  <c r="AD448"/>
  <c r="AC448"/>
  <c r="T448"/>
  <c r="S448"/>
  <c r="M448"/>
  <c r="F448"/>
  <c r="AQ446"/>
  <c r="AP446"/>
  <c r="AO446"/>
  <c r="AN446"/>
  <c r="AM446"/>
  <c r="AH446"/>
  <c r="AG446"/>
  <c r="AF446"/>
  <c r="AE446"/>
  <c r="AD446"/>
  <c r="AC446"/>
  <c r="T446"/>
  <c r="S446"/>
  <c r="M446"/>
  <c r="F446"/>
  <c r="AR446" s="1"/>
  <c r="AR445"/>
  <c r="AQ445"/>
  <c r="AP445"/>
  <c r="AO445"/>
  <c r="AN445"/>
  <c r="AM445"/>
  <c r="AG445"/>
  <c r="AF445"/>
  <c r="AE445"/>
  <c r="AD445"/>
  <c r="AC445"/>
  <c r="T445"/>
  <c r="S445"/>
  <c r="M445"/>
  <c r="F445"/>
  <c r="AH445" s="1"/>
  <c r="AR457"/>
  <c r="AQ457"/>
  <c r="AP457"/>
  <c r="AO457"/>
  <c r="AN457"/>
  <c r="AM457"/>
  <c r="AG457"/>
  <c r="AF457"/>
  <c r="AE457"/>
  <c r="AD457"/>
  <c r="AC457"/>
  <c r="T457"/>
  <c r="S457"/>
  <c r="M457"/>
  <c r="F457"/>
  <c r="AH457" s="1"/>
  <c r="AR456"/>
  <c r="AQ456"/>
  <c r="AP456"/>
  <c r="AO456"/>
  <c r="AN456"/>
  <c r="AM456"/>
  <c r="AG456"/>
  <c r="AF456"/>
  <c r="AE456"/>
  <c r="AD456"/>
  <c r="AC456"/>
  <c r="T456"/>
  <c r="S456"/>
  <c r="M456"/>
  <c r="F456"/>
  <c r="AH456" s="1"/>
  <c r="AR455"/>
  <c r="AQ455"/>
  <c r="AP455"/>
  <c r="AO455"/>
  <c r="AN455"/>
  <c r="AM455"/>
  <c r="AG455"/>
  <c r="AF455"/>
  <c r="AE455"/>
  <c r="AD455"/>
  <c r="AC455"/>
  <c r="T455"/>
  <c r="S455"/>
  <c r="M455"/>
  <c r="F455"/>
  <c r="AH455" s="1"/>
  <c r="AR454"/>
  <c r="AQ454"/>
  <c r="AP454"/>
  <c r="AO454"/>
  <c r="AN454"/>
  <c r="AM454"/>
  <c r="AG454"/>
  <c r="AF454"/>
  <c r="AE454"/>
  <c r="AD454"/>
  <c r="AC454"/>
  <c r="T454"/>
  <c r="S454"/>
  <c r="M454"/>
  <c r="F454"/>
  <c r="AH454" s="1"/>
  <c r="AR447"/>
  <c r="AQ447"/>
  <c r="AP447"/>
  <c r="AO447"/>
  <c r="AN447"/>
  <c r="AM447"/>
  <c r="AG447"/>
  <c r="AF447"/>
  <c r="AE447"/>
  <c r="AD447"/>
  <c r="AC447"/>
  <c r="T447"/>
  <c r="S447"/>
  <c r="M447"/>
  <c r="F447"/>
  <c r="AH447" s="1"/>
  <c r="AQ444"/>
  <c r="AP444"/>
  <c r="AO444"/>
  <c r="AN444"/>
  <c r="AM444"/>
  <c r="AH444"/>
  <c r="AG444"/>
  <c r="AF444"/>
  <c r="AE444"/>
  <c r="AD444"/>
  <c r="AC444"/>
  <c r="T444"/>
  <c r="S444"/>
  <c r="M444"/>
  <c r="F444"/>
  <c r="AR444" s="1"/>
  <c r="AR443"/>
  <c r="AQ443"/>
  <c r="AP443"/>
  <c r="AO443"/>
  <c r="AN443"/>
  <c r="AM443"/>
  <c r="AG443"/>
  <c r="AF443"/>
  <c r="AE443"/>
  <c r="AD443"/>
  <c r="AC443"/>
  <c r="T443"/>
  <c r="S443"/>
  <c r="M443"/>
  <c r="F443"/>
  <c r="AH443" s="1"/>
  <c r="AR439"/>
  <c r="AQ439"/>
  <c r="AP439"/>
  <c r="AO439"/>
  <c r="AN439"/>
  <c r="AM439"/>
  <c r="AG439"/>
  <c r="AF439"/>
  <c r="AE439"/>
  <c r="AD439"/>
  <c r="AC439"/>
  <c r="T439"/>
  <c r="S439"/>
  <c r="M439"/>
  <c r="F439"/>
  <c r="AH439" s="1"/>
  <c r="AR438"/>
  <c r="AQ438"/>
  <c r="AP438"/>
  <c r="AO438"/>
  <c r="AN438"/>
  <c r="AM438"/>
  <c r="AG438"/>
  <c r="AF438"/>
  <c r="AE438"/>
  <c r="AD438"/>
  <c r="AC438"/>
  <c r="T438"/>
  <c r="S438"/>
  <c r="M438"/>
  <c r="F438"/>
  <c r="AH438" s="1"/>
  <c r="AR437"/>
  <c r="AQ437"/>
  <c r="AP437"/>
  <c r="AO437"/>
  <c r="AN437"/>
  <c r="AM437"/>
  <c r="AG437"/>
  <c r="AF437"/>
  <c r="AE437"/>
  <c r="AD437"/>
  <c r="AC437"/>
  <c r="T437"/>
  <c r="S437"/>
  <c r="M437"/>
  <c r="F437"/>
  <c r="AH437" s="1"/>
  <c r="AR436"/>
  <c r="AQ436"/>
  <c r="AP436"/>
  <c r="AO436"/>
  <c r="AN436"/>
  <c r="AM436"/>
  <c r="AG436"/>
  <c r="AF436"/>
  <c r="AE436"/>
  <c r="AD436"/>
  <c r="AC436"/>
  <c r="T436"/>
  <c r="S436"/>
  <c r="M436"/>
  <c r="F436"/>
  <c r="AH436" s="1"/>
  <c r="AR435"/>
  <c r="AQ435"/>
  <c r="AP435"/>
  <c r="AO435"/>
  <c r="AN435"/>
  <c r="AM435"/>
  <c r="AG435"/>
  <c r="AF435"/>
  <c r="AE435"/>
  <c r="AD435"/>
  <c r="AC435"/>
  <c r="T435"/>
  <c r="S435"/>
  <c r="M435"/>
  <c r="F435"/>
  <c r="AH435" s="1"/>
  <c r="AR434"/>
  <c r="AQ434"/>
  <c r="AP434"/>
  <c r="AO434"/>
  <c r="AN434"/>
  <c r="AM434"/>
  <c r="AG434"/>
  <c r="AF434"/>
  <c r="AE434"/>
  <c r="AD434"/>
  <c r="AC434"/>
  <c r="T434"/>
  <c r="S434"/>
  <c r="M434"/>
  <c r="F434"/>
  <c r="AH434" s="1"/>
  <c r="AR433"/>
  <c r="AQ433"/>
  <c r="AP433"/>
  <c r="AO433"/>
  <c r="AN433"/>
  <c r="AM433"/>
  <c r="AG433"/>
  <c r="AF433"/>
  <c r="AE433"/>
  <c r="AD433"/>
  <c r="AC433"/>
  <c r="T433"/>
  <c r="S433"/>
  <c r="M433"/>
  <c r="F433"/>
  <c r="AH433" s="1"/>
  <c r="AR432"/>
  <c r="AQ432"/>
  <c r="AP432"/>
  <c r="AO432"/>
  <c r="AN432"/>
  <c r="AM432"/>
  <c r="AG432"/>
  <c r="AF432"/>
  <c r="AE432"/>
  <c r="AD432"/>
  <c r="AC432"/>
  <c r="T432"/>
  <c r="S432"/>
  <c r="M432"/>
  <c r="F432"/>
  <c r="AH432" s="1"/>
  <c r="AR431"/>
  <c r="AQ431"/>
  <c r="AP431"/>
  <c r="AO431"/>
  <c r="AN431"/>
  <c r="AM431"/>
  <c r="AG431"/>
  <c r="AF431"/>
  <c r="AE431"/>
  <c r="AD431"/>
  <c r="AC431"/>
  <c r="T431"/>
  <c r="S431"/>
  <c r="M431"/>
  <c r="F431"/>
  <c r="AH431" s="1"/>
  <c r="AR430"/>
  <c r="AQ430"/>
  <c r="AP430"/>
  <c r="AO430"/>
  <c r="AN430"/>
  <c r="AM430"/>
  <c r="AG430"/>
  <c r="AF430"/>
  <c r="AE430"/>
  <c r="AD430"/>
  <c r="AC430"/>
  <c r="T430"/>
  <c r="S430"/>
  <c r="M430"/>
  <c r="F430"/>
  <c r="AH430" s="1"/>
  <c r="AR429"/>
  <c r="AQ429"/>
  <c r="AP429"/>
  <c r="AO429"/>
  <c r="AN429"/>
  <c r="AM429"/>
  <c r="AG429"/>
  <c r="AF429"/>
  <c r="AE429"/>
  <c r="AD429"/>
  <c r="AC429"/>
  <c r="T429"/>
  <c r="S429"/>
  <c r="M429"/>
  <c r="F429"/>
  <c r="AH429" s="1"/>
  <c r="AQ428"/>
  <c r="AP428"/>
  <c r="AO428"/>
  <c r="AN428"/>
  <c r="AM428"/>
  <c r="AH428"/>
  <c r="AG428"/>
  <c r="AF428"/>
  <c r="AE428"/>
  <c r="AD428"/>
  <c r="AC428"/>
  <c r="T428"/>
  <c r="S428"/>
  <c r="M428"/>
  <c r="F428"/>
  <c r="AR428" s="1"/>
  <c r="AR427"/>
  <c r="AQ427"/>
  <c r="AP427"/>
  <c r="AO427"/>
  <c r="AN427"/>
  <c r="AM427"/>
  <c r="AG427"/>
  <c r="AF427"/>
  <c r="AE427"/>
  <c r="AD427"/>
  <c r="AC427"/>
  <c r="T427"/>
  <c r="S427"/>
  <c r="M427"/>
  <c r="F427"/>
  <c r="AH427" s="1"/>
  <c r="AQ426"/>
  <c r="AP426"/>
  <c r="AO426"/>
  <c r="AN426"/>
  <c r="AM426"/>
  <c r="AH426"/>
  <c r="AG426"/>
  <c r="AF426"/>
  <c r="AE426"/>
  <c r="AD426"/>
  <c r="AC426"/>
  <c r="T426"/>
  <c r="S426"/>
  <c r="M426"/>
  <c r="F426"/>
  <c r="AR426" s="1"/>
  <c r="AR425"/>
  <c r="AQ425"/>
  <c r="AP425"/>
  <c r="AO425"/>
  <c r="AN425"/>
  <c r="AM425"/>
  <c r="AG425"/>
  <c r="AF425"/>
  <c r="AE425"/>
  <c r="AD425"/>
  <c r="AC425"/>
  <c r="T425"/>
  <c r="S425"/>
  <c r="M425"/>
  <c r="F425"/>
  <c r="AH425" s="1"/>
  <c r="AR422"/>
  <c r="AQ422"/>
  <c r="AP422"/>
  <c r="AO422"/>
  <c r="AN422"/>
  <c r="AM422"/>
  <c r="AG422"/>
  <c r="AF422"/>
  <c r="AE422"/>
  <c r="AD422"/>
  <c r="AC422"/>
  <c r="T422"/>
  <c r="S422"/>
  <c r="M422"/>
  <c r="F422"/>
  <c r="AH422" s="1"/>
  <c r="AR421"/>
  <c r="AQ421"/>
  <c r="AP421"/>
  <c r="AO421"/>
  <c r="AN421"/>
  <c r="AM421"/>
  <c r="AG421"/>
  <c r="AF421"/>
  <c r="AE421"/>
  <c r="AD421"/>
  <c r="AC421"/>
  <c r="T421"/>
  <c r="S421"/>
  <c r="M421"/>
  <c r="F421"/>
  <c r="AH421" s="1"/>
  <c r="AR420"/>
  <c r="AQ420"/>
  <c r="AP420"/>
  <c r="AO420"/>
  <c r="AN420"/>
  <c r="AM420"/>
  <c r="AG420"/>
  <c r="AF420"/>
  <c r="AE420"/>
  <c r="AD420"/>
  <c r="AC420"/>
  <c r="T420"/>
  <c r="S420"/>
  <c r="M420"/>
  <c r="F420"/>
  <c r="AH420" s="1"/>
  <c r="AR419"/>
  <c r="AQ419"/>
  <c r="AP419"/>
  <c r="AO419"/>
  <c r="AN419"/>
  <c r="AM419"/>
  <c r="AG419"/>
  <c r="AF419"/>
  <c r="AE419"/>
  <c r="AD419"/>
  <c r="AC419"/>
  <c r="T419"/>
  <c r="S419"/>
  <c r="M419"/>
  <c r="F419"/>
  <c r="AH419" s="1"/>
  <c r="AR418"/>
  <c r="AQ418"/>
  <c r="AP418"/>
  <c r="AO418"/>
  <c r="AN418"/>
  <c r="AM418"/>
  <c r="AG418"/>
  <c r="AF418"/>
  <c r="AE418"/>
  <c r="AD418"/>
  <c r="AC418"/>
  <c r="T418"/>
  <c r="S418"/>
  <c r="M418"/>
  <c r="F418"/>
  <c r="AH418" s="1"/>
  <c r="AQ411"/>
  <c r="AP411"/>
  <c r="AO411"/>
  <c r="AN411"/>
  <c r="AM411"/>
  <c r="AG411"/>
  <c r="AF411"/>
  <c r="AE411"/>
  <c r="AD411"/>
  <c r="AC411"/>
  <c r="T411"/>
  <c r="S411"/>
  <c r="M411"/>
  <c r="F411"/>
  <c r="AH411" s="1"/>
  <c r="AQ409"/>
  <c r="AP409"/>
  <c r="AO409"/>
  <c r="AN409"/>
  <c r="AM409"/>
  <c r="AG409"/>
  <c r="AF409"/>
  <c r="AE409"/>
  <c r="AD409"/>
  <c r="AC409"/>
  <c r="T409"/>
  <c r="S409"/>
  <c r="M409"/>
  <c r="F409"/>
  <c r="AH409" s="1"/>
  <c r="AR413"/>
  <c r="AQ413"/>
  <c r="AP413"/>
  <c r="AO413"/>
  <c r="AN413"/>
  <c r="AM413"/>
  <c r="AG413"/>
  <c r="AF413"/>
  <c r="AE413"/>
  <c r="AD413"/>
  <c r="AC413"/>
  <c r="T413"/>
  <c r="S413"/>
  <c r="M413"/>
  <c r="F413"/>
  <c r="AH413" s="1"/>
  <c r="AR416"/>
  <c r="AQ416"/>
  <c r="AP416"/>
  <c r="AO416"/>
  <c r="AN416"/>
  <c r="AM416"/>
  <c r="AG416"/>
  <c r="AF416"/>
  <c r="AE416"/>
  <c r="AD416"/>
  <c r="AC416"/>
  <c r="T416"/>
  <c r="S416"/>
  <c r="M416"/>
  <c r="F416"/>
  <c r="AH416" s="1"/>
  <c r="AR417"/>
  <c r="AQ417"/>
  <c r="AP417"/>
  <c r="AO417"/>
  <c r="AN417"/>
  <c r="AM417"/>
  <c r="AG417"/>
  <c r="AF417"/>
  <c r="AE417"/>
  <c r="AD417"/>
  <c r="AC417"/>
  <c r="T417"/>
  <c r="S417"/>
  <c r="M417"/>
  <c r="F417"/>
  <c r="AR415"/>
  <c r="AQ415"/>
  <c r="AP415"/>
  <c r="AO415"/>
  <c r="AN415"/>
  <c r="AM415"/>
  <c r="AG415"/>
  <c r="AF415"/>
  <c r="AE415"/>
  <c r="AD415"/>
  <c r="AC415"/>
  <c r="T415"/>
  <c r="S415"/>
  <c r="M415"/>
  <c r="F415"/>
  <c r="AR412"/>
  <c r="AQ412"/>
  <c r="AP412"/>
  <c r="AO412"/>
  <c r="AN412"/>
  <c r="AM412"/>
  <c r="AG412"/>
  <c r="AF412"/>
  <c r="AE412"/>
  <c r="AD412"/>
  <c r="AC412"/>
  <c r="T412"/>
  <c r="S412"/>
  <c r="M412"/>
  <c r="F412"/>
  <c r="AH412" s="1"/>
  <c r="AQ424"/>
  <c r="AP424"/>
  <c r="AO424"/>
  <c r="AN424"/>
  <c r="AM424"/>
  <c r="AH424"/>
  <c r="AG424"/>
  <c r="AF424"/>
  <c r="AE424"/>
  <c r="AD424"/>
  <c r="AC424"/>
  <c r="T424"/>
  <c r="S424"/>
  <c r="M424"/>
  <c r="F424"/>
  <c r="AR424" s="1"/>
  <c r="AR414"/>
  <c r="AQ414"/>
  <c r="AP414"/>
  <c r="AO414"/>
  <c r="AN414"/>
  <c r="AM414"/>
  <c r="AG414"/>
  <c r="AF414"/>
  <c r="AE414"/>
  <c r="AD414"/>
  <c r="AC414"/>
  <c r="T414"/>
  <c r="S414"/>
  <c r="M414"/>
  <c r="F414"/>
  <c r="AH414" s="1"/>
  <c r="AR410"/>
  <c r="AQ410"/>
  <c r="AP410"/>
  <c r="AO410"/>
  <c r="AN410"/>
  <c r="AM410"/>
  <c r="AG410"/>
  <c r="AF410"/>
  <c r="AE410"/>
  <c r="AD410"/>
  <c r="AC410"/>
  <c r="AC440" s="1"/>
  <c r="T410"/>
  <c r="S410"/>
  <c r="M410"/>
  <c r="F410"/>
  <c r="AH410" s="1"/>
  <c r="AR408"/>
  <c r="AQ408"/>
  <c r="AP408"/>
  <c r="AO408"/>
  <c r="AN408"/>
  <c r="AM408"/>
  <c r="AG408"/>
  <c r="AF408"/>
  <c r="AE408"/>
  <c r="AD408"/>
  <c r="AC408"/>
  <c r="T408"/>
  <c r="S408"/>
  <c r="M408"/>
  <c r="F408"/>
  <c r="AH408" s="1"/>
  <c r="AR404"/>
  <c r="AQ404"/>
  <c r="AP404"/>
  <c r="AO404"/>
  <c r="AN404"/>
  <c r="AM404"/>
  <c r="AG404"/>
  <c r="AF404"/>
  <c r="AE404"/>
  <c r="AD404"/>
  <c r="AC404"/>
  <c r="T404"/>
  <c r="S404"/>
  <c r="M404"/>
  <c r="F404"/>
  <c r="AH404" s="1"/>
  <c r="AQ402"/>
  <c r="AP402"/>
  <c r="AO402"/>
  <c r="AN402"/>
  <c r="AM402"/>
  <c r="AG402"/>
  <c r="AF402"/>
  <c r="AE402"/>
  <c r="AD402"/>
  <c r="AC402"/>
  <c r="T402"/>
  <c r="S402"/>
  <c r="M402"/>
  <c r="F402"/>
  <c r="AH402" s="1"/>
  <c r="AQ400"/>
  <c r="AP400"/>
  <c r="AO400"/>
  <c r="AN400"/>
  <c r="AM400"/>
  <c r="AH400"/>
  <c r="AG400"/>
  <c r="AF400"/>
  <c r="AE400"/>
  <c r="AD400"/>
  <c r="AC400"/>
  <c r="T400"/>
  <c r="S400"/>
  <c r="M400"/>
  <c r="F400"/>
  <c r="AR400" s="1"/>
  <c r="AR399"/>
  <c r="AQ399"/>
  <c r="AP399"/>
  <c r="AO399"/>
  <c r="AN399"/>
  <c r="AM399"/>
  <c r="AG399"/>
  <c r="AF399"/>
  <c r="AE399"/>
  <c r="AD399"/>
  <c r="AC399"/>
  <c r="T399"/>
  <c r="S399"/>
  <c r="M399"/>
  <c r="F399"/>
  <c r="AH399" s="1"/>
  <c r="AR396"/>
  <c r="AQ396"/>
  <c r="AP396"/>
  <c r="AO396"/>
  <c r="AN396"/>
  <c r="AM396"/>
  <c r="AG396"/>
  <c r="AF396"/>
  <c r="AE396"/>
  <c r="AD396"/>
  <c r="AC396"/>
  <c r="T396"/>
  <c r="S396"/>
  <c r="M396"/>
  <c r="F396"/>
  <c r="AH396" s="1"/>
  <c r="AQ393"/>
  <c r="AP393"/>
  <c r="AO393"/>
  <c r="AN393"/>
  <c r="AM393"/>
  <c r="AH393"/>
  <c r="AG393"/>
  <c r="AF393"/>
  <c r="AE393"/>
  <c r="AD393"/>
  <c r="AC393"/>
  <c r="T393"/>
  <c r="S393"/>
  <c r="M393"/>
  <c r="F393"/>
  <c r="AR393" s="1"/>
  <c r="AR392"/>
  <c r="AQ392"/>
  <c r="AP392"/>
  <c r="AO392"/>
  <c r="AN392"/>
  <c r="AM392"/>
  <c r="AG392"/>
  <c r="AF392"/>
  <c r="AE392"/>
  <c r="AD392"/>
  <c r="AC392"/>
  <c r="T392"/>
  <c r="S392"/>
  <c r="M392"/>
  <c r="F392"/>
  <c r="AH392" s="1"/>
  <c r="AQ391"/>
  <c r="AP391"/>
  <c r="AO391"/>
  <c r="AN391"/>
  <c r="AM391"/>
  <c r="AG391"/>
  <c r="AF391"/>
  <c r="AE391"/>
  <c r="AD391"/>
  <c r="AC391"/>
  <c r="T391"/>
  <c r="S391"/>
  <c r="M391"/>
  <c r="F391"/>
  <c r="AH391" s="1"/>
  <c r="AQ389"/>
  <c r="AP389"/>
  <c r="AO389"/>
  <c r="AN389"/>
  <c r="AM389"/>
  <c r="AG389"/>
  <c r="AF389"/>
  <c r="AE389"/>
  <c r="AD389"/>
  <c r="AC389"/>
  <c r="T389"/>
  <c r="S389"/>
  <c r="M389"/>
  <c r="F389"/>
  <c r="AH389" s="1"/>
  <c r="AQ387"/>
  <c r="AP387"/>
  <c r="AO387"/>
  <c r="AN387"/>
  <c r="AM387"/>
  <c r="AG387"/>
  <c r="AF387"/>
  <c r="AE387"/>
  <c r="AD387"/>
  <c r="AC387"/>
  <c r="T387"/>
  <c r="S387"/>
  <c r="M387"/>
  <c r="F387"/>
  <c r="AH387" s="1"/>
  <c r="AQ374"/>
  <c r="AP374"/>
  <c r="AO374"/>
  <c r="AN374"/>
  <c r="AM374"/>
  <c r="AG374"/>
  <c r="AF374"/>
  <c r="AE374"/>
  <c r="AD374"/>
  <c r="AC374"/>
  <c r="T374"/>
  <c r="S374"/>
  <c r="M374"/>
  <c r="F374"/>
  <c r="AH374" s="1"/>
  <c r="AR388"/>
  <c r="AQ388"/>
  <c r="AP388"/>
  <c r="AO388"/>
  <c r="AN388"/>
  <c r="AM388"/>
  <c r="AG388"/>
  <c r="AF388"/>
  <c r="AE388"/>
  <c r="AD388"/>
  <c r="AC388"/>
  <c r="T388"/>
  <c r="S388"/>
  <c r="M388"/>
  <c r="F388"/>
  <c r="AH388" s="1"/>
  <c r="AR397"/>
  <c r="AQ397"/>
  <c r="AP397"/>
  <c r="AO397"/>
  <c r="AN397"/>
  <c r="AM397"/>
  <c r="AG397"/>
  <c r="AF397"/>
  <c r="AE397"/>
  <c r="AD397"/>
  <c r="AC397"/>
  <c r="T397"/>
  <c r="S397"/>
  <c r="M397"/>
  <c r="F397"/>
  <c r="AH397" s="1"/>
  <c r="AR395"/>
  <c r="AQ395"/>
  <c r="AP395"/>
  <c r="AO395"/>
  <c r="AN395"/>
  <c r="AM395"/>
  <c r="AG395"/>
  <c r="AF395"/>
  <c r="AE395"/>
  <c r="AD395"/>
  <c r="AC395"/>
  <c r="T395"/>
  <c r="S395"/>
  <c r="M395"/>
  <c r="F395"/>
  <c r="AH395" s="1"/>
  <c r="AQ394"/>
  <c r="AP394"/>
  <c r="AO394"/>
  <c r="AN394"/>
  <c r="AM394"/>
  <c r="AH394"/>
  <c r="AG394"/>
  <c r="AF394"/>
  <c r="AE394"/>
  <c r="AD394"/>
  <c r="AC394"/>
  <c r="T394"/>
  <c r="S394"/>
  <c r="M394"/>
  <c r="F394"/>
  <c r="AR394" s="1"/>
  <c r="AR390"/>
  <c r="AQ390"/>
  <c r="AP390"/>
  <c r="AO390"/>
  <c r="AN390"/>
  <c r="AM390"/>
  <c r="AG390"/>
  <c r="AF390"/>
  <c r="AE390"/>
  <c r="AD390"/>
  <c r="AC390"/>
  <c r="T390"/>
  <c r="S390"/>
  <c r="M390"/>
  <c r="F390"/>
  <c r="AH390" s="1"/>
  <c r="AR386"/>
  <c r="AQ386"/>
  <c r="AP386"/>
  <c r="AO386"/>
  <c r="AN386"/>
  <c r="AM386"/>
  <c r="AG386"/>
  <c r="AF386"/>
  <c r="AE386"/>
  <c r="AD386"/>
  <c r="AC386"/>
  <c r="T386"/>
  <c r="S386"/>
  <c r="M386"/>
  <c r="F386"/>
  <c r="AH386" s="1"/>
  <c r="AQ377"/>
  <c r="AP377"/>
  <c r="AO377"/>
  <c r="AN377"/>
  <c r="AM377"/>
  <c r="AG377"/>
  <c r="AF377"/>
  <c r="AE377"/>
  <c r="AD377"/>
  <c r="AC377"/>
  <c r="T377"/>
  <c r="S377"/>
  <c r="M377"/>
  <c r="F377"/>
  <c r="AH377" s="1"/>
  <c r="AQ381"/>
  <c r="AP381"/>
  <c r="AO381"/>
  <c r="AN381"/>
  <c r="AM381"/>
  <c r="AG381"/>
  <c r="AF381"/>
  <c r="AE381"/>
  <c r="AD381"/>
  <c r="AC381"/>
  <c r="T381"/>
  <c r="S381"/>
  <c r="M381"/>
  <c r="F381"/>
  <c r="AH381" s="1"/>
  <c r="AQ379"/>
  <c r="AP379"/>
  <c r="AO379"/>
  <c r="AN379"/>
  <c r="AM379"/>
  <c r="AG379"/>
  <c r="AF379"/>
  <c r="AE379"/>
  <c r="AD379"/>
  <c r="AC379"/>
  <c r="T379"/>
  <c r="S379"/>
  <c r="M379"/>
  <c r="F379"/>
  <c r="AH379" s="1"/>
  <c r="AR383"/>
  <c r="AQ383"/>
  <c r="AP383"/>
  <c r="AO383"/>
  <c r="AN383"/>
  <c r="AM383"/>
  <c r="AG383"/>
  <c r="AF383"/>
  <c r="AE383"/>
  <c r="AD383"/>
  <c r="AC383"/>
  <c r="T383"/>
  <c r="S383"/>
  <c r="M383"/>
  <c r="F383"/>
  <c r="AH383" s="1"/>
  <c r="AQ384"/>
  <c r="AP384"/>
  <c r="AO384"/>
  <c r="AN384"/>
  <c r="AM384"/>
  <c r="AH384"/>
  <c r="AG384"/>
  <c r="AF384"/>
  <c r="AE384"/>
  <c r="AD384"/>
  <c r="AC384"/>
  <c r="T384"/>
  <c r="S384"/>
  <c r="M384"/>
  <c r="F384"/>
  <c r="AR384" s="1"/>
  <c r="AR380"/>
  <c r="AQ380"/>
  <c r="AP380"/>
  <c r="AO380"/>
  <c r="AN380"/>
  <c r="AM380"/>
  <c r="AG380"/>
  <c r="AF380"/>
  <c r="AE380"/>
  <c r="AD380"/>
  <c r="AC380"/>
  <c r="T380"/>
  <c r="S380"/>
  <c r="M380"/>
  <c r="F380"/>
  <c r="AH380" s="1"/>
  <c r="AR370"/>
  <c r="AQ370"/>
  <c r="AP370"/>
  <c r="AO370"/>
  <c r="AN370"/>
  <c r="AM370"/>
  <c r="AG370"/>
  <c r="AF370"/>
  <c r="AE370"/>
  <c r="AD370"/>
  <c r="AC370"/>
  <c r="T370"/>
  <c r="S370"/>
  <c r="M370"/>
  <c r="F370"/>
  <c r="AH370" s="1"/>
  <c r="AR352"/>
  <c r="AQ352"/>
  <c r="AP352"/>
  <c r="AO352"/>
  <c r="AN352"/>
  <c r="AM352"/>
  <c r="AG352"/>
  <c r="AF352"/>
  <c r="AE352"/>
  <c r="AD352"/>
  <c r="AC352"/>
  <c r="T352"/>
  <c r="S352"/>
  <c r="M352"/>
  <c r="F352"/>
  <c r="AH352" s="1"/>
  <c r="AQ355"/>
  <c r="AP355"/>
  <c r="AO355"/>
  <c r="AN355"/>
  <c r="AM355"/>
  <c r="AH355"/>
  <c r="AG355"/>
  <c r="AF355"/>
  <c r="AE355"/>
  <c r="AD355"/>
  <c r="AC355"/>
  <c r="T355"/>
  <c r="S355"/>
  <c r="M355"/>
  <c r="F355"/>
  <c r="AR355" s="1"/>
  <c r="AR354"/>
  <c r="AQ354"/>
  <c r="AP354"/>
  <c r="AO354"/>
  <c r="AN354"/>
  <c r="AM354"/>
  <c r="AG354"/>
  <c r="AF354"/>
  <c r="AE354"/>
  <c r="AD354"/>
  <c r="AC354"/>
  <c r="T354"/>
  <c r="S354"/>
  <c r="M354"/>
  <c r="F354"/>
  <c r="AH354" s="1"/>
  <c r="AR353"/>
  <c r="AQ353"/>
  <c r="AP353"/>
  <c r="AO353"/>
  <c r="AN353"/>
  <c r="AM353"/>
  <c r="AG353"/>
  <c r="AF353"/>
  <c r="AE353"/>
  <c r="AD353"/>
  <c r="AC353"/>
  <c r="T353"/>
  <c r="S353"/>
  <c r="M353"/>
  <c r="F353"/>
  <c r="AH353" s="1"/>
  <c r="AR357"/>
  <c r="AQ357"/>
  <c r="AP357"/>
  <c r="AO357"/>
  <c r="AN357"/>
  <c r="AM357"/>
  <c r="AG357"/>
  <c r="AF357"/>
  <c r="AE357"/>
  <c r="AD357"/>
  <c r="AC357"/>
  <c r="T357"/>
  <c r="S357"/>
  <c r="M357"/>
  <c r="F357"/>
  <c r="AH357" s="1"/>
  <c r="AQ351"/>
  <c r="AP351"/>
  <c r="AO351"/>
  <c r="AN351"/>
  <c r="AM351"/>
  <c r="AH351"/>
  <c r="AG351"/>
  <c r="AF351"/>
  <c r="AE351"/>
  <c r="AD351"/>
  <c r="AC351"/>
  <c r="T351"/>
  <c r="S351"/>
  <c r="M351"/>
  <c r="F351"/>
  <c r="AR351" s="1"/>
  <c r="AR350"/>
  <c r="AQ350"/>
  <c r="AP350"/>
  <c r="AO350"/>
  <c r="AN350"/>
  <c r="AM350"/>
  <c r="AG350"/>
  <c r="AF350"/>
  <c r="AE350"/>
  <c r="AD350"/>
  <c r="AC350"/>
  <c r="T350"/>
  <c r="S350"/>
  <c r="M350"/>
  <c r="F350"/>
  <c r="AH350" s="1"/>
  <c r="AR349"/>
  <c r="AQ349"/>
  <c r="AP349"/>
  <c r="AO349"/>
  <c r="AN349"/>
  <c r="AM349"/>
  <c r="AG349"/>
  <c r="AF349"/>
  <c r="AE349"/>
  <c r="AD349"/>
  <c r="AC349"/>
  <c r="T349"/>
  <c r="S349"/>
  <c r="M349"/>
  <c r="F349"/>
  <c r="AH349" s="1"/>
  <c r="AR358"/>
  <c r="AQ358"/>
  <c r="AP358"/>
  <c r="AO358"/>
  <c r="AN358"/>
  <c r="AM358"/>
  <c r="AG358"/>
  <c r="AF358"/>
  <c r="AE358"/>
  <c r="AD358"/>
  <c r="AC358"/>
  <c r="T358"/>
  <c r="S358"/>
  <c r="M358"/>
  <c r="F358"/>
  <c r="AH358" s="1"/>
  <c r="AQ348"/>
  <c r="AP348"/>
  <c r="AO348"/>
  <c r="AN348"/>
  <c r="AM348"/>
  <c r="AG348"/>
  <c r="AF348"/>
  <c r="AE348"/>
  <c r="AD348"/>
  <c r="AC348"/>
  <c r="T348"/>
  <c r="S348"/>
  <c r="M348"/>
  <c r="F348"/>
  <c r="AH348" s="1"/>
  <c r="M343"/>
  <c r="AR359"/>
  <c r="AQ359"/>
  <c r="AP359"/>
  <c r="AO359"/>
  <c r="AN359"/>
  <c r="AM359"/>
  <c r="AG359"/>
  <c r="AF359"/>
  <c r="AE359"/>
  <c r="AD359"/>
  <c r="AC359"/>
  <c r="T359"/>
  <c r="S359"/>
  <c r="M359"/>
  <c r="F359"/>
  <c r="AH359" s="1"/>
  <c r="AR356"/>
  <c r="AQ356"/>
  <c r="AP356"/>
  <c r="AO356"/>
  <c r="AN356"/>
  <c r="AM356"/>
  <c r="AG356"/>
  <c r="AF356"/>
  <c r="AE356"/>
  <c r="AD356"/>
  <c r="AC356"/>
  <c r="T356"/>
  <c r="S356"/>
  <c r="M356"/>
  <c r="F356"/>
  <c r="AH356" s="1"/>
  <c r="AR347"/>
  <c r="AQ347"/>
  <c r="AP347"/>
  <c r="AO347"/>
  <c r="AN347"/>
  <c r="AM347"/>
  <c r="AG347"/>
  <c r="AF347"/>
  <c r="AE347"/>
  <c r="AD347"/>
  <c r="AC347"/>
  <c r="T347"/>
  <c r="S347"/>
  <c r="M347"/>
  <c r="F347"/>
  <c r="AH347" s="1"/>
  <c r="AR346"/>
  <c r="AQ346"/>
  <c r="AP346"/>
  <c r="AO346"/>
  <c r="AN346"/>
  <c r="AM346"/>
  <c r="AG346"/>
  <c r="AF346"/>
  <c r="AE346"/>
  <c r="AD346"/>
  <c r="AC346"/>
  <c r="T346"/>
  <c r="S346"/>
  <c r="M346"/>
  <c r="F346"/>
  <c r="AH346" s="1"/>
  <c r="AR345"/>
  <c r="AQ345"/>
  <c r="AP345"/>
  <c r="AO345"/>
  <c r="AN345"/>
  <c r="AM345"/>
  <c r="AG345"/>
  <c r="AF345"/>
  <c r="AE345"/>
  <c r="AD345"/>
  <c r="AC345"/>
  <c r="T345"/>
  <c r="S345"/>
  <c r="M345"/>
  <c r="F345"/>
  <c r="AH345" s="1"/>
  <c r="AR344"/>
  <c r="AQ344"/>
  <c r="AP344"/>
  <c r="AO344"/>
  <c r="AN344"/>
  <c r="AM344"/>
  <c r="AG344"/>
  <c r="AF344"/>
  <c r="AE344"/>
  <c r="AD344"/>
  <c r="AC344"/>
  <c r="T344"/>
  <c r="S344"/>
  <c r="M344"/>
  <c r="F344"/>
  <c r="AH344" s="1"/>
  <c r="AR364"/>
  <c r="AQ364"/>
  <c r="AP364"/>
  <c r="AO364"/>
  <c r="AN364"/>
  <c r="AM364"/>
  <c r="AG364"/>
  <c r="AF364"/>
  <c r="AE364"/>
  <c r="AD364"/>
  <c r="AC364"/>
  <c r="T364"/>
  <c r="S364"/>
  <c r="M364"/>
  <c r="F364"/>
  <c r="AH364" s="1"/>
  <c r="AQ366"/>
  <c r="AP366"/>
  <c r="AO366"/>
  <c r="AN366"/>
  <c r="AM366"/>
  <c r="AG366"/>
  <c r="AF366"/>
  <c r="AE366"/>
  <c r="AD366"/>
  <c r="AC366"/>
  <c r="T366"/>
  <c r="S366"/>
  <c r="M366"/>
  <c r="F366"/>
  <c r="AR366" s="1"/>
  <c r="AR365"/>
  <c r="AQ365"/>
  <c r="AP365"/>
  <c r="AO365"/>
  <c r="AN365"/>
  <c r="AM365"/>
  <c r="AG365"/>
  <c r="AF365"/>
  <c r="AE365"/>
  <c r="AD365"/>
  <c r="AC365"/>
  <c r="T365"/>
  <c r="S365"/>
  <c r="M365"/>
  <c r="F365"/>
  <c r="AH365" s="1"/>
  <c r="AR363"/>
  <c r="AQ363"/>
  <c r="AP363"/>
  <c r="AO363"/>
  <c r="AN363"/>
  <c r="AM363"/>
  <c r="AG363"/>
  <c r="AF363"/>
  <c r="AE363"/>
  <c r="AD363"/>
  <c r="AC363"/>
  <c r="T363"/>
  <c r="S363"/>
  <c r="M363"/>
  <c r="F363"/>
  <c r="AH363" s="1"/>
  <c r="AR362"/>
  <c r="AQ362"/>
  <c r="AP362"/>
  <c r="AO362"/>
  <c r="AN362"/>
  <c r="AM362"/>
  <c r="AG362"/>
  <c r="AF362"/>
  <c r="AE362"/>
  <c r="AD362"/>
  <c r="AC362"/>
  <c r="T362"/>
  <c r="S362"/>
  <c r="M362"/>
  <c r="F362"/>
  <c r="AH362" s="1"/>
  <c r="AR361"/>
  <c r="AQ361"/>
  <c r="AP361"/>
  <c r="AO361"/>
  <c r="AN361"/>
  <c r="AM361"/>
  <c r="AG361"/>
  <c r="AF361"/>
  <c r="AE361"/>
  <c r="AD361"/>
  <c r="AC361"/>
  <c r="T361"/>
  <c r="S361"/>
  <c r="M361"/>
  <c r="F361"/>
  <c r="AH361" s="1"/>
  <c r="AQ339"/>
  <c r="AP339"/>
  <c r="AO339"/>
  <c r="AN339"/>
  <c r="AM339"/>
  <c r="AH339"/>
  <c r="AG339"/>
  <c r="AF339"/>
  <c r="AE339"/>
  <c r="AD339"/>
  <c r="AC339"/>
  <c r="T339"/>
  <c r="S339"/>
  <c r="M339"/>
  <c r="F339"/>
  <c r="AR339" s="1"/>
  <c r="AQ338"/>
  <c r="AP338"/>
  <c r="AO338"/>
  <c r="AN338"/>
  <c r="AM338"/>
  <c r="AG338"/>
  <c r="AF338"/>
  <c r="AE338"/>
  <c r="AD338"/>
  <c r="AC338"/>
  <c r="T338"/>
  <c r="S338"/>
  <c r="M338"/>
  <c r="F338"/>
  <c r="AH338" s="1"/>
  <c r="AQ335"/>
  <c r="AP335"/>
  <c r="AO335"/>
  <c r="AN335"/>
  <c r="AM335"/>
  <c r="AG335"/>
  <c r="AF335"/>
  <c r="AE335"/>
  <c r="AD335"/>
  <c r="AC335"/>
  <c r="T335"/>
  <c r="S335"/>
  <c r="M335"/>
  <c r="F335"/>
  <c r="AR335" s="1"/>
  <c r="AR333"/>
  <c r="AQ333"/>
  <c r="AP333"/>
  <c r="AO333"/>
  <c r="AN333"/>
  <c r="AM333"/>
  <c r="AG333"/>
  <c r="AF333"/>
  <c r="AE333"/>
  <c r="AD333"/>
  <c r="AC333"/>
  <c r="T333"/>
  <c r="S333"/>
  <c r="M333"/>
  <c r="F333"/>
  <c r="AH333" s="1"/>
  <c r="AQ403"/>
  <c r="AP403"/>
  <c r="AO403"/>
  <c r="AN403"/>
  <c r="AM403"/>
  <c r="AG403"/>
  <c r="AF403"/>
  <c r="AE403"/>
  <c r="AD403"/>
  <c r="AC403"/>
  <c r="T403"/>
  <c r="S403"/>
  <c r="M403"/>
  <c r="F403"/>
  <c r="AR403" s="1"/>
  <c r="AR401"/>
  <c r="AQ401"/>
  <c r="AP401"/>
  <c r="AO401"/>
  <c r="AN401"/>
  <c r="AM401"/>
  <c r="AG401"/>
  <c r="AF401"/>
  <c r="AE401"/>
  <c r="AD401"/>
  <c r="AC401"/>
  <c r="T401"/>
  <c r="S401"/>
  <c r="M401"/>
  <c r="F401"/>
  <c r="AH401" s="1"/>
  <c r="AQ382"/>
  <c r="AP382"/>
  <c r="AO382"/>
  <c r="AN382"/>
  <c r="AM382"/>
  <c r="AG382"/>
  <c r="AF382"/>
  <c r="AE382"/>
  <c r="AD382"/>
  <c r="AC382"/>
  <c r="T382"/>
  <c r="S382"/>
  <c r="M382"/>
  <c r="F382"/>
  <c r="AH382" s="1"/>
  <c r="AQ378"/>
  <c r="AP378"/>
  <c r="AO378"/>
  <c r="AN378"/>
  <c r="AM378"/>
  <c r="AG378"/>
  <c r="AF378"/>
  <c r="AE378"/>
  <c r="AD378"/>
  <c r="AC378"/>
  <c r="T378"/>
  <c r="S378"/>
  <c r="M378"/>
  <c r="F378"/>
  <c r="AH378" s="1"/>
  <c r="AR376"/>
  <c r="AQ376"/>
  <c r="AP376"/>
  <c r="AO376"/>
  <c r="AN376"/>
  <c r="AM376"/>
  <c r="AG376"/>
  <c r="AF376"/>
  <c r="AE376"/>
  <c r="AD376"/>
  <c r="AC376"/>
  <c r="T376"/>
  <c r="S376"/>
  <c r="M376"/>
  <c r="F376"/>
  <c r="AR375"/>
  <c r="AQ375"/>
  <c r="AP375"/>
  <c r="AO375"/>
  <c r="AN375"/>
  <c r="AM375"/>
  <c r="AG375"/>
  <c r="AF375"/>
  <c r="AE375"/>
  <c r="AD375"/>
  <c r="AC375"/>
  <c r="T375"/>
  <c r="S375"/>
  <c r="M375"/>
  <c r="F375"/>
  <c r="AR373"/>
  <c r="AQ373"/>
  <c r="AP373"/>
  <c r="AO373"/>
  <c r="AN373"/>
  <c r="AM373"/>
  <c r="AG373"/>
  <c r="AF373"/>
  <c r="AE373"/>
  <c r="AD373"/>
  <c r="AC373"/>
  <c r="T373"/>
  <c r="S373"/>
  <c r="M373"/>
  <c r="F373"/>
  <c r="AR371"/>
  <c r="AQ371"/>
  <c r="AP371"/>
  <c r="AO371"/>
  <c r="AN371"/>
  <c r="AM371"/>
  <c r="AG371"/>
  <c r="AF371"/>
  <c r="AE371"/>
  <c r="AD371"/>
  <c r="AC371"/>
  <c r="T371"/>
  <c r="S371"/>
  <c r="M371"/>
  <c r="F371"/>
  <c r="AH371" s="1"/>
  <c r="AR369"/>
  <c r="AQ369"/>
  <c r="AP369"/>
  <c r="AO369"/>
  <c r="AN369"/>
  <c r="AM369"/>
  <c r="AG369"/>
  <c r="AF369"/>
  <c r="AE369"/>
  <c r="AD369"/>
  <c r="AC369"/>
  <c r="T369"/>
  <c r="S369"/>
  <c r="M369"/>
  <c r="F369"/>
  <c r="AH369" s="1"/>
  <c r="AR368"/>
  <c r="AQ368"/>
  <c r="AP368"/>
  <c r="AO368"/>
  <c r="AN368"/>
  <c r="AM368"/>
  <c r="AG368"/>
  <c r="AF368"/>
  <c r="AE368"/>
  <c r="AD368"/>
  <c r="AC368"/>
  <c r="T368"/>
  <c r="S368"/>
  <c r="M368"/>
  <c r="F368"/>
  <c r="AH368" s="1"/>
  <c r="AQ342"/>
  <c r="AP342"/>
  <c r="AO342"/>
  <c r="AN342"/>
  <c r="AM342"/>
  <c r="AG342"/>
  <c r="AF342"/>
  <c r="AE342"/>
  <c r="AD342"/>
  <c r="AC342"/>
  <c r="T342"/>
  <c r="S342"/>
  <c r="M342"/>
  <c r="F342"/>
  <c r="AR342" s="1"/>
  <c r="AQ341"/>
  <c r="AP341"/>
  <c r="AO341"/>
  <c r="AN341"/>
  <c r="AM341"/>
  <c r="AG341"/>
  <c r="AF341"/>
  <c r="AE341"/>
  <c r="AD341"/>
  <c r="AC341"/>
  <c r="T341"/>
  <c r="S341"/>
  <c r="M341"/>
  <c r="F341"/>
  <c r="AH341" s="1"/>
  <c r="AQ340"/>
  <c r="AP340"/>
  <c r="AO340"/>
  <c r="AN340"/>
  <c r="AM340"/>
  <c r="AG340"/>
  <c r="AF340"/>
  <c r="AE340"/>
  <c r="AD340"/>
  <c r="AC340"/>
  <c r="T340"/>
  <c r="S340"/>
  <c r="M340"/>
  <c r="F340"/>
  <c r="AH340" s="1"/>
  <c r="AQ336"/>
  <c r="AP336"/>
  <c r="AO336"/>
  <c r="AN336"/>
  <c r="AM336"/>
  <c r="AG336"/>
  <c r="AF336"/>
  <c r="AE336"/>
  <c r="AD336"/>
  <c r="AC336"/>
  <c r="T336"/>
  <c r="S336"/>
  <c r="M336"/>
  <c r="F336"/>
  <c r="AR336" s="1"/>
  <c r="AQ334"/>
  <c r="AP334"/>
  <c r="AO334"/>
  <c r="AN334"/>
  <c r="AM334"/>
  <c r="AG334"/>
  <c r="AF334"/>
  <c r="AE334"/>
  <c r="AD334"/>
  <c r="AC334"/>
  <c r="T334"/>
  <c r="S334"/>
  <c r="M334"/>
  <c r="F334"/>
  <c r="AR334" s="1"/>
  <c r="AR332"/>
  <c r="AQ332"/>
  <c r="AP332"/>
  <c r="AO332"/>
  <c r="AN332"/>
  <c r="AM332"/>
  <c r="AG332"/>
  <c r="AF332"/>
  <c r="AE332"/>
  <c r="AD332"/>
  <c r="AC332"/>
  <c r="T332"/>
  <c r="S332"/>
  <c r="M332"/>
  <c r="F332"/>
  <c r="AH332" s="1"/>
  <c r="AR331"/>
  <c r="AQ331"/>
  <c r="AP331"/>
  <c r="AO331"/>
  <c r="AN331"/>
  <c r="AM331"/>
  <c r="AG331"/>
  <c r="AF331"/>
  <c r="AE331"/>
  <c r="AD331"/>
  <c r="AC331"/>
  <c r="T331"/>
  <c r="S331"/>
  <c r="M331"/>
  <c r="F331"/>
  <c r="AH331" s="1"/>
  <c r="M329"/>
  <c r="AQ319"/>
  <c r="AP319"/>
  <c r="AO319"/>
  <c r="AN319"/>
  <c r="AM319"/>
  <c r="AH319"/>
  <c r="AG319"/>
  <c r="AF319"/>
  <c r="AE319"/>
  <c r="AD319"/>
  <c r="AC319"/>
  <c r="T319"/>
  <c r="S319"/>
  <c r="M319"/>
  <c r="F319"/>
  <c r="AR319" s="1"/>
  <c r="AQ318"/>
  <c r="AP318"/>
  <c r="AO318"/>
  <c r="AN318"/>
  <c r="AM318"/>
  <c r="AH318"/>
  <c r="AG318"/>
  <c r="AF318"/>
  <c r="AE318"/>
  <c r="AD318"/>
  <c r="AC318"/>
  <c r="T318"/>
  <c r="S318"/>
  <c r="M318"/>
  <c r="F318"/>
  <c r="AR318" s="1"/>
  <c r="AQ317"/>
  <c r="AP317"/>
  <c r="AO317"/>
  <c r="AN317"/>
  <c r="AM317"/>
  <c r="AH317"/>
  <c r="AG317"/>
  <c r="AF317"/>
  <c r="AE317"/>
  <c r="AD317"/>
  <c r="AC317"/>
  <c r="T317"/>
  <c r="S317"/>
  <c r="M317"/>
  <c r="F317"/>
  <c r="AR317" s="1"/>
  <c r="AR316"/>
  <c r="AQ316"/>
  <c r="AP316"/>
  <c r="AO316"/>
  <c r="AN316"/>
  <c r="AM316"/>
  <c r="AG316"/>
  <c r="AF316"/>
  <c r="AE316"/>
  <c r="AD316"/>
  <c r="AC316"/>
  <c r="T316"/>
  <c r="S316"/>
  <c r="M316"/>
  <c r="F316"/>
  <c r="AH316" s="1"/>
  <c r="AR315"/>
  <c r="AQ315"/>
  <c r="AP315"/>
  <c r="AO315"/>
  <c r="AN315"/>
  <c r="AM315"/>
  <c r="AG315"/>
  <c r="AF315"/>
  <c r="AE315"/>
  <c r="AD315"/>
  <c r="AC315"/>
  <c r="T315"/>
  <c r="S315"/>
  <c r="M315"/>
  <c r="F315"/>
  <c r="AH315" s="1"/>
  <c r="AR314"/>
  <c r="AQ314"/>
  <c r="AP314"/>
  <c r="AO314"/>
  <c r="AN314"/>
  <c r="AM314"/>
  <c r="AG314"/>
  <c r="AF314"/>
  <c r="AE314"/>
  <c r="AD314"/>
  <c r="AC314"/>
  <c r="T314"/>
  <c r="S314"/>
  <c r="M314"/>
  <c r="F314"/>
  <c r="AH314" s="1"/>
  <c r="AR307"/>
  <c r="AQ307"/>
  <c r="AP307"/>
  <c r="AO307"/>
  <c r="AN307"/>
  <c r="AM307"/>
  <c r="AG307"/>
  <c r="AF307"/>
  <c r="AE307"/>
  <c r="AD307"/>
  <c r="AC307"/>
  <c r="T307"/>
  <c r="S307"/>
  <c r="M307"/>
  <c r="F307"/>
  <c r="AH307" s="1"/>
  <c r="AR306"/>
  <c r="AQ306"/>
  <c r="AP306"/>
  <c r="AO306"/>
  <c r="AN306"/>
  <c r="AM306"/>
  <c r="AG306"/>
  <c r="AF306"/>
  <c r="AE306"/>
  <c r="AD306"/>
  <c r="AC306"/>
  <c r="T306"/>
  <c r="S306"/>
  <c r="M306"/>
  <c r="F306"/>
  <c r="AH306" s="1"/>
  <c r="AR303"/>
  <c r="AQ303"/>
  <c r="AP303"/>
  <c r="AO303"/>
  <c r="AN303"/>
  <c r="AM303"/>
  <c r="AG303"/>
  <c r="AF303"/>
  <c r="AE303"/>
  <c r="AD303"/>
  <c r="AC303"/>
  <c r="T303"/>
  <c r="S303"/>
  <c r="M303"/>
  <c r="F303"/>
  <c r="AH303" s="1"/>
  <c r="AQ300"/>
  <c r="AP300"/>
  <c r="AO300"/>
  <c r="AN300"/>
  <c r="AM300"/>
  <c r="AG300"/>
  <c r="AF300"/>
  <c r="AE300"/>
  <c r="AD300"/>
  <c r="AC300"/>
  <c r="T300"/>
  <c r="S300"/>
  <c r="M300"/>
  <c r="F300"/>
  <c r="AH300" s="1"/>
  <c r="M267"/>
  <c r="AR260"/>
  <c r="AQ260"/>
  <c r="AP260"/>
  <c r="AO260"/>
  <c r="AN260"/>
  <c r="AM260"/>
  <c r="AG260"/>
  <c r="AF260"/>
  <c r="AE260"/>
  <c r="AD260"/>
  <c r="AC260"/>
  <c r="T260"/>
  <c r="S260"/>
  <c r="M260"/>
  <c r="F260"/>
  <c r="AH260" s="1"/>
  <c r="AR259"/>
  <c r="AQ259"/>
  <c r="AP259"/>
  <c r="AO259"/>
  <c r="AN259"/>
  <c r="AM259"/>
  <c r="AG259"/>
  <c r="AF259"/>
  <c r="AE259"/>
  <c r="AD259"/>
  <c r="AC259"/>
  <c r="T259"/>
  <c r="S259"/>
  <c r="M259"/>
  <c r="F259"/>
  <c r="AH259" s="1"/>
  <c r="AR258"/>
  <c r="AQ258"/>
  <c r="AP258"/>
  <c r="AO258"/>
  <c r="AN258"/>
  <c r="AM258"/>
  <c r="AG258"/>
  <c r="AF258"/>
  <c r="AE258"/>
  <c r="AD258"/>
  <c r="AC258"/>
  <c r="T258"/>
  <c r="S258"/>
  <c r="M258"/>
  <c r="F258"/>
  <c r="AH258" s="1"/>
  <c r="AR257"/>
  <c r="AQ257"/>
  <c r="AP257"/>
  <c r="AO257"/>
  <c r="AN257"/>
  <c r="AM257"/>
  <c r="AG257"/>
  <c r="AF257"/>
  <c r="AE257"/>
  <c r="AD257"/>
  <c r="AC257"/>
  <c r="T257"/>
  <c r="S257"/>
  <c r="M257"/>
  <c r="F257"/>
  <c r="AH257" s="1"/>
  <c r="AR255"/>
  <c r="AQ255"/>
  <c r="AP255"/>
  <c r="AO255"/>
  <c r="AN255"/>
  <c r="AM255"/>
  <c r="AG255"/>
  <c r="AF255"/>
  <c r="AE255"/>
  <c r="AD255"/>
  <c r="AC255"/>
  <c r="T255"/>
  <c r="S255"/>
  <c r="M255"/>
  <c r="F255"/>
  <c r="AH255" s="1"/>
  <c r="AR254"/>
  <c r="AQ254"/>
  <c r="AP254"/>
  <c r="AO254"/>
  <c r="AN254"/>
  <c r="AM254"/>
  <c r="AG254"/>
  <c r="AF254"/>
  <c r="AE254"/>
  <c r="AD254"/>
  <c r="AC254"/>
  <c r="T254"/>
  <c r="S254"/>
  <c r="M254"/>
  <c r="F254"/>
  <c r="AH254" s="1"/>
  <c r="AR253"/>
  <c r="AQ253"/>
  <c r="AP253"/>
  <c r="AO253"/>
  <c r="AN253"/>
  <c r="AM253"/>
  <c r="AG253"/>
  <c r="AF253"/>
  <c r="AE253"/>
  <c r="AD253"/>
  <c r="AC253"/>
  <c r="T253"/>
  <c r="S253"/>
  <c r="M253"/>
  <c r="F253"/>
  <c r="AH253" s="1"/>
  <c r="AR252"/>
  <c r="AQ252"/>
  <c r="AP252"/>
  <c r="AO252"/>
  <c r="AN252"/>
  <c r="AM252"/>
  <c r="AG252"/>
  <c r="AF252"/>
  <c r="AE252"/>
  <c r="AD252"/>
  <c r="AC252"/>
  <c r="T252"/>
  <c r="S252"/>
  <c r="M252"/>
  <c r="F252"/>
  <c r="AH252" s="1"/>
  <c r="AQ263"/>
  <c r="AP263"/>
  <c r="AO263"/>
  <c r="AN263"/>
  <c r="AM263"/>
  <c r="AG263"/>
  <c r="AF263"/>
  <c r="AE263"/>
  <c r="AD263"/>
  <c r="AC263"/>
  <c r="T263"/>
  <c r="S263"/>
  <c r="M263"/>
  <c r="F263"/>
  <c r="AH263" s="1"/>
  <c r="AQ326"/>
  <c r="AP326"/>
  <c r="AO326"/>
  <c r="AN326"/>
  <c r="AM326"/>
  <c r="AH326"/>
  <c r="AG326"/>
  <c r="AF326"/>
  <c r="AE326"/>
  <c r="AD326"/>
  <c r="AC326"/>
  <c r="T326"/>
  <c r="S326"/>
  <c r="M326"/>
  <c r="F326"/>
  <c r="AR326" s="1"/>
  <c r="AQ325"/>
  <c r="AP325"/>
  <c r="AO325"/>
  <c r="AN325"/>
  <c r="AM325"/>
  <c r="AH325"/>
  <c r="AG325"/>
  <c r="AF325"/>
  <c r="AE325"/>
  <c r="AD325"/>
  <c r="AC325"/>
  <c r="T325"/>
  <c r="S325"/>
  <c r="M325"/>
  <c r="F325"/>
  <c r="AR325" s="1"/>
  <c r="AQ324"/>
  <c r="AP324"/>
  <c r="AO324"/>
  <c r="AN324"/>
  <c r="AM324"/>
  <c r="AH324"/>
  <c r="AG324"/>
  <c r="AF324"/>
  <c r="AE324"/>
  <c r="AD324"/>
  <c r="AC324"/>
  <c r="T324"/>
  <c r="S324"/>
  <c r="M324"/>
  <c r="F324"/>
  <c r="AR324" s="1"/>
  <c r="AR323"/>
  <c r="AQ323"/>
  <c r="AP323"/>
  <c r="AO323"/>
  <c r="AN323"/>
  <c r="AM323"/>
  <c r="AG323"/>
  <c r="AF323"/>
  <c r="AE323"/>
  <c r="AD323"/>
  <c r="AC323"/>
  <c r="T323"/>
  <c r="S323"/>
  <c r="M323"/>
  <c r="F323"/>
  <c r="AH323" s="1"/>
  <c r="AR322"/>
  <c r="AQ322"/>
  <c r="AP322"/>
  <c r="AO322"/>
  <c r="AN322"/>
  <c r="AM322"/>
  <c r="AG322"/>
  <c r="AF322"/>
  <c r="AE322"/>
  <c r="AD322"/>
  <c r="AC322"/>
  <c r="T322"/>
  <c r="S322"/>
  <c r="M322"/>
  <c r="F322"/>
  <c r="AH322" s="1"/>
  <c r="AR321"/>
  <c r="AQ321"/>
  <c r="AP321"/>
  <c r="AO321"/>
  <c r="AN321"/>
  <c r="AM321"/>
  <c r="AG321"/>
  <c r="AF321"/>
  <c r="AE321"/>
  <c r="AD321"/>
  <c r="AC321"/>
  <c r="T321"/>
  <c r="S321"/>
  <c r="M321"/>
  <c r="F321"/>
  <c r="AH321" s="1"/>
  <c r="AR312"/>
  <c r="AQ312"/>
  <c r="AP312"/>
  <c r="AO312"/>
  <c r="AN312"/>
  <c r="AM312"/>
  <c r="AG312"/>
  <c r="AF312"/>
  <c r="AE312"/>
  <c r="AD312"/>
  <c r="AC312"/>
  <c r="T312"/>
  <c r="S312"/>
  <c r="M312"/>
  <c r="F312"/>
  <c r="AH312" s="1"/>
  <c r="AR311"/>
  <c r="AQ311"/>
  <c r="AP311"/>
  <c r="AO311"/>
  <c r="AN311"/>
  <c r="AM311"/>
  <c r="AG311"/>
  <c r="AF311"/>
  <c r="AE311"/>
  <c r="AD311"/>
  <c r="AC311"/>
  <c r="T311"/>
  <c r="S311"/>
  <c r="M311"/>
  <c r="F311"/>
  <c r="AH311" s="1"/>
  <c r="AR310"/>
  <c r="AQ310"/>
  <c r="AP310"/>
  <c r="AO310"/>
  <c r="AN310"/>
  <c r="AM310"/>
  <c r="AG310"/>
  <c r="AF310"/>
  <c r="AE310"/>
  <c r="AD310"/>
  <c r="AC310"/>
  <c r="T310"/>
  <c r="S310"/>
  <c r="M310"/>
  <c r="F310"/>
  <c r="AH310" s="1"/>
  <c r="AR308"/>
  <c r="AQ308"/>
  <c r="AP308"/>
  <c r="AO308"/>
  <c r="AN308"/>
  <c r="AM308"/>
  <c r="AG308"/>
  <c r="AF308"/>
  <c r="AE308"/>
  <c r="AD308"/>
  <c r="AC308"/>
  <c r="T308"/>
  <c r="S308"/>
  <c r="M308"/>
  <c r="F308"/>
  <c r="AH308" s="1"/>
  <c r="AR305"/>
  <c r="AQ305"/>
  <c r="AP305"/>
  <c r="AO305"/>
  <c r="AN305"/>
  <c r="AM305"/>
  <c r="AG305"/>
  <c r="AF305"/>
  <c r="AE305"/>
  <c r="AD305"/>
  <c r="AC305"/>
  <c r="T305"/>
  <c r="S305"/>
  <c r="M305"/>
  <c r="F305"/>
  <c r="AH305" s="1"/>
  <c r="AQ301"/>
  <c r="AP301"/>
  <c r="AO301"/>
  <c r="AN301"/>
  <c r="AM301"/>
  <c r="AG301"/>
  <c r="AF301"/>
  <c r="AE301"/>
  <c r="AD301"/>
  <c r="AC301"/>
  <c r="T301"/>
  <c r="S301"/>
  <c r="M301"/>
  <c r="F301"/>
  <c r="AH301" s="1"/>
  <c r="AR299"/>
  <c r="AQ299"/>
  <c r="AP299"/>
  <c r="AO299"/>
  <c r="AN299"/>
  <c r="AM299"/>
  <c r="AG299"/>
  <c r="AF299"/>
  <c r="AE299"/>
  <c r="AD299"/>
  <c r="AC299"/>
  <c r="T299"/>
  <c r="S299"/>
  <c r="M299"/>
  <c r="F299"/>
  <c r="AH299" s="1"/>
  <c r="AR298"/>
  <c r="AQ298"/>
  <c r="AP298"/>
  <c r="AO298"/>
  <c r="AN298"/>
  <c r="AM298"/>
  <c r="AG298"/>
  <c r="AF298"/>
  <c r="AE298"/>
  <c r="AD298"/>
  <c r="AC298"/>
  <c r="T298"/>
  <c r="S298"/>
  <c r="M298"/>
  <c r="F298"/>
  <c r="AH298" s="1"/>
  <c r="AQ296"/>
  <c r="AP296"/>
  <c r="AO296"/>
  <c r="AN296"/>
  <c r="AM296"/>
  <c r="AH296"/>
  <c r="AG296"/>
  <c r="AF296"/>
  <c r="AE296"/>
  <c r="AD296"/>
  <c r="AC296"/>
  <c r="T296"/>
  <c r="S296"/>
  <c r="M296"/>
  <c r="F296"/>
  <c r="AR296" s="1"/>
  <c r="AQ295"/>
  <c r="AP295"/>
  <c r="AO295"/>
  <c r="AN295"/>
  <c r="AM295"/>
  <c r="AH295"/>
  <c r="AG295"/>
  <c r="AF295"/>
  <c r="AE295"/>
  <c r="AD295"/>
  <c r="AC295"/>
  <c r="T295"/>
  <c r="S295"/>
  <c r="M295"/>
  <c r="F295"/>
  <c r="AR295" s="1"/>
  <c r="AQ294"/>
  <c r="AP294"/>
  <c r="AO294"/>
  <c r="AN294"/>
  <c r="AM294"/>
  <c r="AH294"/>
  <c r="AG294"/>
  <c r="AF294"/>
  <c r="AE294"/>
  <c r="AD294"/>
  <c r="AC294"/>
  <c r="T294"/>
  <c r="S294"/>
  <c r="M294"/>
  <c r="F294"/>
  <c r="AR294" s="1"/>
  <c r="AR293"/>
  <c r="AQ293"/>
  <c r="AP293"/>
  <c r="AO293"/>
  <c r="AN293"/>
  <c r="AM293"/>
  <c r="AG293"/>
  <c r="AF293"/>
  <c r="AE293"/>
  <c r="AD293"/>
  <c r="AC293"/>
  <c r="T293"/>
  <c r="S293"/>
  <c r="M293"/>
  <c r="F293"/>
  <c r="AH293" s="1"/>
  <c r="AR292"/>
  <c r="AQ292"/>
  <c r="AP292"/>
  <c r="AO292"/>
  <c r="AN292"/>
  <c r="AM292"/>
  <c r="AG292"/>
  <c r="AF292"/>
  <c r="AE292"/>
  <c r="AD292"/>
  <c r="AC292"/>
  <c r="T292"/>
  <c r="S292"/>
  <c r="M292"/>
  <c r="F292"/>
  <c r="AH292" s="1"/>
  <c r="AR291"/>
  <c r="AQ291"/>
  <c r="AP291"/>
  <c r="AO291"/>
  <c r="AN291"/>
  <c r="AM291"/>
  <c r="AG291"/>
  <c r="AF291"/>
  <c r="AE291"/>
  <c r="AD291"/>
  <c r="AC291"/>
  <c r="T291"/>
  <c r="S291"/>
  <c r="M291"/>
  <c r="F291"/>
  <c r="AH291" s="1"/>
  <c r="AQ289"/>
  <c r="AP289"/>
  <c r="AO289"/>
  <c r="AN289"/>
  <c r="AM289"/>
  <c r="AH289"/>
  <c r="AG289"/>
  <c r="AF289"/>
  <c r="AE289"/>
  <c r="AD289"/>
  <c r="AC289"/>
  <c r="T289"/>
  <c r="S289"/>
  <c r="M289"/>
  <c r="F289"/>
  <c r="AR289" s="1"/>
  <c r="AQ288"/>
  <c r="AP288"/>
  <c r="AO288"/>
  <c r="AN288"/>
  <c r="AM288"/>
  <c r="AH288"/>
  <c r="AG288"/>
  <c r="AF288"/>
  <c r="AE288"/>
  <c r="AD288"/>
  <c r="AC288"/>
  <c r="T288"/>
  <c r="S288"/>
  <c r="M288"/>
  <c r="F288"/>
  <c r="AR288" s="1"/>
  <c r="AQ287"/>
  <c r="AP287"/>
  <c r="AO287"/>
  <c r="AN287"/>
  <c r="AM287"/>
  <c r="AH287"/>
  <c r="AG287"/>
  <c r="AF287"/>
  <c r="AE287"/>
  <c r="AD287"/>
  <c r="AC287"/>
  <c r="T287"/>
  <c r="S287"/>
  <c r="M287"/>
  <c r="F287"/>
  <c r="AR287" s="1"/>
  <c r="AR286"/>
  <c r="AQ286"/>
  <c r="AP286"/>
  <c r="AO286"/>
  <c r="AN286"/>
  <c r="AM286"/>
  <c r="AG286"/>
  <c r="AF286"/>
  <c r="AE286"/>
  <c r="AD286"/>
  <c r="AC286"/>
  <c r="T286"/>
  <c r="S286"/>
  <c r="M286"/>
  <c r="F286"/>
  <c r="AH286" s="1"/>
  <c r="AR285"/>
  <c r="AQ285"/>
  <c r="AP285"/>
  <c r="AO285"/>
  <c r="AN285"/>
  <c r="AM285"/>
  <c r="AG285"/>
  <c r="AF285"/>
  <c r="AE285"/>
  <c r="AD285"/>
  <c r="AC285"/>
  <c r="T285"/>
  <c r="S285"/>
  <c r="M285"/>
  <c r="F285"/>
  <c r="AH285" s="1"/>
  <c r="AR284"/>
  <c r="AQ284"/>
  <c r="AP284"/>
  <c r="AO284"/>
  <c r="AN284"/>
  <c r="AM284"/>
  <c r="AG284"/>
  <c r="AF284"/>
  <c r="AE284"/>
  <c r="AD284"/>
  <c r="AC284"/>
  <c r="T284"/>
  <c r="S284"/>
  <c r="M284"/>
  <c r="F284"/>
  <c r="AH284" s="1"/>
  <c r="AR282"/>
  <c r="AQ282"/>
  <c r="AP282"/>
  <c r="AO282"/>
  <c r="AN282"/>
  <c r="AM282"/>
  <c r="AG282"/>
  <c r="AF282"/>
  <c r="AE282"/>
  <c r="AD282"/>
  <c r="AC282"/>
  <c r="T282"/>
  <c r="S282"/>
  <c r="M282"/>
  <c r="F282"/>
  <c r="AH282" s="1"/>
  <c r="AR281"/>
  <c r="AQ281"/>
  <c r="AP281"/>
  <c r="AO281"/>
  <c r="AN281"/>
  <c r="AM281"/>
  <c r="AG281"/>
  <c r="AF281"/>
  <c r="AE281"/>
  <c r="AD281"/>
  <c r="AC281"/>
  <c r="T281"/>
  <c r="S281"/>
  <c r="M281"/>
  <c r="F281"/>
  <c r="AH281" s="1"/>
  <c r="AR280"/>
  <c r="AQ280"/>
  <c r="AP280"/>
  <c r="AO280"/>
  <c r="AN280"/>
  <c r="AM280"/>
  <c r="AG280"/>
  <c r="AF280"/>
  <c r="AE280"/>
  <c r="AD280"/>
  <c r="AC280"/>
  <c r="T280"/>
  <c r="S280"/>
  <c r="M280"/>
  <c r="F280"/>
  <c r="AH280" s="1"/>
  <c r="AR279"/>
  <c r="AQ279"/>
  <c r="AP279"/>
  <c r="AO279"/>
  <c r="AN279"/>
  <c r="AM279"/>
  <c r="AG279"/>
  <c r="AF279"/>
  <c r="AE279"/>
  <c r="AD279"/>
  <c r="AC279"/>
  <c r="T279"/>
  <c r="S279"/>
  <c r="M279"/>
  <c r="F279"/>
  <c r="AH279" s="1"/>
  <c r="AQ277"/>
  <c r="AP277"/>
  <c r="AO277"/>
  <c r="AN277"/>
  <c r="AM277"/>
  <c r="AH277"/>
  <c r="AG277"/>
  <c r="AF277"/>
  <c r="AE277"/>
  <c r="AD277"/>
  <c r="AC277"/>
  <c r="T277"/>
  <c r="S277"/>
  <c r="M277"/>
  <c r="F277"/>
  <c r="AR277" s="1"/>
  <c r="AQ276"/>
  <c r="AP276"/>
  <c r="AO276"/>
  <c r="AN276"/>
  <c r="AM276"/>
  <c r="AH276"/>
  <c r="AG276"/>
  <c r="AF276"/>
  <c r="AE276"/>
  <c r="AD276"/>
  <c r="AC276"/>
  <c r="T276"/>
  <c r="S276"/>
  <c r="M276"/>
  <c r="F276"/>
  <c r="AR276" s="1"/>
  <c r="AR275"/>
  <c r="AQ275"/>
  <c r="AP275"/>
  <c r="AO275"/>
  <c r="AN275"/>
  <c r="AM275"/>
  <c r="AG275"/>
  <c r="AF275"/>
  <c r="AE275"/>
  <c r="AD275"/>
  <c r="AC275"/>
  <c r="T275"/>
  <c r="S275"/>
  <c r="M275"/>
  <c r="F275"/>
  <c r="AH275" s="1"/>
  <c r="AR274"/>
  <c r="AQ274"/>
  <c r="AP274"/>
  <c r="AO274"/>
  <c r="AN274"/>
  <c r="AM274"/>
  <c r="AG274"/>
  <c r="AF274"/>
  <c r="AE274"/>
  <c r="AD274"/>
  <c r="AC274"/>
  <c r="T274"/>
  <c r="S274"/>
  <c r="M274"/>
  <c r="F274"/>
  <c r="AH274" s="1"/>
  <c r="AQ272"/>
  <c r="AP272"/>
  <c r="AO272"/>
  <c r="AN272"/>
  <c r="AM272"/>
  <c r="AH272"/>
  <c r="AG272"/>
  <c r="AF272"/>
  <c r="AE272"/>
  <c r="AD272"/>
  <c r="AC272"/>
  <c r="T272"/>
  <c r="S272"/>
  <c r="M272"/>
  <c r="F272"/>
  <c r="AR272" s="1"/>
  <c r="AQ271"/>
  <c r="AP271"/>
  <c r="AO271"/>
  <c r="AN271"/>
  <c r="AM271"/>
  <c r="AH271"/>
  <c r="AG271"/>
  <c r="AF271"/>
  <c r="AE271"/>
  <c r="AD271"/>
  <c r="AC271"/>
  <c r="T271"/>
  <c r="S271"/>
  <c r="M271"/>
  <c r="F271"/>
  <c r="AR271" s="1"/>
  <c r="AR270"/>
  <c r="AQ270"/>
  <c r="AP270"/>
  <c r="AO270"/>
  <c r="AN270"/>
  <c r="AM270"/>
  <c r="AG270"/>
  <c r="AF270"/>
  <c r="AE270"/>
  <c r="AD270"/>
  <c r="AC270"/>
  <c r="T270"/>
  <c r="S270"/>
  <c r="M270"/>
  <c r="F270"/>
  <c r="AH270" s="1"/>
  <c r="AR269"/>
  <c r="AQ269"/>
  <c r="AP269"/>
  <c r="AO269"/>
  <c r="AN269"/>
  <c r="AM269"/>
  <c r="AG269"/>
  <c r="AF269"/>
  <c r="AE269"/>
  <c r="AD269"/>
  <c r="AC269"/>
  <c r="T269"/>
  <c r="S269"/>
  <c r="M269"/>
  <c r="F269"/>
  <c r="AH269" s="1"/>
  <c r="AQ265"/>
  <c r="AP265"/>
  <c r="AO265"/>
  <c r="AN265"/>
  <c r="AM265"/>
  <c r="AG265"/>
  <c r="AF265"/>
  <c r="AE265"/>
  <c r="AD265"/>
  <c r="AC265"/>
  <c r="T265"/>
  <c r="S265"/>
  <c r="M265"/>
  <c r="F265"/>
  <c r="AR265" s="1"/>
  <c r="AQ264"/>
  <c r="AP264"/>
  <c r="AO264"/>
  <c r="AN264"/>
  <c r="AM264"/>
  <c r="AG264"/>
  <c r="AF264"/>
  <c r="AE264"/>
  <c r="AD264"/>
  <c r="AC264"/>
  <c r="T264"/>
  <c r="S264"/>
  <c r="M264"/>
  <c r="F264"/>
  <c r="AR264" s="1"/>
  <c r="AQ262"/>
  <c r="AP262"/>
  <c r="AO262"/>
  <c r="AN262"/>
  <c r="AM262"/>
  <c r="AG262"/>
  <c r="AF262"/>
  <c r="AE262"/>
  <c r="AD262"/>
  <c r="AC262"/>
  <c r="T262"/>
  <c r="S262"/>
  <c r="M262"/>
  <c r="F262"/>
  <c r="AH262" s="1"/>
  <c r="AR250"/>
  <c r="AQ250"/>
  <c r="AP250"/>
  <c r="AO250"/>
  <c r="AN250"/>
  <c r="AM250"/>
  <c r="AG250"/>
  <c r="AF250"/>
  <c r="AE250"/>
  <c r="AD250"/>
  <c r="AC250"/>
  <c r="T250"/>
  <c r="S250"/>
  <c r="M250"/>
  <c r="F250"/>
  <c r="AR249"/>
  <c r="AQ249"/>
  <c r="AP249"/>
  <c r="AO249"/>
  <c r="AN249"/>
  <c r="AM249"/>
  <c r="AG249"/>
  <c r="AF249"/>
  <c r="AE249"/>
  <c r="AD249"/>
  <c r="AC249"/>
  <c r="T249"/>
  <c r="S249"/>
  <c r="M249"/>
  <c r="F249"/>
  <c r="AR248"/>
  <c r="AQ248"/>
  <c r="AP248"/>
  <c r="AO248"/>
  <c r="AN248"/>
  <c r="AM248"/>
  <c r="AG248"/>
  <c r="AF248"/>
  <c r="AE248"/>
  <c r="AD248"/>
  <c r="AC248"/>
  <c r="T248"/>
  <c r="S248"/>
  <c r="M248"/>
  <c r="F248"/>
  <c r="AR247"/>
  <c r="AQ247"/>
  <c r="AP247"/>
  <c r="AO247"/>
  <c r="AN247"/>
  <c r="AM247"/>
  <c r="AG247"/>
  <c r="AF247"/>
  <c r="AE247"/>
  <c r="AD247"/>
  <c r="AC247"/>
  <c r="T247"/>
  <c r="S247"/>
  <c r="M247"/>
  <c r="F247"/>
  <c r="AR245"/>
  <c r="AQ245"/>
  <c r="AP245"/>
  <c r="AO245"/>
  <c r="AN245"/>
  <c r="AM245"/>
  <c r="AG245"/>
  <c r="AF245"/>
  <c r="AE245"/>
  <c r="AD245"/>
  <c r="AC245"/>
  <c r="T245"/>
  <c r="S245"/>
  <c r="M245"/>
  <c r="F245"/>
  <c r="AH245" s="1"/>
  <c r="AR244"/>
  <c r="AQ244"/>
  <c r="AP244"/>
  <c r="AO244"/>
  <c r="AN244"/>
  <c r="AM244"/>
  <c r="AG244"/>
  <c r="AF244"/>
  <c r="AE244"/>
  <c r="AD244"/>
  <c r="AC244"/>
  <c r="T244"/>
  <c r="S244"/>
  <c r="M244"/>
  <c r="F244"/>
  <c r="AH244" s="1"/>
  <c r="AQ242"/>
  <c r="AP242"/>
  <c r="AO242"/>
  <c r="AN242"/>
  <c r="AM242"/>
  <c r="AH242"/>
  <c r="AG242"/>
  <c r="AF242"/>
  <c r="AE242"/>
  <c r="AD242"/>
  <c r="AC242"/>
  <c r="T242"/>
  <c r="S242"/>
  <c r="M242"/>
  <c r="F242"/>
  <c r="AR242" s="1"/>
  <c r="AQ241"/>
  <c r="AP241"/>
  <c r="AO241"/>
  <c r="AN241"/>
  <c r="AM241"/>
  <c r="AH241"/>
  <c r="AG241"/>
  <c r="AF241"/>
  <c r="AE241"/>
  <c r="AD241"/>
  <c r="AC241"/>
  <c r="T241"/>
  <c r="S241"/>
  <c r="M241"/>
  <c r="F241"/>
  <c r="AR241" s="1"/>
  <c r="AQ240"/>
  <c r="AP240"/>
  <c r="AO240"/>
  <c r="AN240"/>
  <c r="AM240"/>
  <c r="AH240"/>
  <c r="AG240"/>
  <c r="AF240"/>
  <c r="AE240"/>
  <c r="AD240"/>
  <c r="AC240"/>
  <c r="T240"/>
  <c r="S240"/>
  <c r="M240"/>
  <c r="F240"/>
  <c r="AR240" s="1"/>
  <c r="AR239"/>
  <c r="AQ239"/>
  <c r="AP239"/>
  <c r="AO239"/>
  <c r="AN239"/>
  <c r="AM239"/>
  <c r="AG239"/>
  <c r="AF239"/>
  <c r="AE239"/>
  <c r="AD239"/>
  <c r="AC239"/>
  <c r="T239"/>
  <c r="S239"/>
  <c r="M239"/>
  <c r="F239"/>
  <c r="AH239" s="1"/>
  <c r="AR238"/>
  <c r="AQ238"/>
  <c r="AP238"/>
  <c r="AO238"/>
  <c r="AN238"/>
  <c r="AM238"/>
  <c r="AG238"/>
  <c r="AF238"/>
  <c r="AE238"/>
  <c r="AD238"/>
  <c r="AC238"/>
  <c r="T238"/>
  <c r="S238"/>
  <c r="M238"/>
  <c r="F238"/>
  <c r="AH238" s="1"/>
  <c r="AR237"/>
  <c r="AQ237"/>
  <c r="AP237"/>
  <c r="AO237"/>
  <c r="AN237"/>
  <c r="AM237"/>
  <c r="AG237"/>
  <c r="AF237"/>
  <c r="AE237"/>
  <c r="AD237"/>
  <c r="AC237"/>
  <c r="T237"/>
  <c r="S237"/>
  <c r="M237"/>
  <c r="F237"/>
  <c r="AH237" s="1"/>
  <c r="AQ235"/>
  <c r="AP235"/>
  <c r="AO235"/>
  <c r="AN235"/>
  <c r="AM235"/>
  <c r="AH235"/>
  <c r="AG235"/>
  <c r="AF235"/>
  <c r="AE235"/>
  <c r="AD235"/>
  <c r="AC235"/>
  <c r="T235"/>
  <c r="S235"/>
  <c r="M235"/>
  <c r="F235"/>
  <c r="AQ234"/>
  <c r="AP234"/>
  <c r="AO234"/>
  <c r="AN234"/>
  <c r="AM234"/>
  <c r="AH234"/>
  <c r="AG234"/>
  <c r="AF234"/>
  <c r="AE234"/>
  <c r="AD234"/>
  <c r="AC234"/>
  <c r="T234"/>
  <c r="S234"/>
  <c r="M234"/>
  <c r="F234"/>
  <c r="AR234" s="1"/>
  <c r="AQ233"/>
  <c r="AP233"/>
  <c r="AO233"/>
  <c r="AN233"/>
  <c r="AM233"/>
  <c r="AH233"/>
  <c r="AG233"/>
  <c r="AF233"/>
  <c r="AE233"/>
  <c r="AD233"/>
  <c r="AC233"/>
  <c r="T233"/>
  <c r="S233"/>
  <c r="M233"/>
  <c r="F233"/>
  <c r="AR233" s="1"/>
  <c r="AR232"/>
  <c r="AQ232"/>
  <c r="AP232"/>
  <c r="AO232"/>
  <c r="AN232"/>
  <c r="AM232"/>
  <c r="AG232"/>
  <c r="AF232"/>
  <c r="AE232"/>
  <c r="AD232"/>
  <c r="AC232"/>
  <c r="T232"/>
  <c r="S232"/>
  <c r="M232"/>
  <c r="F232"/>
  <c r="AH232" s="1"/>
  <c r="AR231"/>
  <c r="AQ231"/>
  <c r="AP231"/>
  <c r="AO231"/>
  <c r="AN231"/>
  <c r="AM231"/>
  <c r="AG231"/>
  <c r="AF231"/>
  <c r="AE231"/>
  <c r="AD231"/>
  <c r="AC231"/>
  <c r="T231"/>
  <c r="S231"/>
  <c r="M231"/>
  <c r="F231"/>
  <c r="AH231" s="1"/>
  <c r="AR230"/>
  <c r="AQ230"/>
  <c r="AP230"/>
  <c r="AO230"/>
  <c r="AN230"/>
  <c r="AM230"/>
  <c r="AG230"/>
  <c r="AF230"/>
  <c r="AE230"/>
  <c r="AD230"/>
  <c r="AC230"/>
  <c r="T230"/>
  <c r="S230"/>
  <c r="M230"/>
  <c r="F230"/>
  <c r="AH230" s="1"/>
  <c r="AR228"/>
  <c r="AQ228"/>
  <c r="AP228"/>
  <c r="AO228"/>
  <c r="AN228"/>
  <c r="AM228"/>
  <c r="AG228"/>
  <c r="AF228"/>
  <c r="AE228"/>
  <c r="AD228"/>
  <c r="AC228"/>
  <c r="T228"/>
  <c r="S228"/>
  <c r="M228"/>
  <c r="F228"/>
  <c r="AH228" s="1"/>
  <c r="AR227"/>
  <c r="AQ227"/>
  <c r="AP227"/>
  <c r="AO227"/>
  <c r="AN227"/>
  <c r="AM227"/>
  <c r="AG227"/>
  <c r="AF227"/>
  <c r="AE227"/>
  <c r="AD227"/>
  <c r="AC227"/>
  <c r="T227"/>
  <c r="S227"/>
  <c r="M227"/>
  <c r="F227"/>
  <c r="AH227" s="1"/>
  <c r="AR226"/>
  <c r="AQ226"/>
  <c r="AP226"/>
  <c r="AO226"/>
  <c r="AN226"/>
  <c r="AM226"/>
  <c r="AG226"/>
  <c r="AF226"/>
  <c r="AE226"/>
  <c r="AD226"/>
  <c r="AC226"/>
  <c r="T226"/>
  <c r="S226"/>
  <c r="M226"/>
  <c r="F226"/>
  <c r="AH226" s="1"/>
  <c r="AR225"/>
  <c r="AQ225"/>
  <c r="AP225"/>
  <c r="AO225"/>
  <c r="AN225"/>
  <c r="AM225"/>
  <c r="AG225"/>
  <c r="AF225"/>
  <c r="AE225"/>
  <c r="AD225"/>
  <c r="AC225"/>
  <c r="T225"/>
  <c r="S225"/>
  <c r="M225"/>
  <c r="F225"/>
  <c r="AH225" s="1"/>
  <c r="AQ223"/>
  <c r="AP223"/>
  <c r="AO223"/>
  <c r="AN223"/>
  <c r="AM223"/>
  <c r="AH223"/>
  <c r="AG223"/>
  <c r="AF223"/>
  <c r="AE223"/>
  <c r="AD223"/>
  <c r="AC223"/>
  <c r="T223"/>
  <c r="S223"/>
  <c r="M223"/>
  <c r="F223"/>
  <c r="AQ222"/>
  <c r="AP222"/>
  <c r="AO222"/>
  <c r="AN222"/>
  <c r="AM222"/>
  <c r="AH222"/>
  <c r="AG222"/>
  <c r="AF222"/>
  <c r="AE222"/>
  <c r="AD222"/>
  <c r="AC222"/>
  <c r="T222"/>
  <c r="S222"/>
  <c r="M222"/>
  <c r="F222"/>
  <c r="AR222" s="1"/>
  <c r="AR221"/>
  <c r="AQ221"/>
  <c r="AP221"/>
  <c r="AO221"/>
  <c r="AN221"/>
  <c r="AM221"/>
  <c r="AG221"/>
  <c r="AF221"/>
  <c r="AE221"/>
  <c r="AD221"/>
  <c r="AC221"/>
  <c r="T221"/>
  <c r="S221"/>
  <c r="M221"/>
  <c r="F221"/>
  <c r="AH221" s="1"/>
  <c r="AR220"/>
  <c r="AQ220"/>
  <c r="AP220"/>
  <c r="AO220"/>
  <c r="AN220"/>
  <c r="AM220"/>
  <c r="AG220"/>
  <c r="AF220"/>
  <c r="AE220"/>
  <c r="AD220"/>
  <c r="AC220"/>
  <c r="T220"/>
  <c r="S220"/>
  <c r="M220"/>
  <c r="F220"/>
  <c r="AH220" s="1"/>
  <c r="AQ218"/>
  <c r="AP218"/>
  <c r="AO218"/>
  <c r="AN218"/>
  <c r="AM218"/>
  <c r="AH218"/>
  <c r="AG218"/>
  <c r="AF218"/>
  <c r="AE218"/>
  <c r="AD218"/>
  <c r="AC218"/>
  <c r="T218"/>
  <c r="S218"/>
  <c r="M218"/>
  <c r="F218"/>
  <c r="AR218" s="1"/>
  <c r="AQ217"/>
  <c r="AP217"/>
  <c r="AO217"/>
  <c r="AN217"/>
  <c r="AM217"/>
  <c r="AH217"/>
  <c r="AG217"/>
  <c r="AF217"/>
  <c r="AE217"/>
  <c r="AD217"/>
  <c r="AC217"/>
  <c r="T217"/>
  <c r="S217"/>
  <c r="M217"/>
  <c r="F217"/>
  <c r="AR217" s="1"/>
  <c r="AR216"/>
  <c r="AQ216"/>
  <c r="AP216"/>
  <c r="AO216"/>
  <c r="AN216"/>
  <c r="AM216"/>
  <c r="AG216"/>
  <c r="AF216"/>
  <c r="AE216"/>
  <c r="AD216"/>
  <c r="AC216"/>
  <c r="T216"/>
  <c r="S216"/>
  <c r="M216"/>
  <c r="F216"/>
  <c r="AH216" s="1"/>
  <c r="AR215"/>
  <c r="AQ215"/>
  <c r="AP215"/>
  <c r="AO215"/>
  <c r="AN215"/>
  <c r="AM215"/>
  <c r="AG215"/>
  <c r="AF215"/>
  <c r="AE215"/>
  <c r="AD215"/>
  <c r="AC215"/>
  <c r="T215"/>
  <c r="S215"/>
  <c r="M215"/>
  <c r="F215"/>
  <c r="AH215" s="1"/>
  <c r="AR213"/>
  <c r="AQ213"/>
  <c r="AP213"/>
  <c r="AO213"/>
  <c r="AN213"/>
  <c r="AM213"/>
  <c r="AG213"/>
  <c r="AF213"/>
  <c r="AE213"/>
  <c r="AD213"/>
  <c r="AC213"/>
  <c r="T213"/>
  <c r="S213"/>
  <c r="M213"/>
  <c r="F213"/>
  <c r="AR212"/>
  <c r="AQ212"/>
  <c r="AP212"/>
  <c r="AO212"/>
  <c r="AN212"/>
  <c r="AM212"/>
  <c r="AG212"/>
  <c r="AF212"/>
  <c r="AE212"/>
  <c r="AD212"/>
  <c r="AC212"/>
  <c r="T212"/>
  <c r="S212"/>
  <c r="M212"/>
  <c r="F212"/>
  <c r="AH212" s="1"/>
  <c r="AR211"/>
  <c r="AQ211"/>
  <c r="AP211"/>
  <c r="AO211"/>
  <c r="AN211"/>
  <c r="AM211"/>
  <c r="AG211"/>
  <c r="AF211"/>
  <c r="AE211"/>
  <c r="AD211"/>
  <c r="AC211"/>
  <c r="T211"/>
  <c r="S211"/>
  <c r="M211"/>
  <c r="F211"/>
  <c r="AH211" s="1"/>
  <c r="AR209"/>
  <c r="AQ209"/>
  <c r="AP209"/>
  <c r="AO209"/>
  <c r="AN209"/>
  <c r="AM209"/>
  <c r="AG209"/>
  <c r="AF209"/>
  <c r="AE209"/>
  <c r="AD209"/>
  <c r="AC209"/>
  <c r="T209"/>
  <c r="S209"/>
  <c r="M209"/>
  <c r="F209"/>
  <c r="AH209" s="1"/>
  <c r="AR208"/>
  <c r="AQ208"/>
  <c r="AP208"/>
  <c r="AO208"/>
  <c r="AN208"/>
  <c r="AM208"/>
  <c r="AG208"/>
  <c r="AF208"/>
  <c r="AE208"/>
  <c r="AD208"/>
  <c r="AC208"/>
  <c r="T208"/>
  <c r="S208"/>
  <c r="M208"/>
  <c r="F208"/>
  <c r="AH208" s="1"/>
  <c r="AQ207"/>
  <c r="AP207"/>
  <c r="AO207"/>
  <c r="AN207"/>
  <c r="AM207"/>
  <c r="AH207"/>
  <c r="AG207"/>
  <c r="AF207"/>
  <c r="AE207"/>
  <c r="AD207"/>
  <c r="AC207"/>
  <c r="T207"/>
  <c r="S207"/>
  <c r="M207"/>
  <c r="F207"/>
  <c r="AR207" s="1"/>
  <c r="AR206"/>
  <c r="AQ206"/>
  <c r="AP206"/>
  <c r="AO206"/>
  <c r="AN206"/>
  <c r="AM206"/>
  <c r="AG206"/>
  <c r="AF206"/>
  <c r="AE206"/>
  <c r="AD206"/>
  <c r="AC206"/>
  <c r="T206"/>
  <c r="S206"/>
  <c r="M206"/>
  <c r="F206"/>
  <c r="AH206" s="1"/>
  <c r="AR205"/>
  <c r="AQ205"/>
  <c r="AP205"/>
  <c r="AO205"/>
  <c r="AN205"/>
  <c r="AM205"/>
  <c r="AG205"/>
  <c r="AF205"/>
  <c r="AE205"/>
  <c r="AD205"/>
  <c r="AC205"/>
  <c r="T205"/>
  <c r="S205"/>
  <c r="M205"/>
  <c r="F205"/>
  <c r="AH205" s="1"/>
  <c r="AQ203"/>
  <c r="AP203"/>
  <c r="AO203"/>
  <c r="AN203"/>
  <c r="AM203"/>
  <c r="AH203"/>
  <c r="AG203"/>
  <c r="AF203"/>
  <c r="AE203"/>
  <c r="AD203"/>
  <c r="AC203"/>
  <c r="T203"/>
  <c r="S203"/>
  <c r="M203"/>
  <c r="F203"/>
  <c r="AR203" s="1"/>
  <c r="AQ202"/>
  <c r="AP202"/>
  <c r="AO202"/>
  <c r="AN202"/>
  <c r="AM202"/>
  <c r="AH202"/>
  <c r="AG202"/>
  <c r="AF202"/>
  <c r="AE202"/>
  <c r="AD202"/>
  <c r="AC202"/>
  <c r="T202"/>
  <c r="S202"/>
  <c r="M202"/>
  <c r="F202"/>
  <c r="AR202" s="1"/>
  <c r="AR201"/>
  <c r="AQ201"/>
  <c r="AP201"/>
  <c r="AO201"/>
  <c r="AN201"/>
  <c r="AM201"/>
  <c r="AG201"/>
  <c r="AF201"/>
  <c r="AE201"/>
  <c r="AD201"/>
  <c r="AC201"/>
  <c r="T201"/>
  <c r="S201"/>
  <c r="M201"/>
  <c r="F201"/>
  <c r="AH201" s="1"/>
  <c r="AR200"/>
  <c r="AQ200"/>
  <c r="AP200"/>
  <c r="AO200"/>
  <c r="AN200"/>
  <c r="AM200"/>
  <c r="AG200"/>
  <c r="AF200"/>
  <c r="AE200"/>
  <c r="AD200"/>
  <c r="AC200"/>
  <c r="T200"/>
  <c r="S200"/>
  <c r="M200"/>
  <c r="F200"/>
  <c r="AH200" s="1"/>
  <c r="AR199"/>
  <c r="AQ199"/>
  <c r="AP199"/>
  <c r="AO199"/>
  <c r="AN199"/>
  <c r="AM199"/>
  <c r="AG199"/>
  <c r="AF199"/>
  <c r="AE199"/>
  <c r="AD199"/>
  <c r="AC199"/>
  <c r="T199"/>
  <c r="S199"/>
  <c r="M199"/>
  <c r="F199"/>
  <c r="AH199" s="1"/>
  <c r="O198"/>
  <c r="AQ197"/>
  <c r="AP197"/>
  <c r="AO197"/>
  <c r="AN197"/>
  <c r="AM197"/>
  <c r="AH197"/>
  <c r="AG197"/>
  <c r="AF197"/>
  <c r="AE197"/>
  <c r="AD197"/>
  <c r="AC197"/>
  <c r="T197"/>
  <c r="S197"/>
  <c r="M197"/>
  <c r="F197"/>
  <c r="AR197" s="1"/>
  <c r="AQ196"/>
  <c r="AP196"/>
  <c r="AO196"/>
  <c r="AN196"/>
  <c r="AM196"/>
  <c r="AH196"/>
  <c r="AG196"/>
  <c r="AF196"/>
  <c r="AE196"/>
  <c r="AD196"/>
  <c r="AC196"/>
  <c r="T196"/>
  <c r="S196"/>
  <c r="M196"/>
  <c r="F196"/>
  <c r="AR196" s="1"/>
  <c r="AR195"/>
  <c r="AQ195"/>
  <c r="AP195"/>
  <c r="AO195"/>
  <c r="AN195"/>
  <c r="AM195"/>
  <c r="AG195"/>
  <c r="AF195"/>
  <c r="AE195"/>
  <c r="AD195"/>
  <c r="AC195"/>
  <c r="T195"/>
  <c r="S195"/>
  <c r="M195"/>
  <c r="F195"/>
  <c r="AH195" s="1"/>
  <c r="AR194"/>
  <c r="AQ194"/>
  <c r="AP194"/>
  <c r="AO194"/>
  <c r="AN194"/>
  <c r="AM194"/>
  <c r="AG194"/>
  <c r="AF194"/>
  <c r="AE194"/>
  <c r="AD194"/>
  <c r="AC194"/>
  <c r="T194"/>
  <c r="S194"/>
  <c r="M194"/>
  <c r="F194"/>
  <c r="AH194" s="1"/>
  <c r="AR193"/>
  <c r="AQ193"/>
  <c r="AP193"/>
  <c r="AO193"/>
  <c r="AN193"/>
  <c r="AM193"/>
  <c r="AG193"/>
  <c r="AF193"/>
  <c r="AE193"/>
  <c r="AD193"/>
  <c r="AC193"/>
  <c r="T193"/>
  <c r="S193"/>
  <c r="M193"/>
  <c r="F193"/>
  <c r="AH193" s="1"/>
  <c r="AR192"/>
  <c r="AQ192"/>
  <c r="AP192"/>
  <c r="AO192"/>
  <c r="AN192"/>
  <c r="AM192"/>
  <c r="AG192"/>
  <c r="AF192"/>
  <c r="AE192"/>
  <c r="AD192"/>
  <c r="AC192"/>
  <c r="T192"/>
  <c r="S192"/>
  <c r="M192"/>
  <c r="F192"/>
  <c r="AH192" s="1"/>
  <c r="AR126"/>
  <c r="AQ126"/>
  <c r="AP126"/>
  <c r="AO126"/>
  <c r="AN126"/>
  <c r="AM126"/>
  <c r="AG126"/>
  <c r="AF126"/>
  <c r="AE126"/>
  <c r="AD126"/>
  <c r="AC126"/>
  <c r="T126"/>
  <c r="S126"/>
  <c r="M126"/>
  <c r="F126"/>
  <c r="AH126" s="1"/>
  <c r="AQ120"/>
  <c r="AP120"/>
  <c r="AO120"/>
  <c r="AN120"/>
  <c r="AM120"/>
  <c r="AG120"/>
  <c r="AF120"/>
  <c r="AE120"/>
  <c r="AD120"/>
  <c r="AC120"/>
  <c r="T120"/>
  <c r="S120"/>
  <c r="M120"/>
  <c r="F120"/>
  <c r="AR120" s="1"/>
  <c r="O124"/>
  <c r="AQ129"/>
  <c r="AP129"/>
  <c r="AO129"/>
  <c r="AN129"/>
  <c r="AM129"/>
  <c r="AH129"/>
  <c r="AG129"/>
  <c r="AF129"/>
  <c r="AE129"/>
  <c r="AD129"/>
  <c r="AC129"/>
  <c r="T129"/>
  <c r="S129"/>
  <c r="M129"/>
  <c r="F129"/>
  <c r="AR129" s="1"/>
  <c r="AQ128"/>
  <c r="AP128"/>
  <c r="AO128"/>
  <c r="AN128"/>
  <c r="AM128"/>
  <c r="AH128"/>
  <c r="AG128"/>
  <c r="AF128"/>
  <c r="AE128"/>
  <c r="AD128"/>
  <c r="AC128"/>
  <c r="T128"/>
  <c r="S128"/>
  <c r="M128"/>
  <c r="F128"/>
  <c r="AR128" s="1"/>
  <c r="AR127"/>
  <c r="AQ127"/>
  <c r="AP127"/>
  <c r="AO127"/>
  <c r="AN127"/>
  <c r="AM127"/>
  <c r="AG127"/>
  <c r="AF127"/>
  <c r="AE127"/>
  <c r="AD127"/>
  <c r="AC127"/>
  <c r="T127"/>
  <c r="S127"/>
  <c r="M127"/>
  <c r="F127"/>
  <c r="AH127" s="1"/>
  <c r="AR125"/>
  <c r="AQ125"/>
  <c r="AP125"/>
  <c r="AO125"/>
  <c r="AN125"/>
  <c r="AM125"/>
  <c r="AG125"/>
  <c r="AF125"/>
  <c r="AE125"/>
  <c r="AD125"/>
  <c r="AC125"/>
  <c r="T125"/>
  <c r="S125"/>
  <c r="M125"/>
  <c r="F125"/>
  <c r="AH125" s="1"/>
  <c r="AR132"/>
  <c r="AQ132"/>
  <c r="AP132"/>
  <c r="AO132"/>
  <c r="AN132"/>
  <c r="AM132"/>
  <c r="AG132"/>
  <c r="AF132"/>
  <c r="AE132"/>
  <c r="AD132"/>
  <c r="AC132"/>
  <c r="T132"/>
  <c r="S132"/>
  <c r="M132"/>
  <c r="F132"/>
  <c r="AH132" s="1"/>
  <c r="AR134"/>
  <c r="AQ134"/>
  <c r="AP134"/>
  <c r="AO134"/>
  <c r="AN134"/>
  <c r="AM134"/>
  <c r="AG134"/>
  <c r="AF134"/>
  <c r="AE134"/>
  <c r="AD134"/>
  <c r="AC134"/>
  <c r="T134"/>
  <c r="S134"/>
  <c r="M134"/>
  <c r="F134"/>
  <c r="AH134" s="1"/>
  <c r="AR119"/>
  <c r="AQ119"/>
  <c r="AP119"/>
  <c r="AO119"/>
  <c r="AN119"/>
  <c r="AM119"/>
  <c r="AG119"/>
  <c r="AF119"/>
  <c r="AE119"/>
  <c r="AD119"/>
  <c r="AC119"/>
  <c r="T119"/>
  <c r="S119"/>
  <c r="M119"/>
  <c r="F119"/>
  <c r="AH119" s="1"/>
  <c r="AR135"/>
  <c r="AQ135"/>
  <c r="AP135"/>
  <c r="AO135"/>
  <c r="AN135"/>
  <c r="AM135"/>
  <c r="AG135"/>
  <c r="AF135"/>
  <c r="AE135"/>
  <c r="AD135"/>
  <c r="AC135"/>
  <c r="T135"/>
  <c r="S135"/>
  <c r="M135"/>
  <c r="F135"/>
  <c r="AH135" s="1"/>
  <c r="AQ133"/>
  <c r="AP133"/>
  <c r="AO133"/>
  <c r="AN133"/>
  <c r="AM133"/>
  <c r="AH133"/>
  <c r="AG133"/>
  <c r="AF133"/>
  <c r="AE133"/>
  <c r="AD133"/>
  <c r="AC133"/>
  <c r="T133"/>
  <c r="S133"/>
  <c r="M133"/>
  <c r="F133"/>
  <c r="AR133" s="1"/>
  <c r="AR131"/>
  <c r="AQ131"/>
  <c r="AP131"/>
  <c r="AO131"/>
  <c r="AN131"/>
  <c r="AM131"/>
  <c r="AG131"/>
  <c r="AF131"/>
  <c r="AE131"/>
  <c r="AD131"/>
  <c r="AC131"/>
  <c r="T131"/>
  <c r="S131"/>
  <c r="M131"/>
  <c r="F131"/>
  <c r="AH131" s="1"/>
  <c r="AQ123"/>
  <c r="AP123"/>
  <c r="AO123"/>
  <c r="AN123"/>
  <c r="AM123"/>
  <c r="AH123"/>
  <c r="AG123"/>
  <c r="AF123"/>
  <c r="AE123"/>
  <c r="AD123"/>
  <c r="AC123"/>
  <c r="T123"/>
  <c r="S123"/>
  <c r="M123"/>
  <c r="F123"/>
  <c r="AR123" s="1"/>
  <c r="AQ122"/>
  <c r="AP122"/>
  <c r="AO122"/>
  <c r="AN122"/>
  <c r="AM122"/>
  <c r="AH122"/>
  <c r="AG122"/>
  <c r="AF122"/>
  <c r="AE122"/>
  <c r="AD122"/>
  <c r="AC122"/>
  <c r="T122"/>
  <c r="S122"/>
  <c r="M122"/>
  <c r="F122"/>
  <c r="AR122" s="1"/>
  <c r="AR121"/>
  <c r="AQ121"/>
  <c r="AP121"/>
  <c r="AO121"/>
  <c r="AN121"/>
  <c r="AM121"/>
  <c r="AG121"/>
  <c r="AF121"/>
  <c r="AE121"/>
  <c r="AD121"/>
  <c r="AC121"/>
  <c r="T121"/>
  <c r="S121"/>
  <c r="M121"/>
  <c r="F121"/>
  <c r="AH121" s="1"/>
  <c r="AR118"/>
  <c r="AQ118"/>
  <c r="AP118"/>
  <c r="AO118"/>
  <c r="AN118"/>
  <c r="AM118"/>
  <c r="AG118"/>
  <c r="AF118"/>
  <c r="AE118"/>
  <c r="AD118"/>
  <c r="AC118"/>
  <c r="T118"/>
  <c r="S118"/>
  <c r="M118"/>
  <c r="F118"/>
  <c r="AH118" s="1"/>
  <c r="AR152"/>
  <c r="AQ152"/>
  <c r="AP152"/>
  <c r="AO152"/>
  <c r="AN152"/>
  <c r="AM152"/>
  <c r="AG152"/>
  <c r="AF152"/>
  <c r="AE152"/>
  <c r="AD152"/>
  <c r="AC152"/>
  <c r="T152"/>
  <c r="S152"/>
  <c r="M152"/>
  <c r="F152"/>
  <c r="AH152" s="1"/>
  <c r="AQ168"/>
  <c r="AP168"/>
  <c r="AO168"/>
  <c r="AN168"/>
  <c r="AM168"/>
  <c r="AH168"/>
  <c r="AG168"/>
  <c r="AF168"/>
  <c r="AE168"/>
  <c r="AD168"/>
  <c r="AC168"/>
  <c r="T168"/>
  <c r="S168"/>
  <c r="M168"/>
  <c r="F168"/>
  <c r="AR168" s="1"/>
  <c r="AQ167"/>
  <c r="AP167"/>
  <c r="AO167"/>
  <c r="AN167"/>
  <c r="AM167"/>
  <c r="AH167"/>
  <c r="AG167"/>
  <c r="AF167"/>
  <c r="AE167"/>
  <c r="AD167"/>
  <c r="AC167"/>
  <c r="T167"/>
  <c r="S167"/>
  <c r="M167"/>
  <c r="F167"/>
  <c r="AR167" s="1"/>
  <c r="AQ166"/>
  <c r="AP166"/>
  <c r="AO166"/>
  <c r="AN166"/>
  <c r="AM166"/>
  <c r="AH166"/>
  <c r="AG166"/>
  <c r="AF166"/>
  <c r="AE166"/>
  <c r="AD166"/>
  <c r="AC166"/>
  <c r="T166"/>
  <c r="S166"/>
  <c r="M166"/>
  <c r="F166"/>
  <c r="AR166" s="1"/>
  <c r="AR165"/>
  <c r="AQ165"/>
  <c r="AP165"/>
  <c r="AO165"/>
  <c r="AN165"/>
  <c r="AM165"/>
  <c r="AG165"/>
  <c r="AF165"/>
  <c r="AE165"/>
  <c r="AD165"/>
  <c r="AC165"/>
  <c r="T165"/>
  <c r="S165"/>
  <c r="M165"/>
  <c r="F165"/>
  <c r="AH165" s="1"/>
  <c r="AR164"/>
  <c r="AQ164"/>
  <c r="AP164"/>
  <c r="AO164"/>
  <c r="AN164"/>
  <c r="AM164"/>
  <c r="AG164"/>
  <c r="AF164"/>
  <c r="AE164"/>
  <c r="AD164"/>
  <c r="AC164"/>
  <c r="T164"/>
  <c r="S164"/>
  <c r="M164"/>
  <c r="F164"/>
  <c r="AH164" s="1"/>
  <c r="AR163"/>
  <c r="AQ163"/>
  <c r="AP163"/>
  <c r="AO163"/>
  <c r="AN163"/>
  <c r="AM163"/>
  <c r="AG163"/>
  <c r="AF163"/>
  <c r="AE163"/>
  <c r="AD163"/>
  <c r="AC163"/>
  <c r="T163"/>
  <c r="S163"/>
  <c r="M163"/>
  <c r="F163"/>
  <c r="AH163" s="1"/>
  <c r="AQ161"/>
  <c r="AP161"/>
  <c r="AO161"/>
  <c r="AN161"/>
  <c r="AM161"/>
  <c r="AH161"/>
  <c r="AG161"/>
  <c r="AF161"/>
  <c r="AE161"/>
  <c r="AD161"/>
  <c r="AC161"/>
  <c r="T161"/>
  <c r="S161"/>
  <c r="M161"/>
  <c r="F161"/>
  <c r="AR161" s="1"/>
  <c r="AQ160"/>
  <c r="AP160"/>
  <c r="AO160"/>
  <c r="AN160"/>
  <c r="AM160"/>
  <c r="AH160"/>
  <c r="AG160"/>
  <c r="AF160"/>
  <c r="AE160"/>
  <c r="AD160"/>
  <c r="AC160"/>
  <c r="T160"/>
  <c r="S160"/>
  <c r="M160"/>
  <c r="F160"/>
  <c r="AR160" s="1"/>
  <c r="AQ159"/>
  <c r="AP159"/>
  <c r="AO159"/>
  <c r="AN159"/>
  <c r="AM159"/>
  <c r="AH159"/>
  <c r="AG159"/>
  <c r="AF159"/>
  <c r="AE159"/>
  <c r="AD159"/>
  <c r="AC159"/>
  <c r="T159"/>
  <c r="S159"/>
  <c r="M159"/>
  <c r="F159"/>
  <c r="AR159" s="1"/>
  <c r="AR158"/>
  <c r="AQ158"/>
  <c r="AP158"/>
  <c r="AO158"/>
  <c r="AN158"/>
  <c r="AM158"/>
  <c r="AG158"/>
  <c r="AF158"/>
  <c r="AE158"/>
  <c r="AD158"/>
  <c r="AC158"/>
  <c r="T158"/>
  <c r="S158"/>
  <c r="M158"/>
  <c r="F158"/>
  <c r="AH158" s="1"/>
  <c r="AR157"/>
  <c r="AQ157"/>
  <c r="AP157"/>
  <c r="AO157"/>
  <c r="AN157"/>
  <c r="AM157"/>
  <c r="AG157"/>
  <c r="AF157"/>
  <c r="AE157"/>
  <c r="AD157"/>
  <c r="AC157"/>
  <c r="T157"/>
  <c r="S157"/>
  <c r="M157"/>
  <c r="F157"/>
  <c r="AH157" s="1"/>
  <c r="AR156"/>
  <c r="AQ156"/>
  <c r="AP156"/>
  <c r="AO156"/>
  <c r="AN156"/>
  <c r="AM156"/>
  <c r="AG156"/>
  <c r="AF156"/>
  <c r="AE156"/>
  <c r="AD156"/>
  <c r="AC156"/>
  <c r="T156"/>
  <c r="S156"/>
  <c r="M156"/>
  <c r="F156"/>
  <c r="AH156" s="1"/>
  <c r="AQ149"/>
  <c r="AP149"/>
  <c r="AO149"/>
  <c r="AN149"/>
  <c r="AM149"/>
  <c r="AH149"/>
  <c r="AG149"/>
  <c r="AF149"/>
  <c r="AE149"/>
  <c r="AD149"/>
  <c r="AC149"/>
  <c r="T149"/>
  <c r="S149"/>
  <c r="M149"/>
  <c r="F149"/>
  <c r="AR149" s="1"/>
  <c r="AQ148"/>
  <c r="AP148"/>
  <c r="AO148"/>
  <c r="AN148"/>
  <c r="AM148"/>
  <c r="AH148"/>
  <c r="AG148"/>
  <c r="AF148"/>
  <c r="AE148"/>
  <c r="AD148"/>
  <c r="AC148"/>
  <c r="T148"/>
  <c r="S148"/>
  <c r="M148"/>
  <c r="F148"/>
  <c r="AR148" s="1"/>
  <c r="AR147"/>
  <c r="AQ147"/>
  <c r="AP147"/>
  <c r="AO147"/>
  <c r="AN147"/>
  <c r="AM147"/>
  <c r="AG147"/>
  <c r="AF147"/>
  <c r="AE147"/>
  <c r="AD147"/>
  <c r="AC147"/>
  <c r="T147"/>
  <c r="S147"/>
  <c r="M147"/>
  <c r="F147"/>
  <c r="AH147" s="1"/>
  <c r="AR146"/>
  <c r="AQ146"/>
  <c r="AP146"/>
  <c r="AO146"/>
  <c r="AN146"/>
  <c r="AM146"/>
  <c r="AG146"/>
  <c r="AF146"/>
  <c r="AE146"/>
  <c r="AD146"/>
  <c r="AC146"/>
  <c r="T146"/>
  <c r="S146"/>
  <c r="M146"/>
  <c r="F146"/>
  <c r="AH146" s="1"/>
  <c r="AR138"/>
  <c r="AQ138"/>
  <c r="AP138"/>
  <c r="AO138"/>
  <c r="AN138"/>
  <c r="AM138"/>
  <c r="AG138"/>
  <c r="AF138"/>
  <c r="AE138"/>
  <c r="AD138"/>
  <c r="AC138"/>
  <c r="T138"/>
  <c r="S138"/>
  <c r="M138"/>
  <c r="F138"/>
  <c r="AH138" s="1"/>
  <c r="AQ144"/>
  <c r="AP144"/>
  <c r="AO144"/>
  <c r="AN144"/>
  <c r="AM144"/>
  <c r="AH144"/>
  <c r="AG144"/>
  <c r="AF144"/>
  <c r="AE144"/>
  <c r="AD144"/>
  <c r="AC144"/>
  <c r="T144"/>
  <c r="S144"/>
  <c r="M144"/>
  <c r="F144"/>
  <c r="AR144" s="1"/>
  <c r="AQ143"/>
  <c r="AP143"/>
  <c r="AO143"/>
  <c r="AN143"/>
  <c r="AM143"/>
  <c r="AH143"/>
  <c r="AG143"/>
  <c r="AF143"/>
  <c r="AE143"/>
  <c r="AD143"/>
  <c r="AC143"/>
  <c r="T143"/>
  <c r="S143"/>
  <c r="M143"/>
  <c r="F143"/>
  <c r="AR143" s="1"/>
  <c r="AR142"/>
  <c r="AQ142"/>
  <c r="AP142"/>
  <c r="AO142"/>
  <c r="AN142"/>
  <c r="AM142"/>
  <c r="AG142"/>
  <c r="AF142"/>
  <c r="AE142"/>
  <c r="AD142"/>
  <c r="AC142"/>
  <c r="T142"/>
  <c r="S142"/>
  <c r="M142"/>
  <c r="F142"/>
  <c r="AH142" s="1"/>
  <c r="AR141"/>
  <c r="AQ141"/>
  <c r="AP141"/>
  <c r="AO141"/>
  <c r="AN141"/>
  <c r="AM141"/>
  <c r="AG141"/>
  <c r="AF141"/>
  <c r="AE141"/>
  <c r="AD141"/>
  <c r="AC141"/>
  <c r="T141"/>
  <c r="S141"/>
  <c r="M141"/>
  <c r="F141"/>
  <c r="AH141" s="1"/>
  <c r="AQ187"/>
  <c r="AP187"/>
  <c r="AO187"/>
  <c r="AN187"/>
  <c r="AM187"/>
  <c r="AH187"/>
  <c r="AG187"/>
  <c r="AF187"/>
  <c r="AE187"/>
  <c r="AD187"/>
  <c r="AC187"/>
  <c r="T187"/>
  <c r="S187"/>
  <c r="M187"/>
  <c r="F187"/>
  <c r="AR187" s="1"/>
  <c r="AQ186"/>
  <c r="AP186"/>
  <c r="AO186"/>
  <c r="AN186"/>
  <c r="AM186"/>
  <c r="AH186"/>
  <c r="AG186"/>
  <c r="AF186"/>
  <c r="AE186"/>
  <c r="AD186"/>
  <c r="AC186"/>
  <c r="T186"/>
  <c r="S186"/>
  <c r="M186"/>
  <c r="F186"/>
  <c r="AR186" s="1"/>
  <c r="AR180"/>
  <c r="AQ180"/>
  <c r="AP180"/>
  <c r="AO180"/>
  <c r="AN180"/>
  <c r="AM180"/>
  <c r="AG180"/>
  <c r="AF180"/>
  <c r="AE180"/>
  <c r="AD180"/>
  <c r="AC180"/>
  <c r="T180"/>
  <c r="S180"/>
  <c r="M180"/>
  <c r="F180"/>
  <c r="AH180" s="1"/>
  <c r="AR179"/>
  <c r="AQ179"/>
  <c r="AP179"/>
  <c r="AO179"/>
  <c r="AN179"/>
  <c r="AM179"/>
  <c r="AG179"/>
  <c r="AF179"/>
  <c r="AE179"/>
  <c r="AD179"/>
  <c r="AC179"/>
  <c r="T179"/>
  <c r="S179"/>
  <c r="M179"/>
  <c r="F179"/>
  <c r="AH179" s="1"/>
  <c r="AR178"/>
  <c r="AQ178"/>
  <c r="AP178"/>
  <c r="AO178"/>
  <c r="AN178"/>
  <c r="AM178"/>
  <c r="AG178"/>
  <c r="AF178"/>
  <c r="AE178"/>
  <c r="AD178"/>
  <c r="AC178"/>
  <c r="T178"/>
  <c r="S178"/>
  <c r="M178"/>
  <c r="F178"/>
  <c r="AH178" s="1"/>
  <c r="AR176"/>
  <c r="AQ176"/>
  <c r="AP176"/>
  <c r="AO176"/>
  <c r="AN176"/>
  <c r="AM176"/>
  <c r="AG176"/>
  <c r="AF176"/>
  <c r="AE176"/>
  <c r="AD176"/>
  <c r="AC176"/>
  <c r="T176"/>
  <c r="S176"/>
  <c r="M176"/>
  <c r="F176"/>
  <c r="AR175"/>
  <c r="AQ175"/>
  <c r="AP175"/>
  <c r="AO175"/>
  <c r="AN175"/>
  <c r="AM175"/>
  <c r="AG175"/>
  <c r="AF175"/>
  <c r="AE175"/>
  <c r="AD175"/>
  <c r="AC175"/>
  <c r="T175"/>
  <c r="S175"/>
  <c r="M175"/>
  <c r="F175"/>
  <c r="AR174"/>
  <c r="AQ174"/>
  <c r="AP174"/>
  <c r="AO174"/>
  <c r="AN174"/>
  <c r="AM174"/>
  <c r="AG174"/>
  <c r="AF174"/>
  <c r="AE174"/>
  <c r="AD174"/>
  <c r="AC174"/>
  <c r="T174"/>
  <c r="S174"/>
  <c r="M174"/>
  <c r="F174"/>
  <c r="AR173"/>
  <c r="AQ173"/>
  <c r="AP173"/>
  <c r="AO173"/>
  <c r="AN173"/>
  <c r="AM173"/>
  <c r="AG173"/>
  <c r="AF173"/>
  <c r="AE173"/>
  <c r="AD173"/>
  <c r="AC173"/>
  <c r="T173"/>
  <c r="S173"/>
  <c r="M173"/>
  <c r="F173"/>
  <c r="AR171"/>
  <c r="AQ171"/>
  <c r="AP171"/>
  <c r="AO171"/>
  <c r="AN171"/>
  <c r="AM171"/>
  <c r="AG171"/>
  <c r="AF171"/>
  <c r="AE171"/>
  <c r="AD171"/>
  <c r="AC171"/>
  <c r="T171"/>
  <c r="S171"/>
  <c r="M171"/>
  <c r="F171"/>
  <c r="AH171" s="1"/>
  <c r="AR170"/>
  <c r="AQ170"/>
  <c r="AP170"/>
  <c r="AO170"/>
  <c r="AN170"/>
  <c r="AM170"/>
  <c r="AG170"/>
  <c r="AF170"/>
  <c r="AE170"/>
  <c r="AD170"/>
  <c r="AC170"/>
  <c r="T170"/>
  <c r="S170"/>
  <c r="M170"/>
  <c r="F170"/>
  <c r="AH170" s="1"/>
  <c r="AR154"/>
  <c r="AQ154"/>
  <c r="AP154"/>
  <c r="AO154"/>
  <c r="AN154"/>
  <c r="AM154"/>
  <c r="AG154"/>
  <c r="AF154"/>
  <c r="AE154"/>
  <c r="AD154"/>
  <c r="AC154"/>
  <c r="T154"/>
  <c r="S154"/>
  <c r="M154"/>
  <c r="F154"/>
  <c r="AH154" s="1"/>
  <c r="AR153"/>
  <c r="AQ153"/>
  <c r="AP153"/>
  <c r="AO153"/>
  <c r="AN153"/>
  <c r="AM153"/>
  <c r="AG153"/>
  <c r="AF153"/>
  <c r="AE153"/>
  <c r="AD153"/>
  <c r="AC153"/>
  <c r="T153"/>
  <c r="S153"/>
  <c r="M153"/>
  <c r="F153"/>
  <c r="AH153" s="1"/>
  <c r="AR151"/>
  <c r="AQ151"/>
  <c r="AP151"/>
  <c r="AO151"/>
  <c r="AN151"/>
  <c r="AM151"/>
  <c r="AG151"/>
  <c r="AF151"/>
  <c r="AE151"/>
  <c r="AD151"/>
  <c r="AC151"/>
  <c r="T151"/>
  <c r="S151"/>
  <c r="M151"/>
  <c r="F151"/>
  <c r="AH151" s="1"/>
  <c r="AR139"/>
  <c r="AQ139"/>
  <c r="AP139"/>
  <c r="AO139"/>
  <c r="AN139"/>
  <c r="AM139"/>
  <c r="AG139"/>
  <c r="AF139"/>
  <c r="AE139"/>
  <c r="AD139"/>
  <c r="AC139"/>
  <c r="T139"/>
  <c r="S139"/>
  <c r="M139"/>
  <c r="F139"/>
  <c r="AH139" s="1"/>
  <c r="AR137"/>
  <c r="AQ137"/>
  <c r="AP137"/>
  <c r="AO137"/>
  <c r="AN137"/>
  <c r="AM137"/>
  <c r="AG137"/>
  <c r="AF137"/>
  <c r="AE137"/>
  <c r="AD137"/>
  <c r="AC137"/>
  <c r="T137"/>
  <c r="S137"/>
  <c r="M137"/>
  <c r="F137"/>
  <c r="AH137" s="1"/>
  <c r="AQ112"/>
  <c r="AP112"/>
  <c r="AO112"/>
  <c r="AN112"/>
  <c r="AM112"/>
  <c r="AG112"/>
  <c r="AF112"/>
  <c r="AE112"/>
  <c r="AD112"/>
  <c r="AC112"/>
  <c r="T112"/>
  <c r="S112"/>
  <c r="M112"/>
  <c r="F112"/>
  <c r="AH112" s="1"/>
  <c r="AQ111"/>
  <c r="AP111"/>
  <c r="AO111"/>
  <c r="AN111"/>
  <c r="AM111"/>
  <c r="AH111"/>
  <c r="AG111"/>
  <c r="AF111"/>
  <c r="AE111"/>
  <c r="AD111"/>
  <c r="AC111"/>
  <c r="T111"/>
  <c r="S111"/>
  <c r="M111"/>
  <c r="F111"/>
  <c r="AR111" s="1"/>
  <c r="AQ110"/>
  <c r="AP110"/>
  <c r="AO110"/>
  <c r="AN110"/>
  <c r="AM110"/>
  <c r="AH110"/>
  <c r="AG110"/>
  <c r="AF110"/>
  <c r="AE110"/>
  <c r="AD110"/>
  <c r="AC110"/>
  <c r="T110"/>
  <c r="S110"/>
  <c r="M110"/>
  <c r="F110"/>
  <c r="AR110" s="1"/>
  <c r="AQ109"/>
  <c r="AP109"/>
  <c r="AO109"/>
  <c r="AN109"/>
  <c r="AM109"/>
  <c r="AH109"/>
  <c r="AG109"/>
  <c r="AF109"/>
  <c r="AE109"/>
  <c r="AD109"/>
  <c r="AC109"/>
  <c r="T109"/>
  <c r="S109"/>
  <c r="M109"/>
  <c r="F109"/>
  <c r="AR109" s="1"/>
  <c r="AR96"/>
  <c r="AQ96"/>
  <c r="AP96"/>
  <c r="AO96"/>
  <c r="AN96"/>
  <c r="AM96"/>
  <c r="AG96"/>
  <c r="AF96"/>
  <c r="AE96"/>
  <c r="AD96"/>
  <c r="AC96"/>
  <c r="T96"/>
  <c r="S96"/>
  <c r="M96"/>
  <c r="F96"/>
  <c r="AH96" s="1"/>
  <c r="AR106"/>
  <c r="AQ106"/>
  <c r="AP106"/>
  <c r="AO106"/>
  <c r="AN106"/>
  <c r="AM106"/>
  <c r="AG106"/>
  <c r="AF106"/>
  <c r="AE106"/>
  <c r="AD106"/>
  <c r="AC106"/>
  <c r="T106"/>
  <c r="S106"/>
  <c r="M106"/>
  <c r="F106"/>
  <c r="AH106" s="1"/>
  <c r="AR107"/>
  <c r="AQ107"/>
  <c r="AP107"/>
  <c r="AO107"/>
  <c r="AN107"/>
  <c r="AM107"/>
  <c r="AG107"/>
  <c r="AF107"/>
  <c r="AE107"/>
  <c r="AD107"/>
  <c r="AC107"/>
  <c r="T107"/>
  <c r="S107"/>
  <c r="M107"/>
  <c r="F107"/>
  <c r="AH107" s="1"/>
  <c r="AR102"/>
  <c r="AQ102"/>
  <c r="AP102"/>
  <c r="AO102"/>
  <c r="AN102"/>
  <c r="AM102"/>
  <c r="AG102"/>
  <c r="AF102"/>
  <c r="AE102"/>
  <c r="AD102"/>
  <c r="AC102"/>
  <c r="T102"/>
  <c r="S102"/>
  <c r="M102"/>
  <c r="F102"/>
  <c r="AH102" s="1"/>
  <c r="AR101"/>
  <c r="AQ101"/>
  <c r="AP101"/>
  <c r="AO101"/>
  <c r="AN101"/>
  <c r="AM101"/>
  <c r="AG101"/>
  <c r="AF101"/>
  <c r="AE101"/>
  <c r="AD101"/>
  <c r="AC101"/>
  <c r="T101"/>
  <c r="S101"/>
  <c r="M101"/>
  <c r="F101"/>
  <c r="AH101" s="1"/>
  <c r="AR100"/>
  <c r="AQ100"/>
  <c r="AP100"/>
  <c r="AO100"/>
  <c r="AN100"/>
  <c r="AM100"/>
  <c r="AG100"/>
  <c r="AF100"/>
  <c r="AE100"/>
  <c r="AD100"/>
  <c r="AC100"/>
  <c r="T100"/>
  <c r="S100"/>
  <c r="M100"/>
  <c r="F100"/>
  <c r="AH100" s="1"/>
  <c r="AQ94"/>
  <c r="AP94"/>
  <c r="AO94"/>
  <c r="AN94"/>
  <c r="AM94"/>
  <c r="AG94"/>
  <c r="AF94"/>
  <c r="AE94"/>
  <c r="AD94"/>
  <c r="AC94"/>
  <c r="T94"/>
  <c r="S94"/>
  <c r="M94"/>
  <c r="F94"/>
  <c r="AH94" s="1"/>
  <c r="AQ93"/>
  <c r="AP93"/>
  <c r="AO93"/>
  <c r="AN93"/>
  <c r="AM93"/>
  <c r="AH93"/>
  <c r="AG93"/>
  <c r="AF93"/>
  <c r="AE93"/>
  <c r="AD93"/>
  <c r="AC93"/>
  <c r="T93"/>
  <c r="S93"/>
  <c r="M93"/>
  <c r="F93"/>
  <c r="AR93" s="1"/>
  <c r="AQ92"/>
  <c r="AP92"/>
  <c r="AO92"/>
  <c r="AN92"/>
  <c r="AM92"/>
  <c r="AH92"/>
  <c r="AG92"/>
  <c r="AF92"/>
  <c r="AE92"/>
  <c r="AD92"/>
  <c r="AC92"/>
  <c r="T92"/>
  <c r="S92"/>
  <c r="M92"/>
  <c r="F92"/>
  <c r="AR92" s="1"/>
  <c r="AQ91"/>
  <c r="AP91"/>
  <c r="AO91"/>
  <c r="AN91"/>
  <c r="AM91"/>
  <c r="AH91"/>
  <c r="AG91"/>
  <c r="AF91"/>
  <c r="AE91"/>
  <c r="AD91"/>
  <c r="AC91"/>
  <c r="T91"/>
  <c r="S91"/>
  <c r="M91"/>
  <c r="F91"/>
  <c r="AR91" s="1"/>
  <c r="AR90"/>
  <c r="AQ90"/>
  <c r="AP90"/>
  <c r="AO90"/>
  <c r="AN90"/>
  <c r="AM90"/>
  <c r="AG90"/>
  <c r="AF90"/>
  <c r="AE90"/>
  <c r="AD90"/>
  <c r="AC90"/>
  <c r="T90"/>
  <c r="S90"/>
  <c r="M90"/>
  <c r="F90"/>
  <c r="AH90" s="1"/>
  <c r="AR89"/>
  <c r="AQ89"/>
  <c r="AP89"/>
  <c r="AO89"/>
  <c r="AN89"/>
  <c r="AM89"/>
  <c r="AG89"/>
  <c r="AF89"/>
  <c r="AE89"/>
  <c r="AD89"/>
  <c r="AC89"/>
  <c r="T89"/>
  <c r="S89"/>
  <c r="M89"/>
  <c r="F89"/>
  <c r="AH89" s="1"/>
  <c r="AR88"/>
  <c r="AQ88"/>
  <c r="AP88"/>
  <c r="AO88"/>
  <c r="AN88"/>
  <c r="AM88"/>
  <c r="AG88"/>
  <c r="AF88"/>
  <c r="AE88"/>
  <c r="AD88"/>
  <c r="AC88"/>
  <c r="T88"/>
  <c r="S88"/>
  <c r="M88"/>
  <c r="F88"/>
  <c r="AH88" s="1"/>
  <c r="AR87"/>
  <c r="AQ87"/>
  <c r="AP87"/>
  <c r="AO87"/>
  <c r="AN87"/>
  <c r="AM87"/>
  <c r="AG87"/>
  <c r="AF87"/>
  <c r="AE87"/>
  <c r="AD87"/>
  <c r="AC87"/>
  <c r="T87"/>
  <c r="S87"/>
  <c r="M87"/>
  <c r="F87"/>
  <c r="AH87" s="1"/>
  <c r="AQ85"/>
  <c r="AP85"/>
  <c r="AO85"/>
  <c r="AN85"/>
  <c r="AM85"/>
  <c r="AG85"/>
  <c r="AF85"/>
  <c r="AE85"/>
  <c r="AD85"/>
  <c r="AC85"/>
  <c r="T85"/>
  <c r="S85"/>
  <c r="M85"/>
  <c r="F85"/>
  <c r="AH85" s="1"/>
  <c r="AQ84"/>
  <c r="AP84"/>
  <c r="AO84"/>
  <c r="AN84"/>
  <c r="AM84"/>
  <c r="AH84"/>
  <c r="AG84"/>
  <c r="AF84"/>
  <c r="AE84"/>
  <c r="AD84"/>
  <c r="AC84"/>
  <c r="T84"/>
  <c r="S84"/>
  <c r="M84"/>
  <c r="F84"/>
  <c r="AR84" s="1"/>
  <c r="AQ83"/>
  <c r="AP83"/>
  <c r="AO83"/>
  <c r="AN83"/>
  <c r="AM83"/>
  <c r="AH83"/>
  <c r="AG83"/>
  <c r="AF83"/>
  <c r="AE83"/>
  <c r="AD83"/>
  <c r="AC83"/>
  <c r="T83"/>
  <c r="S83"/>
  <c r="M83"/>
  <c r="F83"/>
  <c r="AR83" s="1"/>
  <c r="AR82"/>
  <c r="AQ82"/>
  <c r="AP82"/>
  <c r="AO82"/>
  <c r="AN82"/>
  <c r="AM82"/>
  <c r="AG82"/>
  <c r="AF82"/>
  <c r="AE82"/>
  <c r="AD82"/>
  <c r="AC82"/>
  <c r="T82"/>
  <c r="S82"/>
  <c r="M82"/>
  <c r="F82"/>
  <c r="AH82" s="1"/>
  <c r="AR81"/>
  <c r="AQ81"/>
  <c r="AP81"/>
  <c r="AO81"/>
  <c r="AN81"/>
  <c r="AM81"/>
  <c r="AG81"/>
  <c r="AF81"/>
  <c r="AE81"/>
  <c r="AD81"/>
  <c r="AC81"/>
  <c r="T81"/>
  <c r="S81"/>
  <c r="M81"/>
  <c r="F81"/>
  <c r="AH81" s="1"/>
  <c r="AR80"/>
  <c r="AQ80"/>
  <c r="AP80"/>
  <c r="AO80"/>
  <c r="AN80"/>
  <c r="AM80"/>
  <c r="AG80"/>
  <c r="AF80"/>
  <c r="AE80"/>
  <c r="AD80"/>
  <c r="AC80"/>
  <c r="T80"/>
  <c r="S80"/>
  <c r="M80"/>
  <c r="F80"/>
  <c r="AH80" s="1"/>
  <c r="AQ78"/>
  <c r="AP78"/>
  <c r="AO78"/>
  <c r="AN78"/>
  <c r="AM78"/>
  <c r="AG78"/>
  <c r="AF78"/>
  <c r="AE78"/>
  <c r="AD78"/>
  <c r="AC78"/>
  <c r="T78"/>
  <c r="S78"/>
  <c r="M78"/>
  <c r="F78"/>
  <c r="AH78" s="1"/>
  <c r="AQ77"/>
  <c r="AP77"/>
  <c r="AO77"/>
  <c r="AN77"/>
  <c r="AM77"/>
  <c r="AH77"/>
  <c r="AG77"/>
  <c r="AF77"/>
  <c r="AE77"/>
  <c r="AD77"/>
  <c r="AC77"/>
  <c r="T77"/>
  <c r="S77"/>
  <c r="M77"/>
  <c r="F77"/>
  <c r="AR77" s="1"/>
  <c r="AR75"/>
  <c r="AQ75"/>
  <c r="AP75"/>
  <c r="AO75"/>
  <c r="AN75"/>
  <c r="AM75"/>
  <c r="AG75"/>
  <c r="AF75"/>
  <c r="AE75"/>
  <c r="AD75"/>
  <c r="AC75"/>
  <c r="T75"/>
  <c r="S75"/>
  <c r="M75"/>
  <c r="F75"/>
  <c r="AH75" s="1"/>
  <c r="AR69"/>
  <c r="AQ69"/>
  <c r="AP69"/>
  <c r="AO69"/>
  <c r="AN69"/>
  <c r="AM69"/>
  <c r="AG69"/>
  <c r="AF69"/>
  <c r="AE69"/>
  <c r="AD69"/>
  <c r="AC69"/>
  <c r="T69"/>
  <c r="S69"/>
  <c r="M69"/>
  <c r="AQ64"/>
  <c r="AP64"/>
  <c r="AO64"/>
  <c r="AN64"/>
  <c r="AM64"/>
  <c r="AH64"/>
  <c r="AG64"/>
  <c r="AF64"/>
  <c r="AE64"/>
  <c r="AD64"/>
  <c r="AC64"/>
  <c r="T64"/>
  <c r="S64"/>
  <c r="M64"/>
  <c r="F64"/>
  <c r="AR64" s="1"/>
  <c r="AQ63"/>
  <c r="AP63"/>
  <c r="AO63"/>
  <c r="AN63"/>
  <c r="AM63"/>
  <c r="AH63"/>
  <c r="AG63"/>
  <c r="AF63"/>
  <c r="AE63"/>
  <c r="AD63"/>
  <c r="AC63"/>
  <c r="T63"/>
  <c r="S63"/>
  <c r="M63"/>
  <c r="F63"/>
  <c r="AR63" s="1"/>
  <c r="AQ62"/>
  <c r="AP62"/>
  <c r="AO62"/>
  <c r="AN62"/>
  <c r="AM62"/>
  <c r="AH62"/>
  <c r="AG62"/>
  <c r="AF62"/>
  <c r="AE62"/>
  <c r="AD62"/>
  <c r="AC62"/>
  <c r="T62"/>
  <c r="S62"/>
  <c r="M62"/>
  <c r="F62"/>
  <c r="AR62" s="1"/>
  <c r="AQ61"/>
  <c r="AP61"/>
  <c r="AO61"/>
  <c r="AN61"/>
  <c r="AM61"/>
  <c r="AH61"/>
  <c r="AG61"/>
  <c r="AF61"/>
  <c r="AE61"/>
  <c r="AD61"/>
  <c r="AC61"/>
  <c r="T61"/>
  <c r="S61"/>
  <c r="M61"/>
  <c r="E61"/>
  <c r="C61"/>
  <c r="AQ60"/>
  <c r="AP60"/>
  <c r="AO60"/>
  <c r="AN60"/>
  <c r="AM60"/>
  <c r="AH60"/>
  <c r="AG60"/>
  <c r="AF60"/>
  <c r="AE60"/>
  <c r="AD60"/>
  <c r="AC60"/>
  <c r="T60"/>
  <c r="S60"/>
  <c r="M60"/>
  <c r="F60"/>
  <c r="AR60" s="1"/>
  <c r="AQ59"/>
  <c r="AP59"/>
  <c r="AO59"/>
  <c r="AN59"/>
  <c r="AM59"/>
  <c r="AH59"/>
  <c r="AG59"/>
  <c r="AF59"/>
  <c r="AE59"/>
  <c r="AD59"/>
  <c r="AC59"/>
  <c r="T59"/>
  <c r="S59"/>
  <c r="M59"/>
  <c r="F59"/>
  <c r="AR59" s="1"/>
  <c r="AQ58"/>
  <c r="AP58"/>
  <c r="AO58"/>
  <c r="AN58"/>
  <c r="AM58"/>
  <c r="AH58"/>
  <c r="AG58"/>
  <c r="AF58"/>
  <c r="AE58"/>
  <c r="AD58"/>
  <c r="AC58"/>
  <c r="T58"/>
  <c r="S58"/>
  <c r="M58"/>
  <c r="F58"/>
  <c r="AR58" s="1"/>
  <c r="AQ57"/>
  <c r="AP57"/>
  <c r="AO57"/>
  <c r="AN57"/>
  <c r="AM57"/>
  <c r="AH57"/>
  <c r="AG57"/>
  <c r="AF57"/>
  <c r="AE57"/>
  <c r="AD57"/>
  <c r="AC57"/>
  <c r="T57"/>
  <c r="S57"/>
  <c r="M57"/>
  <c r="F57"/>
  <c r="AR57" s="1"/>
  <c r="AQ56"/>
  <c r="AP56"/>
  <c r="AO56"/>
  <c r="AN56"/>
  <c r="AM56"/>
  <c r="AH56"/>
  <c r="AG56"/>
  <c r="AF56"/>
  <c r="AE56"/>
  <c r="AD56"/>
  <c r="AC56"/>
  <c r="T56"/>
  <c r="S56"/>
  <c r="M56"/>
  <c r="F56"/>
  <c r="AR56" s="1"/>
  <c r="AQ55"/>
  <c r="AP55"/>
  <c r="AO55"/>
  <c r="AN55"/>
  <c r="AM55"/>
  <c r="AH55"/>
  <c r="AG55"/>
  <c r="AF55"/>
  <c r="AE55"/>
  <c r="AD55"/>
  <c r="AC55"/>
  <c r="T55"/>
  <c r="S55"/>
  <c r="M55"/>
  <c r="E55"/>
  <c r="C55"/>
  <c r="AQ54"/>
  <c r="AP54"/>
  <c r="AO54"/>
  <c r="AN54"/>
  <c r="AM54"/>
  <c r="AH54"/>
  <c r="AG54"/>
  <c r="AF54"/>
  <c r="AE54"/>
  <c r="AD54"/>
  <c r="AC54"/>
  <c r="T54"/>
  <c r="S54"/>
  <c r="M54"/>
  <c r="F54"/>
  <c r="AR54" s="1"/>
  <c r="AQ53"/>
  <c r="AP53"/>
  <c r="AO53"/>
  <c r="AN53"/>
  <c r="AM53"/>
  <c r="AH53"/>
  <c r="AG53"/>
  <c r="AF53"/>
  <c r="AE53"/>
  <c r="AD53"/>
  <c r="AC53"/>
  <c r="T53"/>
  <c r="S53"/>
  <c r="M53"/>
  <c r="F53"/>
  <c r="AR53" s="1"/>
  <c r="AQ52"/>
  <c r="AP52"/>
  <c r="AO52"/>
  <c r="AN52"/>
  <c r="AM52"/>
  <c r="AG52"/>
  <c r="AF52"/>
  <c r="AE52"/>
  <c r="AD52"/>
  <c r="AC52"/>
  <c r="T52"/>
  <c r="S52"/>
  <c r="M52"/>
  <c r="F52"/>
  <c r="AR52" s="1"/>
  <c r="AR51"/>
  <c r="AQ51"/>
  <c r="AP51"/>
  <c r="AO51"/>
  <c r="AN51"/>
  <c r="AM51"/>
  <c r="AG51"/>
  <c r="AF51"/>
  <c r="AE51"/>
  <c r="AD51"/>
  <c r="AC51"/>
  <c r="T51"/>
  <c r="S51"/>
  <c r="M51"/>
  <c r="F51"/>
  <c r="AH51" s="1"/>
  <c r="AR50"/>
  <c r="AQ50"/>
  <c r="AP50"/>
  <c r="AO50"/>
  <c r="AN50"/>
  <c r="AM50"/>
  <c r="AG50"/>
  <c r="AF50"/>
  <c r="AE50"/>
  <c r="AD50"/>
  <c r="AC50"/>
  <c r="T50"/>
  <c r="S50"/>
  <c r="M50"/>
  <c r="F50"/>
  <c r="AH50" s="1"/>
  <c r="AQ49"/>
  <c r="AP49"/>
  <c r="AO49"/>
  <c r="AN49"/>
  <c r="AM49"/>
  <c r="AG49"/>
  <c r="AF49"/>
  <c r="AE49"/>
  <c r="AD49"/>
  <c r="AC49"/>
  <c r="T49"/>
  <c r="S49"/>
  <c r="M49"/>
  <c r="E49"/>
  <c r="C49"/>
  <c r="AR48"/>
  <c r="AQ48"/>
  <c r="AP48"/>
  <c r="AO48"/>
  <c r="AN48"/>
  <c r="AM48"/>
  <c r="AG48"/>
  <c r="AF48"/>
  <c r="AE48"/>
  <c r="AD48"/>
  <c r="AC48"/>
  <c r="T48"/>
  <c r="S48"/>
  <c r="M48"/>
  <c r="F48"/>
  <c r="AH48" s="1"/>
  <c r="AR47"/>
  <c r="AQ47"/>
  <c r="AP47"/>
  <c r="AO47"/>
  <c r="AN47"/>
  <c r="AM47"/>
  <c r="AG47"/>
  <c r="AF47"/>
  <c r="AE47"/>
  <c r="AD47"/>
  <c r="AC47"/>
  <c r="T47"/>
  <c r="S47"/>
  <c r="M47"/>
  <c r="F47"/>
  <c r="AH47" s="1"/>
  <c r="AQ46"/>
  <c r="AP46"/>
  <c r="AO46"/>
  <c r="AN46"/>
  <c r="AM46"/>
  <c r="AG46"/>
  <c r="AF46"/>
  <c r="AE46"/>
  <c r="AD46"/>
  <c r="AC46"/>
  <c r="T46"/>
  <c r="S46"/>
  <c r="M46"/>
  <c r="F46"/>
  <c r="AR46" s="1"/>
  <c r="AQ45"/>
  <c r="AP45"/>
  <c r="AO45"/>
  <c r="AN45"/>
  <c r="AM45"/>
  <c r="AG45"/>
  <c r="AF45"/>
  <c r="AE45"/>
  <c r="AD45"/>
  <c r="AC45"/>
  <c r="T45"/>
  <c r="S45"/>
  <c r="M45"/>
  <c r="F45"/>
  <c r="AR45" s="1"/>
  <c r="AQ44"/>
  <c r="AP44"/>
  <c r="AO44"/>
  <c r="AN44"/>
  <c r="AM44"/>
  <c r="AG44"/>
  <c r="AF44"/>
  <c r="AE44"/>
  <c r="AD44"/>
  <c r="AC44"/>
  <c r="T44"/>
  <c r="S44"/>
  <c r="M44"/>
  <c r="F44"/>
  <c r="AR44" s="1"/>
  <c r="AQ43"/>
  <c r="AP43"/>
  <c r="AO43"/>
  <c r="AN43"/>
  <c r="AM43"/>
  <c r="AG43"/>
  <c r="AF43"/>
  <c r="AE43"/>
  <c r="AD43"/>
  <c r="AC43"/>
  <c r="T43"/>
  <c r="S43"/>
  <c r="M43"/>
  <c r="E43"/>
  <c r="C43"/>
  <c r="AQ42"/>
  <c r="AP42"/>
  <c r="AO42"/>
  <c r="AN42"/>
  <c r="AM42"/>
  <c r="AG42"/>
  <c r="AF42"/>
  <c r="AE42"/>
  <c r="AD42"/>
  <c r="AC42"/>
  <c r="T42"/>
  <c r="S42"/>
  <c r="M42"/>
  <c r="F42"/>
  <c r="AR42" s="1"/>
  <c r="AQ41"/>
  <c r="AP41"/>
  <c r="AO41"/>
  <c r="AN41"/>
  <c r="AM41"/>
  <c r="AG41"/>
  <c r="AF41"/>
  <c r="AE41"/>
  <c r="AD41"/>
  <c r="AC41"/>
  <c r="T41"/>
  <c r="S41"/>
  <c r="M41"/>
  <c r="F41"/>
  <c r="AR41" s="1"/>
  <c r="AQ40"/>
  <c r="AP40"/>
  <c r="AO40"/>
  <c r="AN40"/>
  <c r="AM40"/>
  <c r="AG40"/>
  <c r="AF40"/>
  <c r="AE40"/>
  <c r="AD40"/>
  <c r="AC40"/>
  <c r="T40"/>
  <c r="S40"/>
  <c r="M40"/>
  <c r="F40"/>
  <c r="AH40" s="1"/>
  <c r="AQ39"/>
  <c r="AP39"/>
  <c r="AO39"/>
  <c r="AN39"/>
  <c r="AM39"/>
  <c r="AH39"/>
  <c r="AG39"/>
  <c r="AF39"/>
  <c r="AE39"/>
  <c r="AD39"/>
  <c r="AC39"/>
  <c r="T39"/>
  <c r="S39"/>
  <c r="M39"/>
  <c r="F39"/>
  <c r="AR39" s="1"/>
  <c r="AQ38"/>
  <c r="AP38"/>
  <c r="AO38"/>
  <c r="AN38"/>
  <c r="AM38"/>
  <c r="AH38"/>
  <c r="AG38"/>
  <c r="AF38"/>
  <c r="AE38"/>
  <c r="AD38"/>
  <c r="AC38"/>
  <c r="T38"/>
  <c r="S38"/>
  <c r="M38"/>
  <c r="F38"/>
  <c r="AR38" s="1"/>
  <c r="AQ37"/>
  <c r="AP37"/>
  <c r="AO37"/>
  <c r="AN37"/>
  <c r="AM37"/>
  <c r="AG37"/>
  <c r="AF37"/>
  <c r="AE37"/>
  <c r="AD37"/>
  <c r="AC37"/>
  <c r="T37"/>
  <c r="S37"/>
  <c r="M37"/>
  <c r="E37"/>
  <c r="C37"/>
  <c r="AQ36"/>
  <c r="AP36"/>
  <c r="AO36"/>
  <c r="AN36"/>
  <c r="AM36"/>
  <c r="AH36"/>
  <c r="AG36"/>
  <c r="AF36"/>
  <c r="AE36"/>
  <c r="AD36"/>
  <c r="AC36"/>
  <c r="T36"/>
  <c r="S36"/>
  <c r="M36"/>
  <c r="F36"/>
  <c r="AR36" s="1"/>
  <c r="AQ35"/>
  <c r="AP35"/>
  <c r="AO35"/>
  <c r="AN35"/>
  <c r="AM35"/>
  <c r="AH35"/>
  <c r="AG35"/>
  <c r="AF35"/>
  <c r="AE35"/>
  <c r="AD35"/>
  <c r="AC35"/>
  <c r="T35"/>
  <c r="S35"/>
  <c r="M35"/>
  <c r="F35"/>
  <c r="AR35" s="1"/>
  <c r="AQ34"/>
  <c r="AP34"/>
  <c r="AO34"/>
  <c r="AN34"/>
  <c r="AM34"/>
  <c r="AH34"/>
  <c r="AG34"/>
  <c r="AF34"/>
  <c r="AE34"/>
  <c r="AD34"/>
  <c r="AC34"/>
  <c r="M34"/>
  <c r="F34"/>
  <c r="AR34" s="1"/>
  <c r="AQ33"/>
  <c r="AP33"/>
  <c r="AO33"/>
  <c r="AN33"/>
  <c r="AM33"/>
  <c r="AH33"/>
  <c r="AG33"/>
  <c r="AF33"/>
  <c r="AE33"/>
  <c r="AD33"/>
  <c r="AC33"/>
  <c r="M33"/>
  <c r="F33"/>
  <c r="AR33" s="1"/>
  <c r="AQ32"/>
  <c r="AP32"/>
  <c r="AO32"/>
  <c r="AN32"/>
  <c r="AM32"/>
  <c r="AH32"/>
  <c r="AG32"/>
  <c r="AF32"/>
  <c r="AE32"/>
  <c r="AD32"/>
  <c r="AC32"/>
  <c r="M32"/>
  <c r="F32"/>
  <c r="AR32" s="1"/>
  <c r="AQ31"/>
  <c r="AP31"/>
  <c r="AO31"/>
  <c r="AN31"/>
  <c r="AM31"/>
  <c r="AG31"/>
  <c r="AF31"/>
  <c r="AE31"/>
  <c r="AD31"/>
  <c r="AC31"/>
  <c r="M31"/>
  <c r="E31"/>
  <c r="C31"/>
  <c r="AQ30"/>
  <c r="AP30"/>
  <c r="AO30"/>
  <c r="AN30"/>
  <c r="AM30"/>
  <c r="AH30"/>
  <c r="AG30"/>
  <c r="AF30"/>
  <c r="AE30"/>
  <c r="AD30"/>
  <c r="AC30"/>
  <c r="M30"/>
  <c r="F30"/>
  <c r="AR30" s="1"/>
  <c r="AQ29"/>
  <c r="AP29"/>
  <c r="AO29"/>
  <c r="AN29"/>
  <c r="AM29"/>
  <c r="AH29"/>
  <c r="AG29"/>
  <c r="AF29"/>
  <c r="AE29"/>
  <c r="AD29"/>
  <c r="AC29"/>
  <c r="M29"/>
  <c r="F29"/>
  <c r="AR29" s="1"/>
  <c r="AR28"/>
  <c r="AQ28"/>
  <c r="AP28"/>
  <c r="AO28"/>
  <c r="AN28"/>
  <c r="AM28"/>
  <c r="AG28"/>
  <c r="AF28"/>
  <c r="AE28"/>
  <c r="AD28"/>
  <c r="AC28"/>
  <c r="M28"/>
  <c r="F28"/>
  <c r="AH28" s="1"/>
  <c r="AR27"/>
  <c r="AQ27"/>
  <c r="AP27"/>
  <c r="AO27"/>
  <c r="AN27"/>
  <c r="AM27"/>
  <c r="AG27"/>
  <c r="AF27"/>
  <c r="AE27"/>
  <c r="AD27"/>
  <c r="AC27"/>
  <c r="M27"/>
  <c r="F27"/>
  <c r="AH27" s="1"/>
  <c r="AR26"/>
  <c r="AQ26"/>
  <c r="AP26"/>
  <c r="AO26"/>
  <c r="AN26"/>
  <c r="AM26"/>
  <c r="AG26"/>
  <c r="AF26"/>
  <c r="AE26"/>
  <c r="AD26"/>
  <c r="AC26"/>
  <c r="M26"/>
  <c r="F26"/>
  <c r="AH26" s="1"/>
  <c r="AR25"/>
  <c r="AQ25"/>
  <c r="AP25"/>
  <c r="AO25"/>
  <c r="AN25"/>
  <c r="AM25"/>
  <c r="AG25"/>
  <c r="AF25"/>
  <c r="AE25"/>
  <c r="AD25"/>
  <c r="AC25"/>
  <c r="M25"/>
  <c r="E25"/>
  <c r="C25"/>
  <c r="AR24"/>
  <c r="AQ24"/>
  <c r="AP24"/>
  <c r="AO24"/>
  <c r="AN24"/>
  <c r="AM24"/>
  <c r="AG24"/>
  <c r="AF24"/>
  <c r="AE24"/>
  <c r="AD24"/>
  <c r="AC24"/>
  <c r="M24"/>
  <c r="F24"/>
  <c r="AH24" s="1"/>
  <c r="AR23"/>
  <c r="AQ23"/>
  <c r="AP23"/>
  <c r="AO23"/>
  <c r="AN23"/>
  <c r="AM23"/>
  <c r="AG23"/>
  <c r="AF23"/>
  <c r="AE23"/>
  <c r="AD23"/>
  <c r="AC23"/>
  <c r="M23"/>
  <c r="F23"/>
  <c r="AH23" s="1"/>
  <c r="T89" i="17"/>
  <c r="T88"/>
  <c r="T84"/>
  <c r="T83"/>
  <c r="T79"/>
  <c r="T78"/>
  <c r="T70"/>
  <c r="T69"/>
  <c r="S69"/>
  <c r="T67"/>
  <c r="T66"/>
  <c r="U89"/>
  <c r="U88"/>
  <c r="U84"/>
  <c r="U83"/>
  <c r="U79"/>
  <c r="U78"/>
  <c r="AR16" i="13"/>
  <c r="AQ16"/>
  <c r="AP16"/>
  <c r="AO16"/>
  <c r="AN16"/>
  <c r="AM16"/>
  <c r="AG16"/>
  <c r="AF16"/>
  <c r="AE16"/>
  <c r="AD16"/>
  <c r="AC16"/>
  <c r="T16"/>
  <c r="S16"/>
  <c r="M16"/>
  <c r="F16"/>
  <c r="AH16" s="1"/>
  <c r="AR15"/>
  <c r="AQ15"/>
  <c r="AP15"/>
  <c r="AO15"/>
  <c r="AN15"/>
  <c r="AM15"/>
  <c r="AG15"/>
  <c r="AF15"/>
  <c r="AE15"/>
  <c r="AD15"/>
  <c r="AC15"/>
  <c r="T15"/>
  <c r="S15"/>
  <c r="M15"/>
  <c r="F15"/>
  <c r="AH15" s="1"/>
  <c r="AR14"/>
  <c r="AQ14"/>
  <c r="AP14"/>
  <c r="AO14"/>
  <c r="AN14"/>
  <c r="AM14"/>
  <c r="AG14"/>
  <c r="AF14"/>
  <c r="AE14"/>
  <c r="AD14"/>
  <c r="AC14"/>
  <c r="T14"/>
  <c r="S14"/>
  <c r="M14"/>
  <c r="F14"/>
  <c r="AH14" s="1"/>
  <c r="AR13"/>
  <c r="AQ13"/>
  <c r="AP13"/>
  <c r="AO13"/>
  <c r="AN13"/>
  <c r="AM13"/>
  <c r="AG13"/>
  <c r="AF13"/>
  <c r="AE13"/>
  <c r="AD13"/>
  <c r="AC13"/>
  <c r="T13"/>
  <c r="S13"/>
  <c r="M13"/>
  <c r="E13"/>
  <c r="C13"/>
  <c r="AR12"/>
  <c r="AQ12"/>
  <c r="AP12"/>
  <c r="AO12"/>
  <c r="AN12"/>
  <c r="AM12"/>
  <c r="AG12"/>
  <c r="AF12"/>
  <c r="AE12"/>
  <c r="AD12"/>
  <c r="AC12"/>
  <c r="T12"/>
  <c r="S12"/>
  <c r="M12"/>
  <c r="F12"/>
  <c r="AH12" s="1"/>
  <c r="AR11"/>
  <c r="AQ11"/>
  <c r="AP11"/>
  <c r="AO11"/>
  <c r="AN11"/>
  <c r="AM11"/>
  <c r="AG11"/>
  <c r="AF11"/>
  <c r="AE11"/>
  <c r="AD11"/>
  <c r="AC11"/>
  <c r="T11"/>
  <c r="S11"/>
  <c r="M11"/>
  <c r="F11"/>
  <c r="AH11" s="1"/>
  <c r="L53" i="17"/>
  <c r="N53" s="1"/>
  <c r="S53" s="1"/>
  <c r="L52"/>
  <c r="M52" s="1"/>
  <c r="Q52" s="1"/>
  <c r="T52" s="1"/>
  <c r="L51"/>
  <c r="N51" s="1"/>
  <c r="S51" s="1"/>
  <c r="T61"/>
  <c r="S61"/>
  <c r="R61"/>
  <c r="L61"/>
  <c r="Q61" s="1"/>
  <c r="T60"/>
  <c r="S60"/>
  <c r="R60"/>
  <c r="M60"/>
  <c r="L60"/>
  <c r="N60" s="1"/>
  <c r="L59"/>
  <c r="Q59" s="1"/>
  <c r="T59" s="1"/>
  <c r="L58"/>
  <c r="N58" s="1"/>
  <c r="S58" s="1"/>
  <c r="T57"/>
  <c r="S57"/>
  <c r="R57"/>
  <c r="T56"/>
  <c r="S56"/>
  <c r="R56"/>
  <c r="L56"/>
  <c r="N56" s="1"/>
  <c r="T55"/>
  <c r="S55"/>
  <c r="R55"/>
  <c r="L55"/>
  <c r="M55" s="1"/>
  <c r="Q55" s="1"/>
  <c r="T54"/>
  <c r="S54"/>
  <c r="R54"/>
  <c r="L54"/>
  <c r="N54" s="1"/>
  <c r="T47"/>
  <c r="S47"/>
  <c r="R47"/>
  <c r="L47"/>
  <c r="Q47" s="1"/>
  <c r="T46"/>
  <c r="S46"/>
  <c r="R46"/>
  <c r="L46"/>
  <c r="N46" s="1"/>
  <c r="T45"/>
  <c r="S45"/>
  <c r="R45"/>
  <c r="T44"/>
  <c r="S44"/>
  <c r="J78" s="1"/>
  <c r="O74" s="1"/>
  <c r="P74" s="1"/>
  <c r="R44"/>
  <c r="L44"/>
  <c r="N44" s="1"/>
  <c r="F78" s="1"/>
  <c r="O81" s="1"/>
  <c r="T43"/>
  <c r="S43"/>
  <c r="R43"/>
  <c r="L43"/>
  <c r="N43" s="1"/>
  <c r="T42"/>
  <c r="S42"/>
  <c r="R42"/>
  <c r="L42"/>
  <c r="M42" s="1"/>
  <c r="Q42" s="1"/>
  <c r="L36"/>
  <c r="N36" s="1"/>
  <c r="S36" s="1"/>
  <c r="L35"/>
  <c r="Q35" s="1"/>
  <c r="T35" s="1"/>
  <c r="L31"/>
  <c r="M31" s="1"/>
  <c r="Q31" s="1"/>
  <c r="T31" s="1"/>
  <c r="L30"/>
  <c r="N30" s="1"/>
  <c r="S30" s="1"/>
  <c r="L32"/>
  <c r="M32" s="1"/>
  <c r="Q32" s="1"/>
  <c r="T32" s="1"/>
  <c r="L8"/>
  <c r="N8" s="1"/>
  <c r="F68" s="1"/>
  <c r="O70" s="1"/>
  <c r="P70" s="1"/>
  <c r="T38"/>
  <c r="S38"/>
  <c r="R38"/>
  <c r="L38"/>
  <c r="Q38" s="1"/>
  <c r="T37"/>
  <c r="S37"/>
  <c r="R37"/>
  <c r="L37"/>
  <c r="N37" s="1"/>
  <c r="T34"/>
  <c r="S34"/>
  <c r="R34"/>
  <c r="T33"/>
  <c r="S33"/>
  <c r="R33"/>
  <c r="L33"/>
  <c r="N33" s="1"/>
  <c r="T29"/>
  <c r="S29"/>
  <c r="R29"/>
  <c r="L29"/>
  <c r="N29" s="1"/>
  <c r="T28"/>
  <c r="S28"/>
  <c r="R28"/>
  <c r="L28"/>
  <c r="N28" s="1"/>
  <c r="M405" i="13" l="1"/>
  <c r="AC405"/>
  <c r="AC535" s="1"/>
  <c r="AE405"/>
  <c r="AE535" s="1"/>
  <c r="AG405"/>
  <c r="AG535" s="1"/>
  <c r="AN405"/>
  <c r="AN535" s="1"/>
  <c r="AP405"/>
  <c r="AD405"/>
  <c r="AD535" s="1"/>
  <c r="AF405"/>
  <c r="AM405"/>
  <c r="AO405"/>
  <c r="AQ405"/>
  <c r="AQ535" s="1"/>
  <c r="O477"/>
  <c r="O478"/>
  <c r="O479"/>
  <c r="O480"/>
  <c r="O481"/>
  <c r="O482"/>
  <c r="O483"/>
  <c r="O485"/>
  <c r="O486"/>
  <c r="O487"/>
  <c r="O488"/>
  <c r="O489"/>
  <c r="O490"/>
  <c r="O491"/>
  <c r="O493"/>
  <c r="O494"/>
  <c r="O495"/>
  <c r="O496"/>
  <c r="O497"/>
  <c r="O498"/>
  <c r="O499"/>
  <c r="O501"/>
  <c r="O502"/>
  <c r="O503"/>
  <c r="O504"/>
  <c r="O505"/>
  <c r="O506"/>
  <c r="O507"/>
  <c r="O517"/>
  <c r="O518"/>
  <c r="O519"/>
  <c r="O520"/>
  <c r="O521"/>
  <c r="O522"/>
  <c r="O523"/>
  <c r="O183"/>
  <c r="O184"/>
  <c r="O185"/>
  <c r="O420"/>
  <c r="O422"/>
  <c r="O428"/>
  <c r="O444"/>
  <c r="O447"/>
  <c r="O454"/>
  <c r="O455"/>
  <c r="O456"/>
  <c r="M516"/>
  <c r="O381"/>
  <c r="O412"/>
  <c r="O457"/>
  <c r="O446"/>
  <c r="O451"/>
  <c r="O452"/>
  <c r="O469"/>
  <c r="O470"/>
  <c r="O471"/>
  <c r="O472"/>
  <c r="O473"/>
  <c r="O474"/>
  <c r="O475"/>
  <c r="M508"/>
  <c r="M524"/>
  <c r="O509"/>
  <c r="O510"/>
  <c r="O511"/>
  <c r="O512"/>
  <c r="O513"/>
  <c r="O514"/>
  <c r="O515"/>
  <c r="M500"/>
  <c r="M484"/>
  <c r="M476"/>
  <c r="O445"/>
  <c r="O419"/>
  <c r="O421"/>
  <c r="O425"/>
  <c r="M459"/>
  <c r="O449"/>
  <c r="O450"/>
  <c r="O413"/>
  <c r="O431"/>
  <c r="O433"/>
  <c r="O435"/>
  <c r="O437"/>
  <c r="O439"/>
  <c r="O448"/>
  <c r="M423"/>
  <c r="AE458"/>
  <c r="AG458"/>
  <c r="AM458"/>
  <c r="AO458"/>
  <c r="AQ458"/>
  <c r="AH448"/>
  <c r="M441"/>
  <c r="M453"/>
  <c r="AD458"/>
  <c r="AF458"/>
  <c r="AN458"/>
  <c r="AP458"/>
  <c r="AS458"/>
  <c r="AI458"/>
  <c r="M458"/>
  <c r="O443"/>
  <c r="O426"/>
  <c r="O429"/>
  <c r="O432"/>
  <c r="O434"/>
  <c r="O436"/>
  <c r="O438"/>
  <c r="O430"/>
  <c r="O427"/>
  <c r="O387"/>
  <c r="O410"/>
  <c r="O409"/>
  <c r="AR411"/>
  <c r="AR409"/>
  <c r="O416"/>
  <c r="O418"/>
  <c r="O414"/>
  <c r="O411"/>
  <c r="AD440"/>
  <c r="AF440"/>
  <c r="AN440"/>
  <c r="AP440"/>
  <c r="O417"/>
  <c r="O404"/>
  <c r="AE440"/>
  <c r="AG440"/>
  <c r="AM440"/>
  <c r="AO440"/>
  <c r="AQ440"/>
  <c r="O415"/>
  <c r="AH415"/>
  <c r="AH417"/>
  <c r="M406"/>
  <c r="O424"/>
  <c r="M440"/>
  <c r="M398"/>
  <c r="O408"/>
  <c r="O391"/>
  <c r="O392"/>
  <c r="O402"/>
  <c r="AR402"/>
  <c r="AH403"/>
  <c r="O358"/>
  <c r="O393"/>
  <c r="O399"/>
  <c r="O400"/>
  <c r="O396"/>
  <c r="O357"/>
  <c r="AR374"/>
  <c r="AR389"/>
  <c r="O386"/>
  <c r="O374"/>
  <c r="AR387"/>
  <c r="O389"/>
  <c r="AR391"/>
  <c r="O390"/>
  <c r="O394"/>
  <c r="O388"/>
  <c r="O395"/>
  <c r="O397"/>
  <c r="O339"/>
  <c r="O365"/>
  <c r="O366"/>
  <c r="AH366"/>
  <c r="O370"/>
  <c r="AR348"/>
  <c r="AR379"/>
  <c r="AR377"/>
  <c r="O361"/>
  <c r="O362"/>
  <c r="O364"/>
  <c r="O344"/>
  <c r="O345"/>
  <c r="O356"/>
  <c r="O359"/>
  <c r="O348"/>
  <c r="O353"/>
  <c r="O352"/>
  <c r="O384"/>
  <c r="O379"/>
  <c r="AR381"/>
  <c r="O377"/>
  <c r="O383"/>
  <c r="O380"/>
  <c r="O355"/>
  <c r="O354"/>
  <c r="O351"/>
  <c r="O350"/>
  <c r="O349"/>
  <c r="O347"/>
  <c r="O346"/>
  <c r="M360"/>
  <c r="M367"/>
  <c r="O363"/>
  <c r="O336"/>
  <c r="AH336"/>
  <c r="AR340"/>
  <c r="AR338"/>
  <c r="AR341"/>
  <c r="O342"/>
  <c r="M372"/>
  <c r="O369"/>
  <c r="M385"/>
  <c r="O375"/>
  <c r="O378"/>
  <c r="O401"/>
  <c r="O403"/>
  <c r="O338"/>
  <c r="M337"/>
  <c r="AH334"/>
  <c r="O333"/>
  <c r="O335"/>
  <c r="AH335"/>
  <c r="O332"/>
  <c r="O334"/>
  <c r="O371"/>
  <c r="O373"/>
  <c r="O376"/>
  <c r="O382"/>
  <c r="M328"/>
  <c r="O314"/>
  <c r="O315"/>
  <c r="O316"/>
  <c r="O317"/>
  <c r="O318"/>
  <c r="O319"/>
  <c r="O340"/>
  <c r="AH342"/>
  <c r="O368"/>
  <c r="AH373"/>
  <c r="AH375"/>
  <c r="AH376"/>
  <c r="AI405" s="1"/>
  <c r="AI535" s="1"/>
  <c r="AR378"/>
  <c r="AR382"/>
  <c r="O331"/>
  <c r="O341"/>
  <c r="M327"/>
  <c r="M313"/>
  <c r="M320"/>
  <c r="O257"/>
  <c r="O258"/>
  <c r="O259"/>
  <c r="O260"/>
  <c r="O303"/>
  <c r="O307"/>
  <c r="M273"/>
  <c r="M297"/>
  <c r="M302"/>
  <c r="M309"/>
  <c r="O306"/>
  <c r="M304"/>
  <c r="O292"/>
  <c r="O293"/>
  <c r="O294"/>
  <c r="O295"/>
  <c r="O296"/>
  <c r="AR301"/>
  <c r="AR300"/>
  <c r="O300"/>
  <c r="M266"/>
  <c r="M246"/>
  <c r="M251"/>
  <c r="M204"/>
  <c r="O200"/>
  <c r="O222"/>
  <c r="AR263"/>
  <c r="O252"/>
  <c r="O253"/>
  <c r="O254"/>
  <c r="O255"/>
  <c r="M261"/>
  <c r="AR262"/>
  <c r="M256"/>
  <c r="AH264"/>
  <c r="O321"/>
  <c r="O322"/>
  <c r="O323"/>
  <c r="O263"/>
  <c r="O324"/>
  <c r="O325"/>
  <c r="O326"/>
  <c r="AH265"/>
  <c r="M210"/>
  <c r="M224"/>
  <c r="O223"/>
  <c r="M229"/>
  <c r="M236"/>
  <c r="M243"/>
  <c r="M172"/>
  <c r="O270"/>
  <c r="O271"/>
  <c r="O272"/>
  <c r="M278"/>
  <c r="M283"/>
  <c r="O201"/>
  <c r="O202"/>
  <c r="O203"/>
  <c r="O206"/>
  <c r="O208"/>
  <c r="M214"/>
  <c r="O216"/>
  <c r="O186"/>
  <c r="O141"/>
  <c r="O231"/>
  <c r="O232"/>
  <c r="O234"/>
  <c r="O235"/>
  <c r="O239"/>
  <c r="O262"/>
  <c r="O265"/>
  <c r="M290"/>
  <c r="O250"/>
  <c r="O248"/>
  <c r="O178"/>
  <c r="O179"/>
  <c r="O180"/>
  <c r="O119"/>
  <c r="O132"/>
  <c r="O120"/>
  <c r="AH120"/>
  <c r="O193"/>
  <c r="O194"/>
  <c r="O195"/>
  <c r="O196"/>
  <c r="O197"/>
  <c r="O207"/>
  <c r="O212"/>
  <c r="O221"/>
  <c r="O226"/>
  <c r="O233"/>
  <c r="O238"/>
  <c r="O245"/>
  <c r="O247"/>
  <c r="O249"/>
  <c r="O264"/>
  <c r="O280"/>
  <c r="O281"/>
  <c r="O282"/>
  <c r="O308"/>
  <c r="O274"/>
  <c r="O275"/>
  <c r="O276"/>
  <c r="O277"/>
  <c r="O284"/>
  <c r="O285"/>
  <c r="O286"/>
  <c r="O287"/>
  <c r="O288"/>
  <c r="O289"/>
  <c r="O298"/>
  <c r="O299"/>
  <c r="O301"/>
  <c r="O310"/>
  <c r="O311"/>
  <c r="O312"/>
  <c r="M169"/>
  <c r="M219"/>
  <c r="O269"/>
  <c r="O279"/>
  <c r="O291"/>
  <c r="O305"/>
  <c r="O213"/>
  <c r="O192"/>
  <c r="M198"/>
  <c r="O199"/>
  <c r="O205"/>
  <c r="O209"/>
  <c r="AH213"/>
  <c r="O215"/>
  <c r="O217"/>
  <c r="O218"/>
  <c r="AR223"/>
  <c r="O225"/>
  <c r="O227"/>
  <c r="O228"/>
  <c r="AR235"/>
  <c r="O237"/>
  <c r="O240"/>
  <c r="O241"/>
  <c r="O242"/>
  <c r="O244"/>
  <c r="AH247"/>
  <c r="AH248"/>
  <c r="AH249"/>
  <c r="AH250"/>
  <c r="O211"/>
  <c r="O220"/>
  <c r="O230"/>
  <c r="M130"/>
  <c r="O126"/>
  <c r="M124"/>
  <c r="M136"/>
  <c r="O125"/>
  <c r="O127"/>
  <c r="O128"/>
  <c r="O129"/>
  <c r="O118"/>
  <c r="O134"/>
  <c r="O142"/>
  <c r="O156"/>
  <c r="O157"/>
  <c r="O158"/>
  <c r="O152"/>
  <c r="O121"/>
  <c r="O133"/>
  <c r="O85"/>
  <c r="O101"/>
  <c r="O159"/>
  <c r="M188"/>
  <c r="O122"/>
  <c r="O123"/>
  <c r="O135"/>
  <c r="M177"/>
  <c r="O131"/>
  <c r="O176"/>
  <c r="O91"/>
  <c r="O102"/>
  <c r="O107"/>
  <c r="O112"/>
  <c r="O154"/>
  <c r="O160"/>
  <c r="O161"/>
  <c r="O164"/>
  <c r="O166"/>
  <c r="O168"/>
  <c r="O175"/>
  <c r="O173"/>
  <c r="M155"/>
  <c r="O77"/>
  <c r="O78"/>
  <c r="O80"/>
  <c r="O83"/>
  <c r="O84"/>
  <c r="O109"/>
  <c r="O110"/>
  <c r="O111"/>
  <c r="O139"/>
  <c r="O138"/>
  <c r="O163"/>
  <c r="O165"/>
  <c r="O167"/>
  <c r="M162"/>
  <c r="M150"/>
  <c r="M145"/>
  <c r="O146"/>
  <c r="O147"/>
  <c r="O148"/>
  <c r="O149"/>
  <c r="M140"/>
  <c r="O171"/>
  <c r="O143"/>
  <c r="O144"/>
  <c r="O92"/>
  <c r="O93"/>
  <c r="O94"/>
  <c r="O106"/>
  <c r="AR112"/>
  <c r="O153"/>
  <c r="O174"/>
  <c r="O187"/>
  <c r="O151"/>
  <c r="O170"/>
  <c r="AH173"/>
  <c r="AH174"/>
  <c r="AH175"/>
  <c r="AH176"/>
  <c r="O137"/>
  <c r="O96"/>
  <c r="O100"/>
  <c r="AR94"/>
  <c r="AR85"/>
  <c r="O87"/>
  <c r="O88"/>
  <c r="O89"/>
  <c r="O90"/>
  <c r="M95"/>
  <c r="M86"/>
  <c r="O82"/>
  <c r="O81"/>
  <c r="O75"/>
  <c r="AR78"/>
  <c r="AH46"/>
  <c r="O53"/>
  <c r="O54"/>
  <c r="F55"/>
  <c r="AR55" s="1"/>
  <c r="O56"/>
  <c r="O57"/>
  <c r="O58"/>
  <c r="O59"/>
  <c r="O60"/>
  <c r="F61"/>
  <c r="AR61" s="1"/>
  <c r="O62"/>
  <c r="O63"/>
  <c r="O64"/>
  <c r="F43"/>
  <c r="AR43" s="1"/>
  <c r="O38"/>
  <c r="AH41"/>
  <c r="AH44"/>
  <c r="O47"/>
  <c r="O48"/>
  <c r="F49"/>
  <c r="O49" s="1"/>
  <c r="O50"/>
  <c r="O51"/>
  <c r="O52"/>
  <c r="AH52"/>
  <c r="O39"/>
  <c r="AH42"/>
  <c r="AH45"/>
  <c r="F69" s="1"/>
  <c r="O40"/>
  <c r="O41"/>
  <c r="O42"/>
  <c r="O44"/>
  <c r="O45"/>
  <c r="O46"/>
  <c r="O12"/>
  <c r="O14"/>
  <c r="O15"/>
  <c r="O16"/>
  <c r="O23"/>
  <c r="O24"/>
  <c r="F25"/>
  <c r="AH25" s="1"/>
  <c r="O26"/>
  <c r="O27"/>
  <c r="O28"/>
  <c r="O30"/>
  <c r="O32"/>
  <c r="O33"/>
  <c r="O34"/>
  <c r="F37"/>
  <c r="AH37" s="1"/>
  <c r="O35"/>
  <c r="O36"/>
  <c r="AR40"/>
  <c r="O29"/>
  <c r="F31"/>
  <c r="O31" s="1"/>
  <c r="O76" i="17"/>
  <c r="P76" s="1"/>
  <c r="O86"/>
  <c r="O91"/>
  <c r="I73"/>
  <c r="M58"/>
  <c r="R58" s="1"/>
  <c r="O11" i="13"/>
  <c r="F13"/>
  <c r="AH13" s="1"/>
  <c r="M51" i="17"/>
  <c r="Q51" s="1"/>
  <c r="T51" s="1"/>
  <c r="I77" s="1"/>
  <c r="Q58"/>
  <c r="T58" s="1"/>
  <c r="Q60"/>
  <c r="R52"/>
  <c r="M53"/>
  <c r="N52"/>
  <c r="S52" s="1"/>
  <c r="J77" s="1"/>
  <c r="O73" s="1"/>
  <c r="P73" s="1"/>
  <c r="M56"/>
  <c r="Q56" s="1"/>
  <c r="M54"/>
  <c r="Q54" s="1"/>
  <c r="N55"/>
  <c r="N59"/>
  <c r="S59" s="1"/>
  <c r="N61"/>
  <c r="M59"/>
  <c r="R59" s="1"/>
  <c r="M61"/>
  <c r="N42"/>
  <c r="M43"/>
  <c r="Q43" s="1"/>
  <c r="M44"/>
  <c r="M46"/>
  <c r="Q46"/>
  <c r="N47"/>
  <c r="M47"/>
  <c r="R32"/>
  <c r="G73" s="1"/>
  <c r="H73" s="1"/>
  <c r="N67" s="1"/>
  <c r="R31"/>
  <c r="M36"/>
  <c r="R36" s="1"/>
  <c r="Q36"/>
  <c r="T36" s="1"/>
  <c r="N35"/>
  <c r="S35" s="1"/>
  <c r="M35"/>
  <c r="R35" s="1"/>
  <c r="M30"/>
  <c r="N31"/>
  <c r="S31" s="1"/>
  <c r="J72" s="1"/>
  <c r="O66" s="1"/>
  <c r="P66" s="1"/>
  <c r="U66" s="1"/>
  <c r="N32"/>
  <c r="M29"/>
  <c r="Q29" s="1"/>
  <c r="M28"/>
  <c r="M33"/>
  <c r="Q33" s="1"/>
  <c r="E73" s="1"/>
  <c r="M37"/>
  <c r="Q37"/>
  <c r="N38"/>
  <c r="M38"/>
  <c r="AF535" i="13" l="1"/>
  <c r="AP535"/>
  <c r="AM535"/>
  <c r="AS405"/>
  <c r="AS535" s="1"/>
  <c r="AS440"/>
  <c r="AL440" s="1"/>
  <c r="AL458"/>
  <c r="AJ458"/>
  <c r="AI440"/>
  <c r="AJ440" s="1"/>
  <c r="AJ405"/>
  <c r="AL327"/>
  <c r="O204"/>
  <c r="AJ327"/>
  <c r="AL266"/>
  <c r="AJ266"/>
  <c r="O130"/>
  <c r="AS188"/>
  <c r="AL188" s="1"/>
  <c r="AJ188"/>
  <c r="O43"/>
  <c r="O61"/>
  <c r="AR37"/>
  <c r="O55"/>
  <c r="O25"/>
  <c r="AH43"/>
  <c r="AR49"/>
  <c r="AH49"/>
  <c r="AH69"/>
  <c r="O69"/>
  <c r="O37"/>
  <c r="AH31"/>
  <c r="AR31"/>
  <c r="S67" i="17"/>
  <c r="F77"/>
  <c r="Q28"/>
  <c r="C72"/>
  <c r="D72" s="1"/>
  <c r="S32"/>
  <c r="J73" s="1"/>
  <c r="O67" s="1"/>
  <c r="P67" s="1"/>
  <c r="U67" s="1"/>
  <c r="F73"/>
  <c r="R51"/>
  <c r="G77" s="1"/>
  <c r="H77" s="1"/>
  <c r="N73" s="1"/>
  <c r="C73"/>
  <c r="D73" s="1"/>
  <c r="Q44"/>
  <c r="C78"/>
  <c r="D78" s="1"/>
  <c r="C77"/>
  <c r="D77" s="1"/>
  <c r="F72"/>
  <c r="E77"/>
  <c r="O13" i="13"/>
  <c r="Q53" i="17"/>
  <c r="T53" s="1"/>
  <c r="I78" s="1"/>
  <c r="R53"/>
  <c r="G78" s="1"/>
  <c r="H78" s="1"/>
  <c r="N74" s="1"/>
  <c r="Q30"/>
  <c r="T30" s="1"/>
  <c r="I72" s="1"/>
  <c r="R30"/>
  <c r="G72" s="1"/>
  <c r="H72" s="1"/>
  <c r="N66" s="1"/>
  <c r="T24"/>
  <c r="S24"/>
  <c r="R24"/>
  <c r="L24"/>
  <c r="Q24" s="1"/>
  <c r="N24" s="1"/>
  <c r="T23"/>
  <c r="S23"/>
  <c r="R23"/>
  <c r="L23"/>
  <c r="N23" s="1"/>
  <c r="T22"/>
  <c r="S22"/>
  <c r="R22"/>
  <c r="L22"/>
  <c r="Q22" s="1"/>
  <c r="N22" s="1"/>
  <c r="T21"/>
  <c r="S21"/>
  <c r="R21"/>
  <c r="T20"/>
  <c r="S20"/>
  <c r="R20"/>
  <c r="L20"/>
  <c r="N20" s="1"/>
  <c r="M20" s="1"/>
  <c r="T19"/>
  <c r="S19"/>
  <c r="R19"/>
  <c r="L19"/>
  <c r="N19" s="1"/>
  <c r="M19" s="1"/>
  <c r="T18"/>
  <c r="S18"/>
  <c r="R18"/>
  <c r="L18"/>
  <c r="N18" s="1"/>
  <c r="M18" s="1"/>
  <c r="T17"/>
  <c r="S17"/>
  <c r="R17"/>
  <c r="T16"/>
  <c r="S16"/>
  <c r="R16"/>
  <c r="L16"/>
  <c r="N16" s="1"/>
  <c r="M16" s="1"/>
  <c r="T15"/>
  <c r="S15"/>
  <c r="R15"/>
  <c r="L15"/>
  <c r="N15" s="1"/>
  <c r="M15" s="1"/>
  <c r="T14"/>
  <c r="S14"/>
  <c r="R14"/>
  <c r="L14"/>
  <c r="N14" s="1"/>
  <c r="M14" s="1"/>
  <c r="T13"/>
  <c r="S13"/>
  <c r="R13"/>
  <c r="T12"/>
  <c r="S12"/>
  <c r="R12"/>
  <c r="T11"/>
  <c r="S11"/>
  <c r="R11"/>
  <c r="L11"/>
  <c r="Q11" s="1"/>
  <c r="T10"/>
  <c r="S10"/>
  <c r="R10"/>
  <c r="AL405" i="13" l="1"/>
  <c r="S66" i="17"/>
  <c r="N80"/>
  <c r="N90"/>
  <c r="N85"/>
  <c r="N75"/>
  <c r="O78"/>
  <c r="O88"/>
  <c r="O83"/>
  <c r="O71"/>
  <c r="P71" s="1"/>
  <c r="N81"/>
  <c r="N91"/>
  <c r="N86"/>
  <c r="N76"/>
  <c r="N79"/>
  <c r="S79" s="1"/>
  <c r="N89"/>
  <c r="S89" s="1"/>
  <c r="N84"/>
  <c r="S84" s="1"/>
  <c r="N72"/>
  <c r="O72"/>
  <c r="P72" s="1"/>
  <c r="U70" s="1"/>
  <c r="O79"/>
  <c r="O89"/>
  <c r="O84"/>
  <c r="N78"/>
  <c r="S78" s="1"/>
  <c r="N88"/>
  <c r="S88" s="1"/>
  <c r="N83"/>
  <c r="S83" s="1"/>
  <c r="N71"/>
  <c r="O75"/>
  <c r="P75" s="1"/>
  <c r="O80"/>
  <c r="O90"/>
  <c r="O85"/>
  <c r="E78"/>
  <c r="E72"/>
  <c r="M22"/>
  <c r="M24"/>
  <c r="Q23"/>
  <c r="N11"/>
  <c r="M11" s="1"/>
  <c r="M23"/>
  <c r="Q15"/>
  <c r="Q19"/>
  <c r="Q14"/>
  <c r="Q16"/>
  <c r="Q18"/>
  <c r="Q20"/>
  <c r="L10"/>
  <c r="Q10" s="1"/>
  <c r="T9"/>
  <c r="S9"/>
  <c r="R9"/>
  <c r="T8"/>
  <c r="I68" s="1"/>
  <c r="S8"/>
  <c r="J68" s="1"/>
  <c r="R8"/>
  <c r="G68" s="1"/>
  <c r="H68" s="1"/>
  <c r="M8"/>
  <c r="C68" s="1"/>
  <c r="D68" s="1"/>
  <c r="N70" s="1"/>
  <c r="T7"/>
  <c r="S7"/>
  <c r="R7"/>
  <c r="L7"/>
  <c r="N7" s="1"/>
  <c r="M7" s="1"/>
  <c r="T6"/>
  <c r="I67" s="1"/>
  <c r="S6"/>
  <c r="J67" s="1"/>
  <c r="R6"/>
  <c r="G67" s="1"/>
  <c r="H67" s="1"/>
  <c r="L6"/>
  <c r="S70" l="1"/>
  <c r="M6"/>
  <c r="C67" s="1"/>
  <c r="D67" s="1"/>
  <c r="N69" s="1"/>
  <c r="N6"/>
  <c r="F67" s="1"/>
  <c r="O69" s="1"/>
  <c r="P69" s="1"/>
  <c r="U69" s="1"/>
  <c r="Q6"/>
  <c r="N10"/>
  <c r="M10" s="1"/>
  <c r="Q7"/>
  <c r="Q8"/>
  <c r="E68" s="1"/>
  <c r="E67" l="1"/>
  <c r="L24" i="15"/>
  <c r="I24"/>
  <c r="L23"/>
  <c r="I23"/>
  <c r="L22"/>
  <c r="I22"/>
  <c r="H22"/>
  <c r="L21"/>
  <c r="I21" s="1"/>
  <c r="H21"/>
  <c r="L20"/>
  <c r="I20" s="1"/>
  <c r="H20"/>
  <c r="L19"/>
  <c r="I19"/>
  <c r="L18"/>
  <c r="I18"/>
  <c r="L17"/>
  <c r="I17"/>
  <c r="L16"/>
  <c r="I16"/>
  <c r="L15"/>
  <c r="I15"/>
  <c r="L14"/>
  <c r="I14"/>
  <c r="L13"/>
  <c r="I13"/>
  <c r="L12"/>
  <c r="I12"/>
  <c r="L11"/>
  <c r="I11"/>
  <c r="L10"/>
  <c r="I10"/>
  <c r="L9"/>
  <c r="I9"/>
  <c r="L8"/>
  <c r="I8"/>
  <c r="C8"/>
  <c r="L7"/>
  <c r="I7"/>
  <c r="C7"/>
  <c r="L6"/>
  <c r="I6"/>
  <c r="C6"/>
  <c r="L5"/>
  <c r="I5"/>
  <c r="C5"/>
  <c r="C4"/>
  <c r="AL599" i="13"/>
  <c r="AB597"/>
  <c r="AL597" s="1"/>
  <c r="AL596"/>
  <c r="AL595"/>
  <c r="AB594"/>
  <c r="AL594" s="1"/>
  <c r="AL591"/>
  <c r="AL590"/>
  <c r="AL588"/>
  <c r="AL587"/>
  <c r="AL586"/>
  <c r="AL585"/>
  <c r="AL584"/>
  <c r="AL578"/>
  <c r="AB576"/>
  <c r="AL576" s="1"/>
  <c r="AL575"/>
  <c r="AL574" l="1"/>
  <c r="B574"/>
  <c r="A574"/>
  <c r="AB573"/>
  <c r="AL573" s="1"/>
  <c r="B573"/>
  <c r="A573"/>
  <c r="B572"/>
  <c r="A572"/>
  <c r="B571"/>
  <c r="A571"/>
  <c r="AL570"/>
  <c r="B570"/>
  <c r="A570"/>
  <c r="AL569"/>
  <c r="B569"/>
  <c r="A569"/>
  <c r="AL567"/>
  <c r="B567"/>
  <c r="A567"/>
  <c r="AL566"/>
  <c r="B566"/>
  <c r="A566"/>
  <c r="AL565"/>
  <c r="B565"/>
  <c r="A565"/>
  <c r="AL564"/>
  <c r="B564"/>
  <c r="A564"/>
  <c r="AL563"/>
  <c r="B563"/>
  <c r="A563"/>
  <c r="B562"/>
  <c r="A562"/>
  <c r="B561"/>
  <c r="A561"/>
  <c r="B560"/>
  <c r="A560"/>
  <c r="B559"/>
  <c r="A559"/>
  <c r="B558"/>
  <c r="A558"/>
  <c r="B557"/>
  <c r="A557"/>
  <c r="B556"/>
  <c r="A556"/>
  <c r="AB554"/>
  <c r="B554"/>
  <c r="A554"/>
  <c r="B553"/>
  <c r="A553"/>
  <c r="V452" l="1"/>
  <c r="V451"/>
  <c r="V448"/>
  <c r="V450"/>
  <c r="V449"/>
  <c r="V446"/>
  <c r="V445"/>
  <c r="V457"/>
  <c r="V456"/>
  <c r="V455"/>
  <c r="V454"/>
  <c r="V447"/>
  <c r="V444"/>
  <c r="V443"/>
  <c r="V439"/>
  <c r="V437"/>
  <c r="V435"/>
  <c r="V433"/>
  <c r="V431"/>
  <c r="V430"/>
  <c r="V428"/>
  <c r="V427"/>
  <c r="V425"/>
  <c r="V438"/>
  <c r="V436"/>
  <c r="V434"/>
  <c r="V432"/>
  <c r="V429"/>
  <c r="V426"/>
  <c r="V422"/>
  <c r="V421"/>
  <c r="V420"/>
  <c r="V419"/>
  <c r="V418"/>
  <c r="V411"/>
  <c r="V413"/>
  <c r="V409"/>
  <c r="V402"/>
  <c r="V404"/>
  <c r="V400"/>
  <c r="V399"/>
  <c r="V396"/>
  <c r="V391"/>
  <c r="V393"/>
  <c r="V392"/>
  <c r="V387"/>
  <c r="V389"/>
  <c r="V388"/>
  <c r="V374"/>
  <c r="V397"/>
  <c r="V395"/>
  <c r="V394"/>
  <c r="V390"/>
  <c r="V386"/>
  <c r="V381"/>
  <c r="V377"/>
  <c r="V383"/>
  <c r="V379"/>
  <c r="V380"/>
  <c r="V384"/>
  <c r="V364"/>
  <c r="B552"/>
  <c r="A552"/>
  <c r="AB551"/>
  <c r="B551"/>
  <c r="A551"/>
  <c r="B550"/>
  <c r="A550"/>
  <c r="B549"/>
  <c r="A549"/>
  <c r="AR548"/>
  <c r="AQ548"/>
  <c r="AP548"/>
  <c r="AO548"/>
  <c r="AN548"/>
  <c r="AM548"/>
  <c r="AL548"/>
  <c r="AH548"/>
  <c r="AG548"/>
  <c r="AF548"/>
  <c r="AE548"/>
  <c r="AD548"/>
  <c r="AC548"/>
  <c r="B548"/>
  <c r="A548"/>
  <c r="AL547"/>
  <c r="B547"/>
  <c r="V365" s="1"/>
  <c r="A547"/>
  <c r="AL545"/>
  <c r="B545"/>
  <c r="A545"/>
  <c r="AL544"/>
  <c r="B544"/>
  <c r="A544"/>
  <c r="AL543"/>
  <c r="AL553" s="1"/>
  <c r="B543"/>
  <c r="A543"/>
  <c r="AL542"/>
  <c r="AL552" s="1"/>
  <c r="B542"/>
  <c r="A542"/>
  <c r="AL541"/>
  <c r="AL551" s="1"/>
  <c r="B541"/>
  <c r="A541"/>
  <c r="B540"/>
  <c r="A540"/>
  <c r="B539"/>
  <c r="A539"/>
  <c r="B538"/>
  <c r="A538"/>
  <c r="V185" l="1"/>
  <c r="V183"/>
  <c r="V184"/>
  <c r="V181"/>
  <c r="V182"/>
  <c r="V518"/>
  <c r="V520"/>
  <c r="V522"/>
  <c r="V509"/>
  <c r="V511"/>
  <c r="V513"/>
  <c r="V515"/>
  <c r="V517"/>
  <c r="V519"/>
  <c r="V521"/>
  <c r="V523"/>
  <c r="V510"/>
  <c r="V512"/>
  <c r="V514"/>
  <c r="V501"/>
  <c r="V503"/>
  <c r="V505"/>
  <c r="V507"/>
  <c r="V502"/>
  <c r="V504"/>
  <c r="V506"/>
  <c r="V493"/>
  <c r="V495"/>
  <c r="V497"/>
  <c r="V499"/>
  <c r="V494"/>
  <c r="V496"/>
  <c r="V498"/>
  <c r="V485"/>
  <c r="V487"/>
  <c r="V489"/>
  <c r="V491"/>
  <c r="V486"/>
  <c r="V488"/>
  <c r="V490"/>
  <c r="V469"/>
  <c r="V471"/>
  <c r="V473"/>
  <c r="V475"/>
  <c r="V470"/>
  <c r="V472"/>
  <c r="V474"/>
  <c r="V477"/>
  <c r="V479"/>
  <c r="V481"/>
  <c r="V483"/>
  <c r="V478"/>
  <c r="V480"/>
  <c r="V482"/>
  <c r="V416"/>
  <c r="V417"/>
  <c r="V415"/>
  <c r="V412"/>
  <c r="V408"/>
  <c r="V414"/>
  <c r="V424"/>
  <c r="V410"/>
  <c r="V370"/>
  <c r="V352"/>
  <c r="V353"/>
  <c r="V355"/>
  <c r="V354"/>
  <c r="V349"/>
  <c r="V357"/>
  <c r="V351"/>
  <c r="V350"/>
  <c r="V358"/>
  <c r="V344"/>
  <c r="V346"/>
  <c r="V356"/>
  <c r="V348"/>
  <c r="V345"/>
  <c r="V347"/>
  <c r="V359"/>
  <c r="V361"/>
  <c r="V363"/>
  <c r="V366"/>
  <c r="V362"/>
  <c r="V339"/>
  <c r="V338"/>
  <c r="V335"/>
  <c r="V333"/>
  <c r="V332"/>
  <c r="V336"/>
  <c r="V342"/>
  <c r="V375"/>
  <c r="V378"/>
  <c r="V368"/>
  <c r="V371"/>
  <c r="V401"/>
  <c r="V403"/>
  <c r="V331"/>
  <c r="V334"/>
  <c r="V341"/>
  <c r="V373"/>
  <c r="V376"/>
  <c r="V382"/>
  <c r="V340"/>
  <c r="V369"/>
  <c r="V318"/>
  <c r="V315"/>
  <c r="V317"/>
  <c r="V319"/>
  <c r="V314"/>
  <c r="V316"/>
  <c r="V300"/>
  <c r="V307"/>
  <c r="V306"/>
  <c r="V303"/>
  <c r="V259"/>
  <c r="V258"/>
  <c r="V260"/>
  <c r="V257"/>
  <c r="V254"/>
  <c r="V253"/>
  <c r="V255"/>
  <c r="V252"/>
  <c r="V263"/>
  <c r="V269"/>
  <c r="V271"/>
  <c r="V279"/>
  <c r="V281"/>
  <c r="V291"/>
  <c r="V293"/>
  <c r="V295"/>
  <c r="V305"/>
  <c r="V322"/>
  <c r="V325"/>
  <c r="V275"/>
  <c r="V277"/>
  <c r="V285"/>
  <c r="V287"/>
  <c r="V289"/>
  <c r="V299"/>
  <c r="V312"/>
  <c r="V270"/>
  <c r="V272"/>
  <c r="V280"/>
  <c r="V282"/>
  <c r="V292"/>
  <c r="V294"/>
  <c r="V296"/>
  <c r="V308"/>
  <c r="V321"/>
  <c r="V323"/>
  <c r="V324"/>
  <c r="V326"/>
  <c r="V274"/>
  <c r="V276"/>
  <c r="V284"/>
  <c r="V286"/>
  <c r="V288"/>
  <c r="V298"/>
  <c r="V301"/>
  <c r="V310"/>
  <c r="V311"/>
  <c r="V211"/>
  <c r="V213"/>
  <c r="V221"/>
  <c r="V223"/>
  <c r="V231"/>
  <c r="V233"/>
  <c r="V235"/>
  <c r="V248"/>
  <c r="V250"/>
  <c r="V193"/>
  <c r="V195"/>
  <c r="V197"/>
  <c r="V200"/>
  <c r="V202"/>
  <c r="V205"/>
  <c r="V207"/>
  <c r="V209"/>
  <c r="V216"/>
  <c r="V218"/>
  <c r="V226"/>
  <c r="V228"/>
  <c r="V238"/>
  <c r="V240"/>
  <c r="V242"/>
  <c r="V245"/>
  <c r="V265"/>
  <c r="V212"/>
  <c r="V220"/>
  <c r="V222"/>
  <c r="V230"/>
  <c r="V232"/>
  <c r="V234"/>
  <c r="V247"/>
  <c r="V249"/>
  <c r="V192"/>
  <c r="V194"/>
  <c r="V196"/>
  <c r="V199"/>
  <c r="V201"/>
  <c r="V203"/>
  <c r="V206"/>
  <c r="V208"/>
  <c r="V215"/>
  <c r="V217"/>
  <c r="V225"/>
  <c r="V227"/>
  <c r="V237"/>
  <c r="V239"/>
  <c r="V241"/>
  <c r="V244"/>
  <c r="V262"/>
  <c r="V264"/>
  <c r="V120"/>
  <c r="V126"/>
  <c r="V128"/>
  <c r="V129"/>
  <c r="V125"/>
  <c r="V127"/>
  <c r="V134"/>
  <c r="V132"/>
  <c r="V119"/>
  <c r="V121"/>
  <c r="V123"/>
  <c r="V131"/>
  <c r="V135"/>
  <c r="V118"/>
  <c r="V122"/>
  <c r="V133"/>
  <c r="V166"/>
  <c r="V152"/>
  <c r="V165"/>
  <c r="V164"/>
  <c r="V168"/>
  <c r="V163"/>
  <c r="V167"/>
  <c r="V161"/>
  <c r="V157"/>
  <c r="V159"/>
  <c r="V148"/>
  <c r="V156"/>
  <c r="V158"/>
  <c r="V160"/>
  <c r="V147"/>
  <c r="V149"/>
  <c r="V146"/>
  <c r="V143"/>
  <c r="V138"/>
  <c r="V142"/>
  <c r="V144"/>
  <c r="V141"/>
  <c r="V139"/>
  <c r="V174"/>
  <c r="V151"/>
  <c r="V154"/>
  <c r="V170"/>
  <c r="V178"/>
  <c r="V186"/>
  <c r="V111"/>
  <c r="V137"/>
  <c r="V173"/>
  <c r="V175"/>
  <c r="V176"/>
  <c r="V153"/>
  <c r="V171"/>
  <c r="V179"/>
  <c r="V180"/>
  <c r="V187"/>
  <c r="V110"/>
  <c r="V112"/>
  <c r="V109"/>
  <c r="V106"/>
  <c r="V96"/>
  <c r="V101"/>
  <c r="V107"/>
  <c r="V102"/>
  <c r="V100"/>
  <c r="V93"/>
  <c r="V92"/>
  <c r="V94"/>
  <c r="V91"/>
  <c r="V90"/>
  <c r="V88"/>
  <c r="V87"/>
  <c r="V89"/>
  <c r="V84"/>
  <c r="V83"/>
  <c r="V85"/>
  <c r="V82"/>
  <c r="V81"/>
  <c r="V80"/>
  <c r="V77"/>
  <c r="V78"/>
  <c r="V75"/>
  <c r="V64"/>
  <c r="V63"/>
  <c r="V69"/>
  <c r="V54"/>
  <c r="V56"/>
  <c r="V58"/>
  <c r="V60"/>
  <c r="V62"/>
  <c r="V53"/>
  <c r="V55"/>
  <c r="V57"/>
  <c r="V59"/>
  <c r="V61"/>
  <c r="V52"/>
  <c r="V42"/>
  <c r="V44"/>
  <c r="V46"/>
  <c r="V48"/>
  <c r="V50"/>
  <c r="V41"/>
  <c r="V43"/>
  <c r="V45"/>
  <c r="V47"/>
  <c r="V49"/>
  <c r="V51"/>
  <c r="V39"/>
  <c r="V30"/>
  <c r="V32"/>
  <c r="V34"/>
  <c r="V36"/>
  <c r="V38"/>
  <c r="V40"/>
  <c r="V29"/>
  <c r="V31"/>
  <c r="V33"/>
  <c r="V35"/>
  <c r="V37"/>
  <c r="V23"/>
  <c r="V25"/>
  <c r="V27"/>
  <c r="V16"/>
  <c r="V24"/>
  <c r="V26"/>
  <c r="V28"/>
  <c r="V12"/>
  <c r="V14"/>
  <c r="V11"/>
  <c r="V13"/>
  <c r="V15"/>
  <c r="AL554"/>
  <c r="AA533" l="1"/>
  <c r="AR531"/>
  <c r="AQ531"/>
  <c r="AP531"/>
  <c r="AO531"/>
  <c r="AN531"/>
  <c r="AM531"/>
  <c r="AG531"/>
  <c r="AF531"/>
  <c r="AE531"/>
  <c r="AD531"/>
  <c r="AC531"/>
  <c r="V531"/>
  <c r="T531"/>
  <c r="S531"/>
  <c r="M531"/>
  <c r="F531"/>
  <c r="AR530"/>
  <c r="AQ530"/>
  <c r="AP530"/>
  <c r="AO530"/>
  <c r="AN530"/>
  <c r="AM530"/>
  <c r="AG530"/>
  <c r="AF530"/>
  <c r="AE530"/>
  <c r="AD530"/>
  <c r="AC530"/>
  <c r="V530"/>
  <c r="T530"/>
  <c r="S530"/>
  <c r="M530"/>
  <c r="F530"/>
  <c r="AR529"/>
  <c r="AQ529"/>
  <c r="AP529"/>
  <c r="AO529"/>
  <c r="AN529"/>
  <c r="AM529"/>
  <c r="AG529"/>
  <c r="AF529"/>
  <c r="AE529"/>
  <c r="AD529"/>
  <c r="AC529"/>
  <c r="V529" s="1"/>
  <c r="T529"/>
  <c r="S529"/>
  <c r="M529"/>
  <c r="F529"/>
  <c r="AR528"/>
  <c r="AQ528"/>
  <c r="AP528"/>
  <c r="AO528"/>
  <c r="AN528"/>
  <c r="AM528"/>
  <c r="AG528"/>
  <c r="AF528"/>
  <c r="AE528"/>
  <c r="AD528"/>
  <c r="AC528"/>
  <c r="V528"/>
  <c r="T528"/>
  <c r="S528"/>
  <c r="M528"/>
  <c r="F528"/>
  <c r="AR527"/>
  <c r="AQ527"/>
  <c r="AP527"/>
  <c r="AO527"/>
  <c r="AN527"/>
  <c r="AM527"/>
  <c r="AG527"/>
  <c r="AF527"/>
  <c r="AE527"/>
  <c r="AD527"/>
  <c r="AC527"/>
  <c r="V527"/>
  <c r="T527"/>
  <c r="S527"/>
  <c r="M527"/>
  <c r="F527"/>
  <c r="AR526"/>
  <c r="AQ526"/>
  <c r="AP526"/>
  <c r="AO526"/>
  <c r="AN526"/>
  <c r="AM526"/>
  <c r="AG526"/>
  <c r="AF526"/>
  <c r="AE526"/>
  <c r="AD526"/>
  <c r="AC526"/>
  <c r="V526"/>
  <c r="T526"/>
  <c r="S526"/>
  <c r="M526"/>
  <c r="F526"/>
  <c r="AR525"/>
  <c r="AQ525"/>
  <c r="AP525"/>
  <c r="AO525"/>
  <c r="AN525"/>
  <c r="AM525"/>
  <c r="AG525"/>
  <c r="AF525"/>
  <c r="AE525"/>
  <c r="AD525"/>
  <c r="AC525"/>
  <c r="V525"/>
  <c r="T525"/>
  <c r="S525"/>
  <c r="M525"/>
  <c r="F525"/>
  <c r="AR467"/>
  <c r="AQ467"/>
  <c r="AP467"/>
  <c r="AO467"/>
  <c r="AN467"/>
  <c r="AM467"/>
  <c r="AG467"/>
  <c r="AF467"/>
  <c r="AE467"/>
  <c r="AD467"/>
  <c r="AC467"/>
  <c r="V467"/>
  <c r="T467"/>
  <c r="S467"/>
  <c r="M467"/>
  <c r="F467"/>
  <c r="AH467" s="1"/>
  <c r="AR466"/>
  <c r="AQ466"/>
  <c r="AP466"/>
  <c r="AO466"/>
  <c r="AN466"/>
  <c r="AM466"/>
  <c r="AG466"/>
  <c r="AF466"/>
  <c r="AE466"/>
  <c r="AD466"/>
  <c r="AC466"/>
  <c r="V466"/>
  <c r="T466"/>
  <c r="S466"/>
  <c r="M466"/>
  <c r="F466"/>
  <c r="AH466" s="1"/>
  <c r="AR465"/>
  <c r="AQ465"/>
  <c r="AP465"/>
  <c r="AO465"/>
  <c r="AN465"/>
  <c r="AM465"/>
  <c r="AG465"/>
  <c r="AF465"/>
  <c r="AE465"/>
  <c r="AD465"/>
  <c r="AC465"/>
  <c r="V465"/>
  <c r="T465"/>
  <c r="S465"/>
  <c r="M465"/>
  <c r="F465"/>
  <c r="AH465" s="1"/>
  <c r="AR464"/>
  <c r="AQ464"/>
  <c r="AP464"/>
  <c r="AO464"/>
  <c r="AN464"/>
  <c r="AM464"/>
  <c r="AG464"/>
  <c r="AF464"/>
  <c r="AE464"/>
  <c r="AD464"/>
  <c r="AC464"/>
  <c r="V464"/>
  <c r="T464"/>
  <c r="S464"/>
  <c r="M464"/>
  <c r="F464"/>
  <c r="AH464" s="1"/>
  <c r="AR463"/>
  <c r="AQ463"/>
  <c r="AP463"/>
  <c r="AO463"/>
  <c r="AN463"/>
  <c r="AM463"/>
  <c r="AG463"/>
  <c r="AF463"/>
  <c r="AE463"/>
  <c r="AD463"/>
  <c r="AC463"/>
  <c r="V463"/>
  <c r="T463"/>
  <c r="S463"/>
  <c r="M463"/>
  <c r="F463"/>
  <c r="AH463" s="1"/>
  <c r="AR462"/>
  <c r="AQ462"/>
  <c r="AP462"/>
  <c r="AO462"/>
  <c r="AN462"/>
  <c r="AM462"/>
  <c r="AG462"/>
  <c r="AF462"/>
  <c r="AE462"/>
  <c r="AD462"/>
  <c r="AC462"/>
  <c r="V462"/>
  <c r="T462"/>
  <c r="S462"/>
  <c r="M462"/>
  <c r="F462"/>
  <c r="AH462" s="1"/>
  <c r="AR461"/>
  <c r="AQ461"/>
  <c r="AQ532" s="1"/>
  <c r="AP461"/>
  <c r="AO461"/>
  <c r="AN461"/>
  <c r="AM461"/>
  <c r="AM532" s="1"/>
  <c r="AG461"/>
  <c r="AF461"/>
  <c r="AE461"/>
  <c r="AD461"/>
  <c r="AC461"/>
  <c r="V461"/>
  <c r="T461"/>
  <c r="S461"/>
  <c r="M461"/>
  <c r="F461"/>
  <c r="AH461" s="1"/>
  <c r="AR547"/>
  <c r="AQ547"/>
  <c r="AP547"/>
  <c r="AO547"/>
  <c r="AN547"/>
  <c r="AG547"/>
  <c r="AF547"/>
  <c r="AE547"/>
  <c r="AD547"/>
  <c r="AC547"/>
  <c r="AQ589" l="1"/>
  <c r="AQ599" s="1"/>
  <c r="AH568"/>
  <c r="AH578" s="1"/>
  <c r="AD589"/>
  <c r="AD599" s="1"/>
  <c r="AR589"/>
  <c r="AR599" s="1"/>
  <c r="AE568"/>
  <c r="AE578" s="1"/>
  <c r="AO568"/>
  <c r="AO578" s="1"/>
  <c r="AC589"/>
  <c r="AC599" s="1"/>
  <c r="AG589"/>
  <c r="AG599" s="1"/>
  <c r="AF568"/>
  <c r="AF578" s="1"/>
  <c r="AR568"/>
  <c r="AR578" s="1"/>
  <c r="AN589"/>
  <c r="AN599" s="1"/>
  <c r="AM568"/>
  <c r="AM578" s="1"/>
  <c r="AM589"/>
  <c r="AM599" s="1"/>
  <c r="AD568"/>
  <c r="AD578" s="1"/>
  <c r="AP568"/>
  <c r="AP578" s="1"/>
  <c r="AH589"/>
  <c r="AH599" s="1"/>
  <c r="AC568"/>
  <c r="AC578" s="1"/>
  <c r="AG568"/>
  <c r="AG578" s="1"/>
  <c r="AQ568"/>
  <c r="AQ578" s="1"/>
  <c r="AE589"/>
  <c r="AE599" s="1"/>
  <c r="AP589"/>
  <c r="AP599" s="1"/>
  <c r="AN568"/>
  <c r="AN578" s="1"/>
  <c r="AF589"/>
  <c r="AF599" s="1"/>
  <c r="AO589"/>
  <c r="AO599" s="1"/>
  <c r="M468"/>
  <c r="M532" s="1"/>
  <c r="O461"/>
  <c r="O462"/>
  <c r="O464"/>
  <c r="O465"/>
  <c r="O466"/>
  <c r="O467"/>
  <c r="O525"/>
  <c r="O526"/>
  <c r="O528"/>
  <c r="O530"/>
  <c r="AO532"/>
  <c r="AO535" s="1"/>
  <c r="AG532"/>
  <c r="AF532" s="1"/>
  <c r="AP532"/>
  <c r="O527"/>
  <c r="AH528"/>
  <c r="AH530"/>
  <c r="AE532"/>
  <c r="AD532" s="1"/>
  <c r="AN532"/>
  <c r="O529"/>
  <c r="AH529"/>
  <c r="O531"/>
  <c r="AH525"/>
  <c r="AH527"/>
  <c r="AH547"/>
  <c r="AM547"/>
  <c r="O463"/>
  <c r="AH526"/>
  <c r="AH531"/>
  <c r="AL532" l="1"/>
  <c r="AR108" l="1"/>
  <c r="AQ108"/>
  <c r="AP108"/>
  <c r="AO108"/>
  <c r="AN108"/>
  <c r="AM108"/>
  <c r="AG108"/>
  <c r="AF108"/>
  <c r="AE108"/>
  <c r="AD108"/>
  <c r="AC108"/>
  <c r="V108"/>
  <c r="T108"/>
  <c r="S108"/>
  <c r="M108"/>
  <c r="F108"/>
  <c r="AR105"/>
  <c r="AQ105"/>
  <c r="AP105"/>
  <c r="AO105"/>
  <c r="AN105"/>
  <c r="AM105"/>
  <c r="AG105"/>
  <c r="AF105"/>
  <c r="AE105"/>
  <c r="AD105"/>
  <c r="AC105"/>
  <c r="V105"/>
  <c r="T105"/>
  <c r="S105"/>
  <c r="M105"/>
  <c r="M114" s="1"/>
  <c r="F105"/>
  <c r="AR103"/>
  <c r="AQ103"/>
  <c r="AP103"/>
  <c r="AO103"/>
  <c r="AN103"/>
  <c r="AM103"/>
  <c r="AG103"/>
  <c r="AF103"/>
  <c r="AE103"/>
  <c r="AD103"/>
  <c r="AC103"/>
  <c r="V103"/>
  <c r="T103"/>
  <c r="S103"/>
  <c r="M103"/>
  <c r="F103"/>
  <c r="AR99"/>
  <c r="AQ99"/>
  <c r="AP99"/>
  <c r="AO99"/>
  <c r="AN99"/>
  <c r="AM99"/>
  <c r="AG99"/>
  <c r="AF99"/>
  <c r="AE99"/>
  <c r="AD99"/>
  <c r="AC99"/>
  <c r="V99"/>
  <c r="T99"/>
  <c r="S99"/>
  <c r="M99"/>
  <c r="M104" s="1"/>
  <c r="F99"/>
  <c r="AH99" s="1"/>
  <c r="O99" l="1"/>
  <c r="AH108"/>
  <c r="O105"/>
  <c r="O108"/>
  <c r="O103"/>
  <c r="AH103"/>
  <c r="AH105"/>
  <c r="AR97"/>
  <c r="AQ97"/>
  <c r="AP97"/>
  <c r="AO97"/>
  <c r="AN97"/>
  <c r="AM97"/>
  <c r="AG97"/>
  <c r="AF97"/>
  <c r="AE97"/>
  <c r="AD97"/>
  <c r="AC97"/>
  <c r="V97"/>
  <c r="T97"/>
  <c r="S97"/>
  <c r="M97"/>
  <c r="M98" s="1"/>
  <c r="F97"/>
  <c r="AH97" s="1"/>
  <c r="AQ545"/>
  <c r="AP545"/>
  <c r="AN545"/>
  <c r="AG545"/>
  <c r="AE545"/>
  <c r="AD545"/>
  <c r="AC545"/>
  <c r="AR76"/>
  <c r="AQ76"/>
  <c r="AP76"/>
  <c r="AO76"/>
  <c r="AN76"/>
  <c r="AM76"/>
  <c r="AG76"/>
  <c r="AF76"/>
  <c r="AE76"/>
  <c r="AD76"/>
  <c r="AC76"/>
  <c r="V76"/>
  <c r="T76"/>
  <c r="S76"/>
  <c r="M76"/>
  <c r="F76"/>
  <c r="M79" l="1"/>
  <c r="M113"/>
  <c r="AF545"/>
  <c r="AO545"/>
  <c r="AR545"/>
  <c r="AH76"/>
  <c r="O97"/>
  <c r="AF541"/>
  <c r="AD541"/>
  <c r="O76"/>
  <c r="AC541"/>
  <c r="AG541"/>
  <c r="AO541"/>
  <c r="AH545"/>
  <c r="AM545"/>
  <c r="AN541"/>
  <c r="AR541"/>
  <c r="AE541"/>
  <c r="AM541"/>
  <c r="AQ541"/>
  <c r="AH541"/>
  <c r="AP541"/>
  <c r="AQ70"/>
  <c r="AP70"/>
  <c r="AO70"/>
  <c r="AN70"/>
  <c r="AM70"/>
  <c r="AG70"/>
  <c r="AF70"/>
  <c r="AE70"/>
  <c r="AD70"/>
  <c r="AC70"/>
  <c r="V70"/>
  <c r="T70"/>
  <c r="S70"/>
  <c r="M70"/>
  <c r="AR68"/>
  <c r="AQ68"/>
  <c r="AP68"/>
  <c r="AO68"/>
  <c r="AN68"/>
  <c r="AM68"/>
  <c r="AL113" l="1"/>
  <c r="AG68"/>
  <c r="AF68"/>
  <c r="AE68"/>
  <c r="AD68"/>
  <c r="AC68"/>
  <c r="V68"/>
  <c r="T68"/>
  <c r="S68"/>
  <c r="M68"/>
  <c r="AR67"/>
  <c r="AQ67"/>
  <c r="AP67"/>
  <c r="AO67"/>
  <c r="AN67"/>
  <c r="AM67"/>
  <c r="AG67"/>
  <c r="AF67"/>
  <c r="AE67"/>
  <c r="AD67"/>
  <c r="AC67"/>
  <c r="V67"/>
  <c r="T67"/>
  <c r="S67"/>
  <c r="M67"/>
  <c r="F67"/>
  <c r="AH67" s="1"/>
  <c r="AR66"/>
  <c r="AQ66"/>
  <c r="AP66"/>
  <c r="AO66"/>
  <c r="AN66"/>
  <c r="AM66"/>
  <c r="AG66"/>
  <c r="AF66"/>
  <c r="AE66"/>
  <c r="AD66"/>
  <c r="AC66"/>
  <c r="V66"/>
  <c r="T66"/>
  <c r="S66"/>
  <c r="M66"/>
  <c r="F66"/>
  <c r="AR65"/>
  <c r="AQ65"/>
  <c r="AP65"/>
  <c r="AO65"/>
  <c r="AN65"/>
  <c r="AM65"/>
  <c r="AG65"/>
  <c r="AF65"/>
  <c r="AE65"/>
  <c r="AD65"/>
  <c r="AC65"/>
  <c r="V65"/>
  <c r="T65"/>
  <c r="S65"/>
  <c r="M65"/>
  <c r="F65"/>
  <c r="AR22"/>
  <c r="AQ22"/>
  <c r="AP22"/>
  <c r="AO22"/>
  <c r="AN22"/>
  <c r="AM22"/>
  <c r="AG22"/>
  <c r="AF22"/>
  <c r="AE22"/>
  <c r="AD22"/>
  <c r="AC22"/>
  <c r="V22"/>
  <c r="M22"/>
  <c r="F22"/>
  <c r="AR21"/>
  <c r="AQ21"/>
  <c r="AP21"/>
  <c r="AO21"/>
  <c r="AN21"/>
  <c r="AM21"/>
  <c r="AG21"/>
  <c r="AF21"/>
  <c r="AE21"/>
  <c r="AD21"/>
  <c r="AC21"/>
  <c r="V21"/>
  <c r="M21"/>
  <c r="F21"/>
  <c r="AR20"/>
  <c r="AQ20"/>
  <c r="AP20"/>
  <c r="AO20"/>
  <c r="AN20"/>
  <c r="AM20"/>
  <c r="AG20"/>
  <c r="AF20"/>
  <c r="AE20"/>
  <c r="AD20"/>
  <c r="AC20"/>
  <c r="V20"/>
  <c r="M20"/>
  <c r="F20"/>
  <c r="AR19"/>
  <c r="AQ19"/>
  <c r="AP19"/>
  <c r="AO19"/>
  <c r="AN19"/>
  <c r="AM19"/>
  <c r="AG19"/>
  <c r="AF19"/>
  <c r="AE19"/>
  <c r="AD19"/>
  <c r="AC19"/>
  <c r="V19"/>
  <c r="M19"/>
  <c r="E19"/>
  <c r="C19"/>
  <c r="AR18"/>
  <c r="AQ18"/>
  <c r="AP18"/>
  <c r="AO18"/>
  <c r="AN18"/>
  <c r="AM18"/>
  <c r="AG18"/>
  <c r="AF18"/>
  <c r="AE18"/>
  <c r="AD18"/>
  <c r="AC18"/>
  <c r="V18"/>
  <c r="M18"/>
  <c r="F18"/>
  <c r="AR17"/>
  <c r="AQ17"/>
  <c r="AP17"/>
  <c r="AO17"/>
  <c r="AN17"/>
  <c r="AM17"/>
  <c r="AG17"/>
  <c r="AF17"/>
  <c r="AE17"/>
  <c r="AD17"/>
  <c r="AC17"/>
  <c r="V17"/>
  <c r="T17"/>
  <c r="S17"/>
  <c r="M17"/>
  <c r="F17"/>
  <c r="AR10"/>
  <c r="AQ10"/>
  <c r="AP10"/>
  <c r="AO10"/>
  <c r="AN10"/>
  <c r="AM10"/>
  <c r="AG10"/>
  <c r="AF10"/>
  <c r="AE10"/>
  <c r="AD10"/>
  <c r="AC10"/>
  <c r="V10"/>
  <c r="T10"/>
  <c r="S10"/>
  <c r="M10"/>
  <c r="F10"/>
  <c r="AH10" s="1"/>
  <c r="AR9"/>
  <c r="F70" s="1"/>
  <c r="AR70" s="1"/>
  <c r="AQ9"/>
  <c r="AP9"/>
  <c r="AO9"/>
  <c r="AN9"/>
  <c r="AM9"/>
  <c r="AG9"/>
  <c r="AF9"/>
  <c r="AE9"/>
  <c r="AD9"/>
  <c r="AC9"/>
  <c r="V9"/>
  <c r="T9"/>
  <c r="S9"/>
  <c r="M9"/>
  <c r="F9"/>
  <c r="AH9" s="1"/>
  <c r="AR8"/>
  <c r="AQ8"/>
  <c r="AP8"/>
  <c r="AO8"/>
  <c r="AN8"/>
  <c r="AM8"/>
  <c r="AG8"/>
  <c r="AF8"/>
  <c r="AE8"/>
  <c r="AD8"/>
  <c r="AC8"/>
  <c r="V8"/>
  <c r="T8"/>
  <c r="S8"/>
  <c r="M8"/>
  <c r="F8"/>
  <c r="AR7" s="1"/>
  <c r="AQ7"/>
  <c r="AP7"/>
  <c r="AO7"/>
  <c r="AN7"/>
  <c r="AM7"/>
  <c r="AG7"/>
  <c r="AF7"/>
  <c r="AE7"/>
  <c r="AD7"/>
  <c r="AC7"/>
  <c r="O8" l="1"/>
  <c r="O21"/>
  <c r="F19"/>
  <c r="O19" s="1"/>
  <c r="AH20"/>
  <c r="O22"/>
  <c r="AD543"/>
  <c r="AF543"/>
  <c r="AO543"/>
  <c r="AQ543"/>
  <c r="AC543"/>
  <c r="AE543"/>
  <c r="AG543"/>
  <c r="AN543"/>
  <c r="AP543"/>
  <c r="AR543"/>
  <c r="O18"/>
  <c r="AH8"/>
  <c r="O9"/>
  <c r="O10"/>
  <c r="O20"/>
  <c r="O65"/>
  <c r="O66"/>
  <c r="O17"/>
  <c r="O67"/>
  <c r="AE544"/>
  <c r="AN544"/>
  <c r="AR544"/>
  <c r="AH18"/>
  <c r="AH66"/>
  <c r="AM543"/>
  <c r="AQ544"/>
  <c r="AF544"/>
  <c r="AH21"/>
  <c r="F68"/>
  <c r="AJ113"/>
  <c r="AD544"/>
  <c r="AH65"/>
  <c r="AH17"/>
  <c r="AM544"/>
  <c r="AC544"/>
  <c r="AG544"/>
  <c r="AP544"/>
  <c r="AO544" s="1"/>
  <c r="AH22"/>
  <c r="AH70"/>
  <c r="O70"/>
  <c r="V7"/>
  <c r="T7"/>
  <c r="S7"/>
  <c r="M7"/>
  <c r="E7"/>
  <c r="C7"/>
  <c r="AR6"/>
  <c r="AQ6"/>
  <c r="AP6"/>
  <c r="AO6"/>
  <c r="AN6"/>
  <c r="AM6"/>
  <c r="AG6"/>
  <c r="AF6"/>
  <c r="AE6"/>
  <c r="AD6"/>
  <c r="AC6"/>
  <c r="V6"/>
  <c r="T6"/>
  <c r="S6"/>
  <c r="M6"/>
  <c r="F6"/>
  <c r="AR5"/>
  <c r="AQ5"/>
  <c r="AP5"/>
  <c r="AO5"/>
  <c r="AN5"/>
  <c r="AM5"/>
  <c r="AG5"/>
  <c r="AF5"/>
  <c r="AE5"/>
  <c r="AD5"/>
  <c r="AC5"/>
  <c r="V5"/>
  <c r="T5"/>
  <c r="S5"/>
  <c r="M5"/>
  <c r="F5"/>
  <c r="AC566" l="1"/>
  <c r="AC576" s="1"/>
  <c r="H181" i="20"/>
  <c r="D172"/>
  <c r="AH19" i="13"/>
  <c r="I211" i="20"/>
  <c r="H169"/>
  <c r="D176"/>
  <c r="D198"/>
  <c r="D168"/>
  <c r="L170"/>
  <c r="H173"/>
  <c r="L178"/>
  <c r="O184"/>
  <c r="H167"/>
  <c r="L168"/>
  <c r="D170"/>
  <c r="H171"/>
  <c r="L172"/>
  <c r="L174"/>
  <c r="H177"/>
  <c r="D180"/>
  <c r="L182"/>
  <c r="K187"/>
  <c r="D167"/>
  <c r="L167"/>
  <c r="H168"/>
  <c r="D169"/>
  <c r="L169"/>
  <c r="H170"/>
  <c r="D171"/>
  <c r="L171"/>
  <c r="H172"/>
  <c r="D173"/>
  <c r="D174"/>
  <c r="H175"/>
  <c r="L176"/>
  <c r="D178"/>
  <c r="H179"/>
  <c r="L180"/>
  <c r="D182"/>
  <c r="K183"/>
  <c r="G186"/>
  <c r="E191"/>
  <c r="F167"/>
  <c r="J167"/>
  <c r="N167"/>
  <c r="F168"/>
  <c r="J168"/>
  <c r="N168"/>
  <c r="F169"/>
  <c r="J169"/>
  <c r="N169"/>
  <c r="F170"/>
  <c r="J170"/>
  <c r="N170"/>
  <c r="F171"/>
  <c r="J171"/>
  <c r="N171"/>
  <c r="F172"/>
  <c r="J172"/>
  <c r="N172"/>
  <c r="F173"/>
  <c r="L173"/>
  <c r="H174"/>
  <c r="D175"/>
  <c r="L175"/>
  <c r="H176"/>
  <c r="D177"/>
  <c r="L177"/>
  <c r="H178"/>
  <c r="D179"/>
  <c r="L179"/>
  <c r="H180"/>
  <c r="D181"/>
  <c r="L181"/>
  <c r="H182"/>
  <c r="D183"/>
  <c r="G184"/>
  <c r="K185"/>
  <c r="O186"/>
  <c r="K188"/>
  <c r="K194"/>
  <c r="J173"/>
  <c r="N173"/>
  <c r="F174"/>
  <c r="J174"/>
  <c r="N174"/>
  <c r="F175"/>
  <c r="J175"/>
  <c r="N175"/>
  <c r="F176"/>
  <c r="J176"/>
  <c r="N176"/>
  <c r="F177"/>
  <c r="J177"/>
  <c r="N177"/>
  <c r="F178"/>
  <c r="J178"/>
  <c r="N178"/>
  <c r="F179"/>
  <c r="J179"/>
  <c r="N179"/>
  <c r="F180"/>
  <c r="J180"/>
  <c r="N180"/>
  <c r="F181"/>
  <c r="J181"/>
  <c r="N181"/>
  <c r="F182"/>
  <c r="J182"/>
  <c r="N182"/>
  <c r="G183"/>
  <c r="O183"/>
  <c r="K184"/>
  <c r="G185"/>
  <c r="O185"/>
  <c r="K186"/>
  <c r="G187"/>
  <c r="O187"/>
  <c r="M189"/>
  <c r="I192"/>
  <c r="O279"/>
  <c r="E167"/>
  <c r="G167"/>
  <c r="I167"/>
  <c r="K167"/>
  <c r="M167"/>
  <c r="O167"/>
  <c r="E168"/>
  <c r="G168"/>
  <c r="I168"/>
  <c r="K168"/>
  <c r="M168"/>
  <c r="O168"/>
  <c r="E169"/>
  <c r="G169"/>
  <c r="I169"/>
  <c r="K169"/>
  <c r="M169"/>
  <c r="O169"/>
  <c r="E170"/>
  <c r="G170"/>
  <c r="I170"/>
  <c r="K170"/>
  <c r="M170"/>
  <c r="O170"/>
  <c r="E171"/>
  <c r="G171"/>
  <c r="I171"/>
  <c r="K171"/>
  <c r="M171"/>
  <c r="O171"/>
  <c r="E172"/>
  <c r="G172"/>
  <c r="I172"/>
  <c r="K172"/>
  <c r="M172"/>
  <c r="O172"/>
  <c r="E173"/>
  <c r="G173"/>
  <c r="I173"/>
  <c r="K173"/>
  <c r="M173"/>
  <c r="O173"/>
  <c r="E174"/>
  <c r="G174"/>
  <c r="I174"/>
  <c r="K174"/>
  <c r="M174"/>
  <c r="O174"/>
  <c r="E175"/>
  <c r="G175"/>
  <c r="I175"/>
  <c r="K175"/>
  <c r="M175"/>
  <c r="O175"/>
  <c r="E176"/>
  <c r="G176"/>
  <c r="I176"/>
  <c r="K176"/>
  <c r="M176"/>
  <c r="O176"/>
  <c r="E177"/>
  <c r="G177"/>
  <c r="I177"/>
  <c r="K177"/>
  <c r="M177"/>
  <c r="O177"/>
  <c r="E178"/>
  <c r="G178"/>
  <c r="I178"/>
  <c r="K178"/>
  <c r="M178"/>
  <c r="O178"/>
  <c r="E179"/>
  <c r="G179"/>
  <c r="I179"/>
  <c r="K179"/>
  <c r="M179"/>
  <c r="O179"/>
  <c r="E180"/>
  <c r="G180"/>
  <c r="I180"/>
  <c r="K180"/>
  <c r="M180"/>
  <c r="O180"/>
  <c r="E181"/>
  <c r="G181"/>
  <c r="I181"/>
  <c r="K181"/>
  <c r="M181"/>
  <c r="O181"/>
  <c r="E182"/>
  <c r="G182"/>
  <c r="I182"/>
  <c r="K182"/>
  <c r="M182"/>
  <c r="O182"/>
  <c r="E183"/>
  <c r="I183"/>
  <c r="M183"/>
  <c r="E184"/>
  <c r="I184"/>
  <c r="M184"/>
  <c r="E185"/>
  <c r="I185"/>
  <c r="M185"/>
  <c r="E186"/>
  <c r="I186"/>
  <c r="M186"/>
  <c r="E187"/>
  <c r="I187"/>
  <c r="M187"/>
  <c r="G188"/>
  <c r="E189"/>
  <c r="I190"/>
  <c r="M191"/>
  <c r="G193"/>
  <c r="O195"/>
  <c r="L207"/>
  <c r="E276"/>
  <c r="F183"/>
  <c r="H183"/>
  <c r="J183"/>
  <c r="L183"/>
  <c r="N183"/>
  <c r="D184"/>
  <c r="F184"/>
  <c r="H184"/>
  <c r="J184"/>
  <c r="L184"/>
  <c r="N184"/>
  <c r="D185"/>
  <c r="F185"/>
  <c r="H185"/>
  <c r="J185"/>
  <c r="L185"/>
  <c r="N185"/>
  <c r="D186"/>
  <c r="F186"/>
  <c r="H186"/>
  <c r="J186"/>
  <c r="L186"/>
  <c r="N186"/>
  <c r="D187"/>
  <c r="F187"/>
  <c r="H187"/>
  <c r="J187"/>
  <c r="L187"/>
  <c r="N187"/>
  <c r="E188"/>
  <c r="I188"/>
  <c r="M188"/>
  <c r="I189"/>
  <c r="E190"/>
  <c r="M190"/>
  <c r="I191"/>
  <c r="E192"/>
  <c r="M192"/>
  <c r="O193"/>
  <c r="G195"/>
  <c r="L196"/>
  <c r="H199"/>
  <c r="D209"/>
  <c r="I215"/>
  <c r="D188"/>
  <c r="F188"/>
  <c r="H188"/>
  <c r="J188"/>
  <c r="L188"/>
  <c r="O188"/>
  <c r="G189"/>
  <c r="K189"/>
  <c r="O189"/>
  <c r="G190"/>
  <c r="K190"/>
  <c r="O190"/>
  <c r="G191"/>
  <c r="K191"/>
  <c r="O191"/>
  <c r="G192"/>
  <c r="K192"/>
  <c r="O192"/>
  <c r="K193"/>
  <c r="G194"/>
  <c r="O194"/>
  <c r="K195"/>
  <c r="G196"/>
  <c r="H197"/>
  <c r="L198"/>
  <c r="D207"/>
  <c r="H208"/>
  <c r="E210"/>
  <c r="M212"/>
  <c r="K224"/>
  <c r="N188"/>
  <c r="D189"/>
  <c r="F189"/>
  <c r="H189"/>
  <c r="J189"/>
  <c r="L189"/>
  <c r="N189"/>
  <c r="D190"/>
  <c r="F190"/>
  <c r="H190"/>
  <c r="J190"/>
  <c r="L190"/>
  <c r="N190"/>
  <c r="D191"/>
  <c r="F191"/>
  <c r="H191"/>
  <c r="J191"/>
  <c r="L191"/>
  <c r="N191"/>
  <c r="D192"/>
  <c r="F192"/>
  <c r="H192"/>
  <c r="J192"/>
  <c r="L192"/>
  <c r="N192"/>
  <c r="E193"/>
  <c r="I193"/>
  <c r="M193"/>
  <c r="E194"/>
  <c r="I194"/>
  <c r="M194"/>
  <c r="E195"/>
  <c r="I195"/>
  <c r="M195"/>
  <c r="E196"/>
  <c r="I196"/>
  <c r="D197"/>
  <c r="L197"/>
  <c r="H198"/>
  <c r="D199"/>
  <c r="L199"/>
  <c r="H207"/>
  <c r="D208"/>
  <c r="L208"/>
  <c r="I209"/>
  <c r="M210"/>
  <c r="E212"/>
  <c r="E214"/>
  <c r="G219"/>
  <c r="K234"/>
  <c r="D193"/>
  <c r="F193"/>
  <c r="H193"/>
  <c r="J193"/>
  <c r="L193"/>
  <c r="N193"/>
  <c r="D194"/>
  <c r="F194"/>
  <c r="H194"/>
  <c r="J194"/>
  <c r="L194"/>
  <c r="N194"/>
  <c r="D195"/>
  <c r="F195"/>
  <c r="H195"/>
  <c r="J195"/>
  <c r="L195"/>
  <c r="N195"/>
  <c r="D196"/>
  <c r="F196"/>
  <c r="H196"/>
  <c r="J196"/>
  <c r="N196"/>
  <c r="F197"/>
  <c r="J197"/>
  <c r="N197"/>
  <c r="F198"/>
  <c r="J198"/>
  <c r="N198"/>
  <c r="F199"/>
  <c r="J199"/>
  <c r="N199"/>
  <c r="F207"/>
  <c r="J207"/>
  <c r="N207"/>
  <c r="F208"/>
  <c r="J208"/>
  <c r="N208"/>
  <c r="F209"/>
  <c r="M209"/>
  <c r="I210"/>
  <c r="E211"/>
  <c r="M211"/>
  <c r="I212"/>
  <c r="I213"/>
  <c r="M214"/>
  <c r="K216"/>
  <c r="O221"/>
  <c r="G229"/>
  <c r="K251"/>
  <c r="K196"/>
  <c r="M196"/>
  <c r="O196"/>
  <c r="E197"/>
  <c r="G197"/>
  <c r="I197"/>
  <c r="K197"/>
  <c r="M197"/>
  <c r="O197"/>
  <c r="E198"/>
  <c r="G198"/>
  <c r="I198"/>
  <c r="K198"/>
  <c r="M198"/>
  <c r="O198"/>
  <c r="E199"/>
  <c r="G199"/>
  <c r="I199"/>
  <c r="K199"/>
  <c r="M199"/>
  <c r="O199"/>
  <c r="E207"/>
  <c r="G207"/>
  <c r="I207"/>
  <c r="K207"/>
  <c r="M207"/>
  <c r="O207"/>
  <c r="E208"/>
  <c r="G208"/>
  <c r="I208"/>
  <c r="K208"/>
  <c r="M208"/>
  <c r="O208"/>
  <c r="E209"/>
  <c r="G209"/>
  <c r="K209"/>
  <c r="O209"/>
  <c r="G210"/>
  <c r="K210"/>
  <c r="O210"/>
  <c r="G211"/>
  <c r="K211"/>
  <c r="O211"/>
  <c r="G212"/>
  <c r="K212"/>
  <c r="E213"/>
  <c r="M213"/>
  <c r="I214"/>
  <c r="E215"/>
  <c r="O215"/>
  <c r="O217"/>
  <c r="K220"/>
  <c r="G223"/>
  <c r="K226"/>
  <c r="O231"/>
  <c r="G239"/>
  <c r="H258"/>
  <c r="D269"/>
  <c r="H209"/>
  <c r="J209"/>
  <c r="L209"/>
  <c r="N209"/>
  <c r="D210"/>
  <c r="F210"/>
  <c r="H210"/>
  <c r="J210"/>
  <c r="L210"/>
  <c r="N210"/>
  <c r="D211"/>
  <c r="F211"/>
  <c r="H211"/>
  <c r="J211"/>
  <c r="L211"/>
  <c r="N211"/>
  <c r="D212"/>
  <c r="F212"/>
  <c r="H212"/>
  <c r="J212"/>
  <c r="L212"/>
  <c r="O212"/>
  <c r="G213"/>
  <c r="K213"/>
  <c r="O213"/>
  <c r="G214"/>
  <c r="K214"/>
  <c r="O214"/>
  <c r="G215"/>
  <c r="K215"/>
  <c r="G216"/>
  <c r="G217"/>
  <c r="K218"/>
  <c r="O219"/>
  <c r="G221"/>
  <c r="K222"/>
  <c r="O223"/>
  <c r="G225"/>
  <c r="O227"/>
  <c r="K230"/>
  <c r="G233"/>
  <c r="K236"/>
  <c r="O248"/>
  <c r="G254"/>
  <c r="I265"/>
  <c r="O216"/>
  <c r="K217"/>
  <c r="G218"/>
  <c r="O218"/>
  <c r="K219"/>
  <c r="G220"/>
  <c r="O220"/>
  <c r="K221"/>
  <c r="G222"/>
  <c r="O222"/>
  <c r="K223"/>
  <c r="G224"/>
  <c r="O224"/>
  <c r="O225"/>
  <c r="G227"/>
  <c r="K228"/>
  <c r="O229"/>
  <c r="G231"/>
  <c r="K232"/>
  <c r="O233"/>
  <c r="G235"/>
  <c r="O237"/>
  <c r="K247"/>
  <c r="G250"/>
  <c r="O252"/>
  <c r="K255"/>
  <c r="N261"/>
  <c r="M215"/>
  <c r="E216"/>
  <c r="I216"/>
  <c r="M216"/>
  <c r="E217"/>
  <c r="I217"/>
  <c r="M217"/>
  <c r="E218"/>
  <c r="I218"/>
  <c r="M218"/>
  <c r="E219"/>
  <c r="I219"/>
  <c r="M219"/>
  <c r="E220"/>
  <c r="I220"/>
  <c r="M220"/>
  <c r="E221"/>
  <c r="I221"/>
  <c r="M221"/>
  <c r="E222"/>
  <c r="I222"/>
  <c r="M222"/>
  <c r="E223"/>
  <c r="I223"/>
  <c r="M223"/>
  <c r="E224"/>
  <c r="I224"/>
  <c r="M224"/>
  <c r="E225"/>
  <c r="K225"/>
  <c r="G226"/>
  <c r="O226"/>
  <c r="K227"/>
  <c r="G228"/>
  <c r="O228"/>
  <c r="K229"/>
  <c r="G230"/>
  <c r="O230"/>
  <c r="K231"/>
  <c r="G232"/>
  <c r="O232"/>
  <c r="K233"/>
  <c r="G234"/>
  <c r="O234"/>
  <c r="O235"/>
  <c r="G237"/>
  <c r="K238"/>
  <c r="O239"/>
  <c r="G248"/>
  <c r="K249"/>
  <c r="O250"/>
  <c r="G252"/>
  <c r="K253"/>
  <c r="O254"/>
  <c r="N256"/>
  <c r="E260"/>
  <c r="L263"/>
  <c r="F267"/>
  <c r="H271"/>
  <c r="I225"/>
  <c r="M225"/>
  <c r="E226"/>
  <c r="I226"/>
  <c r="M226"/>
  <c r="E227"/>
  <c r="I227"/>
  <c r="M227"/>
  <c r="E228"/>
  <c r="I228"/>
  <c r="M228"/>
  <c r="E229"/>
  <c r="I229"/>
  <c r="M229"/>
  <c r="E230"/>
  <c r="I230"/>
  <c r="M230"/>
  <c r="E231"/>
  <c r="I231"/>
  <c r="M231"/>
  <c r="E232"/>
  <c r="I232"/>
  <c r="M232"/>
  <c r="E233"/>
  <c r="I233"/>
  <c r="M233"/>
  <c r="E234"/>
  <c r="I234"/>
  <c r="M234"/>
  <c r="E235"/>
  <c r="K235"/>
  <c r="G236"/>
  <c r="O236"/>
  <c r="K237"/>
  <c r="G238"/>
  <c r="O238"/>
  <c r="K239"/>
  <c r="G247"/>
  <c r="O247"/>
  <c r="K248"/>
  <c r="G249"/>
  <c r="O249"/>
  <c r="K250"/>
  <c r="G251"/>
  <c r="O251"/>
  <c r="K252"/>
  <c r="G253"/>
  <c r="O253"/>
  <c r="K254"/>
  <c r="G255"/>
  <c r="F256"/>
  <c r="J257"/>
  <c r="F259"/>
  <c r="D261"/>
  <c r="M262"/>
  <c r="J264"/>
  <c r="H266"/>
  <c r="E268"/>
  <c r="E270"/>
  <c r="H274"/>
  <c r="I235"/>
  <c r="M235"/>
  <c r="E236"/>
  <c r="I236"/>
  <c r="M236"/>
  <c r="E237"/>
  <c r="I237"/>
  <c r="M237"/>
  <c r="E238"/>
  <c r="I238"/>
  <c r="M238"/>
  <c r="E239"/>
  <c r="I239"/>
  <c r="M239"/>
  <c r="E247"/>
  <c r="I247"/>
  <c r="M247"/>
  <c r="E248"/>
  <c r="I248"/>
  <c r="M248"/>
  <c r="E249"/>
  <c r="I249"/>
  <c r="M249"/>
  <c r="E250"/>
  <c r="I250"/>
  <c r="M250"/>
  <c r="E251"/>
  <c r="I251"/>
  <c r="M251"/>
  <c r="E252"/>
  <c r="I252"/>
  <c r="M252"/>
  <c r="E253"/>
  <c r="I253"/>
  <c r="M253"/>
  <c r="E254"/>
  <c r="I254"/>
  <c r="M254"/>
  <c r="E255"/>
  <c r="I255"/>
  <c r="N255"/>
  <c r="J256"/>
  <c r="F257"/>
  <c r="N257"/>
  <c r="M258"/>
  <c r="L259"/>
  <c r="J260"/>
  <c r="I261"/>
  <c r="H262"/>
  <c r="F263"/>
  <c r="E264"/>
  <c r="D265"/>
  <c r="N265"/>
  <c r="M266"/>
  <c r="L267"/>
  <c r="J268"/>
  <c r="K269"/>
  <c r="M270"/>
  <c r="K272"/>
  <c r="K279"/>
  <c r="K278"/>
  <c r="L275"/>
  <c r="O273"/>
  <c r="E272"/>
  <c r="G271"/>
  <c r="K270"/>
  <c r="D270"/>
  <c r="I269"/>
  <c r="N268"/>
  <c r="I268"/>
  <c r="D268"/>
  <c r="J267"/>
  <c r="E267"/>
  <c r="L266"/>
  <c r="F266"/>
  <c r="M265"/>
  <c r="H265"/>
  <c r="N264"/>
  <c r="I264"/>
  <c r="D264"/>
  <c r="J263"/>
  <c r="E263"/>
  <c r="L262"/>
  <c r="F262"/>
  <c r="M261"/>
  <c r="H261"/>
  <c r="N260"/>
  <c r="I260"/>
  <c r="D260"/>
  <c r="J259"/>
  <c r="E259"/>
  <c r="L258"/>
  <c r="F258"/>
  <c r="M257"/>
  <c r="I257"/>
  <c r="E257"/>
  <c r="M256"/>
  <c r="I256"/>
  <c r="E256"/>
  <c r="M255"/>
  <c r="J255"/>
  <c r="H255"/>
  <c r="F255"/>
  <c r="D255"/>
  <c r="N254"/>
  <c r="L254"/>
  <c r="J254"/>
  <c r="H254"/>
  <c r="F254"/>
  <c r="D254"/>
  <c r="N253"/>
  <c r="L253"/>
  <c r="J253"/>
  <c r="H253"/>
  <c r="F253"/>
  <c r="D253"/>
  <c r="N252"/>
  <c r="L252"/>
  <c r="J252"/>
  <c r="H252"/>
  <c r="F252"/>
  <c r="D252"/>
  <c r="N251"/>
  <c r="L251"/>
  <c r="J251"/>
  <c r="H251"/>
  <c r="F251"/>
  <c r="D251"/>
  <c r="N250"/>
  <c r="L250"/>
  <c r="J250"/>
  <c r="H250"/>
  <c r="F250"/>
  <c r="D250"/>
  <c r="N249"/>
  <c r="L249"/>
  <c r="J249"/>
  <c r="H249"/>
  <c r="F249"/>
  <c r="D249"/>
  <c r="N248"/>
  <c r="L248"/>
  <c r="J248"/>
  <c r="H248"/>
  <c r="F248"/>
  <c r="D248"/>
  <c r="N247"/>
  <c r="L247"/>
  <c r="J247"/>
  <c r="H247"/>
  <c r="F247"/>
  <c r="D247"/>
  <c r="N239"/>
  <c r="L239"/>
  <c r="J239"/>
  <c r="H239"/>
  <c r="F239"/>
  <c r="D239"/>
  <c r="N238"/>
  <c r="L238"/>
  <c r="J238"/>
  <c r="H238"/>
  <c r="F238"/>
  <c r="D238"/>
  <c r="N237"/>
  <c r="L237"/>
  <c r="J237"/>
  <c r="H237"/>
  <c r="F237"/>
  <c r="D237"/>
  <c r="N236"/>
  <c r="L236"/>
  <c r="J236"/>
  <c r="H236"/>
  <c r="F236"/>
  <c r="D236"/>
  <c r="N235"/>
  <c r="L235"/>
  <c r="J235"/>
  <c r="H235"/>
  <c r="F235"/>
  <c r="D235"/>
  <c r="N234"/>
  <c r="L234"/>
  <c r="J234"/>
  <c r="H234"/>
  <c r="F234"/>
  <c r="D234"/>
  <c r="N233"/>
  <c r="L233"/>
  <c r="J233"/>
  <c r="H233"/>
  <c r="F233"/>
  <c r="D233"/>
  <c r="N232"/>
  <c r="L232"/>
  <c r="J232"/>
  <c r="H232"/>
  <c r="F232"/>
  <c r="D232"/>
  <c r="N231"/>
  <c r="L231"/>
  <c r="J231"/>
  <c r="H231"/>
  <c r="F231"/>
  <c r="D231"/>
  <c r="N230"/>
  <c r="L230"/>
  <c r="J230"/>
  <c r="H230"/>
  <c r="F230"/>
  <c r="D230"/>
  <c r="N229"/>
  <c r="L229"/>
  <c r="J229"/>
  <c r="H229"/>
  <c r="F229"/>
  <c r="D229"/>
  <c r="N228"/>
  <c r="L228"/>
  <c r="J228"/>
  <c r="H228"/>
  <c r="F228"/>
  <c r="D228"/>
  <c r="N227"/>
  <c r="L227"/>
  <c r="J227"/>
  <c r="H227"/>
  <c r="F227"/>
  <c r="D227"/>
  <c r="N226"/>
  <c r="L226"/>
  <c r="J226"/>
  <c r="H226"/>
  <c r="F226"/>
  <c r="D226"/>
  <c r="N225"/>
  <c r="L225"/>
  <c r="J225"/>
  <c r="H225"/>
  <c r="F225"/>
  <c r="D225"/>
  <c r="N224"/>
  <c r="L224"/>
  <c r="J224"/>
  <c r="H224"/>
  <c r="F224"/>
  <c r="D224"/>
  <c r="N223"/>
  <c r="L223"/>
  <c r="J223"/>
  <c r="H223"/>
  <c r="F223"/>
  <c r="D223"/>
  <c r="N222"/>
  <c r="L222"/>
  <c r="J222"/>
  <c r="H222"/>
  <c r="F222"/>
  <c r="D222"/>
  <c r="N221"/>
  <c r="L221"/>
  <c r="J221"/>
  <c r="H221"/>
  <c r="F221"/>
  <c r="D221"/>
  <c r="N220"/>
  <c r="L220"/>
  <c r="J220"/>
  <c r="H220"/>
  <c r="F220"/>
  <c r="D220"/>
  <c r="N219"/>
  <c r="L219"/>
  <c r="J219"/>
  <c r="H219"/>
  <c r="F219"/>
  <c r="D219"/>
  <c r="N218"/>
  <c r="L218"/>
  <c r="J218"/>
  <c r="H218"/>
  <c r="F218"/>
  <c r="D218"/>
  <c r="N217"/>
  <c r="L217"/>
  <c r="J217"/>
  <c r="H217"/>
  <c r="F217"/>
  <c r="D217"/>
  <c r="N216"/>
  <c r="L216"/>
  <c r="J216"/>
  <c r="H216"/>
  <c r="F216"/>
  <c r="D216"/>
  <c r="N215"/>
  <c r="L215"/>
  <c r="J215"/>
  <c r="H215"/>
  <c r="F215"/>
  <c r="D215"/>
  <c r="N214"/>
  <c r="L214"/>
  <c r="J214"/>
  <c r="H214"/>
  <c r="F214"/>
  <c r="D214"/>
  <c r="N213"/>
  <c r="L213"/>
  <c r="J213"/>
  <c r="H213"/>
  <c r="F213"/>
  <c r="D213"/>
  <c r="N212"/>
  <c r="L255"/>
  <c r="D256"/>
  <c r="H256"/>
  <c r="L256"/>
  <c r="D257"/>
  <c r="H257"/>
  <c r="L257"/>
  <c r="E258"/>
  <c r="J258"/>
  <c r="D259"/>
  <c r="I259"/>
  <c r="N259"/>
  <c r="H260"/>
  <c r="M260"/>
  <c r="F261"/>
  <c r="L261"/>
  <c r="E262"/>
  <c r="J262"/>
  <c r="D263"/>
  <c r="I263"/>
  <c r="N263"/>
  <c r="H264"/>
  <c r="M264"/>
  <c r="F265"/>
  <c r="L265"/>
  <c r="E266"/>
  <c r="J266"/>
  <c r="D267"/>
  <c r="I267"/>
  <c r="N267"/>
  <c r="H268"/>
  <c r="M268"/>
  <c r="G269"/>
  <c r="O269"/>
  <c r="I270"/>
  <c r="D271"/>
  <c r="L271"/>
  <c r="I273"/>
  <c r="G275"/>
  <c r="G277"/>
  <c r="O6" i="13"/>
  <c r="O255" i="20"/>
  <c r="G256"/>
  <c r="K256"/>
  <c r="O256"/>
  <c r="G257"/>
  <c r="K257"/>
  <c r="D258"/>
  <c r="I258"/>
  <c r="N258"/>
  <c r="H259"/>
  <c r="M259"/>
  <c r="F260"/>
  <c r="L260"/>
  <c r="E261"/>
  <c r="J261"/>
  <c r="D262"/>
  <c r="I262"/>
  <c r="N262"/>
  <c r="H263"/>
  <c r="M263"/>
  <c r="F264"/>
  <c r="L264"/>
  <c r="E265"/>
  <c r="J265"/>
  <c r="D266"/>
  <c r="I266"/>
  <c r="N266"/>
  <c r="H267"/>
  <c r="M267"/>
  <c r="F268"/>
  <c r="L268"/>
  <c r="E269"/>
  <c r="L269"/>
  <c r="H270"/>
  <c r="O270"/>
  <c r="I271"/>
  <c r="D273"/>
  <c r="M274"/>
  <c r="K276"/>
  <c r="O271"/>
  <c r="H272"/>
  <c r="M272"/>
  <c r="G273"/>
  <c r="L273"/>
  <c r="E274"/>
  <c r="K274"/>
  <c r="D275"/>
  <c r="I275"/>
  <c r="O275"/>
  <c r="H276"/>
  <c r="M276"/>
  <c r="O277"/>
  <c r="G279"/>
  <c r="M71" i="13"/>
  <c r="M271" i="20"/>
  <c r="G272"/>
  <c r="L272"/>
  <c r="E273"/>
  <c r="K273"/>
  <c r="D274"/>
  <c r="I274"/>
  <c r="O274"/>
  <c r="H275"/>
  <c r="M275"/>
  <c r="G276"/>
  <c r="L276"/>
  <c r="K277"/>
  <c r="O278"/>
  <c r="O5" i="13"/>
  <c r="O257" i="20"/>
  <c r="G258"/>
  <c r="K258"/>
  <c r="O258"/>
  <c r="G259"/>
  <c r="K259"/>
  <c r="O259"/>
  <c r="G260"/>
  <c r="K260"/>
  <c r="O260"/>
  <c r="G261"/>
  <c r="K261"/>
  <c r="O261"/>
  <c r="G262"/>
  <c r="K262"/>
  <c r="O262"/>
  <c r="G263"/>
  <c r="K263"/>
  <c r="O263"/>
  <c r="G264"/>
  <c r="K264"/>
  <c r="O264"/>
  <c r="G265"/>
  <c r="K265"/>
  <c r="O265"/>
  <c r="G266"/>
  <c r="K266"/>
  <c r="O266"/>
  <c r="G267"/>
  <c r="K267"/>
  <c r="O267"/>
  <c r="G268"/>
  <c r="K268"/>
  <c r="O268"/>
  <c r="H269"/>
  <c r="M269"/>
  <c r="G270"/>
  <c r="L270"/>
  <c r="E271"/>
  <c r="K271"/>
  <c r="D272"/>
  <c r="I272"/>
  <c r="O272"/>
  <c r="H273"/>
  <c r="M273"/>
  <c r="G274"/>
  <c r="L274"/>
  <c r="E275"/>
  <c r="K275"/>
  <c r="D276"/>
  <c r="I276"/>
  <c r="O276"/>
  <c r="G278"/>
  <c r="F7" i="13"/>
  <c r="AH7" s="1"/>
  <c r="X556"/>
  <c r="X554"/>
  <c r="W556"/>
  <c r="W554"/>
  <c r="X551"/>
  <c r="X550"/>
  <c r="X549"/>
  <c r="W541"/>
  <c r="W540"/>
  <c r="W539"/>
  <c r="W538"/>
  <c r="X540"/>
  <c r="X539"/>
  <c r="W543"/>
  <c r="W542"/>
  <c r="X541"/>
  <c r="X538"/>
  <c r="W548"/>
  <c r="X543"/>
  <c r="X542"/>
  <c r="W551"/>
  <c r="W550"/>
  <c r="W549"/>
  <c r="X548"/>
  <c r="V538"/>
  <c r="AE542"/>
  <c r="AE533"/>
  <c r="AE71"/>
  <c r="AM542"/>
  <c r="AM71"/>
  <c r="AQ542"/>
  <c r="AQ71"/>
  <c r="AF591"/>
  <c r="AG590"/>
  <c r="AC590"/>
  <c r="AH588"/>
  <c r="AH598" s="1"/>
  <c r="G58" i="16" s="1"/>
  <c r="AD588" i="13"/>
  <c r="AD598" s="1"/>
  <c r="C58" i="16" s="1"/>
  <c r="AH587" i="13"/>
  <c r="AH597" s="1"/>
  <c r="AD587"/>
  <c r="AD597" s="1"/>
  <c r="AE586"/>
  <c r="AF585"/>
  <c r="AG584"/>
  <c r="AG594" s="1"/>
  <c r="AC584"/>
  <c r="AC594" s="1"/>
  <c r="AG585"/>
  <c r="AH584"/>
  <c r="AH594" s="1"/>
  <c r="AC586"/>
  <c r="AE584"/>
  <c r="AE594" s="1"/>
  <c r="AG591"/>
  <c r="AC591"/>
  <c r="AH590"/>
  <c r="AD590"/>
  <c r="AE588"/>
  <c r="AE598" s="1"/>
  <c r="D58" i="16" s="1"/>
  <c r="AE587" i="13"/>
  <c r="AE597" s="1"/>
  <c r="AQ586"/>
  <c r="AM586"/>
  <c r="AF586"/>
  <c r="AC585"/>
  <c r="AD584"/>
  <c r="AD594" s="1"/>
  <c r="AD585"/>
  <c r="AM584"/>
  <c r="AM594" s="1"/>
  <c r="AH591"/>
  <c r="AD591"/>
  <c r="AE590"/>
  <c r="AQ588"/>
  <c r="AQ598" s="1"/>
  <c r="P58" i="16" s="1"/>
  <c r="AM588" i="13"/>
  <c r="AM598" s="1"/>
  <c r="AF588"/>
  <c r="AF598" s="1"/>
  <c r="E58" i="16" s="1"/>
  <c r="AQ587" i="13"/>
  <c r="AQ597" s="1"/>
  <c r="AM587"/>
  <c r="AM597" s="1"/>
  <c r="AF587"/>
  <c r="AF597" s="1"/>
  <c r="AR586"/>
  <c r="AN586"/>
  <c r="AG586"/>
  <c r="AF584"/>
  <c r="AF594" s="1"/>
  <c r="AE591"/>
  <c r="AF590"/>
  <c r="AR588"/>
  <c r="AR598" s="1"/>
  <c r="Q58" i="16" s="1"/>
  <c r="AN588" i="13"/>
  <c r="AN598" s="1"/>
  <c r="M58" i="16" s="1"/>
  <c r="AG588" i="13"/>
  <c r="AG598" s="1"/>
  <c r="F58" i="16" s="1"/>
  <c r="AC588" i="13"/>
  <c r="AC598" s="1"/>
  <c r="AN587"/>
  <c r="AN597" s="1"/>
  <c r="AG587"/>
  <c r="AG597" s="1"/>
  <c r="AC587"/>
  <c r="AC597" s="1"/>
  <c r="AO586"/>
  <c r="AD586"/>
  <c r="AE585"/>
  <c r="AQ584"/>
  <c r="AQ594" s="1"/>
  <c r="AQ585"/>
  <c r="AP585"/>
  <c r="AP590"/>
  <c r="AR585"/>
  <c r="AN591"/>
  <c r="AN584"/>
  <c r="AN594" s="1"/>
  <c r="AH570"/>
  <c r="AD570"/>
  <c r="AG569"/>
  <c r="AC569"/>
  <c r="AF567"/>
  <c r="AF577" s="1"/>
  <c r="AE566"/>
  <c r="AE576" s="1"/>
  <c r="AG565"/>
  <c r="AC565"/>
  <c r="AE564"/>
  <c r="AH563"/>
  <c r="AH573" s="1"/>
  <c r="AD563"/>
  <c r="AD573" s="1"/>
  <c r="AN564"/>
  <c r="AE563"/>
  <c r="AE573" s="1"/>
  <c r="AF563"/>
  <c r="AF573" s="1"/>
  <c r="AO587"/>
  <c r="AO597" s="1"/>
  <c r="AQ591"/>
  <c r="AP591"/>
  <c r="AN585"/>
  <c r="AO590"/>
  <c r="AO584"/>
  <c r="AO594" s="1"/>
  <c r="AM591"/>
  <c r="AE570"/>
  <c r="AH569"/>
  <c r="AD569"/>
  <c r="AR567"/>
  <c r="AR577" s="1"/>
  <c r="AN567"/>
  <c r="AN577" s="1"/>
  <c r="AG567"/>
  <c r="AG577" s="1"/>
  <c r="AC567"/>
  <c r="AC577" s="1"/>
  <c r="AQ566"/>
  <c r="AQ576" s="1"/>
  <c r="AM566"/>
  <c r="AM576" s="1"/>
  <c r="AF566"/>
  <c r="AF576" s="1"/>
  <c r="AD565"/>
  <c r="AR564"/>
  <c r="AF564"/>
  <c r="AO588"/>
  <c r="AO598" s="1"/>
  <c r="N58" i="16" s="1"/>
  <c r="AP586" i="13"/>
  <c r="AQ590"/>
  <c r="AO585"/>
  <c r="AP588"/>
  <c r="AP598" s="1"/>
  <c r="O58" i="16" s="1"/>
  <c r="AP584" i="13"/>
  <c r="AP594" s="1"/>
  <c r="AN590"/>
  <c r="AQ570"/>
  <c r="AM570"/>
  <c r="AF570"/>
  <c r="AE569"/>
  <c r="AO567"/>
  <c r="AO577" s="1"/>
  <c r="AH567"/>
  <c r="AH577" s="1"/>
  <c r="AD567"/>
  <c r="AD577" s="1"/>
  <c r="AR566"/>
  <c r="AR576" s="1"/>
  <c r="AN566"/>
  <c r="AN576" s="1"/>
  <c r="AG566"/>
  <c r="AG576" s="1"/>
  <c r="AQ565"/>
  <c r="AM565"/>
  <c r="AE565"/>
  <c r="AO564"/>
  <c r="AG564"/>
  <c r="AC564"/>
  <c r="AM563"/>
  <c r="AM573" s="1"/>
  <c r="AR590"/>
  <c r="AR584"/>
  <c r="AR594" s="1"/>
  <c r="AM590"/>
  <c r="AO591"/>
  <c r="AP587"/>
  <c r="AP597" s="1"/>
  <c r="AR591"/>
  <c r="AM585"/>
  <c r="AG570"/>
  <c r="AC570"/>
  <c r="AF569"/>
  <c r="AE567"/>
  <c r="AE577" s="1"/>
  <c r="AO566"/>
  <c r="AO576" s="1"/>
  <c r="AH566"/>
  <c r="AH576" s="1"/>
  <c r="AD566"/>
  <c r="AD576" s="1"/>
  <c r="AF565"/>
  <c r="AD564"/>
  <c r="AG563"/>
  <c r="AG573" s="1"/>
  <c r="AC563"/>
  <c r="AC573" s="1"/>
  <c r="AQ563"/>
  <c r="AQ573" s="1"/>
  <c r="AO570"/>
  <c r="AN563"/>
  <c r="AN573" s="1"/>
  <c r="AR565"/>
  <c r="AN570"/>
  <c r="AO569"/>
  <c r="AM567"/>
  <c r="AM577" s="1"/>
  <c r="AO563"/>
  <c r="AO573" s="1"/>
  <c r="AP566"/>
  <c r="AP576" s="1"/>
  <c r="AN565"/>
  <c r="AQ569"/>
  <c r="AP565"/>
  <c r="AM564"/>
  <c r="AR569"/>
  <c r="AO565"/>
  <c r="AP564"/>
  <c r="AM569"/>
  <c r="AP569"/>
  <c r="AP563"/>
  <c r="AQ567"/>
  <c r="AQ577" s="1"/>
  <c r="AQ564"/>
  <c r="AR563"/>
  <c r="AR573" s="1"/>
  <c r="AP567"/>
  <c r="AP577" s="1"/>
  <c r="AR570"/>
  <c r="AP570"/>
  <c r="AN569"/>
  <c r="AD542"/>
  <c r="AD533"/>
  <c r="AD71"/>
  <c r="AP542"/>
  <c r="AP71"/>
  <c r="F269" i="20"/>
  <c r="J269"/>
  <c r="N269"/>
  <c r="F270"/>
  <c r="J270"/>
  <c r="N270"/>
  <c r="F271"/>
  <c r="J271"/>
  <c r="N271"/>
  <c r="F272"/>
  <c r="J272"/>
  <c r="N272"/>
  <c r="F273"/>
  <c r="J273"/>
  <c r="N273"/>
  <c r="F274"/>
  <c r="J274"/>
  <c r="N274"/>
  <c r="F275"/>
  <c r="J275"/>
  <c r="N275"/>
  <c r="F276"/>
  <c r="J276"/>
  <c r="N276"/>
  <c r="F277"/>
  <c r="J277"/>
  <c r="N277"/>
  <c r="F278"/>
  <c r="J278"/>
  <c r="N278"/>
  <c r="F279"/>
  <c r="J279"/>
  <c r="N279"/>
  <c r="AH5" i="13"/>
  <c r="AC542"/>
  <c r="AC533"/>
  <c r="AG542"/>
  <c r="AG533"/>
  <c r="AG71"/>
  <c r="AO542"/>
  <c r="AO71"/>
  <c r="E277" i="20"/>
  <c r="I277"/>
  <c r="M277"/>
  <c r="E278"/>
  <c r="I278"/>
  <c r="M278"/>
  <c r="E279"/>
  <c r="I279"/>
  <c r="M279"/>
  <c r="AH544" i="13"/>
  <c r="AF542"/>
  <c r="AF533"/>
  <c r="AF71"/>
  <c r="AN542"/>
  <c r="AN71"/>
  <c r="AR542"/>
  <c r="AS71"/>
  <c r="D277" i="20"/>
  <c r="H277"/>
  <c r="L277"/>
  <c r="D278"/>
  <c r="H278"/>
  <c r="L278"/>
  <c r="D279"/>
  <c r="H279"/>
  <c r="L279"/>
  <c r="AH6" i="13"/>
  <c r="AH565"/>
  <c r="AH575" s="1"/>
  <c r="AH68"/>
  <c r="AH586" s="1"/>
  <c r="O68"/>
  <c r="O159" i="20"/>
  <c r="N159"/>
  <c r="M159"/>
  <c r="L159"/>
  <c r="K159"/>
  <c r="J159"/>
  <c r="I159"/>
  <c r="H159"/>
  <c r="G159"/>
  <c r="F159"/>
  <c r="E159"/>
  <c r="D159"/>
  <c r="O158"/>
  <c r="N158"/>
  <c r="M158"/>
  <c r="L158"/>
  <c r="K158"/>
  <c r="J158"/>
  <c r="I158"/>
  <c r="H158"/>
  <c r="G158"/>
  <c r="F158"/>
  <c r="E158"/>
  <c r="D158"/>
  <c r="O157"/>
  <c r="N157"/>
  <c r="M157"/>
  <c r="L157"/>
  <c r="K157"/>
  <c r="J157"/>
  <c r="I157"/>
  <c r="H157"/>
  <c r="G157"/>
  <c r="F157"/>
  <c r="E157"/>
  <c r="D157"/>
  <c r="O156"/>
  <c r="N156"/>
  <c r="M156"/>
  <c r="L156"/>
  <c r="K156"/>
  <c r="J156"/>
  <c r="I156"/>
  <c r="H156"/>
  <c r="G156"/>
  <c r="F156"/>
  <c r="E156"/>
  <c r="D156"/>
  <c r="O155"/>
  <c r="N155"/>
  <c r="M155"/>
  <c r="L155"/>
  <c r="K155"/>
  <c r="J155"/>
  <c r="I155"/>
  <c r="H155"/>
  <c r="G155"/>
  <c r="F155"/>
  <c r="E155"/>
  <c r="D155"/>
  <c r="O154"/>
  <c r="N154"/>
  <c r="M154"/>
  <c r="L154"/>
  <c r="K154"/>
  <c r="J154"/>
  <c r="I154"/>
  <c r="H154"/>
  <c r="G154"/>
  <c r="F154"/>
  <c r="E154"/>
  <c r="D154"/>
  <c r="O153"/>
  <c r="N153"/>
  <c r="M153"/>
  <c r="L153"/>
  <c r="K153"/>
  <c r="J153"/>
  <c r="I153"/>
  <c r="H153"/>
  <c r="G153"/>
  <c r="F153"/>
  <c r="E153"/>
  <c r="D153"/>
  <c r="O152"/>
  <c r="N152"/>
  <c r="M152"/>
  <c r="L152"/>
  <c r="K152"/>
  <c r="J152"/>
  <c r="I152"/>
  <c r="H152"/>
  <c r="G152"/>
  <c r="F152"/>
  <c r="E152"/>
  <c r="D152"/>
  <c r="O151"/>
  <c r="N151"/>
  <c r="M151"/>
  <c r="L151"/>
  <c r="K151"/>
  <c r="J151"/>
  <c r="I151"/>
  <c r="H151"/>
  <c r="G151"/>
  <c r="F151"/>
  <c r="E151"/>
  <c r="D151"/>
  <c r="O150"/>
  <c r="N150"/>
  <c r="M150"/>
  <c r="L150"/>
  <c r="K150"/>
  <c r="J150"/>
  <c r="I150"/>
  <c r="H150"/>
  <c r="G150"/>
  <c r="F150"/>
  <c r="E150"/>
  <c r="D150"/>
  <c r="O149"/>
  <c r="N149"/>
  <c r="M149"/>
  <c r="L149"/>
  <c r="K149"/>
  <c r="J149"/>
  <c r="I149"/>
  <c r="H149"/>
  <c r="G149"/>
  <c r="F149"/>
  <c r="E149"/>
  <c r="D149"/>
  <c r="O148"/>
  <c r="N148"/>
  <c r="M148"/>
  <c r="L148"/>
  <c r="K148"/>
  <c r="J148"/>
  <c r="I148"/>
  <c r="H148"/>
  <c r="G148"/>
  <c r="F148"/>
  <c r="E148"/>
  <c r="D148"/>
  <c r="O147"/>
  <c r="N147"/>
  <c r="M147"/>
  <c r="L147"/>
  <c r="K147"/>
  <c r="J147"/>
  <c r="I147"/>
  <c r="H147"/>
  <c r="G147"/>
  <c r="F147"/>
  <c r="E147"/>
  <c r="D147"/>
  <c r="O146"/>
  <c r="N146"/>
  <c r="M146"/>
  <c r="L146"/>
  <c r="K146"/>
  <c r="J146"/>
  <c r="I146"/>
  <c r="H146"/>
  <c r="G146"/>
  <c r="F146"/>
  <c r="E146"/>
  <c r="D146"/>
  <c r="O145"/>
  <c r="N145"/>
  <c r="M145"/>
  <c r="L145"/>
  <c r="K145"/>
  <c r="J145"/>
  <c r="I145"/>
  <c r="H145"/>
  <c r="G145"/>
  <c r="F145"/>
  <c r="E145"/>
  <c r="D145"/>
  <c r="O144"/>
  <c r="N144"/>
  <c r="M144"/>
  <c r="L144"/>
  <c r="K144"/>
  <c r="J144"/>
  <c r="I144"/>
  <c r="H144"/>
  <c r="G144"/>
  <c r="F144"/>
  <c r="E144"/>
  <c r="D144"/>
  <c r="O143"/>
  <c r="N143"/>
  <c r="M143"/>
  <c r="L143"/>
  <c r="K143"/>
  <c r="J143"/>
  <c r="I143"/>
  <c r="H143"/>
  <c r="G143"/>
  <c r="F143"/>
  <c r="E143"/>
  <c r="D143"/>
  <c r="O142"/>
  <c r="N142"/>
  <c r="M142"/>
  <c r="L142"/>
  <c r="K142"/>
  <c r="J142"/>
  <c r="I142"/>
  <c r="H142"/>
  <c r="G142"/>
  <c r="F142"/>
  <c r="E142"/>
  <c r="D142"/>
  <c r="O141"/>
  <c r="N141"/>
  <c r="M141"/>
  <c r="L141"/>
  <c r="K141"/>
  <c r="J141"/>
  <c r="I141"/>
  <c r="H141"/>
  <c r="G141"/>
  <c r="F141"/>
  <c r="E141"/>
  <c r="D141"/>
  <c r="O140"/>
  <c r="N140"/>
  <c r="M140"/>
  <c r="L140"/>
  <c r="K140"/>
  <c r="J140"/>
  <c r="I140"/>
  <c r="H140"/>
  <c r="G140"/>
  <c r="F140"/>
  <c r="E140"/>
  <c r="D140"/>
  <c r="O139"/>
  <c r="N139"/>
  <c r="M139"/>
  <c r="L139"/>
  <c r="K139"/>
  <c r="J139"/>
  <c r="I139"/>
  <c r="H139"/>
  <c r="G139"/>
  <c r="F139"/>
  <c r="E139"/>
  <c r="D139"/>
  <c r="O138"/>
  <c r="N138"/>
  <c r="M138"/>
  <c r="L138"/>
  <c r="K138"/>
  <c r="J138"/>
  <c r="I138"/>
  <c r="H138"/>
  <c r="G138"/>
  <c r="F138"/>
  <c r="E138"/>
  <c r="D138"/>
  <c r="O137"/>
  <c r="N137"/>
  <c r="M137"/>
  <c r="L137"/>
  <c r="K137"/>
  <c r="J137"/>
  <c r="I137"/>
  <c r="H137"/>
  <c r="G137"/>
  <c r="F137"/>
  <c r="E137"/>
  <c r="D137"/>
  <c r="O136"/>
  <c r="N136"/>
  <c r="M136"/>
  <c r="L136"/>
  <c r="K136"/>
  <c r="J136"/>
  <c r="I136"/>
  <c r="H136"/>
  <c r="G136"/>
  <c r="F136"/>
  <c r="E136"/>
  <c r="D136"/>
  <c r="O135"/>
  <c r="N135"/>
  <c r="M135"/>
  <c r="L135"/>
  <c r="K135"/>
  <c r="J135"/>
  <c r="I135"/>
  <c r="H135"/>
  <c r="G135"/>
  <c r="F135"/>
  <c r="E135"/>
  <c r="D135"/>
  <c r="O134"/>
  <c r="N134"/>
  <c r="M134"/>
  <c r="L134"/>
  <c r="K134"/>
  <c r="J134"/>
  <c r="I134"/>
  <c r="H134"/>
  <c r="G134"/>
  <c r="F134"/>
  <c r="E134"/>
  <c r="D134"/>
  <c r="O133"/>
  <c r="N133"/>
  <c r="M133"/>
  <c r="L133"/>
  <c r="K133"/>
  <c r="J133"/>
  <c r="I133"/>
  <c r="H133"/>
  <c r="G133"/>
  <c r="F133"/>
  <c r="E133"/>
  <c r="D133"/>
  <c r="O132"/>
  <c r="N132"/>
  <c r="M132"/>
  <c r="L132"/>
  <c r="K132"/>
  <c r="J132"/>
  <c r="I132"/>
  <c r="H132"/>
  <c r="G132"/>
  <c r="F132"/>
  <c r="E132"/>
  <c r="D132"/>
  <c r="O131"/>
  <c r="N131"/>
  <c r="M131"/>
  <c r="L131"/>
  <c r="K131"/>
  <c r="J131"/>
  <c r="I131"/>
  <c r="H131"/>
  <c r="G131"/>
  <c r="F131"/>
  <c r="E131"/>
  <c r="D131"/>
  <c r="O130"/>
  <c r="N130"/>
  <c r="M130"/>
  <c r="L130"/>
  <c r="K130"/>
  <c r="J130"/>
  <c r="I130"/>
  <c r="H130"/>
  <c r="G130"/>
  <c r="F130"/>
  <c r="E130"/>
  <c r="D130"/>
  <c r="O129"/>
  <c r="N129"/>
  <c r="M129"/>
  <c r="L129"/>
  <c r="K129"/>
  <c r="J129"/>
  <c r="I129"/>
  <c r="H129"/>
  <c r="G129"/>
  <c r="F129"/>
  <c r="E129"/>
  <c r="D129"/>
  <c r="O128"/>
  <c r="N128"/>
  <c r="M128"/>
  <c r="L128"/>
  <c r="K128"/>
  <c r="J128"/>
  <c r="I128"/>
  <c r="H128"/>
  <c r="G128"/>
  <c r="F128"/>
  <c r="E128"/>
  <c r="D128"/>
  <c r="O127"/>
  <c r="N127"/>
  <c r="M127"/>
  <c r="L127"/>
  <c r="K127"/>
  <c r="J127"/>
  <c r="I127"/>
  <c r="I161" s="1"/>
  <c r="H127"/>
  <c r="G127"/>
  <c r="F127"/>
  <c r="E127"/>
  <c r="D127"/>
  <c r="N161" l="1"/>
  <c r="AQ555" i="13"/>
  <c r="P18" i="16" s="1"/>
  <c r="P38"/>
  <c r="C38"/>
  <c r="AD555" i="13"/>
  <c r="C18" i="16" s="1"/>
  <c r="AO555" i="13"/>
  <c r="N18" i="16" s="1"/>
  <c r="N38"/>
  <c r="AC555" i="13"/>
  <c r="B18" i="16" s="1"/>
  <c r="B38"/>
  <c r="AI577" i="13"/>
  <c r="M38" i="16"/>
  <c r="AN555" i="13"/>
  <c r="M18" i="16" s="1"/>
  <c r="O38"/>
  <c r="AP555" i="13"/>
  <c r="O18" i="16" s="1"/>
  <c r="AM555" i="13"/>
  <c r="L18" i="16" s="1"/>
  <c r="L38"/>
  <c r="AS577" i="13"/>
  <c r="AE555"/>
  <c r="D18" i="16" s="1"/>
  <c r="D38"/>
  <c r="G38"/>
  <c r="AH555" i="13"/>
  <c r="G18" i="16" s="1"/>
  <c r="AG555" i="13"/>
  <c r="F18" i="16" s="1"/>
  <c r="F38"/>
  <c r="AR555" i="13"/>
  <c r="Q18" i="16" s="1"/>
  <c r="Q38"/>
  <c r="E38"/>
  <c r="AF555" i="13"/>
  <c r="E18" i="16" s="1"/>
  <c r="B58"/>
  <c r="AI598" i="13"/>
  <c r="H58" i="16" s="1"/>
  <c r="L58"/>
  <c r="AS598" i="13"/>
  <c r="R58" i="16" s="1"/>
  <c r="F201" i="20"/>
  <c r="L201"/>
  <c r="D241"/>
  <c r="H241"/>
  <c r="L241"/>
  <c r="J201"/>
  <c r="AR587" i="13"/>
  <c r="AR597" s="1"/>
  <c r="AS597" s="1"/>
  <c r="AI599"/>
  <c r="AN551"/>
  <c r="AS599"/>
  <c r="AI597"/>
  <c r="AC554"/>
  <c r="O161" i="20"/>
  <c r="H161"/>
  <c r="D161"/>
  <c r="K161"/>
  <c r="F241"/>
  <c r="H201"/>
  <c r="D201"/>
  <c r="N201"/>
  <c r="N241"/>
  <c r="J241"/>
  <c r="G201"/>
  <c r="O201"/>
  <c r="K201"/>
  <c r="I201"/>
  <c r="E201"/>
  <c r="M201"/>
  <c r="K241"/>
  <c r="AF551" i="13"/>
  <c r="AH551"/>
  <c r="O241" i="20"/>
  <c r="G241"/>
  <c r="F161"/>
  <c r="AH543" i="13"/>
  <c r="AH556"/>
  <c r="M241" i="20"/>
  <c r="E241"/>
  <c r="I241"/>
  <c r="E161"/>
  <c r="M161"/>
  <c r="AO551" i="13"/>
  <c r="AG551"/>
  <c r="K281" i="20"/>
  <c r="AH585" i="13"/>
  <c r="AH595" s="1"/>
  <c r="G55" i="16" s="1"/>
  <c r="O281" i="20"/>
  <c r="AR551" i="13"/>
  <c r="AD551"/>
  <c r="G281" i="20"/>
  <c r="G161"/>
  <c r="M281"/>
  <c r="L281" s="1"/>
  <c r="F281"/>
  <c r="AE551" i="13"/>
  <c r="E281" i="20"/>
  <c r="D281" s="1"/>
  <c r="N281"/>
  <c r="O7" i="13"/>
  <c r="J281" i="20"/>
  <c r="I281"/>
  <c r="H281" s="1"/>
  <c r="AI573" i="13"/>
  <c r="AC551"/>
  <c r="AE595"/>
  <c r="AE554"/>
  <c r="AN556"/>
  <c r="AN596"/>
  <c r="AD554"/>
  <c r="AD595"/>
  <c r="AM556"/>
  <c r="AM596"/>
  <c r="L56" i="16" s="1"/>
  <c r="K56" s="1"/>
  <c r="AI594" i="13"/>
  <c r="W544"/>
  <c r="AP573"/>
  <c r="AP551" s="1"/>
  <c r="AQ551"/>
  <c r="AM554"/>
  <c r="AM595"/>
  <c r="L55" i="16" s="1"/>
  <c r="K55" s="1"/>
  <c r="AO595" i="13"/>
  <c r="AO554"/>
  <c r="AS576"/>
  <c r="R37" i="16" s="1"/>
  <c r="AN554" i="13"/>
  <c r="AN595"/>
  <c r="AR595"/>
  <c r="Q55" i="16" s="1"/>
  <c r="AO556" i="13"/>
  <c r="AO596"/>
  <c r="AG556"/>
  <c r="AG596"/>
  <c r="AF596"/>
  <c r="AF556"/>
  <c r="AG554"/>
  <c r="AG595"/>
  <c r="AE556"/>
  <c r="AE596"/>
  <c r="J161" i="20"/>
  <c r="AS594" i="13"/>
  <c r="X557"/>
  <c r="AM551"/>
  <c r="AQ554"/>
  <c r="AQ595"/>
  <c r="AC595"/>
  <c r="B55" i="16" s="1"/>
  <c r="AF595" i="13"/>
  <c r="AF554"/>
  <c r="L161" i="20"/>
  <c r="X544" i="13"/>
  <c r="AS533"/>
  <c r="AQ533" s="1"/>
  <c r="AP533" s="1"/>
  <c r="AO533" s="1"/>
  <c r="AN533" s="1"/>
  <c r="AM533" s="1"/>
  <c r="AS578"/>
  <c r="R39" i="16" s="1"/>
  <c r="AI576" i="13"/>
  <c r="AP556"/>
  <c r="AP596"/>
  <c r="AI578"/>
  <c r="H39" i="16" s="1"/>
  <c r="AP595" i="13"/>
  <c r="AP554"/>
  <c r="AD556"/>
  <c r="AD596"/>
  <c r="C56" i="16" s="1"/>
  <c r="AR556" i="13"/>
  <c r="AR596"/>
  <c r="AQ556"/>
  <c r="AQ596"/>
  <c r="AC596"/>
  <c r="AL71"/>
  <c r="W557"/>
  <c r="AG575"/>
  <c r="AH564"/>
  <c r="AH574" s="1"/>
  <c r="AH542"/>
  <c r="AI71"/>
  <c r="O118" i="20"/>
  <c r="N118"/>
  <c r="M118"/>
  <c r="L118"/>
  <c r="K118"/>
  <c r="J118"/>
  <c r="I118"/>
  <c r="H118"/>
  <c r="G118"/>
  <c r="F118"/>
  <c r="E118"/>
  <c r="D118"/>
  <c r="O117"/>
  <c r="N117"/>
  <c r="M117"/>
  <c r="L117"/>
  <c r="K117"/>
  <c r="J117"/>
  <c r="I117"/>
  <c r="H117"/>
  <c r="G117"/>
  <c r="F117"/>
  <c r="E117"/>
  <c r="D117"/>
  <c r="O116"/>
  <c r="N116"/>
  <c r="M116"/>
  <c r="L116"/>
  <c r="K116"/>
  <c r="J116"/>
  <c r="I116"/>
  <c r="H116"/>
  <c r="G116"/>
  <c r="F116"/>
  <c r="E116"/>
  <c r="D116"/>
  <c r="O115"/>
  <c r="N115"/>
  <c r="M115"/>
  <c r="L115"/>
  <c r="K115"/>
  <c r="J115"/>
  <c r="I115"/>
  <c r="H115"/>
  <c r="G115"/>
  <c r="F115"/>
  <c r="E115"/>
  <c r="D115"/>
  <c r="O114"/>
  <c r="N114"/>
  <c r="M114"/>
  <c r="L114"/>
  <c r="K114"/>
  <c r="J114"/>
  <c r="I114"/>
  <c r="H114"/>
  <c r="G114"/>
  <c r="F114"/>
  <c r="E114"/>
  <c r="D114"/>
  <c r="O113"/>
  <c r="N113"/>
  <c r="M113"/>
  <c r="L113"/>
  <c r="K113"/>
  <c r="J113"/>
  <c r="I113"/>
  <c r="H113"/>
  <c r="G113"/>
  <c r="F113"/>
  <c r="E113"/>
  <c r="D113"/>
  <c r="O112"/>
  <c r="N112"/>
  <c r="M112"/>
  <c r="L112"/>
  <c r="K112"/>
  <c r="J112"/>
  <c r="I112"/>
  <c r="H112"/>
  <c r="G112"/>
  <c r="F112"/>
  <c r="E112"/>
  <c r="D112"/>
  <c r="O111"/>
  <c r="N111"/>
  <c r="M111"/>
  <c r="L111"/>
  <c r="K111"/>
  <c r="J111"/>
  <c r="I111"/>
  <c r="H111"/>
  <c r="G111"/>
  <c r="F111"/>
  <c r="E111"/>
  <c r="D111"/>
  <c r="O110"/>
  <c r="N110"/>
  <c r="M110"/>
  <c r="L110"/>
  <c r="K110"/>
  <c r="J110"/>
  <c r="I110"/>
  <c r="H110"/>
  <c r="G110"/>
  <c r="F110"/>
  <c r="E110"/>
  <c r="D110"/>
  <c r="O109"/>
  <c r="N109"/>
  <c r="M109"/>
  <c r="L109"/>
  <c r="K109"/>
  <c r="J109"/>
  <c r="I109"/>
  <c r="H109"/>
  <c r="G109"/>
  <c r="F109"/>
  <c r="E109"/>
  <c r="D109"/>
  <c r="O108"/>
  <c r="N108"/>
  <c r="M108"/>
  <c r="L108"/>
  <c r="K108"/>
  <c r="J108"/>
  <c r="I108"/>
  <c r="H108"/>
  <c r="G108"/>
  <c r="F108"/>
  <c r="E108"/>
  <c r="D108"/>
  <c r="O107"/>
  <c r="N107"/>
  <c r="M107"/>
  <c r="L107"/>
  <c r="K107"/>
  <c r="J107"/>
  <c r="I107"/>
  <c r="H107"/>
  <c r="G107"/>
  <c r="F107"/>
  <c r="E107"/>
  <c r="D107"/>
  <c r="O106"/>
  <c r="N106"/>
  <c r="M106"/>
  <c r="L106"/>
  <c r="K106"/>
  <c r="J106"/>
  <c r="I106"/>
  <c r="H106"/>
  <c r="G106"/>
  <c r="F106"/>
  <c r="E106"/>
  <c r="D106"/>
  <c r="O105"/>
  <c r="N105"/>
  <c r="M105"/>
  <c r="L105"/>
  <c r="K105"/>
  <c r="J105"/>
  <c r="I105"/>
  <c r="H105"/>
  <c r="G105"/>
  <c r="F105"/>
  <c r="E105"/>
  <c r="D105"/>
  <c r="O104"/>
  <c r="N104"/>
  <c r="M104"/>
  <c r="L104"/>
  <c r="K104"/>
  <c r="J104"/>
  <c r="I104"/>
  <c r="H104"/>
  <c r="G104"/>
  <c r="F104"/>
  <c r="E104"/>
  <c r="D104"/>
  <c r="O103"/>
  <c r="N103"/>
  <c r="M103"/>
  <c r="L103"/>
  <c r="K103"/>
  <c r="J103"/>
  <c r="I103"/>
  <c r="H103"/>
  <c r="G103"/>
  <c r="F103"/>
  <c r="E103"/>
  <c r="D103"/>
  <c r="O102"/>
  <c r="N102"/>
  <c r="M102"/>
  <c r="L102"/>
  <c r="K102"/>
  <c r="J102"/>
  <c r="I102"/>
  <c r="H102"/>
  <c r="G102"/>
  <c r="F102"/>
  <c r="E102"/>
  <c r="D102"/>
  <c r="O101"/>
  <c r="N101"/>
  <c r="M101"/>
  <c r="L101"/>
  <c r="K101"/>
  <c r="J101"/>
  <c r="I101"/>
  <c r="H101"/>
  <c r="G101"/>
  <c r="F101"/>
  <c r="E101"/>
  <c r="D101"/>
  <c r="O100"/>
  <c r="N100"/>
  <c r="M100"/>
  <c r="L100"/>
  <c r="K100"/>
  <c r="J100"/>
  <c r="I100"/>
  <c r="H100"/>
  <c r="G100"/>
  <c r="F100"/>
  <c r="E100"/>
  <c r="D100"/>
  <c r="O99"/>
  <c r="N99"/>
  <c r="M99"/>
  <c r="L99"/>
  <c r="K99"/>
  <c r="J99"/>
  <c r="I99"/>
  <c r="H99"/>
  <c r="G99"/>
  <c r="F99"/>
  <c r="E99"/>
  <c r="D99"/>
  <c r="O98"/>
  <c r="N98"/>
  <c r="M98"/>
  <c r="L98"/>
  <c r="K98"/>
  <c r="J98"/>
  <c r="I98"/>
  <c r="H98"/>
  <c r="G98"/>
  <c r="F98"/>
  <c r="E98"/>
  <c r="D98"/>
  <c r="O97"/>
  <c r="N97"/>
  <c r="M97"/>
  <c r="L97"/>
  <c r="K97"/>
  <c r="J97"/>
  <c r="I97"/>
  <c r="H97"/>
  <c r="G97"/>
  <c r="F97"/>
  <c r="E97"/>
  <c r="D97"/>
  <c r="O96"/>
  <c r="N96"/>
  <c r="M96"/>
  <c r="L96"/>
  <c r="K96"/>
  <c r="J96"/>
  <c r="I96"/>
  <c r="H96"/>
  <c r="G96"/>
  <c r="F96"/>
  <c r="E96"/>
  <c r="D96"/>
  <c r="O95"/>
  <c r="N95"/>
  <c r="M95"/>
  <c r="L95"/>
  <c r="K95"/>
  <c r="J95"/>
  <c r="I95"/>
  <c r="H95"/>
  <c r="G95"/>
  <c r="F95"/>
  <c r="E95"/>
  <c r="D95"/>
  <c r="O94"/>
  <c r="N94"/>
  <c r="M94"/>
  <c r="L94"/>
  <c r="K94"/>
  <c r="J94"/>
  <c r="I94"/>
  <c r="H94"/>
  <c r="G94"/>
  <c r="F94"/>
  <c r="E94"/>
  <c r="D94"/>
  <c r="O93"/>
  <c r="N93"/>
  <c r="M93"/>
  <c r="L93"/>
  <c r="K93"/>
  <c r="J93"/>
  <c r="I93"/>
  <c r="H93"/>
  <c r="G93"/>
  <c r="F93"/>
  <c r="E93"/>
  <c r="D93"/>
  <c r="O92"/>
  <c r="N92"/>
  <c r="M92"/>
  <c r="L92"/>
  <c r="K92"/>
  <c r="J92"/>
  <c r="I92"/>
  <c r="H92"/>
  <c r="G92"/>
  <c r="F92"/>
  <c r="E92"/>
  <c r="D92"/>
  <c r="O91"/>
  <c r="N91"/>
  <c r="M91"/>
  <c r="L91"/>
  <c r="K91"/>
  <c r="J91"/>
  <c r="I91"/>
  <c r="H91"/>
  <c r="G91"/>
  <c r="F91"/>
  <c r="E91"/>
  <c r="D91"/>
  <c r="O90"/>
  <c r="N90"/>
  <c r="M90"/>
  <c r="L90"/>
  <c r="K90"/>
  <c r="J90"/>
  <c r="I90"/>
  <c r="H90"/>
  <c r="G90"/>
  <c r="F90"/>
  <c r="E90"/>
  <c r="D90"/>
  <c r="O89"/>
  <c r="N89"/>
  <c r="M89"/>
  <c r="L89"/>
  <c r="K89"/>
  <c r="J89"/>
  <c r="I89"/>
  <c r="H89"/>
  <c r="G89"/>
  <c r="F89"/>
  <c r="E89"/>
  <c r="D89"/>
  <c r="O88"/>
  <c r="N88"/>
  <c r="M88"/>
  <c r="L88"/>
  <c r="K88"/>
  <c r="J88"/>
  <c r="I88"/>
  <c r="H88"/>
  <c r="G88"/>
  <c r="F88"/>
  <c r="E88"/>
  <c r="D88"/>
  <c r="O87"/>
  <c r="N87"/>
  <c r="M87"/>
  <c r="L87"/>
  <c r="K87"/>
  <c r="J87"/>
  <c r="I87"/>
  <c r="H87"/>
  <c r="G87"/>
  <c r="F87"/>
  <c r="E87"/>
  <c r="D87"/>
  <c r="O86"/>
  <c r="M86"/>
  <c r="L86"/>
  <c r="K86"/>
  <c r="J86"/>
  <c r="I86"/>
  <c r="H86"/>
  <c r="G86"/>
  <c r="F86"/>
  <c r="E86"/>
  <c r="D86"/>
  <c r="O78"/>
  <c r="N78"/>
  <c r="M78"/>
  <c r="L78"/>
  <c r="K78"/>
  <c r="J78"/>
  <c r="I78"/>
  <c r="H78"/>
  <c r="G78"/>
  <c r="F78"/>
  <c r="E78"/>
  <c r="D78"/>
  <c r="O77"/>
  <c r="N77"/>
  <c r="M77"/>
  <c r="L77"/>
  <c r="K77"/>
  <c r="J77"/>
  <c r="I77"/>
  <c r="H77"/>
  <c r="G77"/>
  <c r="F77"/>
  <c r="E77"/>
  <c r="D77"/>
  <c r="O76"/>
  <c r="N76"/>
  <c r="M76"/>
  <c r="L76"/>
  <c r="K76"/>
  <c r="J76"/>
  <c r="I76"/>
  <c r="H76"/>
  <c r="G76"/>
  <c r="F76"/>
  <c r="E76"/>
  <c r="D76"/>
  <c r="O75"/>
  <c r="N75"/>
  <c r="M75"/>
  <c r="L75"/>
  <c r="K75"/>
  <c r="J75"/>
  <c r="I75"/>
  <c r="H75"/>
  <c r="G75"/>
  <c r="F75"/>
  <c r="E75"/>
  <c r="D75"/>
  <c r="O74"/>
  <c r="N74"/>
  <c r="M74"/>
  <c r="L74"/>
  <c r="K74"/>
  <c r="J74"/>
  <c r="I74"/>
  <c r="H74"/>
  <c r="G74"/>
  <c r="F74"/>
  <c r="E74"/>
  <c r="D74"/>
  <c r="O73"/>
  <c r="N73"/>
  <c r="M73"/>
  <c r="L73"/>
  <c r="K73"/>
  <c r="J73"/>
  <c r="I73"/>
  <c r="H73"/>
  <c r="G73"/>
  <c r="F73"/>
  <c r="E73"/>
  <c r="D73"/>
  <c r="O72"/>
  <c r="N72"/>
  <c r="M72"/>
  <c r="L72"/>
  <c r="K72"/>
  <c r="J72"/>
  <c r="I72"/>
  <c r="H72"/>
  <c r="G72"/>
  <c r="F72"/>
  <c r="E72"/>
  <c r="D72"/>
  <c r="O71"/>
  <c r="N71"/>
  <c r="M71"/>
  <c r="L71"/>
  <c r="K71"/>
  <c r="J71"/>
  <c r="I71"/>
  <c r="H71"/>
  <c r="G71"/>
  <c r="F71"/>
  <c r="E71"/>
  <c r="D71"/>
  <c r="O70"/>
  <c r="N70"/>
  <c r="M70"/>
  <c r="L70"/>
  <c r="K70"/>
  <c r="J70"/>
  <c r="I70"/>
  <c r="H70"/>
  <c r="G70"/>
  <c r="F70"/>
  <c r="E70"/>
  <c r="D70"/>
  <c r="O69"/>
  <c r="N69"/>
  <c r="M69"/>
  <c r="L69"/>
  <c r="K69"/>
  <c r="J69"/>
  <c r="I69"/>
  <c r="H69"/>
  <c r="G69"/>
  <c r="F69"/>
  <c r="E69"/>
  <c r="D69"/>
  <c r="O68"/>
  <c r="N68"/>
  <c r="M68"/>
  <c r="L68"/>
  <c r="K68"/>
  <c r="J68"/>
  <c r="I68"/>
  <c r="H68"/>
  <c r="G68"/>
  <c r="F68"/>
  <c r="E68"/>
  <c r="D68"/>
  <c r="O67"/>
  <c r="N67"/>
  <c r="M67"/>
  <c r="L67"/>
  <c r="K67"/>
  <c r="J67"/>
  <c r="I67"/>
  <c r="H67"/>
  <c r="G67"/>
  <c r="F67"/>
  <c r="E67"/>
  <c r="D67"/>
  <c r="O66"/>
  <c r="N66"/>
  <c r="M66"/>
  <c r="L66"/>
  <c r="K66"/>
  <c r="J66"/>
  <c r="I66"/>
  <c r="H66"/>
  <c r="G66"/>
  <c r="F66"/>
  <c r="E66"/>
  <c r="D66"/>
  <c r="O65"/>
  <c r="N65"/>
  <c r="M65"/>
  <c r="L65"/>
  <c r="K65"/>
  <c r="J65"/>
  <c r="I65"/>
  <c r="H65"/>
  <c r="G65"/>
  <c r="F65"/>
  <c r="E65"/>
  <c r="D65"/>
  <c r="O64"/>
  <c r="N64"/>
  <c r="M64"/>
  <c r="L64"/>
  <c r="K64"/>
  <c r="J64"/>
  <c r="I64"/>
  <c r="H64"/>
  <c r="G64"/>
  <c r="F64"/>
  <c r="E64"/>
  <c r="D64"/>
  <c r="O63"/>
  <c r="N63"/>
  <c r="M63"/>
  <c r="L63"/>
  <c r="K63"/>
  <c r="J63"/>
  <c r="I63"/>
  <c r="H63"/>
  <c r="G63"/>
  <c r="F63"/>
  <c r="E63"/>
  <c r="D63"/>
  <c r="O62"/>
  <c r="N62"/>
  <c r="M62"/>
  <c r="L62"/>
  <c r="K62"/>
  <c r="J62"/>
  <c r="I62"/>
  <c r="H62"/>
  <c r="G62"/>
  <c r="F62"/>
  <c r="E62"/>
  <c r="D62"/>
  <c r="O61"/>
  <c r="N61"/>
  <c r="M61"/>
  <c r="L61"/>
  <c r="K61"/>
  <c r="J61"/>
  <c r="I61"/>
  <c r="H61"/>
  <c r="G61"/>
  <c r="F61"/>
  <c r="E61"/>
  <c r="D61"/>
  <c r="O60"/>
  <c r="N60"/>
  <c r="M60"/>
  <c r="L60"/>
  <c r="K60"/>
  <c r="J60"/>
  <c r="I60"/>
  <c r="H60"/>
  <c r="G60"/>
  <c r="F60"/>
  <c r="E60"/>
  <c r="D60"/>
  <c r="O59"/>
  <c r="N59"/>
  <c r="M59"/>
  <c r="L59"/>
  <c r="K59"/>
  <c r="J59"/>
  <c r="I59"/>
  <c r="H59"/>
  <c r="G59"/>
  <c r="F59"/>
  <c r="E59"/>
  <c r="D59"/>
  <c r="O58"/>
  <c r="N58"/>
  <c r="M58"/>
  <c r="L58"/>
  <c r="K58"/>
  <c r="J58"/>
  <c r="I58"/>
  <c r="H58"/>
  <c r="G58"/>
  <c r="F58"/>
  <c r="E58"/>
  <c r="D58"/>
  <c r="O57"/>
  <c r="N57"/>
  <c r="M57"/>
  <c r="L57"/>
  <c r="K57"/>
  <c r="J57"/>
  <c r="I57"/>
  <c r="H57"/>
  <c r="G57"/>
  <c r="F57"/>
  <c r="E57"/>
  <c r="D57"/>
  <c r="O56"/>
  <c r="N56"/>
  <c r="M56"/>
  <c r="L56"/>
  <c r="K56"/>
  <c r="J56"/>
  <c r="I56"/>
  <c r="H56"/>
  <c r="G56"/>
  <c r="F56"/>
  <c r="E56"/>
  <c r="D56"/>
  <c r="O55"/>
  <c r="N55"/>
  <c r="M55"/>
  <c r="L55"/>
  <c r="K55"/>
  <c r="J55"/>
  <c r="I55"/>
  <c r="H55"/>
  <c r="G55"/>
  <c r="F55"/>
  <c r="E55"/>
  <c r="D55"/>
  <c r="O54"/>
  <c r="N54"/>
  <c r="M54"/>
  <c r="L54"/>
  <c r="K54"/>
  <c r="J54"/>
  <c r="I54"/>
  <c r="H54"/>
  <c r="G54"/>
  <c r="F54"/>
  <c r="E54"/>
  <c r="D54"/>
  <c r="O53"/>
  <c r="N53"/>
  <c r="M53"/>
  <c r="L53"/>
  <c r="K53"/>
  <c r="J53"/>
  <c r="I53"/>
  <c r="H53"/>
  <c r="G53"/>
  <c r="F53"/>
  <c r="E53"/>
  <c r="D53"/>
  <c r="O52"/>
  <c r="N52"/>
  <c r="M52"/>
  <c r="L52"/>
  <c r="K52"/>
  <c r="J52"/>
  <c r="I52"/>
  <c r="H52"/>
  <c r="G52"/>
  <c r="F52"/>
  <c r="E52"/>
  <c r="D52"/>
  <c r="O51"/>
  <c r="N51"/>
  <c r="M51"/>
  <c r="L51"/>
  <c r="K51"/>
  <c r="J51"/>
  <c r="I51"/>
  <c r="H51"/>
  <c r="G51"/>
  <c r="F51"/>
  <c r="E51"/>
  <c r="D51"/>
  <c r="O50"/>
  <c r="N50"/>
  <c r="M50"/>
  <c r="L50"/>
  <c r="K50"/>
  <c r="J50"/>
  <c r="I50"/>
  <c r="H50"/>
  <c r="G50"/>
  <c r="F50"/>
  <c r="E50"/>
  <c r="D50"/>
  <c r="O49"/>
  <c r="N49"/>
  <c r="M49"/>
  <c r="L49"/>
  <c r="K49"/>
  <c r="J49"/>
  <c r="I49"/>
  <c r="H49"/>
  <c r="G49"/>
  <c r="F49"/>
  <c r="E49"/>
  <c r="D49"/>
  <c r="O48"/>
  <c r="N48"/>
  <c r="M48"/>
  <c r="L48"/>
  <c r="K48"/>
  <c r="J48"/>
  <c r="I48"/>
  <c r="H48"/>
  <c r="G48"/>
  <c r="F48"/>
  <c r="E48"/>
  <c r="D48"/>
  <c r="O47"/>
  <c r="N47"/>
  <c r="M47"/>
  <c r="L47"/>
  <c r="K47"/>
  <c r="J47"/>
  <c r="I47"/>
  <c r="H47"/>
  <c r="G47"/>
  <c r="F47"/>
  <c r="E47"/>
  <c r="D47"/>
  <c r="O46"/>
  <c r="N46"/>
  <c r="M46"/>
  <c r="M80" s="1"/>
  <c r="L46"/>
  <c r="K46"/>
  <c r="K80" s="1"/>
  <c r="J46"/>
  <c r="I46"/>
  <c r="I80" s="1"/>
  <c r="H46"/>
  <c r="G46"/>
  <c r="G80" s="1"/>
  <c r="F46"/>
  <c r="E46"/>
  <c r="E80" s="1"/>
  <c r="D46"/>
  <c r="O38"/>
  <c r="N38"/>
  <c r="M38"/>
  <c r="L38"/>
  <c r="K38"/>
  <c r="J38"/>
  <c r="I38"/>
  <c r="H38"/>
  <c r="G38"/>
  <c r="F38"/>
  <c r="E38"/>
  <c r="D38"/>
  <c r="O37"/>
  <c r="N37"/>
  <c r="M37"/>
  <c r="L37"/>
  <c r="K37"/>
  <c r="J37"/>
  <c r="I37"/>
  <c r="H37"/>
  <c r="G37"/>
  <c r="F37"/>
  <c r="E37"/>
  <c r="D37"/>
  <c r="O36"/>
  <c r="N36"/>
  <c r="M36"/>
  <c r="L36"/>
  <c r="K36"/>
  <c r="J36"/>
  <c r="I36"/>
  <c r="H36"/>
  <c r="G36"/>
  <c r="F36"/>
  <c r="E36"/>
  <c r="D36"/>
  <c r="O35"/>
  <c r="N35"/>
  <c r="M35"/>
  <c r="L35"/>
  <c r="K35"/>
  <c r="J35"/>
  <c r="I35"/>
  <c r="H35"/>
  <c r="G35"/>
  <c r="F35"/>
  <c r="E35"/>
  <c r="D35"/>
  <c r="O34"/>
  <c r="N34"/>
  <c r="M34"/>
  <c r="L34"/>
  <c r="K34"/>
  <c r="J34"/>
  <c r="I34"/>
  <c r="H34"/>
  <c r="G34"/>
  <c r="F34"/>
  <c r="E34"/>
  <c r="D34"/>
  <c r="O33"/>
  <c r="N33"/>
  <c r="M33"/>
  <c r="L33"/>
  <c r="K33"/>
  <c r="J33"/>
  <c r="I33"/>
  <c r="H33"/>
  <c r="G33"/>
  <c r="F33"/>
  <c r="E33"/>
  <c r="D33"/>
  <c r="O32"/>
  <c r="N32"/>
  <c r="M32"/>
  <c r="L32"/>
  <c r="K32"/>
  <c r="J32"/>
  <c r="I32"/>
  <c r="H32"/>
  <c r="G32"/>
  <c r="F32"/>
  <c r="E32"/>
  <c r="D32"/>
  <c r="O31"/>
  <c r="N31"/>
  <c r="M31"/>
  <c r="L31"/>
  <c r="K31"/>
  <c r="J31"/>
  <c r="I31"/>
  <c r="H31"/>
  <c r="G31"/>
  <c r="F31"/>
  <c r="E31"/>
  <c r="D31"/>
  <c r="O30"/>
  <c r="N30"/>
  <c r="M30"/>
  <c r="L30"/>
  <c r="K30"/>
  <c r="J30"/>
  <c r="I30"/>
  <c r="H30"/>
  <c r="G30"/>
  <c r="F30"/>
  <c r="E30"/>
  <c r="D30"/>
  <c r="O29"/>
  <c r="N29"/>
  <c r="M29"/>
  <c r="L29"/>
  <c r="K29"/>
  <c r="J29"/>
  <c r="I29"/>
  <c r="H29"/>
  <c r="G29"/>
  <c r="F29"/>
  <c r="E29"/>
  <c r="D29"/>
  <c r="O28"/>
  <c r="N28"/>
  <c r="M28"/>
  <c r="L28"/>
  <c r="K28"/>
  <c r="J28"/>
  <c r="I28"/>
  <c r="H28"/>
  <c r="G28"/>
  <c r="F28"/>
  <c r="E28"/>
  <c r="D28"/>
  <c r="O27"/>
  <c r="N27"/>
  <c r="M27"/>
  <c r="L27"/>
  <c r="K27"/>
  <c r="J27"/>
  <c r="I27"/>
  <c r="H27"/>
  <c r="G27"/>
  <c r="F27"/>
  <c r="E27"/>
  <c r="D27"/>
  <c r="O26"/>
  <c r="N26"/>
  <c r="M26"/>
  <c r="L26"/>
  <c r="K26"/>
  <c r="J26"/>
  <c r="I26"/>
  <c r="H26"/>
  <c r="G26"/>
  <c r="F26"/>
  <c r="E26"/>
  <c r="D26"/>
  <c r="O25"/>
  <c r="N25"/>
  <c r="M25"/>
  <c r="L25"/>
  <c r="K25"/>
  <c r="J25"/>
  <c r="I25"/>
  <c r="H25"/>
  <c r="G25"/>
  <c r="F25"/>
  <c r="E25"/>
  <c r="D25"/>
  <c r="O24"/>
  <c r="N24"/>
  <c r="M24"/>
  <c r="L24"/>
  <c r="K24"/>
  <c r="J24"/>
  <c r="I24"/>
  <c r="H24"/>
  <c r="G24"/>
  <c r="F24"/>
  <c r="E24"/>
  <c r="D24"/>
  <c r="O23"/>
  <c r="N23"/>
  <c r="M23"/>
  <c r="L23"/>
  <c r="K23"/>
  <c r="J23"/>
  <c r="I23"/>
  <c r="H23"/>
  <c r="G23"/>
  <c r="F23"/>
  <c r="E23"/>
  <c r="D23"/>
  <c r="O22"/>
  <c r="N22"/>
  <c r="M22"/>
  <c r="L22"/>
  <c r="K22"/>
  <c r="J22"/>
  <c r="I22"/>
  <c r="H22"/>
  <c r="G22"/>
  <c r="F22"/>
  <c r="E22"/>
  <c r="D22"/>
  <c r="O21"/>
  <c r="N21"/>
  <c r="M21"/>
  <c r="L21"/>
  <c r="K21"/>
  <c r="J21"/>
  <c r="I21"/>
  <c r="H21"/>
  <c r="G21"/>
  <c r="F21"/>
  <c r="E21"/>
  <c r="D21"/>
  <c r="O20"/>
  <c r="N20"/>
  <c r="M20"/>
  <c r="L20"/>
  <c r="K20"/>
  <c r="J20"/>
  <c r="I20"/>
  <c r="H20"/>
  <c r="G20"/>
  <c r="F20"/>
  <c r="E20"/>
  <c r="D20"/>
  <c r="O19"/>
  <c r="N19"/>
  <c r="M19"/>
  <c r="L19"/>
  <c r="K19"/>
  <c r="J19"/>
  <c r="I19"/>
  <c r="H19"/>
  <c r="G19"/>
  <c r="F19"/>
  <c r="E19"/>
  <c r="D19"/>
  <c r="O18"/>
  <c r="N18"/>
  <c r="M18"/>
  <c r="L18"/>
  <c r="K18"/>
  <c r="J18"/>
  <c r="I18"/>
  <c r="H18"/>
  <c r="G18"/>
  <c r="F18"/>
  <c r="E18"/>
  <c r="D18"/>
  <c r="O17"/>
  <c r="N17"/>
  <c r="M17"/>
  <c r="L17"/>
  <c r="K17"/>
  <c r="J17"/>
  <c r="I17"/>
  <c r="H17"/>
  <c r="G17"/>
  <c r="F17"/>
  <c r="E17"/>
  <c r="D17"/>
  <c r="O16"/>
  <c r="N16"/>
  <c r="M16"/>
  <c r="L16"/>
  <c r="K16"/>
  <c r="J16"/>
  <c r="I16"/>
  <c r="H16"/>
  <c r="G16"/>
  <c r="F16"/>
  <c r="E16"/>
  <c r="D16"/>
  <c r="O15"/>
  <c r="N15"/>
  <c r="M15"/>
  <c r="L15"/>
  <c r="K15"/>
  <c r="J15"/>
  <c r="I15"/>
  <c r="H15"/>
  <c r="G15"/>
  <c r="F15"/>
  <c r="E15"/>
  <c r="D15"/>
  <c r="O14"/>
  <c r="N14"/>
  <c r="M14"/>
  <c r="L14"/>
  <c r="K14"/>
  <c r="J14"/>
  <c r="I14"/>
  <c r="H14"/>
  <c r="G14"/>
  <c r="F14"/>
  <c r="E14"/>
  <c r="D14"/>
  <c r="O13"/>
  <c r="N13"/>
  <c r="M13"/>
  <c r="L13"/>
  <c r="K13"/>
  <c r="J13"/>
  <c r="I13"/>
  <c r="H13"/>
  <c r="G13"/>
  <c r="F13"/>
  <c r="E13"/>
  <c r="D13"/>
  <c r="O12"/>
  <c r="N12"/>
  <c r="M12"/>
  <c r="L12"/>
  <c r="K12"/>
  <c r="J12"/>
  <c r="I12"/>
  <c r="H12"/>
  <c r="G12"/>
  <c r="F12"/>
  <c r="E12"/>
  <c r="D12"/>
  <c r="O11"/>
  <c r="N11"/>
  <c r="M11"/>
  <c r="L11"/>
  <c r="K11"/>
  <c r="J11"/>
  <c r="I11"/>
  <c r="H11"/>
  <c r="G11"/>
  <c r="F11"/>
  <c r="E11"/>
  <c r="D11"/>
  <c r="O10"/>
  <c r="N10"/>
  <c r="M10"/>
  <c r="L10"/>
  <c r="K10"/>
  <c r="J10"/>
  <c r="I10"/>
  <c r="H10"/>
  <c r="G10"/>
  <c r="F10"/>
  <c r="E10"/>
  <c r="D10"/>
  <c r="O9"/>
  <c r="N9"/>
  <c r="M9"/>
  <c r="L9"/>
  <c r="K9"/>
  <c r="J9"/>
  <c r="I9"/>
  <c r="H9"/>
  <c r="G9"/>
  <c r="F9"/>
  <c r="E9"/>
  <c r="D9"/>
  <c r="O8"/>
  <c r="N8"/>
  <c r="M8"/>
  <c r="L8"/>
  <c r="K8"/>
  <c r="J8"/>
  <c r="I8"/>
  <c r="H8"/>
  <c r="G8"/>
  <c r="F8"/>
  <c r="E8"/>
  <c r="D8"/>
  <c r="O7"/>
  <c r="N7"/>
  <c r="M7"/>
  <c r="L7"/>
  <c r="L40" s="1"/>
  <c r="K7"/>
  <c r="J7"/>
  <c r="I7"/>
  <c r="I40" s="1"/>
  <c r="H7"/>
  <c r="G7"/>
  <c r="G40" s="1"/>
  <c r="F7"/>
  <c r="E7"/>
  <c r="D7"/>
  <c r="P39" i="21"/>
  <c r="O39"/>
  <c r="N39"/>
  <c r="M39"/>
  <c r="L39"/>
  <c r="K39"/>
  <c r="J39"/>
  <c r="I39"/>
  <c r="H39"/>
  <c r="G39"/>
  <c r="F39"/>
  <c r="E39"/>
  <c r="P38"/>
  <c r="O38"/>
  <c r="N38"/>
  <c r="M38"/>
  <c r="L38"/>
  <c r="K38"/>
  <c r="J38"/>
  <c r="I38"/>
  <c r="H38"/>
  <c r="G38"/>
  <c r="F38"/>
  <c r="E38"/>
  <c r="P37"/>
  <c r="O37"/>
  <c r="N37"/>
  <c r="M37"/>
  <c r="L37"/>
  <c r="K37"/>
  <c r="J37"/>
  <c r="I37"/>
  <c r="H37"/>
  <c r="G37"/>
  <c r="F37"/>
  <c r="E37"/>
  <c r="P36"/>
  <c r="O36"/>
  <c r="N36"/>
  <c r="M36"/>
  <c r="L36"/>
  <c r="K36"/>
  <c r="J36"/>
  <c r="I36"/>
  <c r="H36"/>
  <c r="G36"/>
  <c r="F36"/>
  <c r="E36"/>
  <c r="P35"/>
  <c r="O35"/>
  <c r="N35"/>
  <c r="M35"/>
  <c r="L35"/>
  <c r="K35"/>
  <c r="J35"/>
  <c r="I35"/>
  <c r="H35"/>
  <c r="G35"/>
  <c r="F35"/>
  <c r="E35"/>
  <c r="P34"/>
  <c r="O34"/>
  <c r="N34"/>
  <c r="M34"/>
  <c r="L34"/>
  <c r="K34"/>
  <c r="J34"/>
  <c r="I34"/>
  <c r="H34"/>
  <c r="G34"/>
  <c r="F34"/>
  <c r="E34"/>
  <c r="P33"/>
  <c r="O33"/>
  <c r="N33"/>
  <c r="M33"/>
  <c r="L33"/>
  <c r="K33"/>
  <c r="J33"/>
  <c r="I33"/>
  <c r="H33"/>
  <c r="G33"/>
  <c r="F33"/>
  <c r="E33"/>
  <c r="P32"/>
  <c r="O32"/>
  <c r="N32"/>
  <c r="M32"/>
  <c r="L32"/>
  <c r="K32"/>
  <c r="J32"/>
  <c r="I32"/>
  <c r="H32"/>
  <c r="G32"/>
  <c r="F32"/>
  <c r="E32"/>
  <c r="P31"/>
  <c r="O31"/>
  <c r="N31"/>
  <c r="M31"/>
  <c r="L31"/>
  <c r="K31"/>
  <c r="J31"/>
  <c r="I31"/>
  <c r="H31"/>
  <c r="G31"/>
  <c r="F31"/>
  <c r="E31"/>
  <c r="P30"/>
  <c r="O30"/>
  <c r="N30"/>
  <c r="M30"/>
  <c r="L30"/>
  <c r="K30"/>
  <c r="J30"/>
  <c r="I30"/>
  <c r="H30"/>
  <c r="G30"/>
  <c r="F30"/>
  <c r="E30"/>
  <c r="P29"/>
  <c r="O29"/>
  <c r="N29"/>
  <c r="M29"/>
  <c r="L29"/>
  <c r="K29"/>
  <c r="J29"/>
  <c r="I29"/>
  <c r="H29"/>
  <c r="G29"/>
  <c r="F29"/>
  <c r="E29"/>
  <c r="P28"/>
  <c r="O28"/>
  <c r="N28"/>
  <c r="M28"/>
  <c r="L28"/>
  <c r="K28"/>
  <c r="J28"/>
  <c r="I28"/>
  <c r="H28"/>
  <c r="G28"/>
  <c r="F28"/>
  <c r="E28"/>
  <c r="P27"/>
  <c r="O27"/>
  <c r="N27"/>
  <c r="M27"/>
  <c r="L27"/>
  <c r="K27"/>
  <c r="J27"/>
  <c r="I27"/>
  <c r="H27"/>
  <c r="G27"/>
  <c r="F27"/>
  <c r="E27"/>
  <c r="P26"/>
  <c r="O26"/>
  <c r="N26"/>
  <c r="M26"/>
  <c r="L26"/>
  <c r="K26"/>
  <c r="J26"/>
  <c r="I26"/>
  <c r="H26"/>
  <c r="G26"/>
  <c r="F26"/>
  <c r="E26"/>
  <c r="P25"/>
  <c r="O25"/>
  <c r="N25"/>
  <c r="M25"/>
  <c r="L25"/>
  <c r="K25"/>
  <c r="J25"/>
  <c r="I25"/>
  <c r="H25"/>
  <c r="G25"/>
  <c r="F25"/>
  <c r="E25"/>
  <c r="P24"/>
  <c r="O24"/>
  <c r="N24"/>
  <c r="M24"/>
  <c r="L24"/>
  <c r="K24"/>
  <c r="J24"/>
  <c r="I24"/>
  <c r="H24"/>
  <c r="G24"/>
  <c r="F24"/>
  <c r="E24"/>
  <c r="P23"/>
  <c r="O23"/>
  <c r="N23"/>
  <c r="M23"/>
  <c r="L23"/>
  <c r="K23"/>
  <c r="J23"/>
  <c r="I23"/>
  <c r="H23"/>
  <c r="G23"/>
  <c r="F23"/>
  <c r="E23"/>
  <c r="P22"/>
  <c r="O22"/>
  <c r="N22"/>
  <c r="M22"/>
  <c r="L22"/>
  <c r="K22"/>
  <c r="J22"/>
  <c r="I22"/>
  <c r="H22"/>
  <c r="G22"/>
  <c r="F22"/>
  <c r="E22"/>
  <c r="P21"/>
  <c r="O21"/>
  <c r="N21"/>
  <c r="M21"/>
  <c r="L21"/>
  <c r="K21"/>
  <c r="J21"/>
  <c r="I21"/>
  <c r="H21"/>
  <c r="G21"/>
  <c r="F21"/>
  <c r="E21"/>
  <c r="P20"/>
  <c r="O20"/>
  <c r="N20"/>
  <c r="M20"/>
  <c r="L20"/>
  <c r="K20"/>
  <c r="J20"/>
  <c r="I20"/>
  <c r="H20"/>
  <c r="G20"/>
  <c r="F20"/>
  <c r="E20"/>
  <c r="P19"/>
  <c r="O19"/>
  <c r="N19"/>
  <c r="M19"/>
  <c r="L19"/>
  <c r="K19"/>
  <c r="J19"/>
  <c r="I19"/>
  <c r="H19"/>
  <c r="G19"/>
  <c r="F19"/>
  <c r="E19"/>
  <c r="P18"/>
  <c r="O18"/>
  <c r="N18"/>
  <c r="M18"/>
  <c r="L18"/>
  <c r="K18"/>
  <c r="J18"/>
  <c r="I18"/>
  <c r="H18"/>
  <c r="G18"/>
  <c r="F18"/>
  <c r="E18"/>
  <c r="P17"/>
  <c r="O17"/>
  <c r="N17"/>
  <c r="M17"/>
  <c r="L17"/>
  <c r="K17"/>
  <c r="J17"/>
  <c r="I17"/>
  <c r="H17"/>
  <c r="G17"/>
  <c r="F17"/>
  <c r="E17"/>
  <c r="P16"/>
  <c r="O16"/>
  <c r="N16"/>
  <c r="M16"/>
  <c r="L16"/>
  <c r="K16"/>
  <c r="J16"/>
  <c r="I16"/>
  <c r="H16"/>
  <c r="G16"/>
  <c r="F16"/>
  <c r="E16"/>
  <c r="P15"/>
  <c r="O15"/>
  <c r="N15"/>
  <c r="M15"/>
  <c r="L15"/>
  <c r="K15"/>
  <c r="J15"/>
  <c r="I15"/>
  <c r="H15"/>
  <c r="G15"/>
  <c r="F15"/>
  <c r="E15"/>
  <c r="P14"/>
  <c r="O14"/>
  <c r="N14"/>
  <c r="M14"/>
  <c r="L14"/>
  <c r="K14"/>
  <c r="J14"/>
  <c r="I14"/>
  <c r="H14"/>
  <c r="G14"/>
  <c r="F14"/>
  <c r="E14"/>
  <c r="P13"/>
  <c r="O13"/>
  <c r="N13"/>
  <c r="M13"/>
  <c r="L13"/>
  <c r="K13"/>
  <c r="J13"/>
  <c r="I13"/>
  <c r="H13"/>
  <c r="G13"/>
  <c r="F13"/>
  <c r="E13"/>
  <c r="P12"/>
  <c r="O12"/>
  <c r="N12"/>
  <c r="M12"/>
  <c r="L12"/>
  <c r="K12"/>
  <c r="J12"/>
  <c r="I12"/>
  <c r="H12"/>
  <c r="G12"/>
  <c r="F12"/>
  <c r="E12"/>
  <c r="P11"/>
  <c r="O11"/>
  <c r="N11"/>
  <c r="M11"/>
  <c r="L11"/>
  <c r="K11"/>
  <c r="J11"/>
  <c r="I11"/>
  <c r="H11"/>
  <c r="G11"/>
  <c r="F11"/>
  <c r="E11"/>
  <c r="P10"/>
  <c r="O10"/>
  <c r="N10"/>
  <c r="M10"/>
  <c r="L10"/>
  <c r="K10"/>
  <c r="J10"/>
  <c r="I10"/>
  <c r="H10"/>
  <c r="G10"/>
  <c r="F10"/>
  <c r="E10"/>
  <c r="P9"/>
  <c r="O9"/>
  <c r="N9"/>
  <c r="M9"/>
  <c r="L9"/>
  <c r="K9"/>
  <c r="J9"/>
  <c r="I9"/>
  <c r="H9"/>
  <c r="G9"/>
  <c r="F9"/>
  <c r="E9"/>
  <c r="P8"/>
  <c r="O8"/>
  <c r="N8"/>
  <c r="M8"/>
  <c r="L8"/>
  <c r="K8"/>
  <c r="J8"/>
  <c r="I8"/>
  <c r="H8"/>
  <c r="G8"/>
  <c r="F8"/>
  <c r="E8"/>
  <c r="P7"/>
  <c r="N7"/>
  <c r="M7"/>
  <c r="L7"/>
  <c r="K7"/>
  <c r="J7"/>
  <c r="I7"/>
  <c r="H7"/>
  <c r="G7"/>
  <c r="F7"/>
  <c r="E7"/>
  <c r="Q61" i="16"/>
  <c r="Q60"/>
  <c r="G60"/>
  <c r="A56"/>
  <c r="A55"/>
  <c r="O54"/>
  <c r="N54" s="1"/>
  <c r="M54" s="1"/>
  <c r="L54" s="1"/>
  <c r="K54" s="1"/>
  <c r="R53"/>
  <c r="Q53"/>
  <c r="P53"/>
  <c r="O53"/>
  <c r="N53"/>
  <c r="M53"/>
  <c r="L53"/>
  <c r="H53"/>
  <c r="G53"/>
  <c r="F53"/>
  <c r="E53"/>
  <c r="D53"/>
  <c r="C53"/>
  <c r="B53"/>
  <c r="L52"/>
  <c r="B52"/>
  <c r="Q51" s="1"/>
  <c r="P51" s="1"/>
  <c r="O51" s="1"/>
  <c r="N51" s="1"/>
  <c r="M51" s="1"/>
  <c r="L51" s="1"/>
  <c r="K51" s="1"/>
  <c r="G51" s="1"/>
  <c r="F51" s="1"/>
  <c r="E51" s="1"/>
  <c r="D51" s="1"/>
  <c r="C51" s="1"/>
  <c r="B51" s="1"/>
  <c r="A51"/>
  <c r="Q50" s="1"/>
  <c r="P50" s="1"/>
  <c r="O50" s="1"/>
  <c r="N50" s="1"/>
  <c r="M50" s="1"/>
  <c r="L50" s="1"/>
  <c r="K50" s="1"/>
  <c r="G50" s="1"/>
  <c r="F50" s="1"/>
  <c r="E50" s="1"/>
  <c r="D50" s="1"/>
  <c r="C50" s="1"/>
  <c r="B50" s="1"/>
  <c r="A50"/>
  <c r="Q48" s="1"/>
  <c r="P48" s="1"/>
  <c r="O48" s="1"/>
  <c r="N48" s="1"/>
  <c r="M48" s="1"/>
  <c r="L48" s="1"/>
  <c r="K48" s="1"/>
  <c r="G48" s="1"/>
  <c r="F48" s="1"/>
  <c r="E48" s="1"/>
  <c r="D48" s="1"/>
  <c r="C48" s="1"/>
  <c r="B48" s="1"/>
  <c r="A48"/>
  <c r="Q47" s="1"/>
  <c r="P47" s="1"/>
  <c r="O47" s="1"/>
  <c r="N47" s="1"/>
  <c r="M47" s="1"/>
  <c r="L47" s="1"/>
  <c r="K47" s="1"/>
  <c r="G47" s="1"/>
  <c r="F47" s="1"/>
  <c r="E47" s="1"/>
  <c r="D47" s="1"/>
  <c r="C47" s="1"/>
  <c r="B47" s="1"/>
  <c r="A47"/>
  <c r="Q46"/>
  <c r="P46"/>
  <c r="O46"/>
  <c r="N46"/>
  <c r="M46"/>
  <c r="L46"/>
  <c r="K46" s="1"/>
  <c r="G46"/>
  <c r="F46"/>
  <c r="E46"/>
  <c r="D46"/>
  <c r="C46"/>
  <c r="B46"/>
  <c r="A46"/>
  <c r="Q45"/>
  <c r="P45"/>
  <c r="O45"/>
  <c r="N45"/>
  <c r="M45"/>
  <c r="L45"/>
  <c r="K45" s="1"/>
  <c r="F45"/>
  <c r="E45"/>
  <c r="D45"/>
  <c r="C45"/>
  <c r="B45"/>
  <c r="A45"/>
  <c r="Q44" s="1"/>
  <c r="P44" s="1"/>
  <c r="O44" s="1"/>
  <c r="N44" s="1"/>
  <c r="M44" s="1"/>
  <c r="L44" s="1"/>
  <c r="K44" s="1"/>
  <c r="G44" s="1"/>
  <c r="F44" s="1"/>
  <c r="E44" s="1"/>
  <c r="D44" s="1"/>
  <c r="C44" s="1"/>
  <c r="B44" s="1"/>
  <c r="A44"/>
  <c r="Q43"/>
  <c r="P43"/>
  <c r="O43"/>
  <c r="N43"/>
  <c r="M43"/>
  <c r="L43"/>
  <c r="G43"/>
  <c r="F43"/>
  <c r="E43"/>
  <c r="D43"/>
  <c r="C43"/>
  <c r="B43"/>
  <c r="L42"/>
  <c r="B42"/>
  <c r="Q41"/>
  <c r="Q40"/>
  <c r="G40"/>
  <c r="Q39"/>
  <c r="P39"/>
  <c r="O39"/>
  <c r="N39"/>
  <c r="M39" s="1"/>
  <c r="L39" s="1"/>
  <c r="K39" s="1"/>
  <c r="G39"/>
  <c r="F39"/>
  <c r="E39"/>
  <c r="D39"/>
  <c r="C39"/>
  <c r="B39"/>
  <c r="A39"/>
  <c r="Q37"/>
  <c r="P37"/>
  <c r="O37"/>
  <c r="N37"/>
  <c r="M37"/>
  <c r="L37"/>
  <c r="K37" s="1"/>
  <c r="A37"/>
  <c r="AI555" i="13" l="1"/>
  <c r="H18" i="16" s="1"/>
  <c r="H38"/>
  <c r="AS555" i="13"/>
  <c r="R18" i="16" s="1"/>
  <c r="T18" s="1"/>
  <c r="R38"/>
  <c r="V39" i="21"/>
  <c r="T39" s="1"/>
  <c r="V8"/>
  <c r="V9"/>
  <c r="V10"/>
  <c r="V11"/>
  <c r="V12"/>
  <c r="V13"/>
  <c r="V14"/>
  <c r="V15"/>
  <c r="V16"/>
  <c r="V17"/>
  <c r="V18"/>
  <c r="V19"/>
  <c r="V20"/>
  <c r="V21"/>
  <c r="V22"/>
  <c r="V23"/>
  <c r="V24"/>
  <c r="V25"/>
  <c r="V26"/>
  <c r="V27"/>
  <c r="V28"/>
  <c r="V29"/>
  <c r="V30"/>
  <c r="U30" s="1"/>
  <c r="W30" s="1"/>
  <c r="X30" s="1"/>
  <c r="V31"/>
  <c r="U31" s="1"/>
  <c r="W31" s="1"/>
  <c r="X31" s="1"/>
  <c r="V32"/>
  <c r="V33"/>
  <c r="V34"/>
  <c r="V35"/>
  <c r="V36"/>
  <c r="V37"/>
  <c r="V38"/>
  <c r="E41"/>
  <c r="E42" s="1"/>
  <c r="V7"/>
  <c r="G41"/>
  <c r="G42" s="1"/>
  <c r="I41"/>
  <c r="I42" s="1"/>
  <c r="I43" s="1"/>
  <c r="K41"/>
  <c r="K42" s="1"/>
  <c r="F41"/>
  <c r="F42" s="1"/>
  <c r="H41"/>
  <c r="H42" s="1"/>
  <c r="J41"/>
  <c r="J42" s="1"/>
  <c r="L41"/>
  <c r="L42" s="1"/>
  <c r="N41"/>
  <c r="N42" s="1"/>
  <c r="H43"/>
  <c r="O7"/>
  <c r="O41" s="1"/>
  <c r="P41"/>
  <c r="J43"/>
  <c r="E43"/>
  <c r="M41"/>
  <c r="AR554" i="13"/>
  <c r="H40" i="20"/>
  <c r="O80"/>
  <c r="M40"/>
  <c r="E40"/>
  <c r="J40"/>
  <c r="AC556" i="13"/>
  <c r="B56" i="16"/>
  <c r="R54"/>
  <c r="Q54" s="1"/>
  <c r="P54" s="1"/>
  <c r="K40" i="20"/>
  <c r="O40"/>
  <c r="F40"/>
  <c r="D40"/>
  <c r="P55" i="16"/>
  <c r="O55" s="1"/>
  <c r="N55" s="1"/>
  <c r="M55" s="1"/>
  <c r="H37"/>
  <c r="G37" s="1"/>
  <c r="F37" s="1"/>
  <c r="E37" s="1"/>
  <c r="D37" s="1"/>
  <c r="C37" s="1"/>
  <c r="B37" s="1"/>
  <c r="G45"/>
  <c r="H54"/>
  <c r="G54" s="1"/>
  <c r="F54" s="1"/>
  <c r="E54" s="1"/>
  <c r="D54" s="1"/>
  <c r="C54" s="1"/>
  <c r="B54" s="1"/>
  <c r="A54" s="1"/>
  <c r="N40" i="20"/>
  <c r="X558" i="13"/>
  <c r="F55" i="16"/>
  <c r="E55" s="1"/>
  <c r="D55" s="1"/>
  <c r="C55" s="1"/>
  <c r="D80" i="20"/>
  <c r="H80"/>
  <c r="L80"/>
  <c r="AH554" i="13"/>
  <c r="D120" i="20"/>
  <c r="H120"/>
  <c r="G120" s="1"/>
  <c r="L120"/>
  <c r="K120" s="1"/>
  <c r="F80"/>
  <c r="J80"/>
  <c r="AI595" i="13"/>
  <c r="H55" i="16" s="1"/>
  <c r="F120" i="20"/>
  <c r="E120" s="1"/>
  <c r="J120"/>
  <c r="I120" s="1"/>
  <c r="N86"/>
  <c r="N120" s="1"/>
  <c r="M120" s="1"/>
  <c r="O120"/>
  <c r="AS554" i="13"/>
  <c r="R59" i="16"/>
  <c r="Q59" s="1"/>
  <c r="P59" s="1"/>
  <c r="O59" s="1"/>
  <c r="N59" s="1"/>
  <c r="M59" s="1"/>
  <c r="L59" s="1"/>
  <c r="K59" s="1"/>
  <c r="AI551" i="13"/>
  <c r="AI556"/>
  <c r="AS573"/>
  <c r="AS551" s="1"/>
  <c r="AS595"/>
  <c r="R55" i="16" s="1"/>
  <c r="W558" i="13"/>
  <c r="AS596"/>
  <c r="AJ71"/>
  <c r="AF575"/>
  <c r="E36" i="16" s="1"/>
  <c r="AG553" i="13"/>
  <c r="AG574"/>
  <c r="F35" i="16" s="1"/>
  <c r="AH552" i="13"/>
  <c r="N80" i="20"/>
  <c r="G36" i="16"/>
  <c r="F36"/>
  <c r="A36"/>
  <c r="G35"/>
  <c r="A35"/>
  <c r="Q34"/>
  <c r="P34" s="1"/>
  <c r="O34"/>
  <c r="N34" s="1"/>
  <c r="M34" s="1"/>
  <c r="L34" s="1"/>
  <c r="K34" s="1"/>
  <c r="H34"/>
  <c r="G34"/>
  <c r="F34" s="1"/>
  <c r="E34" s="1"/>
  <c r="D34" s="1"/>
  <c r="C34" s="1"/>
  <c r="B34" s="1"/>
  <c r="A34"/>
  <c r="R33"/>
  <c r="Q33"/>
  <c r="P33"/>
  <c r="O33"/>
  <c r="N33"/>
  <c r="M33"/>
  <c r="L33"/>
  <c r="H33"/>
  <c r="G33"/>
  <c r="F33"/>
  <c r="E33"/>
  <c r="D33"/>
  <c r="C33"/>
  <c r="B33"/>
  <c r="L32"/>
  <c r="B32"/>
  <c r="Q31" s="1"/>
  <c r="P31" s="1"/>
  <c r="O31" s="1"/>
  <c r="N31" s="1"/>
  <c r="M31" s="1"/>
  <c r="L31" s="1"/>
  <c r="K31" s="1"/>
  <c r="G31" s="1"/>
  <c r="F31" s="1"/>
  <c r="E31" s="1"/>
  <c r="D31" s="1"/>
  <c r="C31" s="1"/>
  <c r="B31" s="1"/>
  <c r="A31"/>
  <c r="Q30" s="1"/>
  <c r="P30" s="1"/>
  <c r="O30" s="1"/>
  <c r="N30" s="1"/>
  <c r="M30" s="1"/>
  <c r="L30" s="1"/>
  <c r="K30" s="1"/>
  <c r="G30" s="1"/>
  <c r="F30" s="1"/>
  <c r="E30" s="1"/>
  <c r="D30" s="1"/>
  <c r="C30" s="1"/>
  <c r="B30" s="1"/>
  <c r="A30"/>
  <c r="Q28"/>
  <c r="P28"/>
  <c r="O28"/>
  <c r="N28"/>
  <c r="M28"/>
  <c r="L28"/>
  <c r="K28" s="1"/>
  <c r="G28"/>
  <c r="F28"/>
  <c r="E28"/>
  <c r="D28"/>
  <c r="C28"/>
  <c r="B28"/>
  <c r="A28"/>
  <c r="Q27"/>
  <c r="P27"/>
  <c r="O27"/>
  <c r="N27"/>
  <c r="M27"/>
  <c r="L27"/>
  <c r="K27" s="1"/>
  <c r="G27"/>
  <c r="F27"/>
  <c r="E27"/>
  <c r="D27"/>
  <c r="C27"/>
  <c r="B27"/>
  <c r="A27"/>
  <c r="Q26"/>
  <c r="P26"/>
  <c r="O26"/>
  <c r="N26"/>
  <c r="M26"/>
  <c r="L26"/>
  <c r="K26" s="1"/>
  <c r="G26"/>
  <c r="F26"/>
  <c r="E26"/>
  <c r="D26"/>
  <c r="C26"/>
  <c r="B26"/>
  <c r="A26"/>
  <c r="Q25"/>
  <c r="P25"/>
  <c r="O25"/>
  <c r="N25"/>
  <c r="M25"/>
  <c r="L25"/>
  <c r="K25" s="1"/>
  <c r="X18" l="1"/>
  <c r="J18"/>
  <c r="Y18" s="1"/>
  <c r="U19" i="21"/>
  <c r="W19" s="1"/>
  <c r="X19" s="1"/>
  <c r="U14"/>
  <c r="W14" s="1"/>
  <c r="X14" s="1"/>
  <c r="U9"/>
  <c r="W9" s="1"/>
  <c r="X9" s="1"/>
  <c r="F43"/>
  <c r="N43"/>
  <c r="G43"/>
  <c r="K43"/>
  <c r="L43"/>
  <c r="T8"/>
  <c r="T29"/>
  <c r="S7"/>
  <c r="M43"/>
  <c r="M42"/>
  <c r="R34" i="16"/>
  <c r="AI554" i="13"/>
  <c r="AS600"/>
  <c r="R60" i="16" s="1"/>
  <c r="H59"/>
  <c r="G59" s="1"/>
  <c r="F59" s="1"/>
  <c r="E59" s="1"/>
  <c r="D59" s="1"/>
  <c r="C59" s="1"/>
  <c r="B59" s="1"/>
  <c r="A59" s="1"/>
  <c r="R57" s="1"/>
  <c r="Q57" s="1"/>
  <c r="P57" s="1"/>
  <c r="O57" s="1"/>
  <c r="N57" s="1"/>
  <c r="M57" s="1"/>
  <c r="L57" s="1"/>
  <c r="K57" s="1"/>
  <c r="AF574" i="13"/>
  <c r="AG552"/>
  <c r="AS556"/>
  <c r="AE575"/>
  <c r="AF553"/>
  <c r="G25" i="16"/>
  <c r="F25"/>
  <c r="E25"/>
  <c r="D25"/>
  <c r="C25"/>
  <c r="B25"/>
  <c r="A25"/>
  <c r="Q24"/>
  <c r="P24"/>
  <c r="O24"/>
  <c r="N24"/>
  <c r="M24"/>
  <c r="L24"/>
  <c r="K24" s="1"/>
  <c r="G24" s="1"/>
  <c r="F24"/>
  <c r="E24"/>
  <c r="D24"/>
  <c r="C24"/>
  <c r="B24"/>
  <c r="A24"/>
  <c r="Q23"/>
  <c r="P23"/>
  <c r="O23"/>
  <c r="N23"/>
  <c r="M23"/>
  <c r="L23"/>
  <c r="G23"/>
  <c r="F23"/>
  <c r="E23"/>
  <c r="D23"/>
  <c r="C23"/>
  <c r="B23"/>
  <c r="L22"/>
  <c r="B22"/>
  <c r="Q21"/>
  <c r="Q20"/>
  <c r="G20"/>
  <c r="R19" l="1"/>
  <c r="H17"/>
  <c r="H57"/>
  <c r="G57" s="1"/>
  <c r="F57" s="1"/>
  <c r="E57" s="1"/>
  <c r="D57" s="1"/>
  <c r="C57" s="1"/>
  <c r="B57" s="1"/>
  <c r="A57" s="1"/>
  <c r="R56" s="1"/>
  <c r="Q56" s="1"/>
  <c r="P56" s="1"/>
  <c r="O56" s="1"/>
  <c r="N56" s="1"/>
  <c r="M56" s="1"/>
  <c r="AE574" i="13"/>
  <c r="AF552"/>
  <c r="E35" i="16"/>
  <c r="AD575" i="13"/>
  <c r="AE553"/>
  <c r="D36" i="16"/>
  <c r="F16"/>
  <c r="E16" s="1"/>
  <c r="A16"/>
  <c r="Q19" l="1"/>
  <c r="P19" s="1"/>
  <c r="O19" s="1"/>
  <c r="N19" s="1"/>
  <c r="M19" s="1"/>
  <c r="L19" s="1"/>
  <c r="K19" s="1"/>
  <c r="H19" s="1"/>
  <c r="X19" s="1"/>
  <c r="T19"/>
  <c r="G17"/>
  <c r="F17" s="1"/>
  <c r="E17" s="1"/>
  <c r="D17" s="1"/>
  <c r="C17" s="1"/>
  <c r="B17" s="1"/>
  <c r="A17" s="1"/>
  <c r="J17"/>
  <c r="AD553" i="13"/>
  <c r="AD574"/>
  <c r="AE552"/>
  <c r="D35" i="16"/>
  <c r="AC575" i="13"/>
  <c r="C36" i="16"/>
  <c r="D16"/>
  <c r="G19" l="1"/>
  <c r="F19" s="1"/>
  <c r="E19" s="1"/>
  <c r="D19" s="1"/>
  <c r="C19" s="1"/>
  <c r="B19" s="1"/>
  <c r="A19" s="1"/>
  <c r="R17" s="1"/>
  <c r="X17" s="1"/>
  <c r="J19"/>
  <c r="Y19" s="1"/>
  <c r="C16"/>
  <c r="AC574" i="13"/>
  <c r="AD552"/>
  <c r="C35" i="16"/>
  <c r="AI575" i="13"/>
  <c r="AC553"/>
  <c r="B16" i="16" s="1"/>
  <c r="B36"/>
  <c r="G15"/>
  <c r="F15" s="1"/>
  <c r="E15" s="1"/>
  <c r="D15" s="1"/>
  <c r="A15"/>
  <c r="R14" s="1"/>
  <c r="R13"/>
  <c r="Q13"/>
  <c r="P13"/>
  <c r="O13"/>
  <c r="N13"/>
  <c r="M13"/>
  <c r="L13"/>
  <c r="H13"/>
  <c r="G13"/>
  <c r="F13"/>
  <c r="E13"/>
  <c r="D13"/>
  <c r="C13"/>
  <c r="B13"/>
  <c r="L12"/>
  <c r="B12"/>
  <c r="Q11" s="1"/>
  <c r="P11" s="1"/>
  <c r="O11" s="1"/>
  <c r="N11" s="1"/>
  <c r="M11" s="1"/>
  <c r="L11" s="1"/>
  <c r="K11" s="1"/>
  <c r="G11" s="1"/>
  <c r="F11" s="1"/>
  <c r="E11" s="1"/>
  <c r="D11" s="1"/>
  <c r="C11" s="1"/>
  <c r="B11" s="1"/>
  <c r="A11"/>
  <c r="Q10" s="1"/>
  <c r="P10" s="1"/>
  <c r="O10" s="1"/>
  <c r="N10" s="1"/>
  <c r="M10" s="1"/>
  <c r="L10" s="1"/>
  <c r="K10" s="1"/>
  <c r="G10" s="1"/>
  <c r="F10" s="1"/>
  <c r="E10" s="1"/>
  <c r="D10" s="1"/>
  <c r="C10" s="1"/>
  <c r="B10" s="1"/>
  <c r="A10"/>
  <c r="Q8" s="1"/>
  <c r="P8" s="1"/>
  <c r="O8" s="1"/>
  <c r="N8" s="1"/>
  <c r="M8" s="1"/>
  <c r="L8" s="1"/>
  <c r="K8" s="1"/>
  <c r="G8" s="1"/>
  <c r="F8" s="1"/>
  <c r="E8" s="1"/>
  <c r="D8" s="1"/>
  <c r="C8" s="1"/>
  <c r="B8" s="1"/>
  <c r="A8"/>
  <c r="Q7" s="1"/>
  <c r="P7" s="1"/>
  <c r="O7" s="1"/>
  <c r="N7" s="1"/>
  <c r="M7" s="1"/>
  <c r="L7" s="1"/>
  <c r="K7"/>
  <c r="G7" s="1"/>
  <c r="F7" s="1"/>
  <c r="E7" s="1"/>
  <c r="D7" s="1"/>
  <c r="C7" s="1"/>
  <c r="B7" s="1"/>
  <c r="A7"/>
  <c r="Q6" s="1"/>
  <c r="P6" s="1"/>
  <c r="O6" s="1"/>
  <c r="N6" s="1"/>
  <c r="M6" s="1"/>
  <c r="L6" s="1"/>
  <c r="K6"/>
  <c r="G6" s="1"/>
  <c r="Q17" l="1"/>
  <c r="P17" s="1"/>
  <c r="O17" s="1"/>
  <c r="N17" s="1"/>
  <c r="M17" s="1"/>
  <c r="L17" s="1"/>
  <c r="K17" s="1"/>
  <c r="T17"/>
  <c r="Y17" s="1"/>
  <c r="Q14"/>
  <c r="P14" s="1"/>
  <c r="O14" s="1"/>
  <c r="N14" s="1"/>
  <c r="M14" s="1"/>
  <c r="L14" s="1"/>
  <c r="K14" s="1"/>
  <c r="H14" s="1"/>
  <c r="X14" s="1"/>
  <c r="T14"/>
  <c r="AI574" i="13"/>
  <c r="AI579" s="1"/>
  <c r="H40" i="16" s="1"/>
  <c r="B35"/>
  <c r="AC552" i="13"/>
  <c r="C15" i="16"/>
  <c r="H36"/>
  <c r="F6"/>
  <c r="E6" s="1"/>
  <c r="D6" s="1"/>
  <c r="C6" s="1"/>
  <c r="B6" s="1"/>
  <c r="A6"/>
  <c r="Q5"/>
  <c r="P5"/>
  <c r="O5"/>
  <c r="N5"/>
  <c r="M5"/>
  <c r="L5"/>
  <c r="K5"/>
  <c r="G5" s="1"/>
  <c r="F5"/>
  <c r="E5"/>
  <c r="D5"/>
  <c r="C5"/>
  <c r="B5"/>
  <c r="A5"/>
  <c r="Q4"/>
  <c r="P4" s="1"/>
  <c r="O4" s="1"/>
  <c r="N4" s="1"/>
  <c r="M4" s="1"/>
  <c r="L4" s="1"/>
  <c r="K4"/>
  <c r="G4"/>
  <c r="F4" s="1"/>
  <c r="E4" s="1"/>
  <c r="D4" s="1"/>
  <c r="C4" s="1"/>
  <c r="B4" s="1"/>
  <c r="A4"/>
  <c r="Q3"/>
  <c r="P3"/>
  <c r="O3"/>
  <c r="N3"/>
  <c r="M3"/>
  <c r="L3"/>
  <c r="G3"/>
  <c r="F3"/>
  <c r="E3"/>
  <c r="D3"/>
  <c r="C3"/>
  <c r="B3"/>
  <c r="L2"/>
  <c r="B2"/>
  <c r="G14" l="1"/>
  <c r="F14" s="1"/>
  <c r="E14" s="1"/>
  <c r="D14" s="1"/>
  <c r="C14" s="1"/>
  <c r="B14" s="1"/>
  <c r="A14" s="1"/>
  <c r="J14"/>
  <c r="Y14" s="1"/>
  <c r="H35"/>
  <c r="AI552" i="13"/>
  <c r="H15" i="16" s="1"/>
  <c r="B15"/>
  <c r="AM575" i="13"/>
  <c r="L36" i="16" s="1"/>
  <c r="AN575" i="13"/>
  <c r="M36" i="16" s="1"/>
  <c r="AO575" i="13"/>
  <c r="N36" i="16" s="1"/>
  <c r="AP575" i="13"/>
  <c r="AP553" s="1"/>
  <c r="O16" i="16" s="1"/>
  <c r="AQ575" i="13"/>
  <c r="AQ553" s="1"/>
  <c r="P16" i="16" s="1"/>
  <c r="K16"/>
  <c r="AR575" i="13"/>
  <c r="K36" i="16"/>
  <c r="J15" l="1"/>
  <c r="AO553" i="13"/>
  <c r="N16" i="16" s="1"/>
  <c r="O36"/>
  <c r="AN553" i="13"/>
  <c r="M16" i="16" s="1"/>
  <c r="AR553" i="13"/>
  <c r="Q16" i="16" s="1"/>
  <c r="Q36"/>
  <c r="P36"/>
  <c r="AM553" i="13"/>
  <c r="L16" i="16" s="1"/>
  <c r="AS575" i="13"/>
  <c r="AS553" l="1"/>
  <c r="R16" i="16" s="1"/>
  <c r="T16" s="1"/>
  <c r="R36"/>
  <c r="AH596" i="13"/>
  <c r="AH553" s="1"/>
  <c r="G16" i="16" s="1"/>
  <c r="AM574" i="13"/>
  <c r="AM552" s="1"/>
  <c r="L15" i="16" s="1"/>
  <c r="AN574" i="13"/>
  <c r="M35" i="16" s="1"/>
  <c r="AO574" i="13"/>
  <c r="AO552" s="1"/>
  <c r="N15" i="16" s="1"/>
  <c r="AP574" i="13"/>
  <c r="O35" i="16" s="1"/>
  <c r="AQ574" i="13"/>
  <c r="AQ552" s="1"/>
  <c r="P15" i="16" s="1"/>
  <c r="AR574" i="13"/>
  <c r="AR552" s="1"/>
  <c r="Q15" i="16" s="1"/>
  <c r="AI533" i="13"/>
  <c r="AI537" s="1"/>
  <c r="K15" i="16"/>
  <c r="F56"/>
  <c r="E56"/>
  <c r="D56"/>
  <c r="K35"/>
  <c r="AJ532" i="13" l="1"/>
  <c r="AP552"/>
  <c r="O15" i="16" s="1"/>
  <c r="N35"/>
  <c r="G56"/>
  <c r="Q35"/>
  <c r="AN552" i="13"/>
  <c r="M15" i="16" s="1"/>
  <c r="P35"/>
  <c r="L35"/>
  <c r="AS574" i="13"/>
  <c r="AS579" s="1"/>
  <c r="AI596"/>
  <c r="R35" i="16" l="1"/>
  <c r="AS552" i="13"/>
  <c r="AS557" s="1"/>
  <c r="AI600"/>
  <c r="AI553"/>
  <c r="H56" i="16"/>
  <c r="AS580" i="13"/>
  <c r="R41" i="16" s="1"/>
  <c r="AS559" i="13"/>
  <c r="R40" i="16"/>
  <c r="R15" l="1"/>
  <c r="R20"/>
  <c r="T20" s="1"/>
  <c r="AS601" i="13"/>
  <c r="R61" i="16" s="1"/>
  <c r="H60"/>
  <c r="AI559" i="13"/>
  <c r="AI557"/>
  <c r="AS558" s="1"/>
  <c r="R21" i="16" s="1"/>
  <c r="H16"/>
  <c r="J16" l="1"/>
  <c r="Y16" s="1"/>
  <c r="X16"/>
  <c r="T15"/>
  <c r="Y15" s="1"/>
  <c r="Y20" s="1"/>
  <c r="X15"/>
  <c r="H20"/>
  <c r="J20" s="1"/>
  <c r="AJ537" i="13"/>
  <c r="X20" i="16" l="1"/>
</calcChain>
</file>

<file path=xl/sharedStrings.xml><?xml version="1.0" encoding="utf-8"?>
<sst xmlns="http://schemas.openxmlformats.org/spreadsheetml/2006/main" count="4604" uniqueCount="517">
  <si>
    <t>Item</t>
  </si>
  <si>
    <t>Material Amt</t>
  </si>
  <si>
    <t>Units</t>
  </si>
  <si>
    <t>Material Cost</t>
  </si>
  <si>
    <t>Material Cost/Unit</t>
  </si>
  <si>
    <t xml:space="preserve"> </t>
  </si>
  <si>
    <t>Material</t>
  </si>
  <si>
    <t>Aluminum</t>
  </si>
  <si>
    <t>hours</t>
  </si>
  <si>
    <t>N/A</t>
  </si>
  <si>
    <t>MT Time</t>
  </si>
  <si>
    <t>Shop Time</t>
  </si>
  <si>
    <t>Materials Totals</t>
  </si>
  <si>
    <t>ea.</t>
  </si>
  <si>
    <t>Shop Labor</t>
  </si>
  <si>
    <t>Tech Labor</t>
  </si>
  <si>
    <t>M&amp;S Cost</t>
  </si>
  <si>
    <t xml:space="preserve">     -Handles</t>
  </si>
  <si>
    <t xml:space="preserve">     -Box Sides</t>
  </si>
  <si>
    <t xml:space="preserve">     -Fork Truck Skids</t>
  </si>
  <si>
    <t xml:space="preserve">     -Packing</t>
  </si>
  <si>
    <t xml:space="preserve">     -Shipping Cost</t>
  </si>
  <si>
    <t>Galvanized</t>
  </si>
  <si>
    <t>1" Clear Plywood</t>
  </si>
  <si>
    <t>sheets</t>
  </si>
  <si>
    <t>Fir 4X4</t>
  </si>
  <si>
    <t>bd/ft</t>
  </si>
  <si>
    <t>Foam</t>
  </si>
  <si>
    <t>m^3</t>
  </si>
  <si>
    <t>Eng Time</t>
  </si>
  <si>
    <t>Des Time</t>
  </si>
  <si>
    <t>Engineering</t>
  </si>
  <si>
    <t>Design</t>
  </si>
  <si>
    <t>Unit</t>
  </si>
  <si>
    <t>Labor</t>
  </si>
  <si>
    <t>Estimate</t>
  </si>
  <si>
    <t>Est Remaining</t>
  </si>
  <si>
    <t>Overage</t>
  </si>
  <si>
    <t>CMM</t>
  </si>
  <si>
    <t>lb</t>
  </si>
  <si>
    <t># (line-item-zeroing)</t>
  </si>
  <si>
    <t>Base or Contingency</t>
  </si>
  <si>
    <t>Shop</t>
  </si>
  <si>
    <t>M_Tech</t>
  </si>
  <si>
    <t>Engineer</t>
  </si>
  <si>
    <t>Designer</t>
  </si>
  <si>
    <t>YEAR</t>
  </si>
  <si>
    <t>B</t>
  </si>
  <si>
    <t>C</t>
  </si>
  <si>
    <t>BASE</t>
  </si>
  <si>
    <t>CONTINGENCY</t>
  </si>
  <si>
    <t>Shop Cost</t>
  </si>
  <si>
    <t>MT Cost</t>
  </si>
  <si>
    <t>Totals</t>
  </si>
  <si>
    <t>Acceptance</t>
  </si>
  <si>
    <t>Bleed Studies</t>
  </si>
  <si>
    <t>Test</t>
  </si>
  <si>
    <t>Order</t>
  </si>
  <si>
    <t>Bagging</t>
  </si>
  <si>
    <t>m^2</t>
  </si>
  <si>
    <t>Material Batches Subtotal</t>
  </si>
  <si>
    <t>Material Test</t>
  </si>
  <si>
    <t>Labor Cost Total (includes contingency)</t>
  </si>
  <si>
    <t>Materials Sub Totals</t>
  </si>
  <si>
    <t>Tooling</t>
  </si>
  <si>
    <t>Base Labor</t>
  </si>
  <si>
    <t>Sum</t>
  </si>
  <si>
    <t xml:space="preserve">     -Packing Foam (waterjet parts)</t>
  </si>
  <si>
    <t xml:space="preserve">     -Box Fab--Carpenters not MT, but cost scaled</t>
  </si>
  <si>
    <t>Shipping Subtotal</t>
  </si>
  <si>
    <t>Base</t>
  </si>
  <si>
    <t>Contingency</t>
  </si>
  <si>
    <t>Cost With Contingency</t>
  </si>
  <si>
    <t>Base Cost</t>
  </si>
  <si>
    <t>Underage(-)</t>
  </si>
  <si>
    <t>Spent To Date</t>
  </si>
  <si>
    <t>Protot or Production</t>
  </si>
  <si>
    <t>PD</t>
  </si>
  <si>
    <t>Sum Logic Code</t>
  </si>
  <si>
    <t>TRACKING</t>
  </si>
  <si>
    <t>BPD</t>
  </si>
  <si>
    <t>BPT</t>
  </si>
  <si>
    <t>CPT</t>
  </si>
  <si>
    <t>CPD</t>
  </si>
  <si>
    <t>checksum</t>
  </si>
  <si>
    <t>Production Base Cost</t>
  </si>
  <si>
    <t>Production Contingency Cost</t>
  </si>
  <si>
    <t>Percent</t>
  </si>
  <si>
    <t>Hysol Adhesive Pre-Production</t>
  </si>
  <si>
    <t>Pre-Production Base Cost</t>
  </si>
  <si>
    <t>Pre-Production Contingency Cost</t>
  </si>
  <si>
    <t>CN60</t>
  </si>
  <si>
    <t>Materials and Labor</t>
  </si>
  <si>
    <t>CF PEEK</t>
  </si>
  <si>
    <t>Steel</t>
  </si>
  <si>
    <t>Nickel Plate</t>
  </si>
  <si>
    <t>Contract</t>
  </si>
  <si>
    <t>Lamination Tool</t>
  </si>
  <si>
    <t>Re-Machine (contingency)</t>
  </si>
  <si>
    <t>Nickel Plate (contingency)</t>
  </si>
  <si>
    <t>Tool Material CTE Study</t>
  </si>
  <si>
    <t>Material Estimates per component</t>
  </si>
  <si>
    <t>Values used to estimate Size/Cost of Batch Orders--Does not report to Cost Summary</t>
  </si>
  <si>
    <t>Descriptor</t>
  </si>
  <si>
    <t>Quantity</t>
  </si>
  <si>
    <t>CPT (microns)</t>
  </si>
  <si>
    <t>Density (g/cc)</t>
  </si>
  <si>
    <t>Finished Form</t>
  </si>
  <si>
    <t>% Waste</t>
  </si>
  <si>
    <t>Length (cm)</t>
  </si>
  <si>
    <t>Diameter/Width (cm)</t>
  </si>
  <si>
    <t>Thickness (cm)</t>
  </si>
  <si>
    <t>Volume (cc)</t>
  </si>
  <si>
    <t>Mass (g)</t>
  </si>
  <si>
    <t>Pre-Preg Area  (m^2)</t>
  </si>
  <si>
    <t>Cost Per Unit</t>
  </si>
  <si>
    <t>Choose Unit</t>
  </si>
  <si>
    <t>Cost</t>
  </si>
  <si>
    <t>Prototype Mass</t>
  </si>
  <si>
    <t>Prototype Area</t>
  </si>
  <si>
    <t>/cc</t>
  </si>
  <si>
    <t>Bulk</t>
  </si>
  <si>
    <t>/g</t>
  </si>
  <si>
    <t>Plate</t>
  </si>
  <si>
    <t>/m^2</t>
  </si>
  <si>
    <t>Round</t>
  </si>
  <si>
    <t>n/a</t>
  </si>
  <si>
    <t>Shell</t>
  </si>
  <si>
    <t>CN60 Cloth</t>
  </si>
  <si>
    <t>Laminate</t>
  </si>
  <si>
    <t>EA9396</t>
  </si>
  <si>
    <t>Adhesive</t>
  </si>
  <si>
    <t>Components</t>
  </si>
  <si>
    <t>CF HoneyComb</t>
  </si>
  <si>
    <t>6061-T6</t>
  </si>
  <si>
    <t>Prototype Composites</t>
  </si>
  <si>
    <t>English</t>
  </si>
  <si>
    <t>Metric</t>
  </si>
  <si>
    <t>Quoted</t>
  </si>
  <si>
    <t>lb/in^3</t>
  </si>
  <si>
    <t>g/cc</t>
  </si>
  <si>
    <t>Cost/Unit</t>
  </si>
  <si>
    <t>$/lb</t>
  </si>
  <si>
    <t>$/g</t>
  </si>
  <si>
    <t>MIC-6</t>
  </si>
  <si>
    <t>7075-T6</t>
  </si>
  <si>
    <t>Titanium</t>
  </si>
  <si>
    <t>6Al4V</t>
  </si>
  <si>
    <t>304SS</t>
  </si>
  <si>
    <t>Carbon Fiber</t>
  </si>
  <si>
    <t>M55J-UDT</t>
  </si>
  <si>
    <t>CN60-PW</t>
  </si>
  <si>
    <t>YSH80A-UDT</t>
  </si>
  <si>
    <t>$/qt</t>
  </si>
  <si>
    <t>$/cc</t>
  </si>
  <si>
    <t>EA9394</t>
  </si>
  <si>
    <t>$/bdft</t>
  </si>
  <si>
    <t>Al HoneyComb</t>
  </si>
  <si>
    <t>Nomex HC</t>
  </si>
  <si>
    <t>PEEK</t>
  </si>
  <si>
    <t>WBS</t>
  </si>
  <si>
    <t>PO/UC Number</t>
  </si>
  <si>
    <t>STAR</t>
  </si>
  <si>
    <t>Contributed Labor Excluded…</t>
  </si>
  <si>
    <t>Project Estimated Cost</t>
  </si>
  <si>
    <t>Project Estimated Contingency</t>
  </si>
  <si>
    <t>CONT</t>
  </si>
  <si>
    <t>(HIDE)</t>
  </si>
  <si>
    <t>(HIDE AS REQUIRED)</t>
  </si>
  <si>
    <t>Description</t>
  </si>
  <si>
    <t>WBS Descriptor</t>
  </si>
  <si>
    <t>&lt;--  Copy Down from this Cell both columns A and B to update WBS list</t>
  </si>
  <si>
    <t>IF need to copy below this line to contain WBS, need to update Data Validation for cells in column "U" (WBS) AND 'Look Up' vectors  for Column "V" (Descriptor)</t>
  </si>
  <si>
    <t>This table drives values in a lookup table in the Pre- and Production Sheet, columns U and V.  It is 'copied' into that sheet at the bottom, see notes there to understand how to modify this.  'Inserting' rows does not work, only adding, so must modify whole table--5 rows are available for additions...</t>
  </si>
  <si>
    <t>R&amp;D</t>
  </si>
  <si>
    <t>Values below used only for reference--not linked to data in sheet estimate…</t>
  </si>
  <si>
    <t>Construction</t>
  </si>
  <si>
    <t>Differential</t>
  </si>
  <si>
    <t>Change This to change burden rate…</t>
  </si>
  <si>
    <t>Construction Rate does not have full Burden--currently ~81% (below) of Full Burden at LBNL (R&amp;D Rate)</t>
  </si>
  <si>
    <t>PT</t>
  </si>
  <si>
    <t>Minimum Order Surcharge</t>
  </si>
  <si>
    <t>Order Contingency (+10% Areal)</t>
  </si>
  <si>
    <t>Hysol 9396</t>
  </si>
  <si>
    <t>Hysol Adhesive Production</t>
  </si>
  <si>
    <t>Trim Tool</t>
  </si>
  <si>
    <t>Lamination Tool (Contingency)</t>
  </si>
  <si>
    <t>Expendable</t>
  </si>
  <si>
    <t>Expendables Contingency</t>
  </si>
  <si>
    <t>Checksum</t>
  </si>
  <si>
    <t>Shipping (Final Production)</t>
  </si>
  <si>
    <t>M Tech</t>
  </si>
  <si>
    <t xml:space="preserve">Engineering </t>
  </si>
  <si>
    <t>M &amp; S</t>
  </si>
  <si>
    <t>Cont</t>
  </si>
  <si>
    <t>1.5.1</t>
  </si>
  <si>
    <t>Integration and Global Supports</t>
  </si>
  <si>
    <t>Mechanics</t>
  </si>
  <si>
    <t>1.5.1.1</t>
  </si>
  <si>
    <t>Inner Detector Support (IDS)</t>
  </si>
  <si>
    <t>1.5.1.1.1</t>
  </si>
  <si>
    <t>West Support Cylinder Interface</t>
  </si>
  <si>
    <t>1.5.1.1.2</t>
  </si>
  <si>
    <t>East Support Cylinder (ESC)</t>
  </si>
  <si>
    <t>1.5.1.1.3</t>
  </si>
  <si>
    <t>Outer Support Cylinder (OSC)</t>
  </si>
  <si>
    <t>1.5.1.1.4</t>
  </si>
  <si>
    <t>E-Field Shroud (EFS)</t>
  </si>
  <si>
    <t>1.5.1.2</t>
  </si>
  <si>
    <t>Middle Support Cylinder (MSC)</t>
  </si>
  <si>
    <t>Pixel Insertion Tube</t>
  </si>
  <si>
    <t>Bulkhead Extension</t>
  </si>
  <si>
    <t>Transition Plate</t>
  </si>
  <si>
    <t>Pixel Support Tube</t>
  </si>
  <si>
    <t>1.5.1.2.1</t>
  </si>
  <si>
    <t>1.5.1.2.2</t>
  </si>
  <si>
    <t>1.5.1.2.3</t>
  </si>
  <si>
    <t>1.5.1.2.4</t>
  </si>
  <si>
    <t>1.5.1.3</t>
  </si>
  <si>
    <t>1.5.1.3.1</t>
  </si>
  <si>
    <t>1.5.1.3.2</t>
  </si>
  <si>
    <t>1.5.1.3.3</t>
  </si>
  <si>
    <t>1.5.1.3.4</t>
  </si>
  <si>
    <t>1.5.1.3.5</t>
  </si>
  <si>
    <t>1.5.2</t>
  </si>
  <si>
    <t>1.5.2.1</t>
  </si>
  <si>
    <t>1.5.2.2</t>
  </si>
  <si>
    <t>1.5.2.3</t>
  </si>
  <si>
    <t>1.5.3</t>
  </si>
  <si>
    <t>1.5.3.1</t>
  </si>
  <si>
    <t>1.5.3.2</t>
  </si>
  <si>
    <t>1.5.4</t>
  </si>
  <si>
    <t>1.5.4.1</t>
  </si>
  <si>
    <t>1.5.4.2</t>
  </si>
  <si>
    <t>1.5.4.3</t>
  </si>
  <si>
    <t>1.5.4.3.1</t>
  </si>
  <si>
    <t>1.5.4.3.2</t>
  </si>
  <si>
    <t>1.5.4.3.3</t>
  </si>
  <si>
    <t>1.5.5</t>
  </si>
  <si>
    <t>Integration Infrastructure</t>
  </si>
  <si>
    <t>Cables</t>
  </si>
  <si>
    <t>Dry Gas Services</t>
  </si>
  <si>
    <t>Hall Modifications and Safety</t>
  </si>
  <si>
    <t>Clean Room Modifications</t>
  </si>
  <si>
    <t>External Clean Tent</t>
  </si>
  <si>
    <t>Shield Wall Pass Thru</t>
  </si>
  <si>
    <t>Installation</t>
  </si>
  <si>
    <t>Beam Pipe Mechanics</t>
  </si>
  <si>
    <t>Beam Pipe Model</t>
  </si>
  <si>
    <t>Internal Support (Low Mass)</t>
  </si>
  <si>
    <t>Alternate Beam Pipe Support</t>
  </si>
  <si>
    <t>External Beam Pipe Support</t>
  </si>
  <si>
    <t>Bake Out Equipment</t>
  </si>
  <si>
    <t>Electronics</t>
  </si>
  <si>
    <t>Detector Grounding/EMI Control</t>
  </si>
  <si>
    <t>Environmental Control</t>
  </si>
  <si>
    <t>Shroud Bias</t>
  </si>
  <si>
    <t>Assembly</t>
  </si>
  <si>
    <t>MSC Assembly</t>
  </si>
  <si>
    <t>IDS Assembly</t>
  </si>
  <si>
    <t>HFT Integration Estimate (1.5)</t>
  </si>
  <si>
    <t>East Support Cylinder</t>
  </si>
  <si>
    <t>Structural Shell</t>
  </si>
  <si>
    <t>Transition Flange</t>
  </si>
  <si>
    <t>Transtion Plate</t>
  </si>
  <si>
    <t>Shell Laminate</t>
  </si>
  <si>
    <t>Flange Bond</t>
  </si>
  <si>
    <t>Flange To Shell</t>
  </si>
  <si>
    <t>Inner Skin</t>
  </si>
  <si>
    <t>Outer Skin/Flanges</t>
  </si>
  <si>
    <t>Inner Flange</t>
  </si>
  <si>
    <t>Outer Flange</t>
  </si>
  <si>
    <t>Inner Skin Bond</t>
  </si>
  <si>
    <t>Outer Skin Bond</t>
  </si>
  <si>
    <t>Final Bond</t>
  </si>
  <si>
    <t>Skin</t>
  </si>
  <si>
    <t>YSH80A</t>
  </si>
  <si>
    <t>Conical Transition Plate</t>
  </si>
  <si>
    <t>Threaded Inserts</t>
  </si>
  <si>
    <t>.</t>
  </si>
  <si>
    <t>Outer Support Cylinder</t>
  </si>
  <si>
    <t>Shell Laminate Test</t>
  </si>
  <si>
    <t>MSC Large (PIT)</t>
  </si>
  <si>
    <t>MSC Small (PST)</t>
  </si>
  <si>
    <t>ESC Materials</t>
  </si>
  <si>
    <t>Grams</t>
  </si>
  <si>
    <t>lbs</t>
  </si>
  <si>
    <t>Prototype</t>
  </si>
  <si>
    <t>Production</t>
  </si>
  <si>
    <t>Area</t>
  </si>
  <si>
    <t>OSC Materials</t>
  </si>
  <si>
    <t>MSC Materials</t>
  </si>
  <si>
    <t>Batch 10</t>
  </si>
  <si>
    <t>OSC P-T</t>
  </si>
  <si>
    <t>LB</t>
  </si>
  <si>
    <t>Cost $k</t>
  </si>
  <si>
    <t>Batch 1 11</t>
  </si>
  <si>
    <t>ESC</t>
  </si>
  <si>
    <t>OSC PD</t>
  </si>
  <si>
    <t>MSC PD</t>
  </si>
  <si>
    <t>MSC P-T</t>
  </si>
  <si>
    <t>Batch 1c 11</t>
  </si>
  <si>
    <t>Batch 2 12</t>
  </si>
  <si>
    <t>Batch 2c 12</t>
  </si>
  <si>
    <t>OSC Flange qualification</t>
  </si>
  <si>
    <t>OSC Shell qualification</t>
  </si>
  <si>
    <t>10m^2 is likely minimum order… ($4k)</t>
  </si>
  <si>
    <t>12lb is likely minimum order (34m^2 $17k)</t>
  </si>
  <si>
    <t>CN60 Batch (ESC, OSC, MSC PT and MSC)</t>
  </si>
  <si>
    <t>YSH80 Batch (ESC, OSC, MSC PT and MSC)</t>
  </si>
  <si>
    <t>CN60 Batch (OSC, MSC)</t>
  </si>
  <si>
    <t>YSH80 Batch (OSC, MSC)</t>
  </si>
  <si>
    <t>CN60 Batch (OSC, MSC PT and MSC) Contingency</t>
  </si>
  <si>
    <t>YSH80 Batch (OSC, MSC PT and MSC) Contingency</t>
  </si>
  <si>
    <t>CN60 Batch (OSC, MSC) Contingency</t>
  </si>
  <si>
    <t>YSH80 Batch (OSC, MSC) Contingency</t>
  </si>
  <si>
    <t>Expendables Base 2011</t>
  </si>
  <si>
    <t>Expendables Base 2012</t>
  </si>
  <si>
    <t xml:space="preserve">Ply Trim and Kit </t>
  </si>
  <si>
    <t>Shell Lamination</t>
  </si>
  <si>
    <t>Flange Laminates</t>
  </si>
  <si>
    <t>Flange Base</t>
  </si>
  <si>
    <t>Flange</t>
  </si>
  <si>
    <t>Ply Trim and Kit Contingency</t>
  </si>
  <si>
    <t>Flange Contingency</t>
  </si>
  <si>
    <t>Flange Base Contingnency</t>
  </si>
  <si>
    <t>Cone Laminate</t>
  </si>
  <si>
    <t>Large Flange Base</t>
  </si>
  <si>
    <t>Small Flange Base</t>
  </si>
  <si>
    <t>Conical Tranistion Plate Laminates</t>
  </si>
  <si>
    <t>Interface Parts</t>
  </si>
  <si>
    <t>Assembly Tool Modifications (from WSC)</t>
  </si>
  <si>
    <t>Clocking Plates Modification</t>
  </si>
  <si>
    <t>Clocking Plates Modification (Engineering)</t>
  </si>
  <si>
    <t>Tool Assembly/Survey</t>
  </si>
  <si>
    <t>Cone Plate Modification (Engineering)</t>
  </si>
  <si>
    <t>Cone Plate Modification</t>
  </si>
  <si>
    <t>ESC Assembly</t>
  </si>
  <si>
    <t>Cone Bonded Assembly</t>
  </si>
  <si>
    <t>Termination Flange</t>
  </si>
  <si>
    <t>Termination Flange Assembly</t>
  </si>
  <si>
    <t>Flange Bonded Assembly</t>
  </si>
  <si>
    <t>ESC Assembly and Survey</t>
  </si>
  <si>
    <t>ESC Sub Total</t>
  </si>
  <si>
    <t>Shell Laminate Prototype</t>
  </si>
  <si>
    <t>Engineering Oversight</t>
  </si>
  <si>
    <t>Shell Laminate 2011 (Inintial Install)</t>
  </si>
  <si>
    <t>Shell Laminate 2012 for SSD</t>
  </si>
  <si>
    <t>Flange Laminates Prototype</t>
  </si>
  <si>
    <t>Flange Laminates 2011 (Initial Install)</t>
  </si>
  <si>
    <t>Flange Laminates 2012 for SSD</t>
  </si>
  <si>
    <t>Hardware</t>
  </si>
  <si>
    <t>Assembly Tool (not shared with MSC)</t>
  </si>
  <si>
    <t>Space Bars</t>
  </si>
  <si>
    <t>Clocking Plates MFG</t>
  </si>
  <si>
    <t>Design Engineering</t>
  </si>
  <si>
    <t>OSC Assembly</t>
  </si>
  <si>
    <t>OSC Sub Total</t>
  </si>
  <si>
    <t>Shell Prototype Tool</t>
  </si>
  <si>
    <t>Bond Tool</t>
  </si>
  <si>
    <t>Tooling OSC Prototype (MSC PIT Tool Development)</t>
  </si>
  <si>
    <t>Flange Tooling</t>
  </si>
  <si>
    <t>Tool Fabrication</t>
  </si>
  <si>
    <t>Shell Production Tool (same as MSC PIT)</t>
  </si>
  <si>
    <t>Tooling PST (PIT shared w/OSC)</t>
  </si>
  <si>
    <t>Shell Production Tool PST</t>
  </si>
  <si>
    <t>Shell Laminate Prototype PST</t>
  </si>
  <si>
    <t>Shell Laminate 2012 for IST</t>
  </si>
  <si>
    <t>Shell Laminate 2011 PST (Engineering Run)</t>
  </si>
  <si>
    <t>Middle Support Cylinder (PST Portion)</t>
  </si>
  <si>
    <t>Middle Support Cylinder (PIT Portion)</t>
  </si>
  <si>
    <t>Assembly Tool</t>
  </si>
  <si>
    <t>PIT Bonded Assembly</t>
  </si>
  <si>
    <t>Pixel Mount Assembly</t>
  </si>
  <si>
    <t>PST Assembly 2011</t>
  </si>
  <si>
    <t>PST Assembly 2012</t>
  </si>
  <si>
    <t>PST Assembly Contingency</t>
  </si>
  <si>
    <t>Shell Laminate 2011 PIT (Engineering Run)</t>
  </si>
  <si>
    <t>Part Fabrication</t>
  </si>
  <si>
    <t>Fabrication Contingency</t>
  </si>
  <si>
    <t>Transition Plate (Aluminum) 2011</t>
  </si>
  <si>
    <t>Transition Plate (2012)</t>
  </si>
  <si>
    <t>MSC Assembly and Survey</t>
  </si>
  <si>
    <t>MSC Assembly 2011</t>
  </si>
  <si>
    <t>MSC Assembly 2012</t>
  </si>
  <si>
    <t>MSC PIT Sub Total</t>
  </si>
  <si>
    <t>PST Sub Total</t>
  </si>
  <si>
    <t>Beam Pipe Sub Total</t>
  </si>
  <si>
    <t>Design Engineering for Fabrication</t>
  </si>
  <si>
    <t>Flange Prototypes, Conflat</t>
  </si>
  <si>
    <t>Flange Prototypes, Helicoflex</t>
  </si>
  <si>
    <t>Design Engineering for Beam Pipe Mockup</t>
  </si>
  <si>
    <t>Beam Pipe Mockup</t>
  </si>
  <si>
    <t>Supports for Mockup in ITB</t>
  </si>
  <si>
    <t>Integration into STAR</t>
  </si>
  <si>
    <t>Alternate Beam Pipe Supports</t>
  </si>
  <si>
    <t>External Beam Pipe Supports</t>
  </si>
  <si>
    <t>I-Beam Modification</t>
  </si>
  <si>
    <t>Part Fabrication (Temp Supports)</t>
  </si>
  <si>
    <t>Internal Beam Pipe Supports (Low Mass)</t>
  </si>
  <si>
    <t>Collar Prototypes</t>
  </si>
  <si>
    <t>Vespel</t>
  </si>
  <si>
    <t>Collar Production</t>
  </si>
  <si>
    <t>Collar Production Contingency</t>
  </si>
  <si>
    <t>Sliding Support Prototypes</t>
  </si>
  <si>
    <t>Sliding Support Production</t>
  </si>
  <si>
    <t>Sliding Support Production Contingency</t>
  </si>
  <si>
    <t>Installation 2011</t>
  </si>
  <si>
    <t>Hardware 2011</t>
  </si>
  <si>
    <t>Hardware 2013</t>
  </si>
  <si>
    <t>Installation 2013</t>
  </si>
  <si>
    <t>Fixed Support Tool</t>
  </si>
  <si>
    <t>Design Engineering Collars</t>
  </si>
  <si>
    <t>Design Engineering Fixed Support Tool</t>
  </si>
  <si>
    <t>Fixed Support Production</t>
  </si>
  <si>
    <t>Fixed Support Production Contingency</t>
  </si>
  <si>
    <t>Support Beams</t>
  </si>
  <si>
    <t>Tool Assembly 2012</t>
  </si>
  <si>
    <t>Tool Assembly 2013</t>
  </si>
  <si>
    <t>Assembly Tool (Beam Pipe Support during Assembly)</t>
  </si>
  <si>
    <t>Insertable Bake Out Jacket</t>
  </si>
  <si>
    <t>Bake Out Jacket Design</t>
  </si>
  <si>
    <t>Carraige Design</t>
  </si>
  <si>
    <t>Heating Elements</t>
  </si>
  <si>
    <t>Insulation</t>
  </si>
  <si>
    <t>Jacket Materials/Structure</t>
  </si>
  <si>
    <t>Jacket Assembly</t>
  </si>
  <si>
    <t>Carraige Components</t>
  </si>
  <si>
    <t>Carraige Assembly</t>
  </si>
  <si>
    <t>Jacket Materials/Structure Contingency</t>
  </si>
  <si>
    <t>Jacket Assembly Contingency</t>
  </si>
  <si>
    <t>Heating Elements Contingency</t>
  </si>
  <si>
    <t>Integrated Bake Out Jackets</t>
  </si>
  <si>
    <t>Mid Section Design</t>
  </si>
  <si>
    <t>Extension Jacket Design</t>
  </si>
  <si>
    <t>Bake Out Jacket Design Contingency</t>
  </si>
  <si>
    <t>Mid Section Design Contingency</t>
  </si>
  <si>
    <t>Extension Jacket Design Contingency</t>
  </si>
  <si>
    <t>Heating Elements Large Cylindrical</t>
  </si>
  <si>
    <t>Each</t>
  </si>
  <si>
    <t>Heating Elements Large Cylindrical Contingency</t>
  </si>
  <si>
    <t>Heating Elements Large Conical</t>
  </si>
  <si>
    <t>Jacket Materials</t>
  </si>
  <si>
    <t>Jacket Assembly (CERN)</t>
  </si>
  <si>
    <t>Jacket Assembly (CERN) Contingency</t>
  </si>
  <si>
    <t>Bake Out Test</t>
  </si>
  <si>
    <t>Test Design</t>
  </si>
  <si>
    <t>Design Contingency</t>
  </si>
  <si>
    <t>Technical Support</t>
  </si>
  <si>
    <t>Technical Support Contingency</t>
  </si>
  <si>
    <t>Support Equipment Fabrication</t>
  </si>
  <si>
    <t>Composite Material Batches</t>
  </si>
  <si>
    <t>Assembly of Global Supports</t>
  </si>
  <si>
    <t>Assembly Sub Total</t>
  </si>
  <si>
    <t>MSC Assembly Tool Design</t>
  </si>
  <si>
    <t>MSC Tooling Fabrication</t>
  </si>
  <si>
    <t>MSC Tooling Assembly (LBL)</t>
  </si>
  <si>
    <t>MSC Assembly (LBL) 2011</t>
  </si>
  <si>
    <t>MSC Tooling Assembly (BNL w/LBL Labor)</t>
  </si>
  <si>
    <t>MSC Tooling Assembly (BNL w/STAR Labor)</t>
  </si>
  <si>
    <t>MSC Assembly (at BNL, LBL Labor)</t>
  </si>
  <si>
    <t>MSC Assembly Tool Design Contingency</t>
  </si>
  <si>
    <t>MSC Tooling Fabrication Contingency</t>
  </si>
  <si>
    <t>MSC Assembly (at BNL, STAR Labor)</t>
  </si>
  <si>
    <t>Inner Detector Support Assembly</t>
  </si>
  <si>
    <t>Integration into STAR Assembly Hall</t>
  </si>
  <si>
    <t>IDS Assembly Tool Design</t>
  </si>
  <si>
    <t>IDS Assembly Tool Design Contingency</t>
  </si>
  <si>
    <t>IDS Tooling Fabrication</t>
  </si>
  <si>
    <t>IDS Tooling Fabrication Contingency</t>
  </si>
  <si>
    <t>IDS Tooling Assembly (LBL)</t>
  </si>
  <si>
    <t>IDS Assembly (LBL) 2011</t>
  </si>
  <si>
    <t>IDS Tooling Assembly (BNL w/LBL Labor)</t>
  </si>
  <si>
    <t>IDS Tooling Assembly (BNL w/STAR Labor)</t>
  </si>
  <si>
    <t>IDS Assembly (at BNL, LBL Labor)</t>
  </si>
  <si>
    <t>IDS Assembly (at BNL, STAR Labor)</t>
  </si>
  <si>
    <t>Insertion into STAR of IDS</t>
  </si>
  <si>
    <t>Lift Fixture modification design</t>
  </si>
  <si>
    <t>Cradle modification design</t>
  </si>
  <si>
    <t>Technical Support LBNL 2012</t>
  </si>
  <si>
    <t>Technical Support STAR 2012</t>
  </si>
  <si>
    <t>Technical Support LBNL 2013</t>
  </si>
  <si>
    <t>Technical Support STAR 2013</t>
  </si>
  <si>
    <t>Technical Support LBNL 2014</t>
  </si>
  <si>
    <t>Technical Support STAR 2014</t>
  </si>
  <si>
    <t>Service Termination and Testing</t>
  </si>
  <si>
    <t xml:space="preserve">Integration into STAR </t>
  </si>
  <si>
    <t>Lift Fixture modification contingency</t>
  </si>
  <si>
    <t>Cradle modification contingency</t>
  </si>
  <si>
    <t>IFC Gas Service termination</t>
  </si>
  <si>
    <t>Shroud Bias Termination/Test</t>
  </si>
  <si>
    <t>Beam Pipe Load Transfer/Survey</t>
  </si>
  <si>
    <t>Shipping (MSC 2011)</t>
  </si>
  <si>
    <t>Shipping (MSC 2012)</t>
  </si>
  <si>
    <t>Shipping (MSC Tooling 2011)</t>
  </si>
  <si>
    <t>Shipping (MSC 2013 contingency)</t>
  </si>
  <si>
    <t>Shipping (OSC 2011)</t>
  </si>
  <si>
    <t>Shipping (OSC 2012)</t>
  </si>
  <si>
    <t>Shipping (ESC 2011)</t>
  </si>
  <si>
    <t>Shipping (IDS Tooling)</t>
  </si>
  <si>
    <t>Bonded Assembly</t>
  </si>
  <si>
    <t>OSC Assembly and Survey</t>
  </si>
  <si>
    <t>OSC Assembly and Survey 2011</t>
  </si>
  <si>
    <t>Bonded Assembly 2013</t>
  </si>
  <si>
    <t>Bonded Assembly Contingency</t>
  </si>
  <si>
    <t>Termination Flange Assembly Contingency</t>
  </si>
  <si>
    <t>Not In Estimate</t>
  </si>
  <si>
    <t>Hours</t>
  </si>
  <si>
    <t>FTE</t>
  </si>
  <si>
    <t>Cost Approx</t>
  </si>
  <si>
    <t>Delta</t>
  </si>
  <si>
    <t>V0.5</t>
  </si>
  <si>
    <t>DELTA</t>
  </si>
  <si>
    <t>SHOP V0.4</t>
  </si>
  <si>
    <t>SHOP V0.5</t>
  </si>
  <si>
    <t>FY</t>
  </si>
  <si>
    <t>Plan B</t>
  </si>
</sst>
</file>

<file path=xl/styles.xml><?xml version="1.0" encoding="utf-8"?>
<styleSheet xmlns="http://schemas.openxmlformats.org/spreadsheetml/2006/main">
  <numFmts count="9">
    <numFmt numFmtId="5" formatCode="&quot;$&quot;#,##0_);\(&quot;$&quot;#,##0\)"/>
    <numFmt numFmtId="6" formatCode="&quot;$&quot;#,##0_);[Red]\(&quot;$&quot;#,##0\)"/>
    <numFmt numFmtId="42" formatCode="_(&quot;$&quot;* #,##0_);_(&quot;$&quot;* \(#,##0\);_(&quot;$&quot;* &quot;-&quot;_);_(@_)"/>
    <numFmt numFmtId="164" formatCode="&quot;$&quot;#,##0"/>
    <numFmt numFmtId="165" formatCode="0.0"/>
    <numFmt numFmtId="166" formatCode="&quot;$&quot;#,##0.00"/>
    <numFmt numFmtId="167" formatCode="0.0%"/>
    <numFmt numFmtId="168" formatCode="0.000"/>
    <numFmt numFmtId="169" formatCode="#,##0.0"/>
  </numFmts>
  <fonts count="28">
    <font>
      <sz val="10"/>
      <name val="Arial"/>
    </font>
    <font>
      <b/>
      <sz val="10"/>
      <name val="Arial"/>
      <family val="2"/>
    </font>
    <font>
      <b/>
      <i/>
      <sz val="10"/>
      <color indexed="10"/>
      <name val="Arial"/>
      <family val="2"/>
    </font>
    <font>
      <sz val="10"/>
      <name val="Arial"/>
      <family val="2"/>
    </font>
    <font>
      <b/>
      <sz val="14"/>
      <name val="Arial"/>
      <family val="2"/>
    </font>
    <font>
      <sz val="10"/>
      <color indexed="10"/>
      <name val="Arial"/>
      <family val="2"/>
    </font>
    <font>
      <b/>
      <sz val="10"/>
      <color indexed="10"/>
      <name val="Arial"/>
      <family val="2"/>
    </font>
    <font>
      <i/>
      <sz val="10"/>
      <name val="Arial"/>
      <family val="2"/>
    </font>
    <font>
      <strike/>
      <sz val="10"/>
      <name val="Arial"/>
      <family val="2"/>
    </font>
    <font>
      <strike/>
      <sz val="10"/>
      <name val="Arial"/>
      <family val="2"/>
    </font>
    <font>
      <b/>
      <sz val="11"/>
      <color rgb="FFFF0000"/>
      <name val="Arial"/>
      <family val="2"/>
    </font>
    <font>
      <i/>
      <sz val="10"/>
      <color indexed="10"/>
      <name val="Arial"/>
      <family val="2"/>
    </font>
    <font>
      <b/>
      <sz val="12"/>
      <color rgb="FFFF0000"/>
      <name val="Arial"/>
      <family val="2"/>
    </font>
    <font>
      <b/>
      <sz val="12"/>
      <name val="Arial"/>
      <family val="2"/>
    </font>
    <font>
      <b/>
      <sz val="10"/>
      <color indexed="53"/>
      <name val="Arial"/>
      <family val="2"/>
    </font>
    <font>
      <i/>
      <sz val="9"/>
      <name val="Arial"/>
      <family val="2"/>
    </font>
    <font>
      <sz val="12"/>
      <color rgb="FFFF0000"/>
      <name val="Arial"/>
      <family val="2"/>
    </font>
    <font>
      <sz val="10"/>
      <color indexed="53"/>
      <name val="Arial"/>
      <family val="2"/>
    </font>
    <font>
      <sz val="10"/>
      <color rgb="FFFF0000"/>
      <name val="Arial"/>
      <family val="2"/>
    </font>
    <font>
      <sz val="14"/>
      <name val="Arial"/>
      <family val="2"/>
    </font>
    <font>
      <sz val="12"/>
      <name val="Arial"/>
      <family val="2"/>
    </font>
    <font>
      <b/>
      <sz val="10"/>
      <color rgb="FFFF0000"/>
      <name val="Arial"/>
      <family val="2"/>
    </font>
    <font>
      <sz val="10"/>
      <name val="Arial"/>
      <family val="2"/>
    </font>
    <font>
      <sz val="11"/>
      <color rgb="FF9C0006"/>
      <name val="Calibri"/>
      <family val="2"/>
      <scheme val="minor"/>
    </font>
    <font>
      <sz val="11"/>
      <color rgb="FF3F3F76"/>
      <name val="Calibri"/>
      <family val="2"/>
      <scheme val="minor"/>
    </font>
    <font>
      <b/>
      <sz val="11"/>
      <color rgb="FFFA7D00"/>
      <name val="Calibri"/>
      <family val="2"/>
      <scheme val="minor"/>
    </font>
    <font>
      <sz val="9"/>
      <name val="Arial"/>
      <family val="2"/>
    </font>
    <font>
      <sz val="10"/>
      <name val="Arial"/>
      <family val="2"/>
    </font>
  </fonts>
  <fills count="6">
    <fill>
      <patternFill patternType="none"/>
    </fill>
    <fill>
      <patternFill patternType="gray125"/>
    </fill>
    <fill>
      <patternFill patternType="solid">
        <fgColor rgb="FFFFC7CE"/>
      </patternFill>
    </fill>
    <fill>
      <patternFill patternType="solid">
        <fgColor rgb="FFFFCC99"/>
      </patternFill>
    </fill>
    <fill>
      <patternFill patternType="solid">
        <fgColor rgb="FFF2F2F2"/>
      </patternFill>
    </fill>
    <fill>
      <patternFill patternType="solid">
        <fgColor rgb="FFFFFFCC"/>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s>
  <cellStyleXfs count="6">
    <xf numFmtId="0" fontId="0" fillId="0" borderId="0"/>
    <xf numFmtId="0" fontId="23" fillId="2" borderId="0" applyNumberFormat="0" applyBorder="0" applyAlignment="0" applyProtection="0"/>
    <xf numFmtId="0" fontId="24" fillId="3" borderId="38" applyNumberFormat="0" applyAlignment="0" applyProtection="0"/>
    <xf numFmtId="0" fontId="25" fillId="4" borderId="38" applyNumberFormat="0" applyAlignment="0" applyProtection="0"/>
    <xf numFmtId="0" fontId="22" fillId="5" borderId="39" applyNumberFormat="0" applyFont="0" applyAlignment="0" applyProtection="0"/>
    <xf numFmtId="42" fontId="27" fillId="0" borderId="0" applyFont="0" applyFill="0" applyBorder="0" applyAlignment="0" applyProtection="0"/>
  </cellStyleXfs>
  <cellXfs count="488">
    <xf numFmtId="0" fontId="0" fillId="0" borderId="0" xfId="0"/>
    <xf numFmtId="0" fontId="2" fillId="0" borderId="0" xfId="0" applyFont="1"/>
    <xf numFmtId="0" fontId="0" fillId="0" borderId="0" xfId="0" applyBorder="1"/>
    <xf numFmtId="0" fontId="0" fillId="0" borderId="5" xfId="0" applyBorder="1"/>
    <xf numFmtId="0" fontId="0" fillId="0" borderId="0" xfId="0" applyBorder="1" applyAlignment="1">
      <alignment horizontal="right"/>
    </xf>
    <xf numFmtId="0" fontId="0" fillId="0" borderId="5" xfId="0" applyBorder="1" applyAlignment="1">
      <alignment horizontal="right"/>
    </xf>
    <xf numFmtId="0" fontId="2" fillId="0" borderId="0" xfId="0" applyFont="1" applyAlignment="1">
      <alignment horizontal="right"/>
    </xf>
    <xf numFmtId="0" fontId="0" fillId="0" borderId="0" xfId="0" applyAlignment="1">
      <alignment horizontal="right"/>
    </xf>
    <xf numFmtId="0" fontId="4" fillId="0" borderId="0" xfId="0" applyFont="1"/>
    <xf numFmtId="0" fontId="0" fillId="0" borderId="0" xfId="0" applyFill="1" applyBorder="1"/>
    <xf numFmtId="166" fontId="0" fillId="0" borderId="0" xfId="0" applyNumberFormat="1" applyAlignment="1">
      <alignment horizontal="center"/>
    </xf>
    <xf numFmtId="166" fontId="2" fillId="0" borderId="0" xfId="0" applyNumberFormat="1" applyFont="1" applyAlignment="1">
      <alignment horizontal="center"/>
    </xf>
    <xf numFmtId="166" fontId="0" fillId="0" borderId="5" xfId="0" applyNumberFormat="1" applyBorder="1" applyAlignment="1">
      <alignment horizontal="center"/>
    </xf>
    <xf numFmtId="0" fontId="2" fillId="0" borderId="0" xfId="0" applyFont="1" applyAlignment="1">
      <alignment horizontal="right" textRotation="90"/>
    </xf>
    <xf numFmtId="0" fontId="2" fillId="0" borderId="8" xfId="0" applyFont="1" applyBorder="1" applyAlignment="1">
      <alignment horizontal="right"/>
    </xf>
    <xf numFmtId="0" fontId="0" fillId="0" borderId="5" xfId="0" applyBorder="1" applyAlignment="1">
      <alignment horizontal="left"/>
    </xf>
    <xf numFmtId="0" fontId="1" fillId="0" borderId="0" xfId="0" applyFont="1" applyFill="1" applyBorder="1" applyAlignment="1">
      <alignment horizontal="right"/>
    </xf>
    <xf numFmtId="0" fontId="2" fillId="0" borderId="0" xfId="0" applyFont="1" applyFill="1" applyBorder="1"/>
    <xf numFmtId="0" fontId="7" fillId="0" borderId="0" xfId="0" applyFont="1" applyFill="1" applyBorder="1"/>
    <xf numFmtId="0" fontId="9" fillId="0" borderId="0" xfId="0" applyFont="1"/>
    <xf numFmtId="0" fontId="3" fillId="0" borderId="0" xfId="0" applyFont="1"/>
    <xf numFmtId="0" fontId="3" fillId="0" borderId="5" xfId="0" applyFont="1" applyBorder="1"/>
    <xf numFmtId="1" fontId="0" fillId="0" borderId="0" xfId="0" applyNumberFormat="1" applyAlignment="1">
      <alignment horizontal="center"/>
    </xf>
    <xf numFmtId="1" fontId="2" fillId="0" borderId="0" xfId="0" applyNumberFormat="1" applyFont="1" applyAlignment="1">
      <alignment horizontal="center"/>
    </xf>
    <xf numFmtId="1" fontId="3" fillId="0" borderId="0" xfId="0" applyNumberFormat="1" applyFont="1" applyAlignment="1">
      <alignment horizontal="center"/>
    </xf>
    <xf numFmtId="0" fontId="2" fillId="0" borderId="20" xfId="0" applyFont="1" applyBorder="1" applyAlignment="1">
      <alignment horizontal="right"/>
    </xf>
    <xf numFmtId="0" fontId="0" fillId="0" borderId="20" xfId="0" applyBorder="1"/>
    <xf numFmtId="0" fontId="2" fillId="0" borderId="21"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0" fillId="0" borderId="9" xfId="0" applyBorder="1"/>
    <xf numFmtId="0" fontId="2" fillId="0" borderId="0" xfId="0" applyFont="1" applyBorder="1" applyAlignment="1">
      <alignment horizontal="right"/>
    </xf>
    <xf numFmtId="0" fontId="0" fillId="0" borderId="15" xfId="0" applyBorder="1" applyAlignment="1">
      <alignment horizontal="right"/>
    </xf>
    <xf numFmtId="1" fontId="3" fillId="0" borderId="11" xfId="0" applyNumberFormat="1" applyFont="1" applyBorder="1" applyAlignment="1">
      <alignment horizontal="right"/>
    </xf>
    <xf numFmtId="1" fontId="3" fillId="0" borderId="6" xfId="0" applyNumberFormat="1" applyFont="1" applyBorder="1" applyAlignment="1">
      <alignment horizontal="right"/>
    </xf>
    <xf numFmtId="0" fontId="2" fillId="0" borderId="15" xfId="0" applyFont="1" applyBorder="1" applyAlignment="1">
      <alignment horizontal="center"/>
    </xf>
    <xf numFmtId="1" fontId="11" fillId="0" borderId="11" xfId="0" applyNumberFormat="1" applyFont="1" applyBorder="1" applyAlignment="1">
      <alignment horizontal="right"/>
    </xf>
    <xf numFmtId="1" fontId="0" fillId="0" borderId="10" xfId="0" applyNumberFormat="1" applyBorder="1"/>
    <xf numFmtId="164" fontId="1" fillId="0" borderId="0" xfId="0" applyNumberFormat="1" applyFont="1" applyBorder="1" applyAlignment="1">
      <alignment horizontal="center"/>
    </xf>
    <xf numFmtId="164" fontId="1" fillId="0" borderId="0" xfId="0" applyNumberFormat="1" applyFont="1" applyBorder="1" applyAlignment="1">
      <alignment horizontal="right"/>
    </xf>
    <xf numFmtId="166" fontId="1" fillId="0" borderId="0" xfId="0" applyNumberFormat="1" applyFont="1" applyBorder="1" applyAlignment="1">
      <alignment horizontal="center"/>
    </xf>
    <xf numFmtId="1" fontId="1" fillId="0" borderId="33" xfId="0" applyNumberFormat="1" applyFont="1" applyBorder="1" applyAlignment="1">
      <alignment horizontal="center"/>
    </xf>
    <xf numFmtId="0" fontId="2" fillId="0" borderId="16" xfId="0" applyFont="1" applyBorder="1" applyAlignment="1">
      <alignment horizontal="center" textRotation="90"/>
    </xf>
    <xf numFmtId="0" fontId="2" fillId="0" borderId="12" xfId="0" applyFont="1" applyBorder="1" applyAlignment="1">
      <alignment horizontal="right"/>
    </xf>
    <xf numFmtId="166" fontId="2" fillId="0" borderId="12" xfId="0" applyNumberFormat="1" applyFont="1" applyBorder="1" applyAlignment="1">
      <alignment horizontal="center"/>
    </xf>
    <xf numFmtId="1" fontId="2" fillId="0" borderId="13" xfId="0" applyNumberFormat="1" applyFont="1" applyBorder="1" applyAlignment="1">
      <alignment horizontal="center"/>
    </xf>
    <xf numFmtId="0" fontId="3" fillId="0" borderId="0" xfId="0" applyFont="1" applyAlignment="1">
      <alignment horizontal="left" indent="2"/>
    </xf>
    <xf numFmtId="0" fontId="1" fillId="0" borderId="0" xfId="0" applyFont="1" applyAlignment="1">
      <alignment horizontal="left" indent="1"/>
    </xf>
    <xf numFmtId="0" fontId="13" fillId="0" borderId="0" xfId="0" applyFont="1" applyBorder="1"/>
    <xf numFmtId="0" fontId="13" fillId="0" borderId="0" xfId="0" applyFont="1"/>
    <xf numFmtId="0" fontId="1" fillId="0" borderId="0" xfId="0" applyFont="1"/>
    <xf numFmtId="0" fontId="1" fillId="0" borderId="14" xfId="0" applyFont="1" applyBorder="1" applyAlignment="1">
      <alignment horizontal="center"/>
    </xf>
    <xf numFmtId="0" fontId="1" fillId="0" borderId="15" xfId="0" applyFont="1" applyBorder="1" applyAlignment="1">
      <alignment horizontal="center"/>
    </xf>
    <xf numFmtId="6" fontId="14" fillId="0" borderId="4" xfId="0" applyNumberFormat="1" applyFont="1" applyBorder="1" applyAlignment="1">
      <alignment horizontal="center"/>
    </xf>
    <xf numFmtId="0" fontId="1" fillId="0" borderId="0" xfId="0" applyFont="1" applyAlignment="1">
      <alignment horizontal="center"/>
    </xf>
    <xf numFmtId="0" fontId="1" fillId="0" borderId="0" xfId="0" applyFont="1" applyBorder="1" applyAlignment="1">
      <alignment horizontal="right"/>
    </xf>
    <xf numFmtId="164" fontId="2" fillId="0" borderId="0" xfId="0" applyNumberFormat="1" applyFont="1" applyAlignment="1">
      <alignment horizontal="right" textRotation="90"/>
    </xf>
    <xf numFmtId="164" fontId="1" fillId="0" borderId="0" xfId="0" applyNumberFormat="1" applyFont="1" applyAlignment="1">
      <alignment horizontal="right"/>
    </xf>
    <xf numFmtId="164" fontId="1" fillId="0" borderId="11" xfId="0" applyNumberFormat="1" applyFont="1" applyBorder="1" applyAlignment="1">
      <alignment horizontal="right"/>
    </xf>
    <xf numFmtId="165" fontId="1" fillId="0" borderId="0" xfId="0" applyNumberFormat="1" applyFont="1" applyBorder="1" applyAlignment="1">
      <alignment horizontal="right"/>
    </xf>
    <xf numFmtId="165" fontId="1" fillId="0" borderId="11" xfId="0" applyNumberFormat="1" applyFont="1" applyBorder="1" applyAlignment="1">
      <alignment horizontal="right"/>
    </xf>
    <xf numFmtId="0" fontId="0" fillId="0" borderId="0" xfId="0" applyAlignment="1">
      <alignment horizontal="left" indent="2"/>
    </xf>
    <xf numFmtId="0" fontId="1" fillId="0" borderId="15" xfId="0" applyFont="1" applyBorder="1" applyAlignment="1">
      <alignment horizontal="left" indent="2"/>
    </xf>
    <xf numFmtId="1" fontId="3" fillId="0" borderId="11" xfId="0" applyNumberFormat="1" applyFont="1" applyBorder="1" applyAlignment="1">
      <alignment horizontal="left" indent="2"/>
    </xf>
    <xf numFmtId="0" fontId="3" fillId="0" borderId="0" xfId="0" applyFont="1" applyAlignment="1">
      <alignment horizontal="left" indent="3"/>
    </xf>
    <xf numFmtId="0" fontId="15" fillId="0" borderId="0" xfId="0" applyFont="1" applyAlignment="1">
      <alignment horizontal="right"/>
    </xf>
    <xf numFmtId="164" fontId="16" fillId="0" borderId="0" xfId="0" applyNumberFormat="1" applyFont="1"/>
    <xf numFmtId="164" fontId="16" fillId="0" borderId="0" xfId="0" applyNumberFormat="1" applyFont="1" applyAlignment="1">
      <alignment horizontal="right"/>
    </xf>
    <xf numFmtId="0" fontId="3" fillId="0" borderId="9" xfId="0" applyFont="1" applyBorder="1"/>
    <xf numFmtId="0" fontId="2" fillId="0" borderId="12" xfId="0" applyFont="1" applyBorder="1" applyAlignment="1">
      <alignment horizontal="center" textRotation="90"/>
    </xf>
    <xf numFmtId="0" fontId="1" fillId="0" borderId="9"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left" indent="2"/>
    </xf>
    <xf numFmtId="6" fontId="14" fillId="0" borderId="5" xfId="0" applyNumberFormat="1" applyFont="1" applyBorder="1" applyAlignment="1">
      <alignment horizontal="center"/>
    </xf>
    <xf numFmtId="0" fontId="3" fillId="0" borderId="0" xfId="0" applyFont="1" applyBorder="1" applyAlignment="1">
      <alignment horizontal="left" indent="2"/>
    </xf>
    <xf numFmtId="0" fontId="3" fillId="0" borderId="0" xfId="0" applyFont="1" applyAlignment="1">
      <alignment horizontal="center"/>
    </xf>
    <xf numFmtId="0" fontId="5" fillId="0" borderId="12" xfId="0" applyFont="1" applyBorder="1" applyAlignment="1">
      <alignment horizontal="center" textRotation="90"/>
    </xf>
    <xf numFmtId="0" fontId="0" fillId="0" borderId="0" xfId="0" applyNumberFormat="1" applyAlignment="1">
      <alignment horizontal="right"/>
    </xf>
    <xf numFmtId="0" fontId="18" fillId="0" borderId="0" xfId="0" applyFont="1" applyAlignment="1">
      <alignment horizontal="right"/>
    </xf>
    <xf numFmtId="1" fontId="0" fillId="0" borderId="0" xfId="0" applyNumberFormat="1" applyAlignment="1">
      <alignment horizontal="right"/>
    </xf>
    <xf numFmtId="164" fontId="0" fillId="0" borderId="0" xfId="0" applyNumberFormat="1" applyAlignment="1"/>
    <xf numFmtId="2" fontId="0" fillId="0" borderId="0" xfId="0" applyNumberFormat="1" applyAlignment="1">
      <alignment horizontal="right"/>
    </xf>
    <xf numFmtId="0" fontId="0" fillId="0" borderId="0" xfId="0" applyAlignment="1">
      <alignment horizontal="left"/>
    </xf>
    <xf numFmtId="0" fontId="3" fillId="0" borderId="0" xfId="0" applyFont="1" applyAlignment="1">
      <alignment horizontal="center" wrapText="1"/>
    </xf>
    <xf numFmtId="1" fontId="3" fillId="0" borderId="0" xfId="0" applyNumberFormat="1" applyFont="1" applyAlignment="1">
      <alignment horizontal="center" wrapText="1"/>
    </xf>
    <xf numFmtId="165" fontId="3" fillId="0" borderId="0" xfId="0" applyNumberFormat="1" applyFont="1" applyAlignment="1">
      <alignment horizontal="center" wrapText="1"/>
    </xf>
    <xf numFmtId="168" fontId="3" fillId="0" borderId="0" xfId="0" applyNumberFormat="1" applyFont="1" applyAlignment="1">
      <alignment horizontal="center" wrapText="1"/>
    </xf>
    <xf numFmtId="0" fontId="3" fillId="0" borderId="0" xfId="0" applyFont="1" applyAlignment="1">
      <alignment wrapText="1"/>
    </xf>
    <xf numFmtId="164" fontId="3" fillId="0" borderId="0" xfId="0" applyNumberFormat="1" applyFont="1" applyAlignment="1">
      <alignment horizontal="center" wrapText="1"/>
    </xf>
    <xf numFmtId="2" fontId="3" fillId="0" borderId="0" xfId="0" applyNumberFormat="1" applyFont="1" applyAlignment="1">
      <alignment horizontal="center" wrapText="1"/>
    </xf>
    <xf numFmtId="0" fontId="0" fillId="0" borderId="0" xfId="0" applyAlignment="1"/>
    <xf numFmtId="0" fontId="3" fillId="0" borderId="0" xfId="0" applyFont="1" applyAlignment="1">
      <alignment horizontal="right"/>
    </xf>
    <xf numFmtId="1" fontId="3" fillId="0" borderId="0" xfId="0" applyNumberFormat="1" applyFont="1" applyAlignment="1">
      <alignment wrapText="1"/>
    </xf>
    <xf numFmtId="165" fontId="3" fillId="0" borderId="0" xfId="0" applyNumberFormat="1" applyFont="1" applyAlignment="1">
      <alignment wrapText="1"/>
    </xf>
    <xf numFmtId="168" fontId="3" fillId="0" borderId="0" xfId="0" applyNumberFormat="1" applyFont="1" applyAlignment="1">
      <alignment wrapText="1"/>
    </xf>
    <xf numFmtId="0" fontId="3" fillId="0" borderId="0" xfId="0" applyFont="1" applyAlignment="1">
      <alignment horizontal="left"/>
    </xf>
    <xf numFmtId="0" fontId="20" fillId="0" borderId="0" xfId="0" applyFont="1"/>
    <xf numFmtId="0" fontId="0" fillId="0" borderId="0" xfId="0" applyAlignment="1">
      <alignment horizontal="center"/>
    </xf>
    <xf numFmtId="0" fontId="0" fillId="0" borderId="0" xfId="0" applyAlignment="1">
      <alignment horizontal="left" indent="1"/>
    </xf>
    <xf numFmtId="9" fontId="0" fillId="0" borderId="0" xfId="0" applyNumberFormat="1" applyAlignment="1"/>
    <xf numFmtId="1" fontId="0" fillId="0" borderId="0" xfId="0" applyNumberFormat="1" applyAlignment="1"/>
    <xf numFmtId="165" fontId="0" fillId="0" borderId="0" xfId="0" applyNumberFormat="1" applyAlignment="1"/>
    <xf numFmtId="168" fontId="0" fillId="0" borderId="0" xfId="0" applyNumberFormat="1" applyAlignment="1"/>
    <xf numFmtId="166" fontId="0" fillId="0" borderId="0" xfId="0" applyNumberFormat="1" applyAlignment="1"/>
    <xf numFmtId="2" fontId="0" fillId="0" borderId="0" xfId="0" applyNumberFormat="1" applyAlignment="1"/>
    <xf numFmtId="168" fontId="3" fillId="0" borderId="0" xfId="0" applyNumberFormat="1" applyFont="1"/>
    <xf numFmtId="2" fontId="3" fillId="0" borderId="0" xfId="0" applyNumberFormat="1" applyFont="1"/>
    <xf numFmtId="168" fontId="0" fillId="0" borderId="0" xfId="0" applyNumberFormat="1"/>
    <xf numFmtId="164" fontId="0" fillId="0" borderId="0" xfId="0" applyNumberFormat="1" applyAlignment="1">
      <alignment horizontal="right"/>
    </xf>
    <xf numFmtId="0" fontId="0" fillId="0" borderId="0" xfId="0" applyAlignment="1"/>
    <xf numFmtId="3" fontId="0" fillId="0" borderId="0" xfId="0" applyNumberFormat="1" applyAlignment="1"/>
    <xf numFmtId="1" fontId="1" fillId="0" borderId="28" xfId="0" applyNumberFormat="1" applyFont="1" applyBorder="1" applyAlignment="1"/>
    <xf numFmtId="1" fontId="1" fillId="0" borderId="8" xfId="0" applyNumberFormat="1" applyFont="1" applyBorder="1" applyAlignment="1"/>
    <xf numFmtId="1" fontId="1" fillId="0" borderId="29" xfId="0" applyNumberFormat="1" applyFont="1" applyBorder="1" applyAlignment="1"/>
    <xf numFmtId="1" fontId="0" fillId="0" borderId="28" xfId="0" applyNumberFormat="1" applyBorder="1" applyAlignment="1"/>
    <xf numFmtId="1" fontId="0" fillId="0" borderId="8" xfId="0" applyNumberFormat="1" applyBorder="1" applyAlignment="1"/>
    <xf numFmtId="1" fontId="0" fillId="0" borderId="29" xfId="0" applyNumberFormat="1" applyBorder="1" applyAlignment="1"/>
    <xf numFmtId="3" fontId="1" fillId="0" borderId="8" xfId="0" applyNumberFormat="1" applyFont="1" applyBorder="1" applyAlignment="1"/>
    <xf numFmtId="3" fontId="0" fillId="0" borderId="8" xfId="0" applyNumberFormat="1" applyBorder="1" applyAlignment="1"/>
    <xf numFmtId="3" fontId="0" fillId="0" borderId="31" xfId="0" applyNumberFormat="1" applyBorder="1" applyAlignment="1"/>
    <xf numFmtId="164" fontId="0" fillId="0" borderId="8" xfId="0" applyNumberFormat="1" applyBorder="1" applyAlignment="1"/>
    <xf numFmtId="3" fontId="0" fillId="0" borderId="28" xfId="0" applyNumberFormat="1" applyBorder="1" applyAlignment="1"/>
    <xf numFmtId="3" fontId="0" fillId="0" borderId="29" xfId="0" applyNumberFormat="1" applyBorder="1" applyAlignment="1"/>
    <xf numFmtId="3" fontId="0" fillId="0" borderId="30" xfId="0" applyNumberFormat="1" applyBorder="1" applyAlignment="1"/>
    <xf numFmtId="3" fontId="0" fillId="0" borderId="32" xfId="0" applyNumberFormat="1" applyBorder="1" applyAlignment="1"/>
    <xf numFmtId="0" fontId="3" fillId="0" borderId="0" xfId="0" applyFont="1" applyAlignment="1">
      <alignment horizontal="left" indent="1"/>
    </xf>
    <xf numFmtId="0" fontId="24" fillId="3" borderId="38" xfId="2"/>
    <xf numFmtId="0" fontId="25" fillId="4" borderId="38" xfId="3"/>
    <xf numFmtId="10" fontId="24" fillId="3" borderId="38" xfId="2" applyNumberFormat="1"/>
    <xf numFmtId="0" fontId="3" fillId="0" borderId="0" xfId="0" applyFont="1" applyBorder="1"/>
    <xf numFmtId="0" fontId="3" fillId="0" borderId="15" xfId="0" applyFont="1" applyBorder="1" applyAlignment="1">
      <alignment horizontal="right"/>
    </xf>
    <xf numFmtId="0" fontId="3" fillId="0" borderId="0" xfId="0" applyFont="1" applyBorder="1" applyAlignment="1">
      <alignment horizontal="right"/>
    </xf>
    <xf numFmtId="0" fontId="8" fillId="0" borderId="0" xfId="0" applyFont="1"/>
    <xf numFmtId="165" fontId="2" fillId="0" borderId="0" xfId="0" applyNumberFormat="1" applyFont="1" applyAlignment="1">
      <alignment horizontal="right" textRotation="90"/>
    </xf>
    <xf numFmtId="0" fontId="3" fillId="0" borderId="0" xfId="0" applyNumberFormat="1" applyFont="1" applyBorder="1" applyAlignment="1">
      <alignment horizontal="right"/>
    </xf>
    <xf numFmtId="0" fontId="3" fillId="0" borderId="9" xfId="0" applyFont="1" applyBorder="1" applyAlignment="1">
      <alignment horizontal="left"/>
    </xf>
    <xf numFmtId="0" fontId="3" fillId="0" borderId="0" xfId="0" applyFont="1" applyBorder="1" applyAlignment="1">
      <alignment horizontal="left"/>
    </xf>
    <xf numFmtId="6" fontId="17" fillId="0" borderId="5" xfId="0" applyNumberFormat="1" applyFont="1" applyBorder="1" applyAlignment="1">
      <alignment horizontal="left"/>
    </xf>
    <xf numFmtId="0" fontId="5" fillId="0" borderId="0" xfId="0" applyFont="1" applyBorder="1" applyAlignment="1">
      <alignment horizontal="left"/>
    </xf>
    <xf numFmtId="164" fontId="3" fillId="0" borderId="0" xfId="0" applyNumberFormat="1" applyFont="1" applyBorder="1" applyAlignment="1">
      <alignment horizontal="left"/>
    </xf>
    <xf numFmtId="0" fontId="21" fillId="0" borderId="12" xfId="0" applyFont="1" applyBorder="1" applyAlignment="1">
      <alignment horizontal="center"/>
    </xf>
    <xf numFmtId="0" fontId="6" fillId="0" borderId="12" xfId="0" applyFont="1" applyBorder="1" applyAlignment="1">
      <alignment horizontal="center" wrapText="1"/>
    </xf>
    <xf numFmtId="166" fontId="0" fillId="0" borderId="0" xfId="0" applyNumberFormat="1" applyAlignment="1">
      <alignment horizontal="right"/>
    </xf>
    <xf numFmtId="0" fontId="7" fillId="0" borderId="0" xfId="0" applyFont="1" applyAlignment="1">
      <alignment horizontal="right"/>
    </xf>
    <xf numFmtId="166" fontId="7" fillId="0" borderId="0" xfId="0" applyNumberFormat="1" applyFont="1" applyAlignment="1">
      <alignment horizontal="center"/>
    </xf>
    <xf numFmtId="1" fontId="7" fillId="0" borderId="0" xfId="0" applyNumberFormat="1" applyFont="1" applyAlignment="1">
      <alignment horizontal="right"/>
    </xf>
    <xf numFmtId="1" fontId="7" fillId="0" borderId="0" xfId="0" applyNumberFormat="1" applyFont="1" applyAlignment="1">
      <alignment horizontal="left"/>
    </xf>
    <xf numFmtId="165" fontId="3" fillId="0" borderId="0" xfId="0" applyNumberFormat="1" applyFont="1" applyAlignment="1">
      <alignment horizontal="center" textRotation="180"/>
    </xf>
    <xf numFmtId="165" fontId="0" fillId="0" borderId="0" xfId="0" applyNumberFormat="1" applyAlignment="1">
      <alignment horizontal="center"/>
    </xf>
    <xf numFmtId="164" fontId="3" fillId="0" borderId="0" xfId="0" applyNumberFormat="1" applyFont="1" applyAlignment="1">
      <alignment horizontal="left"/>
    </xf>
    <xf numFmtId="165" fontId="0" fillId="0" borderId="0" xfId="0" applyNumberFormat="1" applyAlignment="1">
      <alignment horizontal="right"/>
    </xf>
    <xf numFmtId="165" fontId="0" fillId="0" borderId="0" xfId="0" applyNumberFormat="1" applyFill="1" applyAlignment="1">
      <alignment horizontal="right"/>
    </xf>
    <xf numFmtId="0" fontId="0" fillId="0" borderId="0" xfId="0" applyFill="1" applyAlignment="1">
      <alignment horizontal="right"/>
    </xf>
    <xf numFmtId="165" fontId="2" fillId="0" borderId="0" xfId="0" applyNumberFormat="1" applyFont="1" applyFill="1" applyAlignment="1">
      <alignment horizontal="right" textRotation="90"/>
    </xf>
    <xf numFmtId="0" fontId="2" fillId="0" borderId="0" xfId="0" applyFont="1" applyAlignment="1">
      <alignment horizontal="right" textRotation="90" wrapText="1"/>
    </xf>
    <xf numFmtId="0" fontId="2" fillId="0" borderId="0" xfId="0" applyFont="1" applyFill="1" applyAlignment="1">
      <alignment horizontal="right" textRotation="90"/>
    </xf>
    <xf numFmtId="0" fontId="2" fillId="0" borderId="0" xfId="0" applyFont="1" applyAlignment="1">
      <alignment horizontal="right" wrapText="1"/>
    </xf>
    <xf numFmtId="165" fontId="0" fillId="0" borderId="0" xfId="0" applyNumberFormat="1" applyBorder="1" applyAlignment="1">
      <alignment horizontal="right"/>
    </xf>
    <xf numFmtId="164" fontId="0" fillId="0" borderId="0" xfId="0" applyNumberFormat="1" applyBorder="1" applyAlignment="1">
      <alignment horizontal="right"/>
    </xf>
    <xf numFmtId="164" fontId="0" fillId="0" borderId="11" xfId="0" applyNumberFormat="1" applyBorder="1" applyAlignment="1">
      <alignment horizontal="right"/>
    </xf>
    <xf numFmtId="165" fontId="0" fillId="0" borderId="9" xfId="0" applyNumberFormat="1" applyBorder="1" applyAlignment="1">
      <alignment horizontal="right"/>
    </xf>
    <xf numFmtId="165" fontId="0" fillId="0" borderId="9" xfId="0" applyNumberFormat="1" applyFill="1" applyBorder="1" applyAlignment="1">
      <alignment horizontal="right"/>
    </xf>
    <xf numFmtId="165" fontId="0" fillId="0" borderId="10" xfId="0" applyNumberFormat="1" applyFill="1" applyBorder="1" applyAlignment="1">
      <alignment horizontal="right"/>
    </xf>
    <xf numFmtId="0" fontId="0" fillId="0" borderId="0" xfId="0" applyFill="1" applyBorder="1" applyAlignment="1">
      <alignment horizontal="right"/>
    </xf>
    <xf numFmtId="165" fontId="3" fillId="0" borderId="0" xfId="0" applyNumberFormat="1" applyFont="1" applyAlignment="1">
      <alignment horizontal="right"/>
    </xf>
    <xf numFmtId="164" fontId="3" fillId="0" borderId="0" xfId="0" applyNumberFormat="1" applyFont="1" applyAlignment="1">
      <alignment horizontal="right"/>
    </xf>
    <xf numFmtId="164" fontId="3" fillId="0" borderId="11" xfId="0" applyNumberFormat="1" applyFont="1" applyBorder="1" applyAlignment="1">
      <alignment horizontal="right"/>
    </xf>
    <xf numFmtId="165" fontId="3" fillId="0" borderId="0" xfId="0" applyNumberFormat="1" applyFont="1" applyBorder="1" applyAlignment="1">
      <alignment horizontal="right"/>
    </xf>
    <xf numFmtId="165" fontId="3" fillId="0" borderId="11" xfId="0" applyNumberFormat="1" applyFont="1" applyBorder="1" applyAlignment="1">
      <alignment horizontal="right"/>
    </xf>
    <xf numFmtId="3" fontId="3" fillId="0" borderId="0" xfId="0" applyNumberFormat="1" applyFont="1" applyAlignment="1">
      <alignment horizontal="right"/>
    </xf>
    <xf numFmtId="165" fontId="0" fillId="0" borderId="5"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5" fontId="0" fillId="0" borderId="6" xfId="0" applyNumberFormat="1" applyBorder="1" applyAlignment="1">
      <alignment horizontal="right"/>
    </xf>
    <xf numFmtId="165" fontId="0" fillId="0" borderId="11" xfId="0" applyNumberFormat="1" applyBorder="1" applyAlignment="1">
      <alignment horizontal="right"/>
    </xf>
    <xf numFmtId="3" fontId="0" fillId="0" borderId="0" xfId="0" applyNumberFormat="1" applyAlignment="1">
      <alignment horizontal="right"/>
    </xf>
    <xf numFmtId="164" fontId="15" fillId="0" borderId="0" xfId="0" applyNumberFormat="1" applyFont="1" applyAlignment="1">
      <alignment horizontal="right"/>
    </xf>
    <xf numFmtId="165" fontId="0" fillId="0" borderId="0" xfId="0" applyNumberFormat="1" applyAlignment="1">
      <alignment horizontal="right" indent="2"/>
    </xf>
    <xf numFmtId="164" fontId="0" fillId="0" borderId="0" xfId="0" applyNumberFormat="1" applyAlignment="1">
      <alignment horizontal="right" indent="2"/>
    </xf>
    <xf numFmtId="164" fontId="0" fillId="0" borderId="11" xfId="0" applyNumberFormat="1" applyBorder="1" applyAlignment="1">
      <alignment horizontal="right" indent="2"/>
    </xf>
    <xf numFmtId="165" fontId="0" fillId="0" borderId="0" xfId="0" applyNumberFormat="1" applyBorder="1" applyAlignment="1">
      <alignment horizontal="right" indent="2"/>
    </xf>
    <xf numFmtId="165" fontId="0" fillId="0" borderId="11" xfId="0" applyNumberFormat="1" applyBorder="1" applyAlignment="1">
      <alignment horizontal="right" indent="2"/>
    </xf>
    <xf numFmtId="3" fontId="0" fillId="0" borderId="0" xfId="0" applyNumberFormat="1" applyAlignment="1">
      <alignment horizontal="right" indent="2"/>
    </xf>
    <xf numFmtId="165" fontId="3" fillId="0" borderId="0" xfId="0" applyNumberFormat="1" applyFont="1" applyAlignment="1">
      <alignment horizontal="right" indent="2"/>
    </xf>
    <xf numFmtId="164" fontId="3" fillId="0" borderId="0" xfId="0" applyNumberFormat="1" applyFont="1" applyAlignment="1">
      <alignment horizontal="right" indent="2"/>
    </xf>
    <xf numFmtId="164" fontId="3" fillId="0" borderId="11" xfId="0" applyNumberFormat="1" applyFont="1" applyBorder="1" applyAlignment="1">
      <alignment horizontal="right" indent="2"/>
    </xf>
    <xf numFmtId="165" fontId="3" fillId="0" borderId="0" xfId="0" applyNumberFormat="1" applyFont="1" applyBorder="1" applyAlignment="1">
      <alignment horizontal="right" indent="2"/>
    </xf>
    <xf numFmtId="165" fontId="3" fillId="0" borderId="11" xfId="0" applyNumberFormat="1" applyFont="1" applyBorder="1" applyAlignment="1">
      <alignment horizontal="right" indent="2"/>
    </xf>
    <xf numFmtId="3" fontId="3" fillId="0" borderId="0" xfId="0" applyNumberFormat="1" applyFont="1" applyAlignment="1">
      <alignment horizontal="right" indent="2"/>
    </xf>
    <xf numFmtId="0" fontId="1" fillId="0" borderId="9" xfId="0" applyFont="1" applyBorder="1" applyAlignment="1">
      <alignment horizontal="right"/>
    </xf>
    <xf numFmtId="165" fontId="2" fillId="0" borderId="0" xfId="0" applyNumberFormat="1" applyFont="1" applyFill="1" applyBorder="1" applyAlignment="1">
      <alignment horizontal="right"/>
    </xf>
    <xf numFmtId="164" fontId="2" fillId="0" borderId="0" xfId="0" applyNumberFormat="1" applyFont="1" applyFill="1" applyBorder="1" applyAlignment="1">
      <alignment horizontal="right"/>
    </xf>
    <xf numFmtId="165" fontId="2" fillId="0" borderId="0" xfId="0" applyNumberFormat="1" applyFont="1" applyAlignment="1">
      <alignment horizontal="right"/>
    </xf>
    <xf numFmtId="165" fontId="2" fillId="0" borderId="0" xfId="0" applyNumberFormat="1" applyFont="1" applyFill="1" applyAlignment="1">
      <alignment horizontal="right"/>
    </xf>
    <xf numFmtId="0" fontId="2" fillId="0" borderId="0" xfId="0" applyFont="1" applyFill="1" applyAlignment="1">
      <alignment horizontal="right"/>
    </xf>
    <xf numFmtId="165" fontId="7" fillId="0" borderId="0" xfId="0" applyNumberFormat="1" applyFont="1" applyFill="1" applyBorder="1" applyAlignment="1">
      <alignment horizontal="right"/>
    </xf>
    <xf numFmtId="164" fontId="7" fillId="0" borderId="0" xfId="0" applyNumberFormat="1" applyFont="1" applyFill="1" applyBorder="1" applyAlignment="1">
      <alignment horizontal="right"/>
    </xf>
    <xf numFmtId="165" fontId="7" fillId="0" borderId="0" xfId="0" applyNumberFormat="1" applyFont="1" applyAlignment="1">
      <alignment horizontal="right"/>
    </xf>
    <xf numFmtId="165" fontId="7" fillId="0" borderId="0" xfId="0" applyNumberFormat="1" applyFont="1" applyFill="1" applyAlignment="1">
      <alignment horizontal="right"/>
    </xf>
    <xf numFmtId="0" fontId="7" fillId="0" borderId="0" xfId="0" applyFont="1" applyFill="1" applyAlignment="1">
      <alignment horizontal="right"/>
    </xf>
    <xf numFmtId="5" fontId="2" fillId="0" borderId="0" xfId="0" applyNumberFormat="1" applyFont="1" applyAlignment="1">
      <alignment horizontal="right"/>
    </xf>
    <xf numFmtId="6" fontId="2" fillId="0" borderId="0" xfId="0" applyNumberFormat="1" applyFont="1" applyAlignment="1">
      <alignment horizontal="right"/>
    </xf>
    <xf numFmtId="165" fontId="0" fillId="0" borderId="0" xfId="0" applyNumberFormat="1" applyFill="1" applyBorder="1" applyAlignment="1">
      <alignment horizontal="right"/>
    </xf>
    <xf numFmtId="164" fontId="0" fillId="0" borderId="0" xfId="0" applyNumberFormat="1" applyFill="1" applyBorder="1" applyAlignment="1">
      <alignment horizontal="right"/>
    </xf>
    <xf numFmtId="165" fontId="0" fillId="5" borderId="39" xfId="4" applyNumberFormat="1" applyFont="1" applyAlignment="1">
      <alignment horizontal="right"/>
    </xf>
    <xf numFmtId="165" fontId="1" fillId="5" borderId="39" xfId="4" applyNumberFormat="1" applyFont="1" applyAlignment="1">
      <alignment horizontal="right"/>
    </xf>
    <xf numFmtId="164" fontId="1" fillId="0" borderId="0" xfId="0" applyNumberFormat="1" applyFont="1" applyFill="1" applyBorder="1" applyAlignment="1">
      <alignment horizontal="right"/>
    </xf>
    <xf numFmtId="165" fontId="7" fillId="5" borderId="39" xfId="4" applyNumberFormat="1" applyFont="1" applyAlignment="1">
      <alignment horizontal="right"/>
    </xf>
    <xf numFmtId="165" fontId="3" fillId="5" borderId="39" xfId="4" applyNumberFormat="1" applyFont="1" applyAlignment="1">
      <alignment horizontal="right"/>
    </xf>
    <xf numFmtId="164" fontId="8"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5" fillId="0" borderId="0" xfId="0" applyNumberFormat="1" applyFont="1" applyFill="1" applyBorder="1" applyAlignment="1">
      <alignment horizontal="right"/>
    </xf>
    <xf numFmtId="164" fontId="3" fillId="0" borderId="0" xfId="0" applyNumberFormat="1" applyFont="1" applyAlignment="1"/>
    <xf numFmtId="165" fontId="3" fillId="0" borderId="0" xfId="0" applyNumberFormat="1" applyFont="1" applyAlignment="1"/>
    <xf numFmtId="0" fontId="2" fillId="0" borderId="0" xfId="0" applyFont="1" applyAlignment="1">
      <alignment horizontal="left"/>
    </xf>
    <xf numFmtId="0" fontId="0" fillId="0" borderId="0" xfId="0" applyBorder="1" applyAlignment="1">
      <alignment horizontal="left"/>
    </xf>
    <xf numFmtId="0" fontId="15" fillId="0" borderId="0" xfId="0" applyFont="1" applyAlignment="1">
      <alignment horizontal="left"/>
    </xf>
    <xf numFmtId="0" fontId="7" fillId="0" borderId="0" xfId="0" applyFont="1" applyAlignment="1">
      <alignment horizontal="left"/>
    </xf>
    <xf numFmtId="0" fontId="0" fillId="5" borderId="39" xfId="4" applyFont="1" applyAlignment="1">
      <alignment horizontal="left"/>
    </xf>
    <xf numFmtId="0" fontId="2" fillId="0" borderId="0" xfId="0" applyFont="1" applyAlignment="1">
      <alignment horizontal="center"/>
    </xf>
    <xf numFmtId="0" fontId="2" fillId="0" borderId="0" xfId="0" applyFont="1" applyFill="1" applyBorder="1" applyAlignment="1">
      <alignment horizontal="left"/>
    </xf>
    <xf numFmtId="0" fontId="7" fillId="0" borderId="0" xfId="0" applyFont="1" applyFill="1" applyBorder="1" applyAlignment="1">
      <alignment horizontal="left"/>
    </xf>
    <xf numFmtId="0" fontId="0" fillId="0" borderId="0" xfId="0" applyFill="1" applyBorder="1" applyAlignment="1">
      <alignment horizontal="left"/>
    </xf>
    <xf numFmtId="0" fontId="1" fillId="0" borderId="0" xfId="0" applyFont="1" applyFill="1" applyBorder="1" applyAlignment="1">
      <alignment horizontal="left"/>
    </xf>
    <xf numFmtId="0" fontId="8" fillId="0" borderId="0" xfId="0" applyFont="1" applyFill="1" applyBorder="1" applyAlignment="1">
      <alignment horizontal="left"/>
    </xf>
    <xf numFmtId="0" fontId="5" fillId="0" borderId="0" xfId="0" applyFont="1" applyFill="1" applyBorder="1" applyAlignment="1">
      <alignment horizontal="left"/>
    </xf>
    <xf numFmtId="0" fontId="10" fillId="0" borderId="0" xfId="0" applyFont="1" applyAlignment="1">
      <alignment horizontal="right" vertical="center"/>
    </xf>
    <xf numFmtId="0" fontId="2" fillId="0" borderId="16" xfId="0" applyFont="1" applyBorder="1" applyAlignment="1">
      <alignment horizontal="right" textRotation="90"/>
    </xf>
    <xf numFmtId="0" fontId="2" fillId="0" borderId="12" xfId="0" applyFont="1" applyBorder="1" applyAlignment="1">
      <alignment horizontal="right" textRotation="90"/>
    </xf>
    <xf numFmtId="0" fontId="2" fillId="0" borderId="13" xfId="0" applyFont="1" applyBorder="1" applyAlignment="1">
      <alignment horizontal="right" textRotation="90"/>
    </xf>
    <xf numFmtId="0" fontId="0" fillId="0" borderId="9" xfId="0" applyBorder="1" applyAlignment="1">
      <alignment horizontal="right"/>
    </xf>
    <xf numFmtId="0" fontId="0" fillId="0" borderId="10" xfId="0" applyBorder="1" applyAlignment="1">
      <alignment horizontal="right"/>
    </xf>
    <xf numFmtId="0" fontId="0" fillId="0" borderId="14" xfId="0" applyBorder="1" applyAlignment="1">
      <alignment horizontal="right"/>
    </xf>
    <xf numFmtId="164" fontId="3" fillId="0" borderId="0" xfId="0" applyNumberFormat="1" applyFont="1" applyBorder="1" applyAlignment="1">
      <alignment horizontal="right"/>
    </xf>
    <xf numFmtId="0" fontId="3" fillId="0" borderId="11" xfId="0" applyFont="1" applyBorder="1" applyAlignment="1">
      <alignment horizontal="right"/>
    </xf>
    <xf numFmtId="0" fontId="8" fillId="0" borderId="11" xfId="0" applyFont="1" applyBorder="1" applyAlignment="1">
      <alignment horizontal="right"/>
    </xf>
    <xf numFmtId="164" fontId="2" fillId="0" borderId="0" xfId="0" applyNumberFormat="1" applyFont="1" applyBorder="1" applyAlignment="1">
      <alignment horizontal="right"/>
    </xf>
    <xf numFmtId="0" fontId="2" fillId="0" borderId="11" xfId="0" applyFont="1" applyBorder="1" applyAlignment="1">
      <alignment horizontal="right"/>
    </xf>
    <xf numFmtId="0" fontId="0" fillId="0" borderId="11" xfId="0" applyBorder="1" applyAlignment="1">
      <alignment horizontal="right"/>
    </xf>
    <xf numFmtId="0" fontId="9" fillId="0" borderId="11" xfId="0" applyFont="1" applyBorder="1" applyAlignment="1">
      <alignment horizontal="right"/>
    </xf>
    <xf numFmtId="0" fontId="9" fillId="0" borderId="0" xfId="0" applyFont="1" applyBorder="1" applyAlignment="1">
      <alignment horizontal="right"/>
    </xf>
    <xf numFmtId="0" fontId="8" fillId="0" borderId="0" xfId="0" applyFont="1" applyBorder="1" applyAlignment="1">
      <alignment horizontal="right"/>
    </xf>
    <xf numFmtId="164" fontId="0" fillId="0" borderId="4" xfId="0" applyNumberFormat="1" applyBorder="1" applyAlignment="1">
      <alignment horizontal="right"/>
    </xf>
    <xf numFmtId="3" fontId="1" fillId="0" borderId="2" xfId="0" applyNumberFormat="1" applyFont="1" applyBorder="1" applyAlignment="1">
      <alignment horizontal="right"/>
    </xf>
    <xf numFmtId="164" fontId="1" fillId="0" borderId="2" xfId="0" applyNumberFormat="1" applyFont="1" applyBorder="1" applyAlignment="1">
      <alignment horizontal="right"/>
    </xf>
    <xf numFmtId="164" fontId="1" fillId="0" borderId="3" xfId="0" applyNumberFormat="1" applyFont="1" applyBorder="1" applyAlignment="1">
      <alignment horizontal="right"/>
    </xf>
    <xf numFmtId="3" fontId="1" fillId="0" borderId="1" xfId="0" applyNumberFormat="1" applyFont="1" applyBorder="1" applyAlignment="1">
      <alignment horizontal="right"/>
    </xf>
    <xf numFmtId="164" fontId="6" fillId="0" borderId="7" xfId="0" applyNumberFormat="1" applyFont="1" applyBorder="1" applyAlignment="1">
      <alignment horizontal="right"/>
    </xf>
    <xf numFmtId="164" fontId="6" fillId="0" borderId="0" xfId="0" applyNumberFormat="1" applyFont="1" applyBorder="1" applyAlignment="1">
      <alignment horizontal="right"/>
    </xf>
    <xf numFmtId="0" fontId="0" fillId="0" borderId="21" xfId="0" applyBorder="1" applyAlignment="1">
      <alignment horizontal="right"/>
    </xf>
    <xf numFmtId="0" fontId="0" fillId="0" borderId="29" xfId="0" applyBorder="1" applyAlignment="1">
      <alignment horizontal="right"/>
    </xf>
    <xf numFmtId="0" fontId="0" fillId="0" borderId="20" xfId="0" applyBorder="1" applyAlignment="1">
      <alignment horizontal="right"/>
    </xf>
    <xf numFmtId="0" fontId="0" fillId="0" borderId="8" xfId="0" applyBorder="1" applyAlignment="1">
      <alignment horizontal="right"/>
    </xf>
    <xf numFmtId="164" fontId="0" fillId="0" borderId="8" xfId="0" applyNumberFormat="1" applyBorder="1" applyAlignment="1">
      <alignment horizontal="right"/>
    </xf>
    <xf numFmtId="0" fontId="0" fillId="0" borderId="28" xfId="0" applyBorder="1" applyAlignment="1">
      <alignment horizontal="right"/>
    </xf>
    <xf numFmtId="164" fontId="0" fillId="0" borderId="20" xfId="0" applyNumberFormat="1" applyBorder="1" applyAlignment="1">
      <alignment horizontal="right"/>
    </xf>
    <xf numFmtId="164" fontId="0" fillId="0" borderId="21" xfId="0" applyNumberFormat="1" applyBorder="1" applyAlignment="1">
      <alignment horizontal="right"/>
    </xf>
    <xf numFmtId="164" fontId="0" fillId="0" borderId="28" xfId="0" applyNumberFormat="1" applyBorder="1" applyAlignment="1">
      <alignment horizontal="right"/>
    </xf>
    <xf numFmtId="164" fontId="0" fillId="0" borderId="29" xfId="0" applyNumberFormat="1" applyBorder="1" applyAlignment="1">
      <alignment horizontal="right"/>
    </xf>
    <xf numFmtId="164" fontId="0" fillId="0" borderId="22" xfId="0" applyNumberFormat="1" applyBorder="1" applyAlignment="1">
      <alignment horizontal="right"/>
    </xf>
    <xf numFmtId="164" fontId="0" fillId="0" borderId="23" xfId="0" applyNumberFormat="1" applyBorder="1" applyAlignment="1">
      <alignment horizontal="right"/>
    </xf>
    <xf numFmtId="164" fontId="0" fillId="0" borderId="24" xfId="0" applyNumberFormat="1" applyBorder="1" applyAlignment="1">
      <alignment horizontal="right"/>
    </xf>
    <xf numFmtId="164" fontId="0" fillId="0" borderId="30" xfId="0" applyNumberFormat="1" applyBorder="1" applyAlignment="1">
      <alignment horizontal="right"/>
    </xf>
    <xf numFmtId="164" fontId="0" fillId="0" borderId="31" xfId="0" applyNumberFormat="1" applyBorder="1" applyAlignment="1">
      <alignment horizontal="right"/>
    </xf>
    <xf numFmtId="164" fontId="0" fillId="0" borderId="32" xfId="0" applyNumberFormat="1" applyBorder="1" applyAlignment="1">
      <alignment horizontal="right"/>
    </xf>
    <xf numFmtId="167" fontId="18" fillId="0" borderId="0" xfId="0" applyNumberFormat="1" applyFont="1" applyAlignment="1">
      <alignment horizontal="right"/>
    </xf>
    <xf numFmtId="3" fontId="3" fillId="0" borderId="0" xfId="0" applyNumberFormat="1" applyFont="1" applyBorder="1" applyAlignment="1">
      <alignment horizontal="right"/>
    </xf>
    <xf numFmtId="164" fontId="3" fillId="0" borderId="13" xfId="0" applyNumberFormat="1" applyFont="1" applyBorder="1" applyAlignment="1">
      <alignment horizontal="right"/>
    </xf>
    <xf numFmtId="165" fontId="3" fillId="0" borderId="12" xfId="0" applyNumberFormat="1" applyFont="1" applyBorder="1" applyAlignment="1">
      <alignment horizontal="right"/>
    </xf>
    <xf numFmtId="165" fontId="3" fillId="0" borderId="13" xfId="0" applyNumberFormat="1" applyFont="1" applyBorder="1" applyAlignment="1">
      <alignment horizontal="right"/>
    </xf>
    <xf numFmtId="0" fontId="3" fillId="0" borderId="13" xfId="0" applyFont="1" applyBorder="1" applyAlignment="1">
      <alignment horizontal="right"/>
    </xf>
    <xf numFmtId="0" fontId="3" fillId="0" borderId="16" xfId="0" applyFont="1" applyBorder="1" applyAlignment="1">
      <alignment horizontal="right"/>
    </xf>
    <xf numFmtId="0" fontId="3" fillId="0" borderId="12" xfId="0" applyFont="1" applyBorder="1" applyAlignment="1">
      <alignment horizontal="right"/>
    </xf>
    <xf numFmtId="1" fontId="3" fillId="0" borderId="0" xfId="0" applyNumberFormat="1" applyFont="1" applyBorder="1" applyAlignment="1">
      <alignment horizontal="right"/>
    </xf>
    <xf numFmtId="164" fontId="0" fillId="0" borderId="10" xfId="0" applyNumberFormat="1" applyBorder="1" applyAlignment="1">
      <alignment horizontal="right"/>
    </xf>
    <xf numFmtId="0" fontId="1" fillId="0" borderId="2" xfId="0" applyFont="1" applyBorder="1" applyAlignment="1">
      <alignment horizontal="right"/>
    </xf>
    <xf numFmtId="0" fontId="0" fillId="0" borderId="17" xfId="0" applyBorder="1"/>
    <xf numFmtId="0" fontId="0" fillId="0" borderId="19" xfId="0" applyBorder="1"/>
    <xf numFmtId="0" fontId="0" fillId="0" borderId="21" xfId="0" applyBorder="1"/>
    <xf numFmtId="0" fontId="0" fillId="0" borderId="22" xfId="0" applyBorder="1"/>
    <xf numFmtId="0" fontId="0" fillId="0" borderId="24" xfId="0" applyBorder="1"/>
    <xf numFmtId="0" fontId="3" fillId="0" borderId="22" xfId="0" applyFont="1" applyBorder="1" applyAlignment="1">
      <alignment horizontal="center"/>
    </xf>
    <xf numFmtId="0" fontId="3" fillId="0" borderId="24" xfId="0" applyFont="1" applyBorder="1" applyAlignment="1">
      <alignment horizontal="center"/>
    </xf>
    <xf numFmtId="0" fontId="3" fillId="0" borderId="41" xfId="0" applyFont="1" applyBorder="1" applyAlignment="1">
      <alignment horizontal="center"/>
    </xf>
    <xf numFmtId="0" fontId="0" fillId="0" borderId="40" xfId="0" applyBorder="1"/>
    <xf numFmtId="0" fontId="0" fillId="0" borderId="4" xfId="0" applyBorder="1"/>
    <xf numFmtId="0" fontId="0" fillId="0" borderId="41" xfId="0" applyBorder="1"/>
    <xf numFmtId="0" fontId="3" fillId="0" borderId="43" xfId="0" applyFont="1" applyBorder="1" applyAlignment="1">
      <alignment horizontal="center"/>
    </xf>
    <xf numFmtId="0" fontId="0" fillId="0" borderId="42" xfId="0" applyBorder="1"/>
    <xf numFmtId="0" fontId="0" fillId="0" borderId="6" xfId="0" applyBorder="1"/>
    <xf numFmtId="0" fontId="0" fillId="0" borderId="43" xfId="0" applyBorder="1"/>
    <xf numFmtId="0" fontId="19" fillId="0" borderId="0" xfId="0" applyFont="1"/>
    <xf numFmtId="42" fontId="0" fillId="0" borderId="0" xfId="5" applyFont="1"/>
    <xf numFmtId="42" fontId="3" fillId="0" borderId="22" xfId="5" applyFont="1" applyBorder="1" applyAlignment="1">
      <alignment horizontal="center"/>
    </xf>
    <xf numFmtId="42" fontId="3" fillId="0" borderId="24" xfId="5" applyFont="1" applyBorder="1" applyAlignment="1">
      <alignment horizontal="center"/>
    </xf>
    <xf numFmtId="42" fontId="0" fillId="0" borderId="17" xfId="5" applyFont="1" applyBorder="1"/>
    <xf numFmtId="42" fontId="0" fillId="0" borderId="19" xfId="5" applyFont="1" applyBorder="1"/>
    <xf numFmtId="42" fontId="0" fillId="0" borderId="20" xfId="5" applyFont="1" applyBorder="1"/>
    <xf numFmtId="42" fontId="0" fillId="0" borderId="21" xfId="5" applyFont="1" applyBorder="1"/>
    <xf numFmtId="42" fontId="0" fillId="0" borderId="22" xfId="5" applyFont="1" applyBorder="1"/>
    <xf numFmtId="42" fontId="0" fillId="0" borderId="24" xfId="5" applyFont="1" applyBorder="1"/>
    <xf numFmtId="0" fontId="0" fillId="0" borderId="0" xfId="0"/>
    <xf numFmtId="164" fontId="0" fillId="0" borderId="42" xfId="0" applyNumberFormat="1" applyBorder="1"/>
    <xf numFmtId="164" fontId="0" fillId="0" borderId="19" xfId="0" applyNumberFormat="1" applyBorder="1"/>
    <xf numFmtId="164" fontId="0" fillId="0" borderId="6" xfId="0" applyNumberFormat="1" applyBorder="1"/>
    <xf numFmtId="164" fontId="0" fillId="0" borderId="21" xfId="0" applyNumberFormat="1" applyBorder="1"/>
    <xf numFmtId="164" fontId="0" fillId="0" borderId="43" xfId="0" applyNumberFormat="1" applyBorder="1"/>
    <xf numFmtId="164" fontId="0" fillId="0" borderId="24" xfId="0" applyNumberFormat="1" applyBorder="1"/>
    <xf numFmtId="1" fontId="0" fillId="0" borderId="17" xfId="0" applyNumberFormat="1" applyBorder="1"/>
    <xf numFmtId="1" fontId="0" fillId="0" borderId="19" xfId="0" applyNumberFormat="1" applyBorder="1"/>
    <xf numFmtId="1" fontId="0" fillId="0" borderId="42" xfId="0" applyNumberFormat="1" applyBorder="1"/>
    <xf numFmtId="1" fontId="0" fillId="0" borderId="40" xfId="0" applyNumberFormat="1" applyBorder="1"/>
    <xf numFmtId="1" fontId="0" fillId="0" borderId="20" xfId="0" applyNumberFormat="1" applyBorder="1"/>
    <xf numFmtId="1" fontId="0" fillId="0" borderId="21" xfId="0" applyNumberFormat="1" applyBorder="1"/>
    <xf numFmtId="1" fontId="0" fillId="0" borderId="6" xfId="0" applyNumberFormat="1" applyBorder="1"/>
    <xf numFmtId="1" fontId="0" fillId="0" borderId="4" xfId="0" applyNumberFormat="1" applyBorder="1"/>
    <xf numFmtId="1" fontId="0" fillId="0" borderId="22" xfId="0" applyNumberFormat="1" applyBorder="1"/>
    <xf numFmtId="1" fontId="0" fillId="0" borderId="24" xfId="0" applyNumberFormat="1" applyBorder="1"/>
    <xf numFmtId="1" fontId="0" fillId="0" borderId="43" xfId="0" applyNumberFormat="1" applyBorder="1"/>
    <xf numFmtId="1" fontId="0" fillId="0" borderId="41" xfId="0" applyNumberFormat="1" applyBorder="1"/>
    <xf numFmtId="0" fontId="1" fillId="0" borderId="22" xfId="0" applyFont="1" applyBorder="1" applyAlignment="1">
      <alignment horizontal="center"/>
    </xf>
    <xf numFmtId="0" fontId="1" fillId="0" borderId="24" xfId="0" applyFont="1" applyBorder="1" applyAlignment="1">
      <alignment horizontal="center"/>
    </xf>
    <xf numFmtId="0" fontId="1" fillId="0" borderId="43" xfId="0" applyFont="1" applyBorder="1" applyAlignment="1">
      <alignment horizontal="center"/>
    </xf>
    <xf numFmtId="0" fontId="1" fillId="0" borderId="41" xfId="0" applyFont="1" applyBorder="1" applyAlignment="1">
      <alignment horizontal="center"/>
    </xf>
    <xf numFmtId="42" fontId="1" fillId="0" borderId="43" xfId="5" applyFont="1" applyBorder="1" applyAlignment="1">
      <alignment horizontal="center"/>
    </xf>
    <xf numFmtId="42" fontId="1" fillId="0" borderId="24" xfId="5" applyFont="1" applyBorder="1" applyAlignment="1">
      <alignment horizontal="center"/>
    </xf>
    <xf numFmtId="165" fontId="8" fillId="5" borderId="39" xfId="4" applyNumberFormat="1" applyFont="1" applyAlignment="1">
      <alignment horizontal="right"/>
    </xf>
    <xf numFmtId="0" fontId="3" fillId="0" borderId="0" xfId="0" applyFont="1" applyAlignment="1">
      <alignment wrapText="1"/>
    </xf>
    <xf numFmtId="0" fontId="0" fillId="0" borderId="0" xfId="0" applyAlignment="1"/>
    <xf numFmtId="0" fontId="0" fillId="0" borderId="0" xfId="0"/>
    <xf numFmtId="0" fontId="3" fillId="0" borderId="0" xfId="0" applyFont="1" applyAlignment="1"/>
    <xf numFmtId="0" fontId="3" fillId="0" borderId="0" xfId="0" applyFont="1" applyAlignment="1">
      <alignment horizontal="center" textRotation="180"/>
    </xf>
    <xf numFmtId="0" fontId="3" fillId="0" borderId="0" xfId="0" applyFont="1" applyAlignment="1">
      <alignment wrapText="1"/>
    </xf>
    <xf numFmtId="0" fontId="0" fillId="0" borderId="0" xfId="0" applyAlignment="1"/>
    <xf numFmtId="0" fontId="0" fillId="0" borderId="0" xfId="0"/>
    <xf numFmtId="0" fontId="0" fillId="0" borderId="5" xfId="0" applyBorder="1" applyAlignment="1">
      <alignment horizontal="left"/>
    </xf>
    <xf numFmtId="0" fontId="3" fillId="0" borderId="0" xfId="0" applyFont="1" applyAlignment="1"/>
    <xf numFmtId="0" fontId="0" fillId="0" borderId="0" xfId="0"/>
    <xf numFmtId="0" fontId="0" fillId="0" borderId="5" xfId="0" applyBorder="1" applyAlignment="1">
      <alignment horizontal="left"/>
    </xf>
    <xf numFmtId="0" fontId="3" fillId="0" borderId="28" xfId="0" applyFont="1" applyBorder="1" applyAlignment="1">
      <alignment horizontal="center"/>
    </xf>
    <xf numFmtId="0" fontId="3" fillId="0" borderId="8" xfId="0" applyFont="1" applyBorder="1" applyAlignment="1">
      <alignment horizontal="center"/>
    </xf>
    <xf numFmtId="0" fontId="3" fillId="0" borderId="29" xfId="0" applyFont="1" applyBorder="1" applyAlignment="1">
      <alignment horizontal="center"/>
    </xf>
    <xf numFmtId="2" fontId="0" fillId="0" borderId="28" xfId="0" applyNumberFormat="1" applyBorder="1"/>
    <xf numFmtId="2" fontId="0" fillId="0" borderId="8" xfId="0" applyNumberFormat="1" applyBorder="1" applyAlignment="1">
      <alignment horizontal="center"/>
    </xf>
    <xf numFmtId="164" fontId="0" fillId="0" borderId="8" xfId="0" applyNumberFormat="1" applyBorder="1"/>
    <xf numFmtId="4" fontId="0" fillId="0" borderId="8" xfId="0" applyNumberFormat="1" applyBorder="1"/>
    <xf numFmtId="2" fontId="0" fillId="0" borderId="8" xfId="0" applyNumberFormat="1" applyBorder="1"/>
    <xf numFmtId="4" fontId="0" fillId="0" borderId="29" xfId="0" applyNumberFormat="1" applyBorder="1"/>
    <xf numFmtId="2" fontId="0" fillId="0" borderId="30" xfId="0" applyNumberFormat="1" applyBorder="1"/>
    <xf numFmtId="2" fontId="0" fillId="0" borderId="31" xfId="0" applyNumberFormat="1" applyBorder="1" applyAlignment="1">
      <alignment horizontal="center"/>
    </xf>
    <xf numFmtId="164" fontId="0" fillId="0" borderId="31" xfId="0" applyNumberFormat="1" applyBorder="1"/>
    <xf numFmtId="4" fontId="0" fillId="0" borderId="31" xfId="0" applyNumberFormat="1" applyBorder="1"/>
    <xf numFmtId="2" fontId="0" fillId="0" borderId="31" xfId="0" applyNumberFormat="1" applyBorder="1"/>
    <xf numFmtId="4" fontId="0" fillId="0" borderId="32" xfId="0" applyNumberFormat="1" applyBorder="1"/>
    <xf numFmtId="168" fontId="3" fillId="0" borderId="0" xfId="0" applyNumberFormat="1" applyFont="1" applyAlignment="1"/>
    <xf numFmtId="2" fontId="3" fillId="0" borderId="0" xfId="0" applyNumberFormat="1" applyFont="1" applyAlignment="1">
      <alignment horizontal="right"/>
    </xf>
    <xf numFmtId="165" fontId="1" fillId="0" borderId="25" xfId="0" applyNumberFormat="1" applyFont="1" applyBorder="1" applyAlignment="1"/>
    <xf numFmtId="1" fontId="0" fillId="0" borderId="26" xfId="0" applyNumberFormat="1" applyBorder="1" applyAlignment="1"/>
    <xf numFmtId="165" fontId="0" fillId="0" borderId="26" xfId="0" applyNumberFormat="1" applyBorder="1" applyAlignment="1"/>
    <xf numFmtId="168" fontId="0" fillId="0" borderId="26" xfId="0" applyNumberFormat="1" applyBorder="1" applyAlignment="1"/>
    <xf numFmtId="0" fontId="0" fillId="0" borderId="26" xfId="0" applyBorder="1" applyAlignment="1"/>
    <xf numFmtId="164" fontId="0" fillId="0" borderId="26" xfId="0" applyNumberFormat="1" applyBorder="1" applyAlignment="1"/>
    <xf numFmtId="165" fontId="3" fillId="0" borderId="28" xfId="0" applyNumberFormat="1" applyFont="1" applyBorder="1" applyAlignment="1"/>
    <xf numFmtId="168" fontId="3" fillId="0" borderId="8" xfId="0" applyNumberFormat="1" applyFont="1" applyBorder="1" applyAlignment="1"/>
    <xf numFmtId="2" fontId="3" fillId="0" borderId="8" xfId="0" applyNumberFormat="1" applyFont="1" applyBorder="1" applyAlignment="1"/>
    <xf numFmtId="168" fontId="0" fillId="0" borderId="8" xfId="0" applyNumberFormat="1" applyBorder="1" applyAlignment="1"/>
    <xf numFmtId="165" fontId="3" fillId="0" borderId="8" xfId="0" applyNumberFormat="1" applyFont="1" applyBorder="1" applyAlignment="1"/>
    <xf numFmtId="0" fontId="0" fillId="0" borderId="8" xfId="0" applyBorder="1" applyAlignment="1"/>
    <xf numFmtId="0" fontId="3" fillId="0" borderId="8" xfId="0" applyFont="1" applyBorder="1" applyAlignment="1"/>
    <xf numFmtId="169" fontId="0" fillId="0" borderId="8" xfId="0" applyNumberFormat="1" applyBorder="1" applyAlignment="1"/>
    <xf numFmtId="165" fontId="0" fillId="0" borderId="30" xfId="0" applyNumberFormat="1" applyBorder="1" applyAlignment="1"/>
    <xf numFmtId="168" fontId="3" fillId="0" borderId="31" xfId="0" applyNumberFormat="1" applyFont="1" applyBorder="1" applyAlignment="1"/>
    <xf numFmtId="2" fontId="3" fillId="0" borderId="31" xfId="0" applyNumberFormat="1" applyFont="1" applyBorder="1" applyAlignment="1"/>
    <xf numFmtId="168" fontId="0" fillId="0" borderId="31" xfId="0" applyNumberFormat="1" applyBorder="1" applyAlignment="1"/>
    <xf numFmtId="165" fontId="3" fillId="0" borderId="31" xfId="0" applyNumberFormat="1" applyFont="1" applyBorder="1" applyAlignment="1"/>
    <xf numFmtId="0" fontId="0" fillId="0" borderId="31" xfId="0" applyBorder="1" applyAlignment="1"/>
    <xf numFmtId="0" fontId="3" fillId="0" borderId="31" xfId="0" applyFont="1" applyBorder="1" applyAlignment="1"/>
    <xf numFmtId="169" fontId="0" fillId="0" borderId="31" xfId="0" applyNumberFormat="1" applyBorder="1" applyAlignment="1"/>
    <xf numFmtId="168" fontId="3" fillId="0" borderId="26" xfId="0" applyNumberFormat="1" applyFont="1" applyBorder="1" applyAlignment="1"/>
    <xf numFmtId="0" fontId="3" fillId="0" borderId="26" xfId="0" applyFont="1" applyBorder="1" applyAlignment="1"/>
    <xf numFmtId="165" fontId="3" fillId="0" borderId="26" xfId="0" applyNumberFormat="1" applyFont="1" applyBorder="1" applyAlignment="1"/>
    <xf numFmtId="2" fontId="0" fillId="0" borderId="8" xfId="0" applyNumberFormat="1" applyBorder="1" applyAlignment="1"/>
    <xf numFmtId="165" fontId="0" fillId="0" borderId="28" xfId="0" applyNumberFormat="1" applyBorder="1" applyAlignment="1"/>
    <xf numFmtId="164" fontId="3" fillId="0" borderId="8" xfId="0" applyNumberFormat="1" applyFont="1" applyBorder="1" applyAlignment="1"/>
    <xf numFmtId="2" fontId="0" fillId="0" borderId="31" xfId="0" applyNumberFormat="1" applyBorder="1" applyAlignment="1"/>
    <xf numFmtId="164" fontId="3" fillId="0" borderId="31" xfId="0" applyNumberFormat="1" applyFont="1" applyBorder="1" applyAlignment="1"/>
    <xf numFmtId="165" fontId="0" fillId="0" borderId="8" xfId="0" applyNumberFormat="1" applyBorder="1" applyAlignment="1"/>
    <xf numFmtId="165" fontId="0" fillId="0" borderId="31" xfId="0" applyNumberFormat="1" applyBorder="1" applyAlignment="1"/>
    <xf numFmtId="164" fontId="0" fillId="0" borderId="31" xfId="0" applyNumberFormat="1" applyBorder="1" applyAlignment="1"/>
    <xf numFmtId="1" fontId="1" fillId="0" borderId="25" xfId="0" applyNumberFormat="1" applyFont="1" applyBorder="1" applyAlignment="1"/>
    <xf numFmtId="1" fontId="0" fillId="0" borderId="30" xfId="0" applyNumberFormat="1" applyBorder="1" applyAlignment="1"/>
    <xf numFmtId="164" fontId="0" fillId="0" borderId="44" xfId="0" applyNumberFormat="1" applyBorder="1" applyAlignment="1"/>
    <xf numFmtId="164" fontId="0" fillId="0" borderId="4" xfId="0" applyNumberFormat="1" applyBorder="1" applyAlignment="1"/>
    <xf numFmtId="164" fontId="0" fillId="0" borderId="45" xfId="0" applyNumberFormat="1" applyBorder="1" applyAlignment="1"/>
    <xf numFmtId="3" fontId="0" fillId="0" borderId="27" xfId="0" applyNumberFormat="1" applyBorder="1" applyAlignment="1">
      <alignment horizontal="right"/>
    </xf>
    <xf numFmtId="3" fontId="0" fillId="0" borderId="29" xfId="0" applyNumberFormat="1" applyBorder="1" applyAlignment="1">
      <alignment horizontal="right"/>
    </xf>
    <xf numFmtId="3" fontId="3" fillId="0" borderId="29" xfId="0" applyNumberFormat="1" applyFont="1" applyBorder="1" applyAlignment="1">
      <alignment horizontal="right"/>
    </xf>
    <xf numFmtId="3" fontId="3" fillId="0" borderId="32" xfId="0" applyNumberFormat="1" applyFont="1" applyBorder="1" applyAlignment="1">
      <alignment horizontal="right"/>
    </xf>
    <xf numFmtId="3" fontId="0" fillId="0" borderId="32" xfId="0" applyNumberFormat="1" applyBorder="1" applyAlignment="1">
      <alignment horizontal="right"/>
    </xf>
    <xf numFmtId="0" fontId="3" fillId="0" borderId="0" xfId="0" applyFont="1" applyAlignment="1">
      <alignment horizontal="right" indent="2"/>
    </xf>
    <xf numFmtId="0" fontId="23" fillId="2" borderId="0" xfId="1" applyAlignment="1">
      <alignment horizontal="left" indent="1"/>
    </xf>
    <xf numFmtId="0" fontId="23" fillId="2" borderId="0" xfId="1"/>
    <xf numFmtId="0" fontId="23" fillId="2" borderId="0" xfId="1" applyAlignment="1">
      <alignment horizontal="left" indent="2"/>
    </xf>
    <xf numFmtId="0" fontId="23" fillId="2" borderId="0" xfId="1" applyAlignment="1">
      <alignment horizontal="left" indent="3"/>
    </xf>
    <xf numFmtId="3" fontId="1" fillId="0" borderId="3" xfId="0" applyNumberFormat="1" applyFont="1" applyBorder="1" applyAlignment="1">
      <alignment horizontal="right"/>
    </xf>
    <xf numFmtId="0" fontId="0" fillId="0" borderId="0" xfId="0"/>
    <xf numFmtId="1" fontId="3" fillId="0" borderId="0" xfId="0" applyNumberFormat="1" applyFont="1"/>
    <xf numFmtId="164" fontId="3" fillId="0" borderId="0" xfId="0" applyNumberFormat="1" applyFont="1"/>
    <xf numFmtId="2" fontId="0" fillId="0" borderId="0" xfId="0" applyNumberFormat="1"/>
    <xf numFmtId="0" fontId="3" fillId="0" borderId="0" xfId="0" applyFont="1" applyFill="1" applyBorder="1" applyAlignment="1">
      <alignment horizontal="right"/>
    </xf>
    <xf numFmtId="164" fontId="0" fillId="0" borderId="0" xfId="0" applyNumberFormat="1"/>
    <xf numFmtId="0" fontId="0" fillId="0" borderId="0" xfId="0"/>
    <xf numFmtId="0" fontId="1" fillId="0" borderId="0" xfId="0" applyFont="1" applyAlignment="1">
      <alignment horizontal="left"/>
    </xf>
    <xf numFmtId="0" fontId="7" fillId="0" borderId="0" xfId="0" applyFont="1" applyAlignment="1">
      <alignment horizontal="left" indent="2"/>
    </xf>
    <xf numFmtId="0" fontId="0" fillId="0" borderId="0" xfId="0" applyAlignment="1"/>
    <xf numFmtId="0" fontId="3" fillId="0" borderId="0" xfId="0" applyFont="1" applyAlignment="1"/>
    <xf numFmtId="165" fontId="18" fillId="0" borderId="0" xfId="0" applyNumberFormat="1" applyFont="1" applyBorder="1" applyAlignment="1">
      <alignment horizontal="right"/>
    </xf>
    <xf numFmtId="1" fontId="3" fillId="0" borderId="0" xfId="0" applyNumberFormat="1" applyFont="1" applyAlignment="1"/>
    <xf numFmtId="0" fontId="3" fillId="0" borderId="0" xfId="0" applyFont="1" applyFill="1" applyBorder="1" applyAlignment="1"/>
    <xf numFmtId="0" fontId="0" fillId="0" borderId="0" xfId="0" applyAlignment="1"/>
    <xf numFmtId="0" fontId="0" fillId="0" borderId="0" xfId="0"/>
    <xf numFmtId="1" fontId="1" fillId="0" borderId="8" xfId="0" applyNumberFormat="1" applyFont="1" applyBorder="1"/>
    <xf numFmtId="0" fontId="1" fillId="0" borderId="8" xfId="0" applyFont="1" applyBorder="1"/>
    <xf numFmtId="0" fontId="0" fillId="0" borderId="8" xfId="0" applyBorder="1"/>
    <xf numFmtId="0" fontId="7" fillId="0" borderId="8" xfId="0" applyFont="1" applyBorder="1"/>
    <xf numFmtId="1" fontId="7" fillId="0" borderId="8" xfId="0" applyNumberFormat="1" applyFont="1" applyBorder="1"/>
    <xf numFmtId="1" fontId="0" fillId="0" borderId="8" xfId="0" applyNumberFormat="1" applyBorder="1"/>
    <xf numFmtId="0" fontId="3" fillId="0" borderId="5" xfId="0" applyFont="1" applyBorder="1" applyAlignment="1">
      <alignment horizontal="left"/>
    </xf>
    <xf numFmtId="0" fontId="3" fillId="0" borderId="6" xfId="0" applyFont="1" applyBorder="1" applyAlignment="1">
      <alignment horizontal="left"/>
    </xf>
    <xf numFmtId="0" fontId="3" fillId="0" borderId="0" xfId="0" applyFont="1" applyAlignment="1"/>
    <xf numFmtId="0" fontId="3" fillId="0" borderId="0" xfId="0" applyFont="1" applyAlignment="1">
      <alignment wrapText="1"/>
    </xf>
    <xf numFmtId="0" fontId="0" fillId="0" borderId="0" xfId="0" applyAlignment="1"/>
    <xf numFmtId="42" fontId="13" fillId="0" borderId="42" xfId="5" applyFont="1" applyBorder="1" applyAlignment="1">
      <alignment horizontal="center"/>
    </xf>
    <xf numFmtId="42" fontId="13" fillId="0" borderId="19" xfId="5" applyFont="1" applyBorder="1" applyAlignment="1">
      <alignment horizontal="center"/>
    </xf>
    <xf numFmtId="0" fontId="13" fillId="0" borderId="17" xfId="0" applyFont="1" applyBorder="1" applyAlignment="1">
      <alignment horizontal="center"/>
    </xf>
    <xf numFmtId="0" fontId="13" fillId="0" borderId="19" xfId="0" applyFont="1" applyBorder="1" applyAlignment="1">
      <alignment horizontal="center"/>
    </xf>
    <xf numFmtId="0" fontId="13" fillId="0" borderId="42" xfId="0" applyFont="1" applyBorder="1" applyAlignment="1">
      <alignment horizontal="center"/>
    </xf>
    <xf numFmtId="0" fontId="13" fillId="0" borderId="40" xfId="0" applyFont="1" applyBorder="1" applyAlignment="1">
      <alignment horizontal="center"/>
    </xf>
    <xf numFmtId="42" fontId="3" fillId="0" borderId="17" xfId="5" applyFont="1" applyBorder="1" applyAlignment="1">
      <alignment horizontal="center"/>
    </xf>
    <xf numFmtId="42" fontId="3" fillId="0" borderId="19" xfId="5" applyFont="1" applyBorder="1" applyAlignment="1">
      <alignment horizontal="center"/>
    </xf>
    <xf numFmtId="0" fontId="3" fillId="0" borderId="17" xfId="0" applyFont="1" applyBorder="1" applyAlignment="1">
      <alignment horizontal="center"/>
    </xf>
    <xf numFmtId="0" fontId="3" fillId="0" borderId="40" xfId="0" applyFont="1" applyBorder="1" applyAlignment="1">
      <alignment horizontal="center"/>
    </xf>
    <xf numFmtId="0" fontId="3" fillId="0" borderId="19" xfId="0" applyFont="1" applyBorder="1" applyAlignment="1">
      <alignment horizontal="center"/>
    </xf>
    <xf numFmtId="0" fontId="3" fillId="0" borderId="42" xfId="0" applyFont="1" applyBorder="1" applyAlignment="1">
      <alignment horizontal="center"/>
    </xf>
    <xf numFmtId="0" fontId="0" fillId="0" borderId="0" xfId="0"/>
    <xf numFmtId="1" fontId="1" fillId="0" borderId="25" xfId="0" applyNumberFormat="1"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1" fontId="1" fillId="0" borderId="28" xfId="0" applyNumberFormat="1" applyFont="1" applyBorder="1" applyAlignment="1">
      <alignment horizontal="center"/>
    </xf>
    <xf numFmtId="0" fontId="1" fillId="0" borderId="8" xfId="0" applyFont="1" applyBorder="1" applyAlignment="1">
      <alignment horizontal="center"/>
    </xf>
    <xf numFmtId="0" fontId="1" fillId="0" borderId="29" xfId="0" applyFont="1" applyBorder="1" applyAlignment="1">
      <alignment horizontal="center"/>
    </xf>
    <xf numFmtId="0" fontId="23" fillId="2" borderId="12" xfId="1" applyBorder="1" applyAlignment="1">
      <alignment horizontal="center"/>
    </xf>
    <xf numFmtId="0" fontId="3" fillId="5" borderId="39" xfId="4" applyFont="1" applyAlignment="1">
      <alignment horizontal="right"/>
    </xf>
    <xf numFmtId="0" fontId="0" fillId="5" borderId="39" xfId="4" applyFont="1" applyAlignment="1">
      <alignment horizontal="right"/>
    </xf>
    <xf numFmtId="0" fontId="26" fillId="5" borderId="39" xfId="4" applyFont="1" applyAlignment="1">
      <alignment horizontal="right" wrapText="1"/>
    </xf>
    <xf numFmtId="0" fontId="3" fillId="0" borderId="5"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3" fillId="0" borderId="6" xfId="0" applyFont="1" applyBorder="1" applyAlignment="1">
      <alignment horizontal="left"/>
    </xf>
    <xf numFmtId="0" fontId="12" fillId="0" borderId="36" xfId="0" applyFont="1" applyBorder="1" applyAlignment="1">
      <alignment horizontal="center"/>
    </xf>
    <xf numFmtId="0" fontId="12" fillId="0" borderId="5" xfId="0" applyFont="1" applyBorder="1" applyAlignment="1">
      <alignment horizontal="center"/>
    </xf>
    <xf numFmtId="0" fontId="12" fillId="0" borderId="37" xfId="0" applyFont="1" applyBorder="1" applyAlignment="1">
      <alignment horizontal="center"/>
    </xf>
    <xf numFmtId="0" fontId="12" fillId="0" borderId="34" xfId="0" applyFont="1" applyBorder="1" applyAlignment="1">
      <alignment horizontal="center"/>
    </xf>
    <xf numFmtId="0" fontId="12" fillId="0" borderId="35" xfId="0" applyFont="1" applyBorder="1" applyAlignment="1">
      <alignment horizontal="center"/>
    </xf>
    <xf numFmtId="166" fontId="12" fillId="0" borderId="14" xfId="0" applyNumberFormat="1"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0" fillId="0" borderId="14"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 fillId="0" borderId="0" xfId="0" applyFont="1" applyAlignment="1"/>
    <xf numFmtId="0" fontId="0" fillId="0" borderId="0" xfId="0" applyAlignment="1">
      <alignment wrapText="1"/>
    </xf>
    <xf numFmtId="0" fontId="24" fillId="3" borderId="38" xfId="2" applyAlignment="1"/>
    <xf numFmtId="0" fontId="3" fillId="0" borderId="25" xfId="0" applyFont="1" applyBorder="1" applyAlignment="1">
      <alignment horizontal="center"/>
    </xf>
    <xf numFmtId="0" fontId="0" fillId="0" borderId="26" xfId="0" applyBorder="1" applyAlignment="1">
      <alignment horizontal="center"/>
    </xf>
    <xf numFmtId="0" fontId="0" fillId="0" borderId="26" xfId="0" applyBorder="1" applyAlignment="1"/>
    <xf numFmtId="0" fontId="3" fillId="0" borderId="26" xfId="0" applyFont="1" applyBorder="1" applyAlignment="1">
      <alignment horizontal="center"/>
    </xf>
    <xf numFmtId="0" fontId="0" fillId="0" borderId="27" xfId="0" applyBorder="1" applyAlignment="1"/>
    <xf numFmtId="0" fontId="19" fillId="0" borderId="0" xfId="0" applyFont="1" applyAlignment="1"/>
    <xf numFmtId="0" fontId="3" fillId="0" borderId="0" xfId="0" applyFont="1" applyAlignment="1"/>
    <xf numFmtId="1" fontId="18" fillId="0" borderId="11" xfId="0" applyNumberFormat="1" applyFont="1" applyBorder="1" applyAlignment="1">
      <alignment horizontal="right"/>
    </xf>
  </cellXfs>
  <cellStyles count="6">
    <cellStyle name="Bad" xfId="1" builtinId="27"/>
    <cellStyle name="Calculation" xfId="3" builtinId="22"/>
    <cellStyle name="Currency [0]" xfId="5" builtinId="7"/>
    <cellStyle name="Input" xfId="2" builtinId="20"/>
    <cellStyle name="Normal" xfId="0" builtinId="0"/>
    <cellStyle name="Note" xfId="4" builtinId="10"/>
  </cellStyles>
  <dxfs count="2">
    <dxf>
      <font>
        <strike/>
      </font>
    </dxf>
    <dxf>
      <font>
        <strike/>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sharedStrings" Target="sharedStrings.xml"/><Relationship Id="rId5" Type="http://schemas.openxmlformats.org/officeDocument/2006/relationships/chartsheet" Target="chartsheets/sheet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plotArea>
      <c:layout/>
      <c:areaChart>
        <c:grouping val="stacked"/>
        <c:ser>
          <c:idx val="1"/>
          <c:order val="0"/>
          <c:tx>
            <c:v>Base Cost</c:v>
          </c:tx>
          <c:cat>
            <c:numRef>
              <c:f>SUMMARY!$A$34:$A$39</c:f>
              <c:numCache>
                <c:formatCode>0</c:formatCode>
                <c:ptCount val="6"/>
                <c:pt idx="0">
                  <c:v>2009</c:v>
                </c:pt>
                <c:pt idx="1">
                  <c:v>2010</c:v>
                </c:pt>
                <c:pt idx="2">
                  <c:v>2011</c:v>
                </c:pt>
                <c:pt idx="3">
                  <c:v>2012</c:v>
                </c:pt>
                <c:pt idx="4">
                  <c:v>2013</c:v>
                </c:pt>
                <c:pt idx="5">
                  <c:v>2014</c:v>
                </c:pt>
              </c:numCache>
            </c:numRef>
          </c:cat>
          <c:val>
            <c:numRef>
              <c:f>SUMMARY!$H$14:$H$19</c:f>
              <c:numCache>
                <c:formatCode>#,##0</c:formatCode>
                <c:ptCount val="6"/>
                <c:pt idx="0">
                  <c:v>0</c:v>
                </c:pt>
                <c:pt idx="1">
                  <c:v>193504</c:v>
                </c:pt>
                <c:pt idx="2">
                  <c:v>450547.75</c:v>
                </c:pt>
                <c:pt idx="3">
                  <c:v>411342.63</c:v>
                </c:pt>
                <c:pt idx="4">
                  <c:v>108911.94000000002</c:v>
                </c:pt>
                <c:pt idx="5">
                  <c:v>27352.080000000002</c:v>
                </c:pt>
              </c:numCache>
            </c:numRef>
          </c:val>
        </c:ser>
        <c:ser>
          <c:idx val="2"/>
          <c:order val="1"/>
          <c:tx>
            <c:v>Contingency</c:v>
          </c:tx>
          <c:cat>
            <c:numRef>
              <c:f>SUMMARY!$A$34:$A$39</c:f>
              <c:numCache>
                <c:formatCode>0</c:formatCode>
                <c:ptCount val="6"/>
                <c:pt idx="0">
                  <c:v>2009</c:v>
                </c:pt>
                <c:pt idx="1">
                  <c:v>2010</c:v>
                </c:pt>
                <c:pt idx="2">
                  <c:v>2011</c:v>
                </c:pt>
                <c:pt idx="3">
                  <c:v>2012</c:v>
                </c:pt>
                <c:pt idx="4">
                  <c:v>2013</c:v>
                </c:pt>
                <c:pt idx="5">
                  <c:v>2014</c:v>
                </c:pt>
              </c:numCache>
            </c:numRef>
          </c:cat>
          <c:val>
            <c:numRef>
              <c:f>SUMMARY!$R$14:$R$19</c:f>
              <c:numCache>
                <c:formatCode>#,##0</c:formatCode>
                <c:ptCount val="6"/>
                <c:pt idx="0">
                  <c:v>0</c:v>
                </c:pt>
                <c:pt idx="1">
                  <c:v>0</c:v>
                </c:pt>
                <c:pt idx="2">
                  <c:v>159856.42000000001</c:v>
                </c:pt>
                <c:pt idx="3">
                  <c:v>237849.02000000002</c:v>
                </c:pt>
                <c:pt idx="4">
                  <c:v>96352.09</c:v>
                </c:pt>
                <c:pt idx="5">
                  <c:v>0</c:v>
                </c:pt>
              </c:numCache>
            </c:numRef>
          </c:val>
        </c:ser>
        <c:axId val="68866048"/>
        <c:axId val="68867584"/>
      </c:areaChart>
      <c:lineChart>
        <c:grouping val="standard"/>
        <c:ser>
          <c:idx val="0"/>
          <c:order val="2"/>
          <c:tx>
            <c:strRef>
              <c:f>SUMMARY!$X$12</c:f>
              <c:strCache>
                <c:ptCount val="1"/>
              </c:strCache>
            </c:strRef>
          </c:tx>
          <c:marker>
            <c:symbol val="none"/>
          </c:marker>
          <c:val>
            <c:numRef>
              <c:f>SUMMARY!$X$14:$X$19</c:f>
              <c:numCache>
                <c:formatCode>"$"#,##0</c:formatCode>
                <c:ptCount val="6"/>
                <c:pt idx="0">
                  <c:v>0</c:v>
                </c:pt>
                <c:pt idx="1">
                  <c:v>193504</c:v>
                </c:pt>
                <c:pt idx="2">
                  <c:v>610404.17000000004</c:v>
                </c:pt>
                <c:pt idx="3">
                  <c:v>649191.65</c:v>
                </c:pt>
                <c:pt idx="4">
                  <c:v>205264.03000000003</c:v>
                </c:pt>
                <c:pt idx="5">
                  <c:v>27352.080000000002</c:v>
                </c:pt>
              </c:numCache>
            </c:numRef>
          </c:val>
        </c:ser>
        <c:marker val="1"/>
        <c:axId val="68866048"/>
        <c:axId val="68867584"/>
      </c:lineChart>
      <c:catAx>
        <c:axId val="68866048"/>
        <c:scaling>
          <c:orientation val="minMax"/>
        </c:scaling>
        <c:axPos val="b"/>
        <c:minorGridlines/>
        <c:numFmt formatCode="0" sourceLinked="1"/>
        <c:majorTickMark val="none"/>
        <c:tickLblPos val="nextTo"/>
        <c:crossAx val="68867584"/>
        <c:crosses val="autoZero"/>
        <c:auto val="1"/>
        <c:lblAlgn val="ctr"/>
        <c:lblOffset val="100"/>
      </c:catAx>
      <c:valAx>
        <c:axId val="68867584"/>
        <c:scaling>
          <c:orientation val="minMax"/>
          <c:max val="1100000"/>
        </c:scaling>
        <c:axPos val="l"/>
        <c:majorGridlines/>
        <c:numFmt formatCode="#,##0" sourceLinked="1"/>
        <c:majorTickMark val="none"/>
        <c:tickLblPos val="nextTo"/>
        <c:crossAx val="68866048"/>
        <c:crosses val="autoZero"/>
        <c:crossBetween val="between"/>
        <c:majorUnit val="100000"/>
        <c:minorUnit val="10000"/>
      </c:valAx>
      <c:dTable>
        <c:showHorzBorder val="1"/>
        <c:showVertBorder val="1"/>
        <c:showOutline val="1"/>
        <c:showKeys val="1"/>
      </c:dTable>
    </c:plotArea>
    <c:plotVisOnly val="1"/>
    <c:dispBlanksAs val="zero"/>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zoomScale="144" workbookViewId="0" zoomToFit="1"/>
  </sheetViews>
  <pageMargins left="0.49" right="0.7" top="0.75" bottom="0.75" header="0.3" footer="0.3"/>
  <pageSetup orientation="landscape" r:id="rId1"/>
  <headerFooter>
    <oddHeader>&amp;A</oddHeader>
    <oddFooter>&amp;F</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25526" y="410105"/>
    <xdr:ext cx="8857859" cy="55698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D1:F40"/>
  <sheetViews>
    <sheetView workbookViewId="0">
      <selection activeCell="F42" sqref="F42"/>
    </sheetView>
  </sheetViews>
  <sheetFormatPr defaultRowHeight="12.75"/>
  <cols>
    <col min="4" max="4" width="14.5703125" customWidth="1"/>
    <col min="5" max="5" width="44" bestFit="1" customWidth="1"/>
  </cols>
  <sheetData>
    <row r="1" spans="4:5">
      <c r="D1" s="431" t="s">
        <v>173</v>
      </c>
      <c r="E1" s="432"/>
    </row>
    <row r="2" spans="4:5" ht="12.75" customHeight="1">
      <c r="D2" s="432"/>
      <c r="E2" s="432"/>
    </row>
    <row r="3" spans="4:5">
      <c r="D3" s="432"/>
      <c r="E3" s="432"/>
    </row>
    <row r="4" spans="4:5">
      <c r="D4" s="432"/>
      <c r="E4" s="432"/>
    </row>
    <row r="5" spans="4:5">
      <c r="D5" s="432"/>
      <c r="E5" s="432"/>
    </row>
    <row r="7" spans="4:5">
      <c r="D7" s="50" t="s">
        <v>160</v>
      </c>
      <c r="E7" s="50" t="s">
        <v>169</v>
      </c>
    </row>
    <row r="8" spans="4:5">
      <c r="D8" s="96">
        <v>1.5</v>
      </c>
      <c r="E8" s="20" t="s">
        <v>196</v>
      </c>
    </row>
    <row r="9" spans="4:5">
      <c r="D9" s="126" t="s">
        <v>195</v>
      </c>
      <c r="E9" s="20" t="s">
        <v>197</v>
      </c>
    </row>
    <row r="10" spans="4:5">
      <c r="D10" s="46" t="s">
        <v>198</v>
      </c>
      <c r="E10" s="20" t="s">
        <v>199</v>
      </c>
    </row>
    <row r="11" spans="4:5">
      <c r="D11" s="64" t="s">
        <v>200</v>
      </c>
      <c r="E11" s="20" t="s">
        <v>201</v>
      </c>
    </row>
    <row r="12" spans="4:5">
      <c r="D12" s="64" t="s">
        <v>202</v>
      </c>
      <c r="E12" s="20" t="s">
        <v>203</v>
      </c>
    </row>
    <row r="13" spans="4:5">
      <c r="D13" s="64" t="s">
        <v>204</v>
      </c>
      <c r="E13" s="20" t="s">
        <v>205</v>
      </c>
    </row>
    <row r="14" spans="4:5">
      <c r="D14" s="64" t="s">
        <v>206</v>
      </c>
      <c r="E14" s="20" t="s">
        <v>207</v>
      </c>
    </row>
    <row r="15" spans="4:5">
      <c r="D15" s="46" t="s">
        <v>208</v>
      </c>
      <c r="E15" s="20" t="s">
        <v>209</v>
      </c>
    </row>
    <row r="16" spans="4:5">
      <c r="D16" s="64" t="s">
        <v>214</v>
      </c>
      <c r="E16" s="20" t="s">
        <v>210</v>
      </c>
    </row>
    <row r="17" spans="4:6">
      <c r="D17" s="64" t="s">
        <v>215</v>
      </c>
      <c r="E17" s="20" t="s">
        <v>211</v>
      </c>
    </row>
    <row r="18" spans="4:6">
      <c r="D18" s="64" t="s">
        <v>216</v>
      </c>
      <c r="E18" s="20" t="s">
        <v>212</v>
      </c>
    </row>
    <row r="19" spans="4:6">
      <c r="D19" s="64" t="s">
        <v>217</v>
      </c>
      <c r="E19" s="20" t="s">
        <v>213</v>
      </c>
    </row>
    <row r="20" spans="4:6">
      <c r="D20" s="46" t="s">
        <v>218</v>
      </c>
      <c r="E20" s="20" t="s">
        <v>247</v>
      </c>
    </row>
    <row r="21" spans="4:6">
      <c r="D21" s="64" t="s">
        <v>219</v>
      </c>
      <c r="E21" s="20" t="s">
        <v>248</v>
      </c>
    </row>
    <row r="22" spans="4:6">
      <c r="D22" s="64" t="s">
        <v>220</v>
      </c>
      <c r="E22" s="20" t="s">
        <v>249</v>
      </c>
    </row>
    <row r="23" spans="4:6">
      <c r="D23" s="64" t="s">
        <v>221</v>
      </c>
      <c r="E23" s="20" t="s">
        <v>250</v>
      </c>
    </row>
    <row r="24" spans="4:6">
      <c r="D24" s="64" t="s">
        <v>222</v>
      </c>
      <c r="E24" s="20" t="s">
        <v>251</v>
      </c>
    </row>
    <row r="25" spans="4:6">
      <c r="D25" s="64" t="s">
        <v>223</v>
      </c>
      <c r="E25" s="20" t="s">
        <v>252</v>
      </c>
    </row>
    <row r="26" spans="4:6" ht="15">
      <c r="D26" s="401" t="s">
        <v>224</v>
      </c>
      <c r="E26" s="402" t="s">
        <v>253</v>
      </c>
      <c r="F26" s="20" t="s">
        <v>506</v>
      </c>
    </row>
    <row r="27" spans="4:6" ht="15">
      <c r="D27" s="403" t="s">
        <v>225</v>
      </c>
      <c r="E27" s="402" t="s">
        <v>254</v>
      </c>
      <c r="F27" s="20" t="s">
        <v>506</v>
      </c>
    </row>
    <row r="28" spans="4:6" ht="15">
      <c r="D28" s="403" t="s">
        <v>226</v>
      </c>
      <c r="E28" s="402" t="s">
        <v>255</v>
      </c>
      <c r="F28" s="20" t="s">
        <v>506</v>
      </c>
    </row>
    <row r="29" spans="4:6" ht="15">
      <c r="D29" s="403" t="s">
        <v>227</v>
      </c>
      <c r="E29" s="402" t="s">
        <v>256</v>
      </c>
      <c r="F29" s="20" t="s">
        <v>506</v>
      </c>
    </row>
    <row r="30" spans="4:6">
      <c r="D30" s="126" t="s">
        <v>228</v>
      </c>
      <c r="E30" s="20" t="s">
        <v>257</v>
      </c>
    </row>
    <row r="31" spans="4:6">
      <c r="D31" s="46" t="s">
        <v>229</v>
      </c>
      <c r="E31" s="20" t="s">
        <v>258</v>
      </c>
    </row>
    <row r="32" spans="4:6">
      <c r="D32" s="46" t="s">
        <v>230</v>
      </c>
      <c r="E32" s="20" t="s">
        <v>259</v>
      </c>
    </row>
    <row r="33" spans="4:6" ht="15">
      <c r="D33" s="401" t="s">
        <v>231</v>
      </c>
      <c r="E33" s="402" t="s">
        <v>239</v>
      </c>
      <c r="F33" s="20" t="s">
        <v>506</v>
      </c>
    </row>
    <row r="34" spans="4:6" ht="15">
      <c r="D34" s="403" t="s">
        <v>232</v>
      </c>
      <c r="E34" s="402" t="s">
        <v>240</v>
      </c>
      <c r="F34" s="20" t="s">
        <v>506</v>
      </c>
    </row>
    <row r="35" spans="4:6" ht="15">
      <c r="D35" s="403" t="s">
        <v>233</v>
      </c>
      <c r="E35" s="402" t="s">
        <v>241</v>
      </c>
      <c r="F35" s="20" t="s">
        <v>506</v>
      </c>
    </row>
    <row r="36" spans="4:6" ht="15">
      <c r="D36" s="403" t="s">
        <v>234</v>
      </c>
      <c r="E36" s="402" t="s">
        <v>242</v>
      </c>
      <c r="F36" s="20" t="s">
        <v>506</v>
      </c>
    </row>
    <row r="37" spans="4:6" ht="15">
      <c r="D37" s="404" t="s">
        <v>235</v>
      </c>
      <c r="E37" s="402" t="s">
        <v>243</v>
      </c>
      <c r="F37" s="20" t="s">
        <v>506</v>
      </c>
    </row>
    <row r="38" spans="4:6" ht="15">
      <c r="D38" s="404" t="s">
        <v>236</v>
      </c>
      <c r="E38" s="402" t="s">
        <v>244</v>
      </c>
      <c r="F38" s="20" t="s">
        <v>506</v>
      </c>
    </row>
    <row r="39" spans="4:6" ht="15">
      <c r="D39" s="404" t="s">
        <v>237</v>
      </c>
      <c r="E39" s="402" t="s">
        <v>245</v>
      </c>
      <c r="F39" s="20" t="s">
        <v>506</v>
      </c>
    </row>
    <row r="40" spans="4:6">
      <c r="D40" s="126" t="s">
        <v>238</v>
      </c>
      <c r="E40" s="20" t="s">
        <v>246</v>
      </c>
    </row>
  </sheetData>
  <mergeCells count="1">
    <mergeCell ref="D1:E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4:X43"/>
  <sheetViews>
    <sheetView workbookViewId="0">
      <selection activeCell="V45" sqref="V45"/>
    </sheetView>
  </sheetViews>
  <sheetFormatPr defaultRowHeight="12.75"/>
  <cols>
    <col min="3" max="3" width="13.5703125" bestFit="1" customWidth="1"/>
    <col min="4" max="4" width="44" bestFit="1" customWidth="1"/>
    <col min="18" max="18" width="13.5703125" bestFit="1" customWidth="1"/>
    <col min="20" max="20" width="9.140625" style="412"/>
  </cols>
  <sheetData>
    <row r="4" spans="1:24" ht="13.5" thickBot="1"/>
    <row r="5" spans="1:24" s="97" customFormat="1" ht="16.5" thickTop="1">
      <c r="E5" s="435" t="s">
        <v>42</v>
      </c>
      <c r="F5" s="436"/>
      <c r="G5" s="437" t="s">
        <v>191</v>
      </c>
      <c r="H5" s="438"/>
      <c r="I5" s="435" t="s">
        <v>38</v>
      </c>
      <c r="J5" s="436"/>
      <c r="K5" s="437" t="s">
        <v>192</v>
      </c>
      <c r="L5" s="438"/>
      <c r="M5" s="435" t="s">
        <v>32</v>
      </c>
      <c r="N5" s="436"/>
      <c r="O5" s="433" t="s">
        <v>193</v>
      </c>
      <c r="P5" s="434"/>
    </row>
    <row r="6" spans="1:24" s="50" customFormat="1" ht="13.5" thickBot="1">
      <c r="C6" s="50" t="s">
        <v>160</v>
      </c>
      <c r="D6" s="50" t="s">
        <v>169</v>
      </c>
      <c r="E6" s="321" t="s">
        <v>70</v>
      </c>
      <c r="F6" s="322" t="s">
        <v>194</v>
      </c>
      <c r="G6" s="323" t="s">
        <v>70</v>
      </c>
      <c r="H6" s="324" t="s">
        <v>194</v>
      </c>
      <c r="I6" s="321" t="s">
        <v>70</v>
      </c>
      <c r="J6" s="322" t="s">
        <v>194</v>
      </c>
      <c r="K6" s="323" t="s">
        <v>70</v>
      </c>
      <c r="L6" s="324" t="s">
        <v>194</v>
      </c>
      <c r="M6" s="321" t="s">
        <v>70</v>
      </c>
      <c r="N6" s="322" t="s">
        <v>194</v>
      </c>
      <c r="O6" s="325" t="s">
        <v>70</v>
      </c>
      <c r="P6" s="326" t="s">
        <v>194</v>
      </c>
    </row>
    <row r="7" spans="1:24" ht="13.5" thickTop="1">
      <c r="A7" s="83"/>
      <c r="C7" s="96">
        <v>1.5</v>
      </c>
      <c r="D7" t="s">
        <v>196</v>
      </c>
      <c r="E7" s="309">
        <f>SUMIF('Pre- and Production'!$U$5:$U$531, 'WBS Summary'!$C7,'Pre- and Production'!AC$5:AC$531)</f>
        <v>16</v>
      </c>
      <c r="F7" s="310">
        <f>SUMIF('Pre- and Production'!$U$5:$U$531, 'WBS Summary'!$C7,'Pre- and Production'!AM$5:AM$531)</f>
        <v>0</v>
      </c>
      <c r="G7" s="311">
        <f>SUMIF('Pre- and Production'!$U$5:$U$531, 'WBS Summary'!$C7,'Pre- and Production'!AD$5:AD$531)</f>
        <v>52</v>
      </c>
      <c r="H7" s="312">
        <f>SUMIF('Pre- and Production'!$U$5:$U$531, 'WBS Summary'!$C7,'Pre- and Production'!AN$5:AN$531)</f>
        <v>0</v>
      </c>
      <c r="I7" s="309">
        <f>SUMIF('Pre- and Production'!$U$5:$U$531, 'WBS Summary'!$C7,'Pre- and Production'!AE$5:AE$531)</f>
        <v>0</v>
      </c>
      <c r="J7" s="310">
        <f>SUMIF('Pre- and Production'!$U$5:$U$531, 'WBS Summary'!$C7,'Pre- and Production'!AO$5:AO$531)</f>
        <v>0</v>
      </c>
      <c r="K7" s="311">
        <f>SUMIF('Pre- and Production'!$U$5:$U$531, 'WBS Summary'!$C7,'Pre- and Production'!AF$5:AF$531)</f>
        <v>0</v>
      </c>
      <c r="L7" s="312">
        <f>SUMIF('Pre- and Production'!$U$5:$U$531, 'WBS Summary'!$C7,'Pre- and Production'!AP$5:AP$531)</f>
        <v>0</v>
      </c>
      <c r="M7" s="309">
        <f>SUMIF('Pre- and Production'!$U$5:$U$531, 'WBS Summary'!$C7,'Pre- and Production'!AG$5:AG$531)</f>
        <v>0</v>
      </c>
      <c r="N7" s="310">
        <f>SUMIF('Pre- and Production'!$U$5:$U$531, 'WBS Summary'!$C7,'Pre- and Production'!AQ$5:AQ$531)</f>
        <v>0</v>
      </c>
      <c r="O7" s="303">
        <f>SUMIF('Pre- and Production'!$U$5:$U$531, 'WBS Summary'!$C7,'Pre- and Production'!AH$5:AH$531)</f>
        <v>7420</v>
      </c>
      <c r="P7" s="304">
        <f>SUMIF('Pre- and Production'!$U$5:$U$531, 'WBS Summary'!$C7,'Pre- and Production'!AR$5:AR$531)</f>
        <v>0</v>
      </c>
      <c r="R7" s="413">
        <v>1.5</v>
      </c>
      <c r="S7" s="422">
        <f>SUM(V7:V39)</f>
        <v>13492</v>
      </c>
      <c r="T7" s="423"/>
      <c r="U7" s="423"/>
      <c r="V7" s="422">
        <f>SUM(E7:N7)</f>
        <v>68</v>
      </c>
      <c r="W7" s="424"/>
      <c r="X7" s="424"/>
    </row>
    <row r="8" spans="1:24">
      <c r="C8" s="126" t="s">
        <v>195</v>
      </c>
      <c r="D8" t="s">
        <v>197</v>
      </c>
      <c r="E8" s="313">
        <f>SUMIF('Pre- and Production'!$U$5:$U$531, 'WBS Summary'!$C8,'Pre- and Production'!AC$5:AC$531)</f>
        <v>0</v>
      </c>
      <c r="F8" s="314">
        <f>SUMIF('Pre- and Production'!$U$5:$U$531, 'WBS Summary'!$C8,'Pre- and Production'!AM$5:AM$531)</f>
        <v>0</v>
      </c>
      <c r="G8" s="315">
        <f>SUMIF('Pre- and Production'!$U$5:$U$531, 'WBS Summary'!$C8,'Pre- and Production'!AD$5:AD$531)</f>
        <v>0</v>
      </c>
      <c r="H8" s="316">
        <f>SUMIF('Pre- and Production'!$U$5:$U$531, 'WBS Summary'!$C8,'Pre- and Production'!AN$5:AN$531)</f>
        <v>0</v>
      </c>
      <c r="I8" s="313">
        <f>SUMIF('Pre- and Production'!$U$5:$U$531, 'WBS Summary'!$C8,'Pre- and Production'!AE$5:AE$531)</f>
        <v>0</v>
      </c>
      <c r="J8" s="314">
        <f>SUMIF('Pre- and Production'!$U$5:$U$531, 'WBS Summary'!$C8,'Pre- and Production'!AO$5:AO$531)</f>
        <v>0</v>
      </c>
      <c r="K8" s="315">
        <f>SUMIF('Pre- and Production'!$U$5:$U$531, 'WBS Summary'!$C8,'Pre- and Production'!AF$5:AF$531)</f>
        <v>0</v>
      </c>
      <c r="L8" s="316">
        <f>SUMIF('Pre- and Production'!$U$5:$U$531, 'WBS Summary'!$C8,'Pre- and Production'!AP$5:AP$531)</f>
        <v>0</v>
      </c>
      <c r="M8" s="313">
        <f>SUMIF('Pre- and Production'!$U$5:$U$531, 'WBS Summary'!$C8,'Pre- and Production'!AG$5:AG$531)</f>
        <v>0</v>
      </c>
      <c r="N8" s="314">
        <f>SUMIF('Pre- and Production'!$U$5:$U$531, 'WBS Summary'!$C8,'Pre- and Production'!AQ$5:AQ$531)</f>
        <v>0</v>
      </c>
      <c r="O8" s="305">
        <f>SUMIF('Pre- and Production'!$U$5:$U$531, 'WBS Summary'!$C8,'Pre- and Production'!AH$5:AH$531)</f>
        <v>0</v>
      </c>
      <c r="P8" s="306">
        <f>SUMIF('Pre- and Production'!$U$5:$U$531, 'WBS Summary'!$C8,'Pre- and Production'!AR$5:AR$531)</f>
        <v>0</v>
      </c>
      <c r="R8" s="47" t="s">
        <v>195</v>
      </c>
      <c r="S8" s="423"/>
      <c r="T8" s="422">
        <f>SUM(V8:V24)</f>
        <v>10343</v>
      </c>
      <c r="U8" s="423"/>
      <c r="V8" s="422">
        <f t="shared" ref="V8:V39" si="0">SUM(E8:N8)</f>
        <v>0</v>
      </c>
      <c r="W8" s="424"/>
      <c r="X8" s="424"/>
    </row>
    <row r="9" spans="1:24">
      <c r="C9" s="46" t="s">
        <v>198</v>
      </c>
      <c r="D9" t="s">
        <v>199</v>
      </c>
      <c r="E9" s="313">
        <f>SUMIF('Pre- and Production'!$U$5:$U$531, 'WBS Summary'!$C9,'Pre- and Production'!AC$5:AC$531)</f>
        <v>0</v>
      </c>
      <c r="F9" s="314">
        <f>SUMIF('Pre- and Production'!$U$5:$U$531, 'WBS Summary'!$C9,'Pre- and Production'!AM$5:AM$531)</f>
        <v>0</v>
      </c>
      <c r="G9" s="315">
        <f>SUMIF('Pre- and Production'!$U$5:$U$531, 'WBS Summary'!$C9,'Pre- and Production'!AD$5:AD$531)</f>
        <v>0</v>
      </c>
      <c r="H9" s="316">
        <f>SUMIF('Pre- and Production'!$U$5:$U$531, 'WBS Summary'!$C9,'Pre- and Production'!AN$5:AN$531)</f>
        <v>0</v>
      </c>
      <c r="I9" s="313">
        <f>SUMIF('Pre- and Production'!$U$5:$U$531, 'WBS Summary'!$C9,'Pre- and Production'!AE$5:AE$531)</f>
        <v>0</v>
      </c>
      <c r="J9" s="314">
        <f>SUMIF('Pre- and Production'!$U$5:$U$531, 'WBS Summary'!$C9,'Pre- and Production'!AO$5:AO$531)</f>
        <v>0</v>
      </c>
      <c r="K9" s="315">
        <f>SUMIF('Pre- and Production'!$U$5:$U$531, 'WBS Summary'!$C9,'Pre- and Production'!AF$5:AF$531)</f>
        <v>0</v>
      </c>
      <c r="L9" s="316">
        <f>SUMIF('Pre- and Production'!$U$5:$U$531, 'WBS Summary'!$C9,'Pre- and Production'!AP$5:AP$531)</f>
        <v>0</v>
      </c>
      <c r="M9" s="313">
        <f>SUMIF('Pre- and Production'!$U$5:$U$531, 'WBS Summary'!$C9,'Pre- and Production'!AG$5:AG$531)</f>
        <v>0</v>
      </c>
      <c r="N9" s="314">
        <f>SUMIF('Pre- and Production'!$U$5:$U$531, 'WBS Summary'!$C9,'Pre- and Production'!AQ$5:AQ$531)</f>
        <v>0</v>
      </c>
      <c r="O9" s="305">
        <f>SUMIF('Pre- and Production'!$U$5:$U$531, 'WBS Summary'!$C9,'Pre- and Production'!AH$5:AH$531)</f>
        <v>0</v>
      </c>
      <c r="P9" s="306">
        <f>SUMIF('Pre- and Production'!$U$5:$U$531, 'WBS Summary'!$C9,'Pre- and Production'!AR$5:AR$531)</f>
        <v>0</v>
      </c>
      <c r="R9" s="414" t="s">
        <v>198</v>
      </c>
      <c r="S9" s="425"/>
      <c r="T9" s="425"/>
      <c r="U9" s="426">
        <f>SUM(V9:V13)</f>
        <v>4577</v>
      </c>
      <c r="V9" s="426">
        <f t="shared" si="0"/>
        <v>0</v>
      </c>
      <c r="W9" s="345">
        <f>(U9*140)</f>
        <v>640780</v>
      </c>
      <c r="X9" s="345">
        <f>W9+SUM(O10:P13)</f>
        <v>822927.5</v>
      </c>
    </row>
    <row r="10" spans="1:24">
      <c r="C10" s="64" t="s">
        <v>200</v>
      </c>
      <c r="D10" t="s">
        <v>201</v>
      </c>
      <c r="E10" s="313">
        <f>SUMIF('Pre- and Production'!$U$5:$U$531, 'WBS Summary'!$C10,'Pre- and Production'!AC$5:AC$531)</f>
        <v>0</v>
      </c>
      <c r="F10" s="314">
        <f>SUMIF('Pre- and Production'!$U$5:$U$531, 'WBS Summary'!$C10,'Pre- and Production'!AM$5:AM$531)</f>
        <v>0</v>
      </c>
      <c r="G10" s="315">
        <f>SUMIF('Pre- and Production'!$U$5:$U$531, 'WBS Summary'!$C10,'Pre- and Production'!AD$5:AD$531)</f>
        <v>0</v>
      </c>
      <c r="H10" s="316">
        <f>SUMIF('Pre- and Production'!$U$5:$U$531, 'WBS Summary'!$C10,'Pre- and Production'!AN$5:AN$531)</f>
        <v>0</v>
      </c>
      <c r="I10" s="313">
        <f>SUMIF('Pre- and Production'!$U$5:$U$531, 'WBS Summary'!$C10,'Pre- and Production'!AE$5:AE$531)</f>
        <v>0</v>
      </c>
      <c r="J10" s="314">
        <f>SUMIF('Pre- and Production'!$U$5:$U$531, 'WBS Summary'!$C10,'Pre- and Production'!AO$5:AO$531)</f>
        <v>0</v>
      </c>
      <c r="K10" s="315">
        <f>SUMIF('Pre- and Production'!$U$5:$U$531, 'WBS Summary'!$C10,'Pre- and Production'!AF$5:AF$531)</f>
        <v>0</v>
      </c>
      <c r="L10" s="316">
        <f>SUMIF('Pre- and Production'!$U$5:$U$531, 'WBS Summary'!$C10,'Pre- and Production'!AP$5:AP$531)</f>
        <v>0</v>
      </c>
      <c r="M10" s="313">
        <f>SUMIF('Pre- and Production'!$U$5:$U$531, 'WBS Summary'!$C10,'Pre- and Production'!AG$5:AG$531)</f>
        <v>0</v>
      </c>
      <c r="N10" s="314">
        <f>SUMIF('Pre- and Production'!$U$5:$U$531, 'WBS Summary'!$C10,'Pre- and Production'!AQ$5:AQ$531)</f>
        <v>0</v>
      </c>
      <c r="O10" s="305">
        <f>SUMIF('Pre- and Production'!$U$5:$U$531, 'WBS Summary'!$C10,'Pre- and Production'!AH$5:AH$531)</f>
        <v>0</v>
      </c>
      <c r="P10" s="306">
        <f>SUMIF('Pre- and Production'!$U$5:$U$531, 'WBS Summary'!$C10,'Pre- and Production'!AR$5:AR$531)</f>
        <v>0</v>
      </c>
      <c r="R10" s="64" t="s">
        <v>200</v>
      </c>
      <c r="S10" s="424"/>
      <c r="T10" s="424"/>
      <c r="U10" s="424"/>
      <c r="V10" s="427">
        <f t="shared" si="0"/>
        <v>0</v>
      </c>
      <c r="W10" s="345"/>
      <c r="X10" s="424"/>
    </row>
    <row r="11" spans="1:24">
      <c r="C11" s="64" t="s">
        <v>202</v>
      </c>
      <c r="D11" t="s">
        <v>203</v>
      </c>
      <c r="E11" s="313">
        <f>SUMIF('Pre- and Production'!$U$5:$U$531, 'WBS Summary'!$C11,'Pre- and Production'!AC$5:AC$531)</f>
        <v>136</v>
      </c>
      <c r="F11" s="314">
        <f>SUMIF('Pre- and Production'!$U$5:$U$531, 'WBS Summary'!$C11,'Pre- and Production'!AM$5:AM$531)</f>
        <v>8</v>
      </c>
      <c r="G11" s="315">
        <f>SUMIF('Pre- and Production'!$U$5:$U$531, 'WBS Summary'!$C11,'Pre- and Production'!AD$5:AD$531)</f>
        <v>508</v>
      </c>
      <c r="H11" s="316">
        <f>SUMIF('Pre- and Production'!$U$5:$U$531, 'WBS Summary'!$C11,'Pre- and Production'!AN$5:AN$531)</f>
        <v>420</v>
      </c>
      <c r="I11" s="313">
        <f>SUMIF('Pre- and Production'!$U$5:$U$531, 'WBS Summary'!$C11,'Pre- and Production'!AE$5:AE$531)</f>
        <v>16</v>
      </c>
      <c r="J11" s="314">
        <f>SUMIF('Pre- and Production'!$U$5:$U$531, 'WBS Summary'!$C11,'Pre- and Production'!AO$5:AO$531)</f>
        <v>8</v>
      </c>
      <c r="K11" s="315">
        <f>SUMIF('Pre- and Production'!$U$5:$U$531, 'WBS Summary'!$C11,'Pre- and Production'!AF$5:AF$531)</f>
        <v>120</v>
      </c>
      <c r="L11" s="316">
        <f>SUMIF('Pre- and Production'!$U$5:$U$531, 'WBS Summary'!$C11,'Pre- and Production'!AP$5:AP$531)</f>
        <v>61</v>
      </c>
      <c r="M11" s="313">
        <f>SUMIF('Pre- and Production'!$U$5:$U$531, 'WBS Summary'!$C11,'Pre- and Production'!AG$5:AG$531)</f>
        <v>0</v>
      </c>
      <c r="N11" s="314">
        <f>SUMIF('Pre- and Production'!$U$5:$U$531, 'WBS Summary'!$C11,'Pre- and Production'!AQ$5:AQ$531)</f>
        <v>0</v>
      </c>
      <c r="O11" s="305">
        <f>SUMIF('Pre- and Production'!$U$5:$U$531, 'WBS Summary'!$C11,'Pre- and Production'!AH$5:AH$531)</f>
        <v>108660</v>
      </c>
      <c r="P11" s="306">
        <f>SUMIF('Pre- and Production'!$U$5:$U$531, 'WBS Summary'!$C11,'Pre- and Production'!AR$5:AR$531)</f>
        <v>11272.5</v>
      </c>
      <c r="R11" s="64" t="s">
        <v>202</v>
      </c>
      <c r="S11" s="424"/>
      <c r="T11" s="424"/>
      <c r="U11" s="424"/>
      <c r="V11" s="427">
        <f t="shared" si="0"/>
        <v>1277</v>
      </c>
      <c r="W11" s="345"/>
      <c r="X11" s="424"/>
    </row>
    <row r="12" spans="1:24">
      <c r="C12" s="64" t="s">
        <v>204</v>
      </c>
      <c r="D12" t="s">
        <v>205</v>
      </c>
      <c r="E12" s="313">
        <f>SUMIF('Pre- and Production'!$U$5:$U$531, 'WBS Summary'!$C12,'Pre- and Production'!AC$5:AC$531)</f>
        <v>346</v>
      </c>
      <c r="F12" s="314">
        <f>SUMIF('Pre- and Production'!$U$5:$U$531, 'WBS Summary'!$C12,'Pre- and Production'!AM$5:AM$531)</f>
        <v>76</v>
      </c>
      <c r="G12" s="315">
        <f>SUMIF('Pre- and Production'!$U$5:$U$531, 'WBS Summary'!$C12,'Pre- and Production'!AD$5:AD$531)</f>
        <v>1204</v>
      </c>
      <c r="H12" s="316">
        <f>SUMIF('Pre- and Production'!$U$5:$U$531, 'WBS Summary'!$C12,'Pre- and Production'!AN$5:AN$531)</f>
        <v>556</v>
      </c>
      <c r="I12" s="313">
        <f>SUMIF('Pre- and Production'!$U$5:$U$531, 'WBS Summary'!$C12,'Pre- and Production'!AE$5:AE$531)</f>
        <v>96</v>
      </c>
      <c r="J12" s="314">
        <f>SUMIF('Pre- and Production'!$U$5:$U$531, 'WBS Summary'!$C12,'Pre- and Production'!AO$5:AO$531)</f>
        <v>24</v>
      </c>
      <c r="K12" s="315">
        <f>SUMIF('Pre- and Production'!$U$5:$U$531, 'WBS Summary'!$C12,'Pre- and Production'!AF$5:AF$531)</f>
        <v>866</v>
      </c>
      <c r="L12" s="316">
        <f>SUMIF('Pre- and Production'!$U$5:$U$531, 'WBS Summary'!$C12,'Pre- and Production'!AP$5:AP$531)</f>
        <v>132</v>
      </c>
      <c r="M12" s="313">
        <f>SUMIF('Pre- and Production'!$U$5:$U$531, 'WBS Summary'!$C12,'Pre- and Production'!AG$5:AG$531)</f>
        <v>0</v>
      </c>
      <c r="N12" s="314">
        <f>SUMIF('Pre- and Production'!$U$5:$U$531, 'WBS Summary'!$C12,'Pre- and Production'!AQ$5:AQ$531)</f>
        <v>0</v>
      </c>
      <c r="O12" s="305">
        <f>SUMIF('Pre- and Production'!$U$5:$U$531, 'WBS Summary'!$C12,'Pre- and Production'!AH$5:AH$531)</f>
        <v>54455</v>
      </c>
      <c r="P12" s="306">
        <f>SUMIF('Pre- and Production'!$U$5:$U$531, 'WBS Summary'!$C12,'Pre- and Production'!AR$5:AR$531)</f>
        <v>7760</v>
      </c>
      <c r="R12" s="64" t="s">
        <v>204</v>
      </c>
      <c r="S12" s="424"/>
      <c r="T12" s="424"/>
      <c r="U12" s="424"/>
      <c r="V12" s="427">
        <f t="shared" si="0"/>
        <v>3300</v>
      </c>
      <c r="W12" s="345"/>
      <c r="X12" s="424"/>
    </row>
    <row r="13" spans="1:24">
      <c r="C13" s="64" t="s">
        <v>206</v>
      </c>
      <c r="D13" t="s">
        <v>207</v>
      </c>
      <c r="E13" s="313">
        <f>SUMIF('Pre- and Production'!$U$5:$U$531, 'WBS Summary'!$C13,'Pre- and Production'!AC$5:AC$531)</f>
        <v>0</v>
      </c>
      <c r="F13" s="314">
        <f>SUMIF('Pre- and Production'!$U$5:$U$531, 'WBS Summary'!$C13,'Pre- and Production'!AM$5:AM$531)</f>
        <v>0</v>
      </c>
      <c r="G13" s="315">
        <f>SUMIF('Pre- and Production'!$U$5:$U$531, 'WBS Summary'!$C13,'Pre- and Production'!AD$5:AD$531)</f>
        <v>0</v>
      </c>
      <c r="H13" s="316">
        <f>SUMIF('Pre- and Production'!$U$5:$U$531, 'WBS Summary'!$C13,'Pre- and Production'!AN$5:AN$531)</f>
        <v>0</v>
      </c>
      <c r="I13" s="313">
        <f>SUMIF('Pre- and Production'!$U$5:$U$531, 'WBS Summary'!$C13,'Pre- and Production'!AE$5:AE$531)</f>
        <v>0</v>
      </c>
      <c r="J13" s="314">
        <f>SUMIF('Pre- and Production'!$U$5:$U$531, 'WBS Summary'!$C13,'Pre- and Production'!AO$5:AO$531)</f>
        <v>0</v>
      </c>
      <c r="K13" s="315">
        <f>SUMIF('Pre- and Production'!$U$5:$U$531, 'WBS Summary'!$C13,'Pre- and Production'!AF$5:AF$531)</f>
        <v>0</v>
      </c>
      <c r="L13" s="316">
        <f>SUMIF('Pre- and Production'!$U$5:$U$531, 'WBS Summary'!$C13,'Pre- and Production'!AP$5:AP$531)</f>
        <v>0</v>
      </c>
      <c r="M13" s="313">
        <f>SUMIF('Pre- and Production'!$U$5:$U$531, 'WBS Summary'!$C13,'Pre- and Production'!AG$5:AG$531)</f>
        <v>0</v>
      </c>
      <c r="N13" s="314">
        <f>SUMIF('Pre- and Production'!$U$5:$U$531, 'WBS Summary'!$C13,'Pre- and Production'!AQ$5:AQ$531)</f>
        <v>0</v>
      </c>
      <c r="O13" s="305">
        <f>SUMIF('Pre- and Production'!$U$5:$U$531, 'WBS Summary'!$C13,'Pre- and Production'!AH$5:AH$531)</f>
        <v>0</v>
      </c>
      <c r="P13" s="306">
        <f>SUMIF('Pre- and Production'!$U$5:$U$531, 'WBS Summary'!$C13,'Pre- and Production'!AR$5:AR$531)</f>
        <v>0</v>
      </c>
      <c r="R13" s="64" t="s">
        <v>206</v>
      </c>
      <c r="S13" s="424"/>
      <c r="T13" s="424"/>
      <c r="U13" s="424"/>
      <c r="V13" s="427">
        <f t="shared" si="0"/>
        <v>0</v>
      </c>
      <c r="W13" s="345"/>
      <c r="X13" s="424"/>
    </row>
    <row r="14" spans="1:24">
      <c r="C14" s="46" t="s">
        <v>208</v>
      </c>
      <c r="D14" t="s">
        <v>209</v>
      </c>
      <c r="E14" s="313">
        <f>SUMIF('Pre- and Production'!$U$5:$U$531, 'WBS Summary'!$C14,'Pre- and Production'!AC$5:AC$531)</f>
        <v>16</v>
      </c>
      <c r="F14" s="314">
        <f>SUMIF('Pre- and Production'!$U$5:$U$531, 'WBS Summary'!$C14,'Pre- and Production'!AM$5:AM$531)</f>
        <v>4</v>
      </c>
      <c r="G14" s="315">
        <f>SUMIF('Pre- and Production'!$U$5:$U$531, 'WBS Summary'!$C14,'Pre- and Production'!AD$5:AD$531)</f>
        <v>94</v>
      </c>
      <c r="H14" s="316">
        <f>SUMIF('Pre- and Production'!$U$5:$U$531, 'WBS Summary'!$C14,'Pre- and Production'!AN$5:AN$531)</f>
        <v>59</v>
      </c>
      <c r="I14" s="313">
        <f>SUMIF('Pre- and Production'!$U$5:$U$531, 'WBS Summary'!$C14,'Pre- and Production'!AE$5:AE$531)</f>
        <v>0</v>
      </c>
      <c r="J14" s="314">
        <f>SUMIF('Pre- and Production'!$U$5:$U$531, 'WBS Summary'!$C14,'Pre- and Production'!AO$5:AO$531)</f>
        <v>0</v>
      </c>
      <c r="K14" s="315">
        <f>SUMIF('Pre- and Production'!$U$5:$U$531, 'WBS Summary'!$C14,'Pre- and Production'!AF$5:AF$531)</f>
        <v>20</v>
      </c>
      <c r="L14" s="316">
        <f>SUMIF('Pre- and Production'!$U$5:$U$531, 'WBS Summary'!$C14,'Pre- and Production'!AP$5:AP$531)</f>
        <v>31</v>
      </c>
      <c r="M14" s="313">
        <f>SUMIF('Pre- and Production'!$U$5:$U$531, 'WBS Summary'!$C14,'Pre- and Production'!AG$5:AG$531)</f>
        <v>0</v>
      </c>
      <c r="N14" s="314">
        <f>SUMIF('Pre- and Production'!$U$5:$U$531, 'WBS Summary'!$C14,'Pre- and Production'!AQ$5:AQ$531)</f>
        <v>0</v>
      </c>
      <c r="O14" s="305">
        <f>SUMIF('Pre- and Production'!$U$5:$U$531, 'WBS Summary'!$C14,'Pre- and Production'!AH$5:AH$531)</f>
        <v>91555</v>
      </c>
      <c r="P14" s="306">
        <f>SUMIF('Pre- and Production'!$U$5:$U$531, 'WBS Summary'!$C14,'Pre- and Production'!AR$5:AR$531)</f>
        <v>111792.5</v>
      </c>
      <c r="R14" s="414" t="s">
        <v>208</v>
      </c>
      <c r="S14" s="425"/>
      <c r="T14" s="425"/>
      <c r="U14" s="426">
        <f>SUM(V14:V18)</f>
        <v>3590</v>
      </c>
      <c r="V14" s="426">
        <f t="shared" si="0"/>
        <v>224</v>
      </c>
      <c r="W14" s="345">
        <f>(U14*140)</f>
        <v>502600</v>
      </c>
      <c r="X14" s="345">
        <f>W14+SUM(O14:P18)</f>
        <v>747977.5</v>
      </c>
    </row>
    <row r="15" spans="1:24">
      <c r="C15" s="64" t="s">
        <v>214</v>
      </c>
      <c r="D15" t="s">
        <v>210</v>
      </c>
      <c r="E15" s="313">
        <f>SUMIF('Pre- and Production'!$U$5:$U$531, 'WBS Summary'!$C15,'Pre- and Production'!AC$5:AC$531)</f>
        <v>192</v>
      </c>
      <c r="F15" s="314">
        <f>SUMIF('Pre- and Production'!$U$5:$U$531, 'WBS Summary'!$C15,'Pre- and Production'!AM$5:AM$531)</f>
        <v>64</v>
      </c>
      <c r="G15" s="315">
        <f>SUMIF('Pre- and Production'!$U$5:$U$531, 'WBS Summary'!$C15,'Pre- and Production'!AD$5:AD$531)</f>
        <v>620</v>
      </c>
      <c r="H15" s="316">
        <f>SUMIF('Pre- and Production'!$U$5:$U$531, 'WBS Summary'!$C15,'Pre- and Production'!AN$5:AN$531)</f>
        <v>476</v>
      </c>
      <c r="I15" s="313">
        <f>SUMIF('Pre- and Production'!$U$5:$U$531, 'WBS Summary'!$C15,'Pre- and Production'!AE$5:AE$531)</f>
        <v>24</v>
      </c>
      <c r="J15" s="314">
        <f>SUMIF('Pre- and Production'!$U$5:$U$531, 'WBS Summary'!$C15,'Pre- and Production'!AO$5:AO$531)</f>
        <v>16</v>
      </c>
      <c r="K15" s="315">
        <f>SUMIF('Pre- and Production'!$U$5:$U$531, 'WBS Summary'!$C15,'Pre- and Production'!AF$5:AF$531)</f>
        <v>188</v>
      </c>
      <c r="L15" s="316">
        <f>SUMIF('Pre- and Production'!$U$5:$U$531, 'WBS Summary'!$C15,'Pre- and Production'!AP$5:AP$531)</f>
        <v>108</v>
      </c>
      <c r="M15" s="313">
        <f>SUMIF('Pre- and Production'!$U$5:$U$531, 'WBS Summary'!$C15,'Pre- and Production'!AG$5:AG$531)</f>
        <v>0</v>
      </c>
      <c r="N15" s="314">
        <f>SUMIF('Pre- and Production'!$U$5:$U$531, 'WBS Summary'!$C15,'Pre- and Production'!AQ$5:AQ$531)</f>
        <v>0</v>
      </c>
      <c r="O15" s="305">
        <f>SUMIF('Pre- and Production'!$U$5:$U$531, 'WBS Summary'!$C15,'Pre- and Production'!AH$5:AH$531)</f>
        <v>11460</v>
      </c>
      <c r="P15" s="306">
        <f>SUMIF('Pre- and Production'!$U$5:$U$531, 'WBS Summary'!$C15,'Pre- and Production'!AR$5:AR$531)</f>
        <v>6640</v>
      </c>
      <c r="R15" s="64" t="s">
        <v>214</v>
      </c>
      <c r="S15" s="424"/>
      <c r="T15" s="424"/>
      <c r="U15" s="424"/>
      <c r="V15" s="427">
        <f t="shared" si="0"/>
        <v>1688</v>
      </c>
      <c r="W15" s="345"/>
      <c r="X15" s="424"/>
    </row>
    <row r="16" spans="1:24">
      <c r="C16" s="64" t="s">
        <v>215</v>
      </c>
      <c r="D16" t="s">
        <v>211</v>
      </c>
      <c r="E16" s="313">
        <f>SUMIF('Pre- and Production'!$U$5:$U$531, 'WBS Summary'!$C16,'Pre- and Production'!AC$5:AC$531)</f>
        <v>0</v>
      </c>
      <c r="F16" s="314">
        <f>SUMIF('Pre- and Production'!$U$5:$U$531, 'WBS Summary'!$C16,'Pre- and Production'!AM$5:AM$531)</f>
        <v>0</v>
      </c>
      <c r="G16" s="315">
        <f>SUMIF('Pre- and Production'!$U$5:$U$531, 'WBS Summary'!$C16,'Pre- and Production'!AD$5:AD$531)</f>
        <v>0</v>
      </c>
      <c r="H16" s="316">
        <f>SUMIF('Pre- and Production'!$U$5:$U$531, 'WBS Summary'!$C16,'Pre- and Production'!AN$5:AN$531)</f>
        <v>0</v>
      </c>
      <c r="I16" s="313">
        <f>SUMIF('Pre- and Production'!$U$5:$U$531, 'WBS Summary'!$C16,'Pre- and Production'!AE$5:AE$531)</f>
        <v>0</v>
      </c>
      <c r="J16" s="314">
        <f>SUMIF('Pre- and Production'!$U$5:$U$531, 'WBS Summary'!$C16,'Pre- and Production'!AO$5:AO$531)</f>
        <v>0</v>
      </c>
      <c r="K16" s="315">
        <f>SUMIF('Pre- and Production'!$U$5:$U$531, 'WBS Summary'!$C16,'Pre- and Production'!AF$5:AF$531)</f>
        <v>0</v>
      </c>
      <c r="L16" s="316">
        <f>SUMIF('Pre- and Production'!$U$5:$U$531, 'WBS Summary'!$C16,'Pre- and Production'!AP$5:AP$531)</f>
        <v>0</v>
      </c>
      <c r="M16" s="313">
        <f>SUMIF('Pre- and Production'!$U$5:$U$531, 'WBS Summary'!$C16,'Pre- and Production'!AG$5:AG$531)</f>
        <v>0</v>
      </c>
      <c r="N16" s="314">
        <f>SUMIF('Pre- and Production'!$U$5:$U$531, 'WBS Summary'!$C16,'Pre- and Production'!AQ$5:AQ$531)</f>
        <v>0</v>
      </c>
      <c r="O16" s="305">
        <f>SUMIF('Pre- and Production'!$U$5:$U$531, 'WBS Summary'!$C16,'Pre- and Production'!AH$5:AH$531)</f>
        <v>0</v>
      </c>
      <c r="P16" s="306">
        <f>SUMIF('Pre- and Production'!$U$5:$U$531, 'WBS Summary'!$C16,'Pre- and Production'!AR$5:AR$531)</f>
        <v>0</v>
      </c>
      <c r="R16" s="64" t="s">
        <v>215</v>
      </c>
      <c r="S16" s="424"/>
      <c r="T16" s="424"/>
      <c r="U16" s="424"/>
      <c r="V16" s="427">
        <f t="shared" si="0"/>
        <v>0</v>
      </c>
      <c r="W16" s="345"/>
      <c r="X16" s="424"/>
    </row>
    <row r="17" spans="1:24">
      <c r="C17" s="64" t="s">
        <v>216</v>
      </c>
      <c r="D17" t="s">
        <v>212</v>
      </c>
      <c r="E17" s="313">
        <f>SUMIF('Pre- and Production'!$U$5:$U$531, 'WBS Summary'!$C17,'Pre- and Production'!AC$5:AC$531)</f>
        <v>0</v>
      </c>
      <c r="F17" s="314">
        <f>SUMIF('Pre- and Production'!$U$5:$U$531, 'WBS Summary'!$C17,'Pre- and Production'!AM$5:AM$531)</f>
        <v>0</v>
      </c>
      <c r="G17" s="315">
        <f>SUMIF('Pre- and Production'!$U$5:$U$531, 'WBS Summary'!$C17,'Pre- and Production'!AD$5:AD$531)</f>
        <v>0</v>
      </c>
      <c r="H17" s="316">
        <f>SUMIF('Pre- and Production'!$U$5:$U$531, 'WBS Summary'!$C17,'Pre- and Production'!AN$5:AN$531)</f>
        <v>0</v>
      </c>
      <c r="I17" s="313">
        <f>SUMIF('Pre- and Production'!$U$5:$U$531, 'WBS Summary'!$C17,'Pre- and Production'!AE$5:AE$531)</f>
        <v>0</v>
      </c>
      <c r="J17" s="314">
        <f>SUMIF('Pre- and Production'!$U$5:$U$531, 'WBS Summary'!$C17,'Pre- and Production'!AO$5:AO$531)</f>
        <v>0</v>
      </c>
      <c r="K17" s="315">
        <f>SUMIF('Pre- and Production'!$U$5:$U$531, 'WBS Summary'!$C17,'Pre- and Production'!AF$5:AF$531)</f>
        <v>0</v>
      </c>
      <c r="L17" s="316">
        <f>SUMIF('Pre- and Production'!$U$5:$U$531, 'WBS Summary'!$C17,'Pre- and Production'!AP$5:AP$531)</f>
        <v>0</v>
      </c>
      <c r="M17" s="313">
        <f>SUMIF('Pre- and Production'!$U$5:$U$531, 'WBS Summary'!$C17,'Pre- and Production'!AG$5:AG$531)</f>
        <v>0</v>
      </c>
      <c r="N17" s="314">
        <f>SUMIF('Pre- and Production'!$U$5:$U$531, 'WBS Summary'!$C17,'Pre- and Production'!AQ$5:AQ$531)</f>
        <v>0</v>
      </c>
      <c r="O17" s="305">
        <f>SUMIF('Pre- and Production'!$U$5:$U$531, 'WBS Summary'!$C17,'Pre- and Production'!AH$5:AH$531)</f>
        <v>0</v>
      </c>
      <c r="P17" s="306">
        <f>SUMIF('Pre- and Production'!$U$5:$U$531, 'WBS Summary'!$C17,'Pre- and Production'!AR$5:AR$531)</f>
        <v>0</v>
      </c>
      <c r="R17" s="64" t="s">
        <v>216</v>
      </c>
      <c r="S17" s="424"/>
      <c r="T17" s="424"/>
      <c r="U17" s="424"/>
      <c r="V17" s="427">
        <f t="shared" si="0"/>
        <v>0</v>
      </c>
      <c r="W17" s="345"/>
      <c r="X17" s="424"/>
    </row>
    <row r="18" spans="1:24">
      <c r="C18" s="64" t="s">
        <v>217</v>
      </c>
      <c r="D18" t="s">
        <v>213</v>
      </c>
      <c r="E18" s="313">
        <f>SUMIF('Pre- and Production'!$U$5:$U$531, 'WBS Summary'!$C18,'Pre- and Production'!AC$5:AC$531)</f>
        <v>142</v>
      </c>
      <c r="F18" s="314">
        <f>SUMIF('Pre- and Production'!$U$5:$U$531, 'WBS Summary'!$C18,'Pre- and Production'!AM$5:AM$531)</f>
        <v>68</v>
      </c>
      <c r="G18" s="315">
        <f>SUMIF('Pre- and Production'!$U$5:$U$531, 'WBS Summary'!$C18,'Pre- and Production'!AD$5:AD$531)</f>
        <v>624</v>
      </c>
      <c r="H18" s="316">
        <f>SUMIF('Pre- and Production'!$U$5:$U$531, 'WBS Summary'!$C18,'Pre- and Production'!AN$5:AN$531)</f>
        <v>332</v>
      </c>
      <c r="I18" s="313">
        <f>SUMIF('Pre- and Production'!$U$5:$U$531, 'WBS Summary'!$C18,'Pre- and Production'!AE$5:AE$531)</f>
        <v>0</v>
      </c>
      <c r="J18" s="314">
        <f>SUMIF('Pre- and Production'!$U$5:$U$531, 'WBS Summary'!$C18,'Pre- and Production'!AO$5:AO$531)</f>
        <v>0</v>
      </c>
      <c r="K18" s="315">
        <f>SUMIF('Pre- and Production'!$U$5:$U$531, 'WBS Summary'!$C18,'Pre- and Production'!AF$5:AF$531)</f>
        <v>460</v>
      </c>
      <c r="L18" s="316">
        <f>SUMIF('Pre- and Production'!$U$5:$U$531, 'WBS Summary'!$C18,'Pre- and Production'!AP$5:AP$531)</f>
        <v>52</v>
      </c>
      <c r="M18" s="313">
        <f>SUMIF('Pre- and Production'!$U$5:$U$531, 'WBS Summary'!$C18,'Pre- and Production'!AG$5:AG$531)</f>
        <v>0</v>
      </c>
      <c r="N18" s="314">
        <f>SUMIF('Pre- and Production'!$U$5:$U$531, 'WBS Summary'!$C18,'Pre- and Production'!AQ$5:AQ$531)</f>
        <v>0</v>
      </c>
      <c r="O18" s="305">
        <f>SUMIF('Pre- and Production'!$U$5:$U$531, 'WBS Summary'!$C18,'Pre- and Production'!AH$5:AH$531)</f>
        <v>16170</v>
      </c>
      <c r="P18" s="306">
        <f>SUMIF('Pre- and Production'!$U$5:$U$531, 'WBS Summary'!$C18,'Pre- and Production'!AR$5:AR$531)</f>
        <v>7760</v>
      </c>
      <c r="R18" s="64" t="s">
        <v>217</v>
      </c>
      <c r="S18" s="424"/>
      <c r="T18" s="424"/>
      <c r="U18" s="424"/>
      <c r="V18" s="427">
        <f t="shared" si="0"/>
        <v>1678</v>
      </c>
      <c r="W18" s="345"/>
      <c r="X18" s="424"/>
    </row>
    <row r="19" spans="1:24">
      <c r="C19" s="46" t="s">
        <v>218</v>
      </c>
      <c r="D19" t="s">
        <v>247</v>
      </c>
      <c r="E19" s="313">
        <f>SUMIF('Pre- and Production'!$U$5:$U$531, 'WBS Summary'!$C19,'Pre- and Production'!AC$5:AC$531)</f>
        <v>8</v>
      </c>
      <c r="F19" s="314">
        <f>SUMIF('Pre- and Production'!$U$5:$U$531, 'WBS Summary'!$C19,'Pre- and Production'!AM$5:AM$531)</f>
        <v>0</v>
      </c>
      <c r="G19" s="315">
        <f>SUMIF('Pre- and Production'!$U$5:$U$531, 'WBS Summary'!$C19,'Pre- and Production'!AD$5:AD$531)</f>
        <v>112</v>
      </c>
      <c r="H19" s="316">
        <f>SUMIF('Pre- and Production'!$U$5:$U$531, 'WBS Summary'!$C19,'Pre- and Production'!AN$5:AN$531)</f>
        <v>0</v>
      </c>
      <c r="I19" s="313">
        <f>SUMIF('Pre- and Production'!$U$5:$U$531, 'WBS Summary'!$C19,'Pre- and Production'!AE$5:AE$531)</f>
        <v>0</v>
      </c>
      <c r="J19" s="314">
        <f>SUMIF('Pre- and Production'!$U$5:$U$531, 'WBS Summary'!$C19,'Pre- and Production'!AO$5:AO$531)</f>
        <v>0</v>
      </c>
      <c r="K19" s="315">
        <f>SUMIF('Pre- and Production'!$U$5:$U$531, 'WBS Summary'!$C19,'Pre- and Production'!AF$5:AF$531)</f>
        <v>164</v>
      </c>
      <c r="L19" s="316">
        <f>SUMIF('Pre- and Production'!$U$5:$U$531, 'WBS Summary'!$C19,'Pre- and Production'!AP$5:AP$531)</f>
        <v>0</v>
      </c>
      <c r="M19" s="313">
        <f>SUMIF('Pre- and Production'!$U$5:$U$531, 'WBS Summary'!$C19,'Pre- and Production'!AG$5:AG$531)</f>
        <v>0</v>
      </c>
      <c r="N19" s="314">
        <f>SUMIF('Pre- and Production'!$U$5:$U$531, 'WBS Summary'!$C19,'Pre- and Production'!AQ$5:AQ$531)</f>
        <v>0</v>
      </c>
      <c r="O19" s="305">
        <f>SUMIF('Pre- and Production'!$U$5:$U$531, 'WBS Summary'!$C19,'Pre- and Production'!AH$5:AH$531)</f>
        <v>800</v>
      </c>
      <c r="P19" s="306">
        <f>SUMIF('Pre- and Production'!$U$5:$U$531, 'WBS Summary'!$C19,'Pre- and Production'!AR$5:AR$531)</f>
        <v>0</v>
      </c>
      <c r="R19" s="414" t="s">
        <v>218</v>
      </c>
      <c r="S19" s="425"/>
      <c r="T19" s="425"/>
      <c r="U19" s="426">
        <f>SUM(V19:V24)</f>
        <v>2176</v>
      </c>
      <c r="V19" s="426">
        <f t="shared" si="0"/>
        <v>284</v>
      </c>
      <c r="W19" s="345">
        <f>(U19*140)</f>
        <v>304640</v>
      </c>
      <c r="X19" s="345">
        <f>W19+SUM(O18:P23)</f>
        <v>345710</v>
      </c>
    </row>
    <row r="20" spans="1:24" s="302" customFormat="1">
      <c r="A20"/>
      <c r="C20" s="64" t="s">
        <v>219</v>
      </c>
      <c r="D20" s="302" t="s">
        <v>248</v>
      </c>
      <c r="E20" s="313">
        <f>SUMIF('Pre- and Production'!$U$5:$U$531, 'WBS Summary'!$C20,'Pre- and Production'!AC$5:AC$531)</f>
        <v>24</v>
      </c>
      <c r="F20" s="314">
        <f>SUMIF('Pre- and Production'!$U$5:$U$531, 'WBS Summary'!$C20,'Pre- and Production'!AM$5:AM$531)</f>
        <v>0</v>
      </c>
      <c r="G20" s="315">
        <f>SUMIF('Pre- and Production'!$U$5:$U$531, 'WBS Summary'!$C20,'Pre- and Production'!AD$5:AD$531)</f>
        <v>80</v>
      </c>
      <c r="H20" s="316">
        <f>SUMIF('Pre- and Production'!$U$5:$U$531, 'WBS Summary'!$C20,'Pre- and Production'!AN$5:AN$531)</f>
        <v>0</v>
      </c>
      <c r="I20" s="313">
        <f>SUMIF('Pre- and Production'!$U$5:$U$531, 'WBS Summary'!$C20,'Pre- and Production'!AE$5:AE$531)</f>
        <v>0</v>
      </c>
      <c r="J20" s="314">
        <f>SUMIF('Pre- and Production'!$U$5:$U$531, 'WBS Summary'!$C20,'Pre- and Production'!AO$5:AO$531)</f>
        <v>0</v>
      </c>
      <c r="K20" s="315">
        <f>SUMIF('Pre- and Production'!$U$5:$U$531, 'WBS Summary'!$C20,'Pre- and Production'!AF$5:AF$531)</f>
        <v>72</v>
      </c>
      <c r="L20" s="316">
        <f>SUMIF('Pre- and Production'!$U$5:$U$531, 'WBS Summary'!$C20,'Pre- and Production'!AP$5:AP$531)</f>
        <v>0</v>
      </c>
      <c r="M20" s="313">
        <f>SUMIF('Pre- and Production'!$U$5:$U$531, 'WBS Summary'!$C20,'Pre- and Production'!AG$5:AG$531)</f>
        <v>0</v>
      </c>
      <c r="N20" s="314">
        <f>SUMIF('Pre- and Production'!$U$5:$U$531, 'WBS Summary'!$C20,'Pre- and Production'!AQ$5:AQ$531)</f>
        <v>0</v>
      </c>
      <c r="O20" s="305">
        <f>SUMIF('Pre- and Production'!$U$5:$U$531, 'WBS Summary'!$C20,'Pre- and Production'!AH$5:AH$531)</f>
        <v>1800</v>
      </c>
      <c r="P20" s="306">
        <f>SUMIF('Pre- and Production'!$U$5:$U$531, 'WBS Summary'!$C20,'Pre- and Production'!AR$5:AR$531)</f>
        <v>0</v>
      </c>
      <c r="R20" s="64" t="s">
        <v>219</v>
      </c>
      <c r="S20" s="424"/>
      <c r="T20" s="424"/>
      <c r="U20" s="424"/>
      <c r="V20" s="427">
        <f t="shared" si="0"/>
        <v>176</v>
      </c>
      <c r="W20" s="345"/>
      <c r="X20" s="424"/>
    </row>
    <row r="21" spans="1:24" s="302" customFormat="1">
      <c r="A21"/>
      <c r="C21" s="64" t="s">
        <v>220</v>
      </c>
      <c r="D21" s="302" t="s">
        <v>249</v>
      </c>
      <c r="E21" s="313">
        <f>SUMIF('Pre- and Production'!$U$5:$U$531, 'WBS Summary'!$C21,'Pre- and Production'!AC$5:AC$531)</f>
        <v>32</v>
      </c>
      <c r="F21" s="314">
        <f>SUMIF('Pre- and Production'!$U$5:$U$531, 'WBS Summary'!$C21,'Pre- and Production'!AM$5:AM$531)</f>
        <v>88</v>
      </c>
      <c r="G21" s="315">
        <f>SUMIF('Pre- and Production'!$U$5:$U$531, 'WBS Summary'!$C21,'Pre- and Production'!AD$5:AD$531)</f>
        <v>136</v>
      </c>
      <c r="H21" s="316">
        <f>SUMIF('Pre- and Production'!$U$5:$U$531, 'WBS Summary'!$C21,'Pre- and Production'!AN$5:AN$531)</f>
        <v>32</v>
      </c>
      <c r="I21" s="313">
        <f>SUMIF('Pre- and Production'!$U$5:$U$531, 'WBS Summary'!$C21,'Pre- and Production'!AE$5:AE$531)</f>
        <v>0</v>
      </c>
      <c r="J21" s="314">
        <f>SUMIF('Pre- and Production'!$U$5:$U$531, 'WBS Summary'!$C21,'Pre- and Production'!AO$5:AO$531)</f>
        <v>0</v>
      </c>
      <c r="K21" s="315">
        <f>SUMIF('Pre- and Production'!$U$5:$U$531, 'WBS Summary'!$C21,'Pre- and Production'!AF$5:AF$531)</f>
        <v>152</v>
      </c>
      <c r="L21" s="316">
        <f>SUMIF('Pre- and Production'!$U$5:$U$531, 'WBS Summary'!$C21,'Pre- and Production'!AP$5:AP$531)</f>
        <v>48</v>
      </c>
      <c r="M21" s="313">
        <f>SUMIF('Pre- and Production'!$U$5:$U$531, 'WBS Summary'!$C21,'Pre- and Production'!AG$5:AG$531)</f>
        <v>0</v>
      </c>
      <c r="N21" s="314">
        <f>SUMIF('Pre- and Production'!$U$5:$U$531, 'WBS Summary'!$C21,'Pre- and Production'!AQ$5:AQ$531)</f>
        <v>0</v>
      </c>
      <c r="O21" s="305">
        <f>SUMIF('Pre- and Production'!$U$5:$U$531, 'WBS Summary'!$C21,'Pre- and Production'!AH$5:AH$531)</f>
        <v>7930</v>
      </c>
      <c r="P21" s="306">
        <f>SUMIF('Pre- and Production'!$U$5:$U$531, 'WBS Summary'!$C21,'Pre- and Production'!AR$5:AR$531)</f>
        <v>4010</v>
      </c>
      <c r="R21" s="64" t="s">
        <v>220</v>
      </c>
      <c r="S21" s="424"/>
      <c r="T21" s="424"/>
      <c r="U21" s="424"/>
      <c r="V21" s="427">
        <f t="shared" si="0"/>
        <v>488</v>
      </c>
      <c r="W21" s="345"/>
      <c r="X21" s="424"/>
    </row>
    <row r="22" spans="1:24" s="302" customFormat="1">
      <c r="A22"/>
      <c r="C22" s="64" t="s">
        <v>221</v>
      </c>
      <c r="D22" s="302" t="s">
        <v>250</v>
      </c>
      <c r="E22" s="313">
        <f>SUMIF('Pre- and Production'!$U$5:$U$531, 'WBS Summary'!$C22,'Pre- and Production'!AC$5:AC$531)</f>
        <v>0</v>
      </c>
      <c r="F22" s="314">
        <f>SUMIF('Pre- and Production'!$U$5:$U$531, 'WBS Summary'!$C22,'Pre- and Production'!AM$5:AM$531)</f>
        <v>8</v>
      </c>
      <c r="G22" s="315">
        <f>SUMIF('Pre- and Production'!$U$5:$U$531, 'WBS Summary'!$C22,'Pre- and Production'!AD$5:AD$531)</f>
        <v>0</v>
      </c>
      <c r="H22" s="316">
        <f>SUMIF('Pre- and Production'!$U$5:$U$531, 'WBS Summary'!$C22,'Pre- and Production'!AN$5:AN$531)</f>
        <v>76</v>
      </c>
      <c r="I22" s="313">
        <f>SUMIF('Pre- and Production'!$U$5:$U$531, 'WBS Summary'!$C22,'Pre- and Production'!AE$5:AE$531)</f>
        <v>0</v>
      </c>
      <c r="J22" s="314">
        <f>SUMIF('Pre- and Production'!$U$5:$U$531, 'WBS Summary'!$C22,'Pre- and Production'!AO$5:AO$531)</f>
        <v>0</v>
      </c>
      <c r="K22" s="315">
        <f>SUMIF('Pre- and Production'!$U$5:$U$531, 'WBS Summary'!$C22,'Pre- and Production'!AF$5:AF$531)</f>
        <v>0</v>
      </c>
      <c r="L22" s="316">
        <f>SUMIF('Pre- and Production'!$U$5:$U$531, 'WBS Summary'!$C22,'Pre- and Production'!AP$5:AP$531)</f>
        <v>76</v>
      </c>
      <c r="M22" s="313">
        <f>SUMIF('Pre- and Production'!$U$5:$U$531, 'WBS Summary'!$C22,'Pre- and Production'!AG$5:AG$531)</f>
        <v>0</v>
      </c>
      <c r="N22" s="314">
        <f>SUMIF('Pre- and Production'!$U$5:$U$531, 'WBS Summary'!$C22,'Pre- and Production'!AQ$5:AQ$531)</f>
        <v>0</v>
      </c>
      <c r="O22" s="305">
        <f>SUMIF('Pre- and Production'!$U$5:$U$531, 'WBS Summary'!$C22,'Pre- and Production'!AH$5:AH$531)</f>
        <v>0</v>
      </c>
      <c r="P22" s="306">
        <f>SUMIF('Pre- and Production'!$U$5:$U$531, 'WBS Summary'!$C22,'Pre- and Production'!AR$5:AR$531)</f>
        <v>1300</v>
      </c>
      <c r="R22" s="64" t="s">
        <v>221</v>
      </c>
      <c r="S22" s="424"/>
      <c r="T22" s="424"/>
      <c r="U22" s="424"/>
      <c r="V22" s="427">
        <f t="shared" si="0"/>
        <v>160</v>
      </c>
      <c r="W22" s="345"/>
      <c r="X22" s="424"/>
    </row>
    <row r="23" spans="1:24" s="302" customFormat="1">
      <c r="A23"/>
      <c r="C23" s="64" t="s">
        <v>222</v>
      </c>
      <c r="D23" s="302" t="s">
        <v>251</v>
      </c>
      <c r="E23" s="313">
        <f>SUMIF('Pre- and Production'!$U$5:$U$531, 'WBS Summary'!$C23,'Pre- and Production'!AC$5:AC$531)</f>
        <v>0</v>
      </c>
      <c r="F23" s="314">
        <f>SUMIF('Pre- and Production'!$U$5:$U$531, 'WBS Summary'!$C23,'Pre- and Production'!AM$5:AM$531)</f>
        <v>0</v>
      </c>
      <c r="G23" s="315">
        <f>SUMIF('Pre- and Production'!$U$5:$U$531, 'WBS Summary'!$C23,'Pre- and Production'!AD$5:AD$531)</f>
        <v>76</v>
      </c>
      <c r="H23" s="316">
        <f>SUMIF('Pre- and Production'!$U$5:$U$531, 'WBS Summary'!$C23,'Pre- and Production'!AN$5:AN$531)</f>
        <v>0</v>
      </c>
      <c r="I23" s="313">
        <f>SUMIF('Pre- and Production'!$U$5:$U$531, 'WBS Summary'!$C23,'Pre- and Production'!AE$5:AE$531)</f>
        <v>0</v>
      </c>
      <c r="J23" s="314">
        <f>SUMIF('Pre- and Production'!$U$5:$U$531, 'WBS Summary'!$C23,'Pre- and Production'!AO$5:AO$531)</f>
        <v>0</v>
      </c>
      <c r="K23" s="315">
        <f>SUMIF('Pre- and Production'!$U$5:$U$531, 'WBS Summary'!$C23,'Pre- and Production'!AF$5:AF$531)</f>
        <v>120</v>
      </c>
      <c r="L23" s="316">
        <f>SUMIF('Pre- and Production'!$U$5:$U$531, 'WBS Summary'!$C23,'Pre- and Production'!AP$5:AP$531)</f>
        <v>0</v>
      </c>
      <c r="M23" s="313">
        <f>SUMIF('Pre- and Production'!$U$5:$U$531, 'WBS Summary'!$C23,'Pre- and Production'!AG$5:AG$531)</f>
        <v>0</v>
      </c>
      <c r="N23" s="314">
        <f>SUMIF('Pre- and Production'!$U$5:$U$531, 'WBS Summary'!$C23,'Pre- and Production'!AQ$5:AQ$531)</f>
        <v>0</v>
      </c>
      <c r="O23" s="305">
        <f>SUMIF('Pre- and Production'!$U$5:$U$531, 'WBS Summary'!$C23,'Pre- and Production'!AH$5:AH$531)</f>
        <v>1300</v>
      </c>
      <c r="P23" s="306">
        <f>SUMIF('Pre- and Production'!$U$5:$U$531, 'WBS Summary'!$C23,'Pre- and Production'!AR$5:AR$531)</f>
        <v>0</v>
      </c>
      <c r="R23" s="64" t="s">
        <v>222</v>
      </c>
      <c r="S23" s="424"/>
      <c r="T23" s="424"/>
      <c r="U23" s="424"/>
      <c r="V23" s="427">
        <f t="shared" si="0"/>
        <v>196</v>
      </c>
      <c r="W23" s="345"/>
      <c r="X23" s="424"/>
    </row>
    <row r="24" spans="1:24" s="302" customFormat="1">
      <c r="A24"/>
      <c r="C24" s="64" t="s">
        <v>223</v>
      </c>
      <c r="D24" s="302" t="s">
        <v>252</v>
      </c>
      <c r="E24" s="313">
        <f>SUMIF('Pre- and Production'!$U$5:$U$531, 'WBS Summary'!$C24,'Pre- and Production'!AC$5:AC$531)</f>
        <v>8</v>
      </c>
      <c r="F24" s="314">
        <f>SUMIF('Pre- and Production'!$U$5:$U$531, 'WBS Summary'!$C24,'Pre- and Production'!AM$5:AM$531)</f>
        <v>0</v>
      </c>
      <c r="G24" s="315">
        <f>SUMIF('Pre- and Production'!$U$5:$U$531, 'WBS Summary'!$C24,'Pre- and Production'!AD$5:AD$531)</f>
        <v>124</v>
      </c>
      <c r="H24" s="316">
        <f>SUMIF('Pre- and Production'!$U$5:$U$531, 'WBS Summary'!$C24,'Pre- and Production'!AN$5:AN$531)</f>
        <v>80</v>
      </c>
      <c r="I24" s="313">
        <f>SUMIF('Pre- and Production'!$U$5:$U$531, 'WBS Summary'!$C24,'Pre- and Production'!AE$5:AE$531)</f>
        <v>0</v>
      </c>
      <c r="J24" s="314">
        <f>SUMIF('Pre- and Production'!$U$5:$U$531, 'WBS Summary'!$C24,'Pre- and Production'!AO$5:AO$531)</f>
        <v>0</v>
      </c>
      <c r="K24" s="315">
        <f>SUMIF('Pre- and Production'!$U$5:$U$531, 'WBS Summary'!$C24,'Pre- and Production'!AF$5:AF$531)</f>
        <v>460</v>
      </c>
      <c r="L24" s="316">
        <f>SUMIF('Pre- and Production'!$U$5:$U$531, 'WBS Summary'!$C24,'Pre- and Production'!AP$5:AP$531)</f>
        <v>200</v>
      </c>
      <c r="M24" s="313">
        <f>SUMIF('Pre- and Production'!$U$5:$U$531, 'WBS Summary'!$C24,'Pre- and Production'!AG$5:AG$531)</f>
        <v>0</v>
      </c>
      <c r="N24" s="314">
        <f>SUMIF('Pre- and Production'!$U$5:$U$531, 'WBS Summary'!$C24,'Pre- and Production'!AQ$5:AQ$531)</f>
        <v>0</v>
      </c>
      <c r="O24" s="305">
        <f>SUMIF('Pre- and Production'!$U$5:$U$531, 'WBS Summary'!$C24,'Pre- and Production'!AH$5:AH$531)</f>
        <v>1000</v>
      </c>
      <c r="P24" s="306">
        <f>SUMIF('Pre- and Production'!$U$5:$U$531, 'WBS Summary'!$C24,'Pre- and Production'!AR$5:AR$531)</f>
        <v>0</v>
      </c>
      <c r="R24" s="64" t="s">
        <v>223</v>
      </c>
      <c r="S24" s="424"/>
      <c r="T24" s="424"/>
      <c r="U24" s="424"/>
      <c r="V24" s="427">
        <f t="shared" si="0"/>
        <v>872</v>
      </c>
      <c r="W24" s="345"/>
      <c r="X24" s="424"/>
    </row>
    <row r="25" spans="1:24" s="302" customFormat="1" ht="15">
      <c r="A25"/>
      <c r="C25" s="401" t="s">
        <v>224</v>
      </c>
      <c r="D25" s="302" t="s">
        <v>253</v>
      </c>
      <c r="E25" s="313">
        <f>SUMIF('Pre- and Production'!$U$5:$U$531, 'WBS Summary'!$C25,'Pre- and Production'!AC$5:AC$531)</f>
        <v>0</v>
      </c>
      <c r="F25" s="314">
        <f>SUMIF('Pre- and Production'!$U$5:$U$531, 'WBS Summary'!$C25,'Pre- and Production'!AM$5:AM$531)</f>
        <v>0</v>
      </c>
      <c r="G25" s="315">
        <f>SUMIF('Pre- and Production'!$U$5:$U$531, 'WBS Summary'!$C25,'Pre- and Production'!AD$5:AD$531)</f>
        <v>0</v>
      </c>
      <c r="H25" s="316">
        <f>SUMIF('Pre- and Production'!$U$5:$U$531, 'WBS Summary'!$C25,'Pre- and Production'!AN$5:AN$531)</f>
        <v>0</v>
      </c>
      <c r="I25" s="313">
        <f>SUMIF('Pre- and Production'!$U$5:$U$531, 'WBS Summary'!$C25,'Pre- and Production'!AE$5:AE$531)</f>
        <v>0</v>
      </c>
      <c r="J25" s="314">
        <f>SUMIF('Pre- and Production'!$U$5:$U$531, 'WBS Summary'!$C25,'Pre- and Production'!AO$5:AO$531)</f>
        <v>0</v>
      </c>
      <c r="K25" s="315">
        <f>SUMIF('Pre- and Production'!$U$5:$U$531, 'WBS Summary'!$C25,'Pre- and Production'!AF$5:AF$531)</f>
        <v>0</v>
      </c>
      <c r="L25" s="316">
        <f>SUMIF('Pre- and Production'!$U$5:$U$531, 'WBS Summary'!$C25,'Pre- and Production'!AP$5:AP$531)</f>
        <v>0</v>
      </c>
      <c r="M25" s="313">
        <f>SUMIF('Pre- and Production'!$U$5:$U$531, 'WBS Summary'!$C25,'Pre- and Production'!AG$5:AG$531)</f>
        <v>0</v>
      </c>
      <c r="N25" s="314">
        <f>SUMIF('Pre- and Production'!$U$5:$U$531, 'WBS Summary'!$C25,'Pre- and Production'!AQ$5:AQ$531)</f>
        <v>0</v>
      </c>
      <c r="O25" s="305">
        <f>SUMIF('Pre- and Production'!$U$5:$U$531, 'WBS Summary'!$C25,'Pre- and Production'!AH$5:AH$531)</f>
        <v>0</v>
      </c>
      <c r="P25" s="306">
        <f>SUMIF('Pre- and Production'!$U$5:$U$531, 'WBS Summary'!$C25,'Pre- and Production'!AR$5:AR$531)</f>
        <v>0</v>
      </c>
      <c r="R25" s="401" t="s">
        <v>224</v>
      </c>
      <c r="S25" s="424"/>
      <c r="T25" s="424"/>
      <c r="U25" s="424"/>
      <c r="V25" s="427">
        <f t="shared" si="0"/>
        <v>0</v>
      </c>
      <c r="W25" s="345"/>
      <c r="X25" s="424"/>
    </row>
    <row r="26" spans="1:24" s="302" customFormat="1" ht="15">
      <c r="A26"/>
      <c r="C26" s="403" t="s">
        <v>225</v>
      </c>
      <c r="D26" s="302" t="s">
        <v>254</v>
      </c>
      <c r="E26" s="313">
        <f>SUMIF('Pre- and Production'!$U$5:$U$531, 'WBS Summary'!$C26,'Pre- and Production'!AC$5:AC$531)</f>
        <v>0</v>
      </c>
      <c r="F26" s="314">
        <f>SUMIF('Pre- and Production'!$U$5:$U$531, 'WBS Summary'!$C26,'Pre- and Production'!AM$5:AM$531)</f>
        <v>0</v>
      </c>
      <c r="G26" s="315">
        <f>SUMIF('Pre- and Production'!$U$5:$U$531, 'WBS Summary'!$C26,'Pre- and Production'!AD$5:AD$531)</f>
        <v>0</v>
      </c>
      <c r="H26" s="316">
        <f>SUMIF('Pre- and Production'!$U$5:$U$531, 'WBS Summary'!$C26,'Pre- and Production'!AN$5:AN$531)</f>
        <v>0</v>
      </c>
      <c r="I26" s="313">
        <f>SUMIF('Pre- and Production'!$U$5:$U$531, 'WBS Summary'!$C26,'Pre- and Production'!AE$5:AE$531)</f>
        <v>0</v>
      </c>
      <c r="J26" s="314">
        <f>SUMIF('Pre- and Production'!$U$5:$U$531, 'WBS Summary'!$C26,'Pre- and Production'!AO$5:AO$531)</f>
        <v>0</v>
      </c>
      <c r="K26" s="315">
        <f>SUMIF('Pre- and Production'!$U$5:$U$531, 'WBS Summary'!$C26,'Pre- and Production'!AF$5:AF$531)</f>
        <v>0</v>
      </c>
      <c r="L26" s="316">
        <f>SUMIF('Pre- and Production'!$U$5:$U$531, 'WBS Summary'!$C26,'Pre- and Production'!AP$5:AP$531)</f>
        <v>0</v>
      </c>
      <c r="M26" s="313">
        <f>SUMIF('Pre- and Production'!$U$5:$U$531, 'WBS Summary'!$C26,'Pre- and Production'!AG$5:AG$531)</f>
        <v>0</v>
      </c>
      <c r="N26" s="314">
        <f>SUMIF('Pre- and Production'!$U$5:$U$531, 'WBS Summary'!$C26,'Pre- and Production'!AQ$5:AQ$531)</f>
        <v>0</v>
      </c>
      <c r="O26" s="305">
        <f>SUMIF('Pre- and Production'!$U$5:$U$531, 'WBS Summary'!$C26,'Pre- and Production'!AH$5:AH$531)</f>
        <v>0</v>
      </c>
      <c r="P26" s="306">
        <f>SUMIF('Pre- and Production'!$U$5:$U$531, 'WBS Summary'!$C26,'Pre- and Production'!AR$5:AR$531)</f>
        <v>0</v>
      </c>
      <c r="R26" s="403" t="s">
        <v>225</v>
      </c>
      <c r="S26" s="424"/>
      <c r="T26" s="424"/>
      <c r="U26" s="424"/>
      <c r="V26" s="427">
        <f t="shared" si="0"/>
        <v>0</v>
      </c>
      <c r="W26" s="345"/>
      <c r="X26" s="424"/>
    </row>
    <row r="27" spans="1:24" s="302" customFormat="1" ht="15">
      <c r="A27"/>
      <c r="C27" s="403" t="s">
        <v>226</v>
      </c>
      <c r="D27" s="302" t="s">
        <v>255</v>
      </c>
      <c r="E27" s="313">
        <f>SUMIF('Pre- and Production'!$U$5:$U$531, 'WBS Summary'!$C27,'Pre- and Production'!AC$5:AC$531)</f>
        <v>0</v>
      </c>
      <c r="F27" s="314">
        <f>SUMIF('Pre- and Production'!$U$5:$U$531, 'WBS Summary'!$C27,'Pre- and Production'!AM$5:AM$531)</f>
        <v>0</v>
      </c>
      <c r="G27" s="315">
        <f>SUMIF('Pre- and Production'!$U$5:$U$531, 'WBS Summary'!$C27,'Pre- and Production'!AD$5:AD$531)</f>
        <v>0</v>
      </c>
      <c r="H27" s="316">
        <f>SUMIF('Pre- and Production'!$U$5:$U$531, 'WBS Summary'!$C27,'Pre- and Production'!AN$5:AN$531)</f>
        <v>0</v>
      </c>
      <c r="I27" s="313">
        <f>SUMIF('Pre- and Production'!$U$5:$U$531, 'WBS Summary'!$C27,'Pre- and Production'!AE$5:AE$531)</f>
        <v>0</v>
      </c>
      <c r="J27" s="314">
        <f>SUMIF('Pre- and Production'!$U$5:$U$531, 'WBS Summary'!$C27,'Pre- and Production'!AO$5:AO$531)</f>
        <v>0</v>
      </c>
      <c r="K27" s="315">
        <f>SUMIF('Pre- and Production'!$U$5:$U$531, 'WBS Summary'!$C27,'Pre- and Production'!AF$5:AF$531)</f>
        <v>0</v>
      </c>
      <c r="L27" s="316">
        <f>SUMIF('Pre- and Production'!$U$5:$U$531, 'WBS Summary'!$C27,'Pre- and Production'!AP$5:AP$531)</f>
        <v>0</v>
      </c>
      <c r="M27" s="313">
        <f>SUMIF('Pre- and Production'!$U$5:$U$531, 'WBS Summary'!$C27,'Pre- and Production'!AG$5:AG$531)</f>
        <v>0</v>
      </c>
      <c r="N27" s="314">
        <f>SUMIF('Pre- and Production'!$U$5:$U$531, 'WBS Summary'!$C27,'Pre- and Production'!AQ$5:AQ$531)</f>
        <v>0</v>
      </c>
      <c r="O27" s="305">
        <f>SUMIF('Pre- and Production'!$U$5:$U$531, 'WBS Summary'!$C27,'Pre- and Production'!AH$5:AH$531)</f>
        <v>0</v>
      </c>
      <c r="P27" s="306">
        <f>SUMIF('Pre- and Production'!$U$5:$U$531, 'WBS Summary'!$C27,'Pre- and Production'!AR$5:AR$531)</f>
        <v>0</v>
      </c>
      <c r="R27" s="403" t="s">
        <v>226</v>
      </c>
      <c r="S27" s="424"/>
      <c r="T27" s="424"/>
      <c r="U27" s="424"/>
      <c r="V27" s="427">
        <f t="shared" si="0"/>
        <v>0</v>
      </c>
      <c r="W27" s="345"/>
      <c r="X27" s="424"/>
    </row>
    <row r="28" spans="1:24" s="302" customFormat="1" ht="15">
      <c r="A28"/>
      <c r="C28" s="403" t="s">
        <v>227</v>
      </c>
      <c r="D28" s="302" t="s">
        <v>256</v>
      </c>
      <c r="E28" s="313">
        <f>SUMIF('Pre- and Production'!$U$5:$U$531, 'WBS Summary'!$C28,'Pre- and Production'!AC$5:AC$531)</f>
        <v>0</v>
      </c>
      <c r="F28" s="314">
        <f>SUMIF('Pre- and Production'!$U$5:$U$531, 'WBS Summary'!$C28,'Pre- and Production'!AM$5:AM$531)</f>
        <v>0</v>
      </c>
      <c r="G28" s="315">
        <f>SUMIF('Pre- and Production'!$U$5:$U$531, 'WBS Summary'!$C28,'Pre- and Production'!AD$5:AD$531)</f>
        <v>0</v>
      </c>
      <c r="H28" s="316">
        <f>SUMIF('Pre- and Production'!$U$5:$U$531, 'WBS Summary'!$C28,'Pre- and Production'!AN$5:AN$531)</f>
        <v>0</v>
      </c>
      <c r="I28" s="313">
        <f>SUMIF('Pre- and Production'!$U$5:$U$531, 'WBS Summary'!$C28,'Pre- and Production'!AE$5:AE$531)</f>
        <v>0</v>
      </c>
      <c r="J28" s="314">
        <f>SUMIF('Pre- and Production'!$U$5:$U$531, 'WBS Summary'!$C28,'Pre- and Production'!AO$5:AO$531)</f>
        <v>0</v>
      </c>
      <c r="K28" s="315">
        <f>SUMIF('Pre- and Production'!$U$5:$U$531, 'WBS Summary'!$C28,'Pre- and Production'!AF$5:AF$531)</f>
        <v>0</v>
      </c>
      <c r="L28" s="316">
        <f>SUMIF('Pre- and Production'!$U$5:$U$531, 'WBS Summary'!$C28,'Pre- and Production'!AP$5:AP$531)</f>
        <v>0</v>
      </c>
      <c r="M28" s="313">
        <f>SUMIF('Pre- and Production'!$U$5:$U$531, 'WBS Summary'!$C28,'Pre- and Production'!AG$5:AG$531)</f>
        <v>0</v>
      </c>
      <c r="N28" s="314">
        <f>SUMIF('Pre- and Production'!$U$5:$U$531, 'WBS Summary'!$C28,'Pre- and Production'!AQ$5:AQ$531)</f>
        <v>0</v>
      </c>
      <c r="O28" s="305">
        <f>SUMIF('Pre- and Production'!$U$5:$U$531, 'WBS Summary'!$C28,'Pre- and Production'!AH$5:AH$531)</f>
        <v>0</v>
      </c>
      <c r="P28" s="306">
        <f>SUMIF('Pre- and Production'!$U$5:$U$531, 'WBS Summary'!$C28,'Pre- and Production'!AR$5:AR$531)</f>
        <v>0</v>
      </c>
      <c r="R28" s="403" t="s">
        <v>227</v>
      </c>
      <c r="S28" s="424"/>
      <c r="T28" s="424"/>
      <c r="U28" s="424"/>
      <c r="V28" s="427">
        <f t="shared" si="0"/>
        <v>0</v>
      </c>
      <c r="W28" s="345"/>
      <c r="X28" s="424"/>
    </row>
    <row r="29" spans="1:24" s="302" customFormat="1">
      <c r="A29"/>
      <c r="C29" s="126" t="s">
        <v>228</v>
      </c>
      <c r="D29" s="302" t="s">
        <v>257</v>
      </c>
      <c r="E29" s="313">
        <f>SUMIF('Pre- and Production'!$U$5:$U$531, 'WBS Summary'!$C29,'Pre- and Production'!AC$5:AC$531)</f>
        <v>0</v>
      </c>
      <c r="F29" s="314">
        <f>SUMIF('Pre- and Production'!$U$5:$U$531, 'WBS Summary'!$C29,'Pre- and Production'!AM$5:AM$531)</f>
        <v>0</v>
      </c>
      <c r="G29" s="315">
        <f>SUMIF('Pre- and Production'!$U$5:$U$531, 'WBS Summary'!$C29,'Pre- and Production'!AD$5:AD$531)</f>
        <v>0</v>
      </c>
      <c r="H29" s="316">
        <f>SUMIF('Pre- and Production'!$U$5:$U$531, 'WBS Summary'!$C29,'Pre- and Production'!AN$5:AN$531)</f>
        <v>0</v>
      </c>
      <c r="I29" s="313">
        <f>SUMIF('Pre- and Production'!$U$5:$U$531, 'WBS Summary'!$C29,'Pre- and Production'!AE$5:AE$531)</f>
        <v>0</v>
      </c>
      <c r="J29" s="314">
        <f>SUMIF('Pre- and Production'!$U$5:$U$531, 'WBS Summary'!$C29,'Pre- and Production'!AO$5:AO$531)</f>
        <v>0</v>
      </c>
      <c r="K29" s="315">
        <f>SUMIF('Pre- and Production'!$U$5:$U$531, 'WBS Summary'!$C29,'Pre- and Production'!AF$5:AF$531)</f>
        <v>0</v>
      </c>
      <c r="L29" s="316">
        <f>SUMIF('Pre- and Production'!$U$5:$U$531, 'WBS Summary'!$C29,'Pre- and Production'!AP$5:AP$531)</f>
        <v>0</v>
      </c>
      <c r="M29" s="313">
        <f>SUMIF('Pre- and Production'!$U$5:$U$531, 'WBS Summary'!$C29,'Pre- and Production'!AG$5:AG$531)</f>
        <v>0</v>
      </c>
      <c r="N29" s="314">
        <f>SUMIF('Pre- and Production'!$U$5:$U$531, 'WBS Summary'!$C29,'Pre- and Production'!AQ$5:AQ$531)</f>
        <v>0</v>
      </c>
      <c r="O29" s="305">
        <f>SUMIF('Pre- and Production'!$U$5:$U$531, 'WBS Summary'!$C29,'Pre- and Production'!AH$5:AH$531)</f>
        <v>0</v>
      </c>
      <c r="P29" s="306">
        <f>SUMIF('Pre- and Production'!$U$5:$U$531, 'WBS Summary'!$C29,'Pre- and Production'!AR$5:AR$531)</f>
        <v>0</v>
      </c>
      <c r="R29" s="47" t="s">
        <v>228</v>
      </c>
      <c r="S29" s="423"/>
      <c r="T29" s="422">
        <f>SUM(V29:V31)</f>
        <v>2513</v>
      </c>
      <c r="U29" s="423"/>
      <c r="V29" s="422">
        <f t="shared" si="0"/>
        <v>0</v>
      </c>
      <c r="W29" s="345"/>
      <c r="X29" s="424"/>
    </row>
    <row r="30" spans="1:24" s="302" customFormat="1">
      <c r="A30"/>
      <c r="C30" s="46" t="s">
        <v>229</v>
      </c>
      <c r="D30" s="302" t="s">
        <v>258</v>
      </c>
      <c r="E30" s="313">
        <f>SUMIF('Pre- and Production'!$U$5:$U$531, 'WBS Summary'!$C30,'Pre- and Production'!AC$5:AC$531)</f>
        <v>32</v>
      </c>
      <c r="F30" s="314">
        <f>SUMIF('Pre- and Production'!$U$5:$U$531, 'WBS Summary'!$C30,'Pre- and Production'!AM$5:AM$531)</f>
        <v>40</v>
      </c>
      <c r="G30" s="315">
        <f>SUMIF('Pre- and Production'!$U$5:$U$531, 'WBS Summary'!$C30,'Pre- and Production'!AD$5:AD$531)</f>
        <v>590</v>
      </c>
      <c r="H30" s="316">
        <f>SUMIF('Pre- and Production'!$U$5:$U$531, 'WBS Summary'!$C30,'Pre- and Production'!AN$5:AN$531)</f>
        <v>20</v>
      </c>
      <c r="I30" s="313">
        <f>SUMIF('Pre- and Production'!$U$5:$U$531, 'WBS Summary'!$C30,'Pre- and Production'!AE$5:AE$531)</f>
        <v>0</v>
      </c>
      <c r="J30" s="314">
        <f>SUMIF('Pre- and Production'!$U$5:$U$531, 'WBS Summary'!$C30,'Pre- and Production'!AO$5:AO$531)</f>
        <v>0</v>
      </c>
      <c r="K30" s="315">
        <f>SUMIF('Pre- and Production'!$U$5:$U$531, 'WBS Summary'!$C30,'Pre- and Production'!AF$5:AF$531)</f>
        <v>340</v>
      </c>
      <c r="L30" s="316">
        <f>SUMIF('Pre- and Production'!$U$5:$U$531, 'WBS Summary'!$C30,'Pre- and Production'!AP$5:AP$531)</f>
        <v>40</v>
      </c>
      <c r="M30" s="313">
        <f>SUMIF('Pre- and Production'!$U$5:$U$531, 'WBS Summary'!$C30,'Pre- and Production'!AG$5:AG$531)</f>
        <v>0</v>
      </c>
      <c r="N30" s="314">
        <f>SUMIF('Pre- and Production'!$U$5:$U$531, 'WBS Summary'!$C30,'Pre- and Production'!AQ$5:AQ$531)</f>
        <v>0</v>
      </c>
      <c r="O30" s="305">
        <f>SUMIF('Pre- and Production'!$U$5:$U$531, 'WBS Summary'!$C30,'Pre- and Production'!AH$5:AH$531)</f>
        <v>16110</v>
      </c>
      <c r="P30" s="306">
        <f>SUMIF('Pre- and Production'!$U$5:$U$531, 'WBS Summary'!$C30,'Pre- and Production'!AR$5:AR$531)</f>
        <v>1600</v>
      </c>
      <c r="R30" s="414" t="s">
        <v>229</v>
      </c>
      <c r="S30" s="425"/>
      <c r="T30" s="425"/>
      <c r="U30" s="426">
        <f>V30</f>
        <v>1062</v>
      </c>
      <c r="V30" s="426">
        <f t="shared" si="0"/>
        <v>1062</v>
      </c>
      <c r="W30" s="345">
        <f>(U30*140)</f>
        <v>148680</v>
      </c>
      <c r="X30" s="345">
        <f>W30+O30+P30</f>
        <v>166390</v>
      </c>
    </row>
    <row r="31" spans="1:24" s="302" customFormat="1">
      <c r="A31"/>
      <c r="C31" s="46" t="s">
        <v>230</v>
      </c>
      <c r="D31" s="302" t="s">
        <v>259</v>
      </c>
      <c r="E31" s="313">
        <f>SUMIF('Pre- and Production'!$U$5:$U$531, 'WBS Summary'!$C31,'Pre- and Production'!AC$5:AC$531)</f>
        <v>44</v>
      </c>
      <c r="F31" s="314">
        <f>SUMIF('Pre- and Production'!$U$5:$U$531, 'WBS Summary'!$C31,'Pre- and Production'!AM$5:AM$531)</f>
        <v>60</v>
      </c>
      <c r="G31" s="315">
        <f>SUMIF('Pre- and Production'!$U$5:$U$531, 'WBS Summary'!$C31,'Pre- and Production'!AD$5:AD$531)</f>
        <v>871</v>
      </c>
      <c r="H31" s="316">
        <f>SUMIF('Pre- and Production'!$U$5:$U$531, 'WBS Summary'!$C31,'Pre- and Production'!AN$5:AN$531)</f>
        <v>20</v>
      </c>
      <c r="I31" s="313">
        <f>SUMIF('Pre- and Production'!$U$5:$U$531, 'WBS Summary'!$C31,'Pre- and Production'!AE$5:AE$531)</f>
        <v>0</v>
      </c>
      <c r="J31" s="314">
        <f>SUMIF('Pre- and Production'!$U$5:$U$531, 'WBS Summary'!$C31,'Pre- and Production'!AO$5:AO$531)</f>
        <v>0</v>
      </c>
      <c r="K31" s="315">
        <f>SUMIF('Pre- and Production'!$U$5:$U$531, 'WBS Summary'!$C31,'Pre- and Production'!AF$5:AF$531)</f>
        <v>416</v>
      </c>
      <c r="L31" s="316">
        <f>SUMIF('Pre- and Production'!$U$5:$U$531, 'WBS Summary'!$C31,'Pre- and Production'!AP$5:AP$531)</f>
        <v>40</v>
      </c>
      <c r="M31" s="313">
        <f>SUMIF('Pre- and Production'!$U$5:$U$531, 'WBS Summary'!$C31,'Pre- and Production'!AG$5:AG$531)</f>
        <v>0</v>
      </c>
      <c r="N31" s="314">
        <f>SUMIF('Pre- and Production'!$U$5:$U$531, 'WBS Summary'!$C31,'Pre- and Production'!AQ$5:AQ$531)</f>
        <v>0</v>
      </c>
      <c r="O31" s="305">
        <f>SUMIF('Pre- and Production'!$U$5:$U$531, 'WBS Summary'!$C31,'Pre- and Production'!AH$5:AH$531)</f>
        <v>24565</v>
      </c>
      <c r="P31" s="306">
        <f>SUMIF('Pre- and Production'!$U$5:$U$531, 'WBS Summary'!$C31,'Pre- and Production'!AR$5:AR$531)</f>
        <v>1600</v>
      </c>
      <c r="R31" s="414" t="s">
        <v>230</v>
      </c>
      <c r="S31" s="425"/>
      <c r="T31" s="425"/>
      <c r="U31" s="426">
        <f>V31</f>
        <v>1451</v>
      </c>
      <c r="V31" s="426">
        <f t="shared" si="0"/>
        <v>1451</v>
      </c>
      <c r="W31" s="345">
        <f>(U31*140)</f>
        <v>203140</v>
      </c>
      <c r="X31" s="345">
        <f>W31+O31+P31</f>
        <v>229305</v>
      </c>
    </row>
    <row r="32" spans="1:24" s="302" customFormat="1" ht="15">
      <c r="A32"/>
      <c r="C32" s="401" t="s">
        <v>231</v>
      </c>
      <c r="D32" s="302" t="s">
        <v>239</v>
      </c>
      <c r="E32" s="313">
        <f>SUMIF('Pre- and Production'!$U$5:$U$531, 'WBS Summary'!$C32,'Pre- and Production'!AC$5:AC$531)</f>
        <v>0</v>
      </c>
      <c r="F32" s="314">
        <f>SUMIF('Pre- and Production'!$U$5:$U$531, 'WBS Summary'!$C32,'Pre- and Production'!AM$5:AM$531)</f>
        <v>0</v>
      </c>
      <c r="G32" s="315">
        <f>SUMIF('Pre- and Production'!$U$5:$U$531, 'WBS Summary'!$C32,'Pre- and Production'!AD$5:AD$531)</f>
        <v>0</v>
      </c>
      <c r="H32" s="316">
        <f>SUMIF('Pre- and Production'!$U$5:$U$531, 'WBS Summary'!$C32,'Pre- and Production'!AN$5:AN$531)</f>
        <v>0</v>
      </c>
      <c r="I32" s="313">
        <f>SUMIF('Pre- and Production'!$U$5:$U$531, 'WBS Summary'!$C32,'Pre- and Production'!AE$5:AE$531)</f>
        <v>0</v>
      </c>
      <c r="J32" s="314">
        <f>SUMIF('Pre- and Production'!$U$5:$U$531, 'WBS Summary'!$C32,'Pre- and Production'!AO$5:AO$531)</f>
        <v>0</v>
      </c>
      <c r="K32" s="315">
        <f>SUMIF('Pre- and Production'!$U$5:$U$531, 'WBS Summary'!$C32,'Pre- and Production'!AF$5:AF$531)</f>
        <v>0</v>
      </c>
      <c r="L32" s="316">
        <f>SUMIF('Pre- and Production'!$U$5:$U$531, 'WBS Summary'!$C32,'Pre- and Production'!AP$5:AP$531)</f>
        <v>0</v>
      </c>
      <c r="M32" s="313">
        <f>SUMIF('Pre- and Production'!$U$5:$U$531, 'WBS Summary'!$C32,'Pre- and Production'!AG$5:AG$531)</f>
        <v>0</v>
      </c>
      <c r="N32" s="314">
        <f>SUMIF('Pre- and Production'!$U$5:$U$531, 'WBS Summary'!$C32,'Pre- and Production'!AQ$5:AQ$531)</f>
        <v>0</v>
      </c>
      <c r="O32" s="305">
        <f>SUMIF('Pre- and Production'!$U$5:$U$531, 'WBS Summary'!$C32,'Pre- and Production'!AH$5:AH$531)</f>
        <v>0</v>
      </c>
      <c r="P32" s="306">
        <f>SUMIF('Pre- and Production'!$U$5:$U$531, 'WBS Summary'!$C32,'Pre- and Production'!AR$5:AR$531)</f>
        <v>0</v>
      </c>
      <c r="R32" s="401" t="s">
        <v>231</v>
      </c>
      <c r="S32" s="424"/>
      <c r="T32" s="424"/>
      <c r="U32" s="424"/>
      <c r="V32" s="427">
        <f t="shared" si="0"/>
        <v>0</v>
      </c>
      <c r="W32" s="345"/>
      <c r="X32" s="424"/>
    </row>
    <row r="33" spans="1:24" s="302" customFormat="1" ht="15">
      <c r="A33"/>
      <c r="C33" s="403" t="s">
        <v>232</v>
      </c>
      <c r="D33" s="302" t="s">
        <v>240</v>
      </c>
      <c r="E33" s="313">
        <f>SUMIF('Pre- and Production'!$U$5:$U$531, 'WBS Summary'!$C33,'Pre- and Production'!AC$5:AC$531)</f>
        <v>0</v>
      </c>
      <c r="F33" s="314">
        <f>SUMIF('Pre- and Production'!$U$5:$U$531, 'WBS Summary'!$C33,'Pre- and Production'!AM$5:AM$531)</f>
        <v>0</v>
      </c>
      <c r="G33" s="315">
        <f>SUMIF('Pre- and Production'!$U$5:$U$531, 'WBS Summary'!$C33,'Pre- and Production'!AD$5:AD$531)</f>
        <v>0</v>
      </c>
      <c r="H33" s="316">
        <f>SUMIF('Pre- and Production'!$U$5:$U$531, 'WBS Summary'!$C33,'Pre- and Production'!AN$5:AN$531)</f>
        <v>0</v>
      </c>
      <c r="I33" s="313">
        <f>SUMIF('Pre- and Production'!$U$5:$U$531, 'WBS Summary'!$C33,'Pre- and Production'!AE$5:AE$531)</f>
        <v>0</v>
      </c>
      <c r="J33" s="314">
        <f>SUMIF('Pre- and Production'!$U$5:$U$531, 'WBS Summary'!$C33,'Pre- and Production'!AO$5:AO$531)</f>
        <v>0</v>
      </c>
      <c r="K33" s="315">
        <f>SUMIF('Pre- and Production'!$U$5:$U$531, 'WBS Summary'!$C33,'Pre- and Production'!AF$5:AF$531)</f>
        <v>0</v>
      </c>
      <c r="L33" s="316">
        <f>SUMIF('Pre- and Production'!$U$5:$U$531, 'WBS Summary'!$C33,'Pre- and Production'!AP$5:AP$531)</f>
        <v>0</v>
      </c>
      <c r="M33" s="313">
        <f>SUMIF('Pre- and Production'!$U$5:$U$531, 'WBS Summary'!$C33,'Pre- and Production'!AG$5:AG$531)</f>
        <v>0</v>
      </c>
      <c r="N33" s="314">
        <f>SUMIF('Pre- and Production'!$U$5:$U$531, 'WBS Summary'!$C33,'Pre- and Production'!AQ$5:AQ$531)</f>
        <v>0</v>
      </c>
      <c r="O33" s="305">
        <f>SUMIF('Pre- and Production'!$U$5:$U$531, 'WBS Summary'!$C33,'Pre- and Production'!AH$5:AH$531)</f>
        <v>0</v>
      </c>
      <c r="P33" s="306">
        <f>SUMIF('Pre- and Production'!$U$5:$U$531, 'WBS Summary'!$C33,'Pre- and Production'!AR$5:AR$531)</f>
        <v>0</v>
      </c>
      <c r="R33" s="403" t="s">
        <v>232</v>
      </c>
      <c r="S33" s="424"/>
      <c r="T33" s="424"/>
      <c r="U33" s="424"/>
      <c r="V33" s="427">
        <f t="shared" si="0"/>
        <v>0</v>
      </c>
      <c r="W33" s="345"/>
      <c r="X33" s="424"/>
    </row>
    <row r="34" spans="1:24" s="302" customFormat="1" ht="15">
      <c r="A34"/>
      <c r="C34" s="403" t="s">
        <v>233</v>
      </c>
      <c r="D34" s="302" t="s">
        <v>241</v>
      </c>
      <c r="E34" s="313">
        <f>SUMIF('Pre- and Production'!$U$5:$U$531, 'WBS Summary'!$C34,'Pre- and Production'!AC$5:AC$531)</f>
        <v>0</v>
      </c>
      <c r="F34" s="314">
        <f>SUMIF('Pre- and Production'!$U$5:$U$531, 'WBS Summary'!$C34,'Pre- and Production'!AM$5:AM$531)</f>
        <v>0</v>
      </c>
      <c r="G34" s="315">
        <f>SUMIF('Pre- and Production'!$U$5:$U$531, 'WBS Summary'!$C34,'Pre- and Production'!AD$5:AD$531)</f>
        <v>0</v>
      </c>
      <c r="H34" s="316">
        <f>SUMIF('Pre- and Production'!$U$5:$U$531, 'WBS Summary'!$C34,'Pre- and Production'!AN$5:AN$531)</f>
        <v>0</v>
      </c>
      <c r="I34" s="313">
        <f>SUMIF('Pre- and Production'!$U$5:$U$531, 'WBS Summary'!$C34,'Pre- and Production'!AE$5:AE$531)</f>
        <v>0</v>
      </c>
      <c r="J34" s="314">
        <f>SUMIF('Pre- and Production'!$U$5:$U$531, 'WBS Summary'!$C34,'Pre- and Production'!AO$5:AO$531)</f>
        <v>0</v>
      </c>
      <c r="K34" s="315">
        <f>SUMIF('Pre- and Production'!$U$5:$U$531, 'WBS Summary'!$C34,'Pre- and Production'!AF$5:AF$531)</f>
        <v>0</v>
      </c>
      <c r="L34" s="316">
        <f>SUMIF('Pre- and Production'!$U$5:$U$531, 'WBS Summary'!$C34,'Pre- and Production'!AP$5:AP$531)</f>
        <v>0</v>
      </c>
      <c r="M34" s="313">
        <f>SUMIF('Pre- and Production'!$U$5:$U$531, 'WBS Summary'!$C34,'Pre- and Production'!AG$5:AG$531)</f>
        <v>0</v>
      </c>
      <c r="N34" s="314">
        <f>SUMIF('Pre- and Production'!$U$5:$U$531, 'WBS Summary'!$C34,'Pre- and Production'!AQ$5:AQ$531)</f>
        <v>0</v>
      </c>
      <c r="O34" s="305">
        <f>SUMIF('Pre- and Production'!$U$5:$U$531, 'WBS Summary'!$C34,'Pre- and Production'!AH$5:AH$531)</f>
        <v>0</v>
      </c>
      <c r="P34" s="306">
        <f>SUMIF('Pre- and Production'!$U$5:$U$531, 'WBS Summary'!$C34,'Pre- and Production'!AR$5:AR$531)</f>
        <v>0</v>
      </c>
      <c r="R34" s="403" t="s">
        <v>233</v>
      </c>
      <c r="S34" s="424"/>
      <c r="T34" s="424"/>
      <c r="U34" s="424"/>
      <c r="V34" s="427">
        <f t="shared" si="0"/>
        <v>0</v>
      </c>
      <c r="W34" s="345"/>
      <c r="X34" s="424"/>
    </row>
    <row r="35" spans="1:24" s="302" customFormat="1" ht="15">
      <c r="A35"/>
      <c r="C35" s="403" t="s">
        <v>234</v>
      </c>
      <c r="D35" s="302" t="s">
        <v>242</v>
      </c>
      <c r="E35" s="313">
        <f>SUMIF('Pre- and Production'!$U$5:$U$531, 'WBS Summary'!$C35,'Pre- and Production'!AC$5:AC$531)</f>
        <v>0</v>
      </c>
      <c r="F35" s="314">
        <f>SUMIF('Pre- and Production'!$U$5:$U$531, 'WBS Summary'!$C35,'Pre- and Production'!AM$5:AM$531)</f>
        <v>0</v>
      </c>
      <c r="G35" s="315">
        <f>SUMIF('Pre- and Production'!$U$5:$U$531, 'WBS Summary'!$C35,'Pre- and Production'!AD$5:AD$531)</f>
        <v>0</v>
      </c>
      <c r="H35" s="316">
        <f>SUMIF('Pre- and Production'!$U$5:$U$531, 'WBS Summary'!$C35,'Pre- and Production'!AN$5:AN$531)</f>
        <v>0</v>
      </c>
      <c r="I35" s="313">
        <f>SUMIF('Pre- and Production'!$U$5:$U$531, 'WBS Summary'!$C35,'Pre- and Production'!AE$5:AE$531)</f>
        <v>0</v>
      </c>
      <c r="J35" s="314">
        <f>SUMIF('Pre- and Production'!$U$5:$U$531, 'WBS Summary'!$C35,'Pre- and Production'!AO$5:AO$531)</f>
        <v>0</v>
      </c>
      <c r="K35" s="315">
        <f>SUMIF('Pre- and Production'!$U$5:$U$531, 'WBS Summary'!$C35,'Pre- and Production'!AF$5:AF$531)</f>
        <v>0</v>
      </c>
      <c r="L35" s="316">
        <f>SUMIF('Pre- and Production'!$U$5:$U$531, 'WBS Summary'!$C35,'Pre- and Production'!AP$5:AP$531)</f>
        <v>0</v>
      </c>
      <c r="M35" s="313">
        <f>SUMIF('Pre- and Production'!$U$5:$U$531, 'WBS Summary'!$C35,'Pre- and Production'!AG$5:AG$531)</f>
        <v>0</v>
      </c>
      <c r="N35" s="314">
        <f>SUMIF('Pre- and Production'!$U$5:$U$531, 'WBS Summary'!$C35,'Pre- and Production'!AQ$5:AQ$531)</f>
        <v>0</v>
      </c>
      <c r="O35" s="305">
        <f>SUMIF('Pre- and Production'!$U$5:$U$531, 'WBS Summary'!$C35,'Pre- and Production'!AH$5:AH$531)</f>
        <v>0</v>
      </c>
      <c r="P35" s="306">
        <f>SUMIF('Pre- and Production'!$U$5:$U$531, 'WBS Summary'!$C35,'Pre- and Production'!AR$5:AR$531)</f>
        <v>0</v>
      </c>
      <c r="R35" s="403" t="s">
        <v>234</v>
      </c>
      <c r="S35" s="424"/>
      <c r="T35" s="424"/>
      <c r="U35" s="424"/>
      <c r="V35" s="427">
        <f t="shared" si="0"/>
        <v>0</v>
      </c>
      <c r="W35" s="345"/>
      <c r="X35" s="424"/>
    </row>
    <row r="36" spans="1:24" s="302" customFormat="1" ht="15">
      <c r="A36"/>
      <c r="C36" s="404" t="s">
        <v>235</v>
      </c>
      <c r="D36" s="302" t="s">
        <v>243</v>
      </c>
      <c r="E36" s="313">
        <f>SUMIF('Pre- and Production'!$U$5:$U$531, 'WBS Summary'!$C36,'Pre- and Production'!AC$5:AC$531)</f>
        <v>0</v>
      </c>
      <c r="F36" s="314">
        <f>SUMIF('Pre- and Production'!$U$5:$U$531, 'WBS Summary'!$C36,'Pre- and Production'!AM$5:AM$531)</f>
        <v>0</v>
      </c>
      <c r="G36" s="315">
        <f>SUMIF('Pre- and Production'!$U$5:$U$531, 'WBS Summary'!$C36,'Pre- and Production'!AD$5:AD$531)</f>
        <v>0</v>
      </c>
      <c r="H36" s="316">
        <f>SUMIF('Pre- and Production'!$U$5:$U$531, 'WBS Summary'!$C36,'Pre- and Production'!AN$5:AN$531)</f>
        <v>0</v>
      </c>
      <c r="I36" s="313">
        <f>SUMIF('Pre- and Production'!$U$5:$U$531, 'WBS Summary'!$C36,'Pre- and Production'!AE$5:AE$531)</f>
        <v>0</v>
      </c>
      <c r="J36" s="314">
        <f>SUMIF('Pre- and Production'!$U$5:$U$531, 'WBS Summary'!$C36,'Pre- and Production'!AO$5:AO$531)</f>
        <v>0</v>
      </c>
      <c r="K36" s="315">
        <f>SUMIF('Pre- and Production'!$U$5:$U$531, 'WBS Summary'!$C36,'Pre- and Production'!AF$5:AF$531)</f>
        <v>0</v>
      </c>
      <c r="L36" s="316">
        <f>SUMIF('Pre- and Production'!$U$5:$U$531, 'WBS Summary'!$C36,'Pre- and Production'!AP$5:AP$531)</f>
        <v>0</v>
      </c>
      <c r="M36" s="313">
        <f>SUMIF('Pre- and Production'!$U$5:$U$531, 'WBS Summary'!$C36,'Pre- and Production'!AG$5:AG$531)</f>
        <v>0</v>
      </c>
      <c r="N36" s="314">
        <f>SUMIF('Pre- and Production'!$U$5:$U$531, 'WBS Summary'!$C36,'Pre- and Production'!AQ$5:AQ$531)</f>
        <v>0</v>
      </c>
      <c r="O36" s="305">
        <f>SUMIF('Pre- and Production'!$U$5:$U$531, 'WBS Summary'!$C36,'Pre- and Production'!AH$5:AH$531)</f>
        <v>0</v>
      </c>
      <c r="P36" s="306">
        <f>SUMIF('Pre- and Production'!$U$5:$U$531, 'WBS Summary'!$C36,'Pre- and Production'!AR$5:AR$531)</f>
        <v>0</v>
      </c>
      <c r="R36" s="404" t="s">
        <v>235</v>
      </c>
      <c r="S36" s="424"/>
      <c r="T36" s="424"/>
      <c r="U36" s="424"/>
      <c r="V36" s="427">
        <f t="shared" si="0"/>
        <v>0</v>
      </c>
      <c r="W36" s="345"/>
      <c r="X36" s="424"/>
    </row>
    <row r="37" spans="1:24" s="302" customFormat="1" ht="15">
      <c r="A37"/>
      <c r="C37" s="404" t="s">
        <v>236</v>
      </c>
      <c r="D37" s="302" t="s">
        <v>244</v>
      </c>
      <c r="E37" s="313">
        <f>SUMIF('Pre- and Production'!$U$5:$U$531, 'WBS Summary'!$C37,'Pre- and Production'!AC$5:AC$531)</f>
        <v>0</v>
      </c>
      <c r="F37" s="314">
        <f>SUMIF('Pre- and Production'!$U$5:$U$531, 'WBS Summary'!$C37,'Pre- and Production'!AM$5:AM$531)</f>
        <v>0</v>
      </c>
      <c r="G37" s="315">
        <f>SUMIF('Pre- and Production'!$U$5:$U$531, 'WBS Summary'!$C37,'Pre- and Production'!AD$5:AD$531)</f>
        <v>0</v>
      </c>
      <c r="H37" s="316">
        <f>SUMIF('Pre- and Production'!$U$5:$U$531, 'WBS Summary'!$C37,'Pre- and Production'!AN$5:AN$531)</f>
        <v>0</v>
      </c>
      <c r="I37" s="313">
        <f>SUMIF('Pre- and Production'!$U$5:$U$531, 'WBS Summary'!$C37,'Pre- and Production'!AE$5:AE$531)</f>
        <v>0</v>
      </c>
      <c r="J37" s="314">
        <f>SUMIF('Pre- and Production'!$U$5:$U$531, 'WBS Summary'!$C37,'Pre- and Production'!AO$5:AO$531)</f>
        <v>0</v>
      </c>
      <c r="K37" s="315">
        <f>SUMIF('Pre- and Production'!$U$5:$U$531, 'WBS Summary'!$C37,'Pre- and Production'!AF$5:AF$531)</f>
        <v>0</v>
      </c>
      <c r="L37" s="316">
        <f>SUMIF('Pre- and Production'!$U$5:$U$531, 'WBS Summary'!$C37,'Pre- and Production'!AP$5:AP$531)</f>
        <v>0</v>
      </c>
      <c r="M37" s="313">
        <f>SUMIF('Pre- and Production'!$U$5:$U$531, 'WBS Summary'!$C37,'Pre- and Production'!AG$5:AG$531)</f>
        <v>0</v>
      </c>
      <c r="N37" s="314">
        <f>SUMIF('Pre- and Production'!$U$5:$U$531, 'WBS Summary'!$C37,'Pre- and Production'!AQ$5:AQ$531)</f>
        <v>0</v>
      </c>
      <c r="O37" s="305">
        <f>SUMIF('Pre- and Production'!$U$5:$U$531, 'WBS Summary'!$C37,'Pre- and Production'!AH$5:AH$531)</f>
        <v>0</v>
      </c>
      <c r="P37" s="306">
        <f>SUMIF('Pre- and Production'!$U$5:$U$531, 'WBS Summary'!$C37,'Pre- and Production'!AR$5:AR$531)</f>
        <v>0</v>
      </c>
      <c r="R37" s="404" t="s">
        <v>236</v>
      </c>
      <c r="S37" s="424"/>
      <c r="T37" s="424"/>
      <c r="U37" s="424"/>
      <c r="V37" s="427">
        <f t="shared" si="0"/>
        <v>0</v>
      </c>
      <c r="W37" s="345"/>
      <c r="X37" s="424"/>
    </row>
    <row r="38" spans="1:24" ht="15">
      <c r="C38" s="404" t="s">
        <v>237</v>
      </c>
      <c r="D38" t="s">
        <v>245</v>
      </c>
      <c r="E38" s="313">
        <f>SUMIF('Pre- and Production'!$U$5:$U$531, 'WBS Summary'!$C38,'Pre- and Production'!AC$5:AC$531)</f>
        <v>0</v>
      </c>
      <c r="F38" s="314">
        <f>SUMIF('Pre- and Production'!$U$5:$U$531, 'WBS Summary'!$C38,'Pre- and Production'!AM$5:AM$531)</f>
        <v>0</v>
      </c>
      <c r="G38" s="315">
        <f>SUMIF('Pre- and Production'!$U$5:$U$531, 'WBS Summary'!$C38,'Pre- and Production'!AD$5:AD$531)</f>
        <v>0</v>
      </c>
      <c r="H38" s="316">
        <f>SUMIF('Pre- and Production'!$U$5:$U$531, 'WBS Summary'!$C38,'Pre- and Production'!AN$5:AN$531)</f>
        <v>0</v>
      </c>
      <c r="I38" s="313">
        <f>SUMIF('Pre- and Production'!$U$5:$U$531, 'WBS Summary'!$C38,'Pre- and Production'!AE$5:AE$531)</f>
        <v>0</v>
      </c>
      <c r="J38" s="314">
        <f>SUMIF('Pre- and Production'!$U$5:$U$531, 'WBS Summary'!$C38,'Pre- and Production'!AO$5:AO$531)</f>
        <v>0</v>
      </c>
      <c r="K38" s="315">
        <f>SUMIF('Pre- and Production'!$U$5:$U$531, 'WBS Summary'!$C38,'Pre- and Production'!AF$5:AF$531)</f>
        <v>0</v>
      </c>
      <c r="L38" s="316">
        <f>SUMIF('Pre- and Production'!$U$5:$U$531, 'WBS Summary'!$C38,'Pre- and Production'!AP$5:AP$531)</f>
        <v>0</v>
      </c>
      <c r="M38" s="313">
        <f>SUMIF('Pre- and Production'!$U$5:$U$531, 'WBS Summary'!$C38,'Pre- and Production'!AG$5:AG$531)</f>
        <v>0</v>
      </c>
      <c r="N38" s="314">
        <f>SUMIF('Pre- and Production'!$U$5:$U$531, 'WBS Summary'!$C38,'Pre- and Production'!AQ$5:AQ$531)</f>
        <v>0</v>
      </c>
      <c r="O38" s="305">
        <f>SUMIF('Pre- and Production'!$U$5:$U$531, 'WBS Summary'!$C38,'Pre- and Production'!AH$5:AH$531)</f>
        <v>0</v>
      </c>
      <c r="P38" s="306">
        <f>SUMIF('Pre- and Production'!$U$5:$U$531, 'WBS Summary'!$C38,'Pre- and Production'!AR$5:AR$531)</f>
        <v>0</v>
      </c>
      <c r="R38" s="404" t="s">
        <v>237</v>
      </c>
      <c r="S38" s="424"/>
      <c r="T38" s="424"/>
      <c r="U38" s="424"/>
      <c r="V38" s="427">
        <f t="shared" si="0"/>
        <v>0</v>
      </c>
      <c r="W38" s="345"/>
      <c r="X38" s="424"/>
    </row>
    <row r="39" spans="1:24" ht="13.5" thickBot="1">
      <c r="C39" s="126" t="s">
        <v>238</v>
      </c>
      <c r="D39" t="s">
        <v>246</v>
      </c>
      <c r="E39" s="317">
        <f>SUMIF('Pre- and Production'!$U$5:$U$531, 'WBS Summary'!$C39,'Pre- and Production'!AC$5:AC$531)</f>
        <v>0</v>
      </c>
      <c r="F39" s="318">
        <f>SUMIF('Pre- and Production'!$U$5:$U$531, 'WBS Summary'!$C39,'Pre- and Production'!AM$5:AM$531)</f>
        <v>80</v>
      </c>
      <c r="G39" s="319">
        <f>SUMIF('Pre- and Production'!$U$5:$U$531, 'WBS Summary'!$C39,'Pre- and Production'!AD$5:AD$531)</f>
        <v>300</v>
      </c>
      <c r="H39" s="320">
        <f>SUMIF('Pre- and Production'!$U$5:$U$531, 'WBS Summary'!$C39,'Pre- and Production'!AN$5:AN$531)</f>
        <v>0</v>
      </c>
      <c r="I39" s="317">
        <f>SUMIF('Pre- and Production'!$U$5:$U$531, 'WBS Summary'!$C39,'Pre- and Production'!AE$5:AE$531)</f>
        <v>0</v>
      </c>
      <c r="J39" s="318">
        <f>SUMIF('Pre- and Production'!$U$5:$U$531, 'WBS Summary'!$C39,'Pre- and Production'!AO$5:AO$531)</f>
        <v>0</v>
      </c>
      <c r="K39" s="319">
        <f>SUMIF('Pre- and Production'!$U$5:$U$531, 'WBS Summary'!$C39,'Pre- and Production'!AF$5:AF$531)</f>
        <v>140</v>
      </c>
      <c r="L39" s="320">
        <f>SUMIF('Pre- and Production'!$U$5:$U$531, 'WBS Summary'!$C39,'Pre- and Production'!AP$5:AP$531)</f>
        <v>48</v>
      </c>
      <c r="M39" s="317">
        <f>SUMIF('Pre- and Production'!$U$5:$U$531, 'WBS Summary'!$C39,'Pre- and Production'!AG$5:AG$531)</f>
        <v>0</v>
      </c>
      <c r="N39" s="318">
        <f>SUMIF('Pre- and Production'!$U$5:$U$531, 'WBS Summary'!$C39,'Pre- and Production'!AQ$5:AQ$531)</f>
        <v>0</v>
      </c>
      <c r="O39" s="307">
        <f>SUMIF('Pre- and Production'!$U$5:$U$531, 'WBS Summary'!$C39,'Pre- and Production'!AH$5:AH$531)</f>
        <v>0</v>
      </c>
      <c r="P39" s="308">
        <f>SUMIF('Pre- and Production'!$U$5:$U$531, 'WBS Summary'!$C39,'Pre- and Production'!AR$5:AR$531)</f>
        <v>1600</v>
      </c>
      <c r="R39" s="47" t="s">
        <v>238</v>
      </c>
      <c r="S39" s="423"/>
      <c r="T39" s="422">
        <f>V39</f>
        <v>568</v>
      </c>
      <c r="U39" s="423"/>
      <c r="V39" s="422">
        <f t="shared" si="0"/>
        <v>568</v>
      </c>
      <c r="W39" s="345">
        <f>(U39*140)</f>
        <v>0</v>
      </c>
      <c r="X39" s="424"/>
    </row>
    <row r="40" spans="1:24" ht="13.5" thickTop="1"/>
    <row r="41" spans="1:24">
      <c r="D41" s="92" t="s">
        <v>507</v>
      </c>
      <c r="E41" s="407">
        <f>SUM(E7:E39)</f>
        <v>996</v>
      </c>
      <c r="F41" s="407">
        <f t="shared" ref="F41:P41" si="1">SUM(F7:F39)</f>
        <v>496</v>
      </c>
      <c r="G41" s="407">
        <f t="shared" si="1"/>
        <v>5391</v>
      </c>
      <c r="H41" s="407">
        <f t="shared" si="1"/>
        <v>2071</v>
      </c>
      <c r="I41" s="407">
        <f t="shared" si="1"/>
        <v>136</v>
      </c>
      <c r="J41" s="407">
        <f t="shared" si="1"/>
        <v>48</v>
      </c>
      <c r="K41" s="407">
        <f t="shared" si="1"/>
        <v>3518</v>
      </c>
      <c r="L41" s="407">
        <f t="shared" si="1"/>
        <v>836</v>
      </c>
      <c r="M41" s="407">
        <f t="shared" si="1"/>
        <v>0</v>
      </c>
      <c r="N41" s="407">
        <f t="shared" si="1"/>
        <v>0</v>
      </c>
      <c r="O41" s="408">
        <f t="shared" si="1"/>
        <v>343225</v>
      </c>
      <c r="P41" s="408">
        <f t="shared" si="1"/>
        <v>155335</v>
      </c>
    </row>
    <row r="42" spans="1:24">
      <c r="D42" s="92" t="s">
        <v>508</v>
      </c>
      <c r="E42" s="409">
        <f>E41/1720</f>
        <v>0.57906976744186045</v>
      </c>
      <c r="F42" s="409">
        <f t="shared" ref="F42:N42" si="2">F41/1720</f>
        <v>0.28837209302325584</v>
      </c>
      <c r="G42" s="409">
        <f t="shared" si="2"/>
        <v>3.1343023255813955</v>
      </c>
      <c r="H42" s="409">
        <f t="shared" si="2"/>
        <v>1.2040697674418606</v>
      </c>
      <c r="I42" s="409">
        <f t="shared" si="2"/>
        <v>7.9069767441860464E-2</v>
      </c>
      <c r="J42" s="409">
        <f t="shared" si="2"/>
        <v>2.7906976744186046E-2</v>
      </c>
      <c r="K42" s="409">
        <f t="shared" si="2"/>
        <v>2.0453488372093025</v>
      </c>
      <c r="L42" s="409">
        <f t="shared" si="2"/>
        <v>0.48604651162790696</v>
      </c>
      <c r="M42" s="409">
        <f t="shared" si="2"/>
        <v>0</v>
      </c>
      <c r="N42" s="409">
        <f t="shared" si="2"/>
        <v>0</v>
      </c>
      <c r="O42" s="406"/>
      <c r="P42" s="406"/>
    </row>
    <row r="43" spans="1:24">
      <c r="D43" s="410" t="s">
        <v>509</v>
      </c>
      <c r="E43" s="411">
        <f>E41*Shop</f>
        <v>101651.76000000001</v>
      </c>
      <c r="F43" s="411">
        <f>F41*Shop</f>
        <v>50621.760000000002</v>
      </c>
      <c r="G43" s="411">
        <f>G41*M_Tech</f>
        <v>510905.07000000007</v>
      </c>
      <c r="H43" s="411">
        <f>H41*M_Tech</f>
        <v>196268.67</v>
      </c>
      <c r="I43" s="411">
        <f>I42*CMM</f>
        <v>8.06986046511628</v>
      </c>
      <c r="J43" s="411">
        <f>J41*CMM</f>
        <v>4898.88</v>
      </c>
      <c r="K43" s="411">
        <f>K41*ENG</f>
        <v>427437.00000000006</v>
      </c>
      <c r="L43" s="411">
        <f>L41*ENG</f>
        <v>101574.00000000001</v>
      </c>
      <c r="M43" s="411">
        <f>M41*DES</f>
        <v>0</v>
      </c>
      <c r="N43" s="411">
        <f>N41*DES</f>
        <v>0</v>
      </c>
      <c r="O43" s="406"/>
      <c r="P43" s="406"/>
    </row>
  </sheetData>
  <mergeCells count="6">
    <mergeCell ref="O5:P5"/>
    <mergeCell ref="E5:F5"/>
    <mergeCell ref="G5:H5"/>
    <mergeCell ref="I5:J5"/>
    <mergeCell ref="K5:L5"/>
    <mergeCell ref="M5:N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4:AE281"/>
  <sheetViews>
    <sheetView topLeftCell="A16" workbookViewId="0">
      <selection activeCell="B43" sqref="B43:O281"/>
    </sheetView>
  </sheetViews>
  <sheetFormatPr defaultRowHeight="12.75"/>
  <cols>
    <col min="3" max="3" width="12.5703125" customWidth="1"/>
    <col min="5" max="5" width="7.7109375" customWidth="1"/>
    <col min="14" max="15" width="9.7109375" style="293" bestFit="1" customWidth="1"/>
  </cols>
  <sheetData>
    <row r="4" spans="1:31" ht="18.75" thickBot="1">
      <c r="B4" s="292">
        <v>2009</v>
      </c>
    </row>
    <row r="5" spans="1:31" ht="13.5" thickTop="1">
      <c r="D5" s="441" t="s">
        <v>42</v>
      </c>
      <c r="E5" s="442"/>
      <c r="F5" s="441" t="s">
        <v>191</v>
      </c>
      <c r="G5" s="443"/>
      <c r="H5" s="444" t="s">
        <v>38</v>
      </c>
      <c r="I5" s="442"/>
      <c r="J5" s="441" t="s">
        <v>192</v>
      </c>
      <c r="K5" s="443"/>
      <c r="L5" s="444" t="s">
        <v>32</v>
      </c>
      <c r="M5" s="442"/>
      <c r="N5" s="439" t="s">
        <v>193</v>
      </c>
      <c r="O5" s="440"/>
      <c r="T5" s="445"/>
      <c r="U5" s="445"/>
      <c r="V5" s="445"/>
      <c r="W5" s="445"/>
      <c r="X5" s="445"/>
      <c r="Y5" s="445"/>
      <c r="Z5" s="445"/>
      <c r="AA5" s="445"/>
      <c r="AB5" s="445"/>
      <c r="AC5" s="445"/>
      <c r="AD5" s="445"/>
      <c r="AE5" s="445"/>
    </row>
    <row r="6" spans="1:31" ht="13.5" thickBot="1">
      <c r="D6" s="282" t="s">
        <v>70</v>
      </c>
      <c r="E6" s="284" t="s">
        <v>194</v>
      </c>
      <c r="F6" s="282" t="s">
        <v>70</v>
      </c>
      <c r="G6" s="283" t="s">
        <v>194</v>
      </c>
      <c r="H6" s="288" t="s">
        <v>70</v>
      </c>
      <c r="I6" s="284" t="s">
        <v>194</v>
      </c>
      <c r="J6" s="282" t="s">
        <v>70</v>
      </c>
      <c r="K6" s="283" t="s">
        <v>194</v>
      </c>
      <c r="L6" s="288" t="s">
        <v>70</v>
      </c>
      <c r="M6" s="284" t="s">
        <v>194</v>
      </c>
      <c r="N6" s="294" t="s">
        <v>70</v>
      </c>
      <c r="O6" s="295" t="s">
        <v>194</v>
      </c>
    </row>
    <row r="7" spans="1:31" ht="13.5" thickTop="1">
      <c r="A7" s="223"/>
      <c r="C7" s="223">
        <v>1.5</v>
      </c>
      <c r="D7" s="277">
        <f>SUMIF('Pre- and Production'!$T$4:$T$532, CONCATENATE(LEFT('WBS Summary by Year'!D$6,1),'WBS Summary by Year'!$C7,'WBS Summary by Year'!$B$4),'Pre- and Production'!AC$4:AC$532)</f>
        <v>16</v>
      </c>
      <c r="E7" s="285">
        <f>SUMIF('Pre- and Production'!$T$4:$T$532, CONCATENATE(LEFT('WBS Summary by Year'!E$6,1),'WBS Summary by Year'!$C7,'WBS Summary by Year'!$B$4),'Pre- and Production'!AM$4:AM$532)</f>
        <v>0</v>
      </c>
      <c r="F7" s="277">
        <f>SUMIF('Pre- and Production'!$T$4:$T$532, CONCATENATE(LEFT('WBS Summary by Year'!F$6,1),'WBS Summary by Year'!$C7,'WBS Summary by Year'!$B$4),'Pre- and Production'!AD$4:AD$532)</f>
        <v>52</v>
      </c>
      <c r="G7" s="278">
        <f>SUMIF('Pre- and Production'!$T$4:$T$532, CONCATENATE(LEFT('WBS Summary by Year'!G$6,1),'WBS Summary by Year'!$C7,'WBS Summary by Year'!$B$4),'Pre- and Production'!AN$4:AN$532)</f>
        <v>0</v>
      </c>
      <c r="H7" s="289">
        <f>SUMIF('Pre- and Production'!$T$4:$T$532, CONCATENATE(LEFT('WBS Summary by Year'!H$6,1),'WBS Summary by Year'!$C7,'WBS Summary by Year'!$B$4),'Pre- and Production'!AE$4:AE$532)</f>
        <v>0</v>
      </c>
      <c r="I7" s="285">
        <f>SUMIF('Pre- and Production'!$T$4:$T$532, CONCATENATE(LEFT('WBS Summary by Year'!I$6,1),'WBS Summary by Year'!$C7,'WBS Summary by Year'!$B$4),'Pre- and Production'!AO$4:AO$532)</f>
        <v>0</v>
      </c>
      <c r="J7" s="277">
        <f>SUMIF('Pre- and Production'!$T$4:$T$532, CONCATENATE(LEFT('WBS Summary by Year'!J$6,1),'WBS Summary by Year'!$C7,'WBS Summary by Year'!$B$4),'Pre- and Production'!AF$4:AFI$532)</f>
        <v>0</v>
      </c>
      <c r="K7" s="278">
        <f>SUMIF('Pre- and Production'!$T$4:$T$532, CONCATENATE(LEFT('WBS Summary by Year'!K$6,1),'WBS Summary by Year'!$C7,'WBS Summary by Year'!$B$4),'Pre- and Production'!AP$4:AP$532)</f>
        <v>0</v>
      </c>
      <c r="L7" s="289">
        <f>SUMIF('Pre- and Production'!$T$4:$T$532, CONCATENATE(LEFT('WBS Summary by Year'!L$6,1),'WBS Summary by Year'!$C7,'WBS Summary by Year'!$B$4),'Pre- and Production'!AG$4:AG$532)</f>
        <v>0</v>
      </c>
      <c r="M7" s="285">
        <f>SUMIF('Pre- and Production'!$T$4:$T$532, CONCATENATE(LEFT('WBS Summary by Year'!M$6,1),'WBS Summary by Year'!$C7,'WBS Summary by Year'!$B$4),'Pre- and Production'!AQ$4:AQ$532)</f>
        <v>0</v>
      </c>
      <c r="N7" s="296">
        <f>SUMIF('Pre- and Production'!$T$4:$T$532, CONCATENATE(LEFT('WBS Summary by Year'!N$6,1),'WBS Summary by Year'!$C7,'WBS Summary by Year'!$B$4),'Pre- and Production'!AH$4:AH$532)</f>
        <v>7420</v>
      </c>
      <c r="O7" s="297">
        <f>SUMIF('Pre- and Production'!$T$4:$T$532, CONCATENATE(LEFT('WBS Summary by Year'!O$6,1),'WBS Summary by Year'!$C7,'WBS Summary by Year'!$B$4),'Pre- and Production'!AR$4:AR$532)</f>
        <v>0</v>
      </c>
    </row>
    <row r="8" spans="1:31">
      <c r="A8" s="9"/>
      <c r="C8" s="9" t="s">
        <v>195</v>
      </c>
      <c r="D8" s="26">
        <f>SUMIF('Pre- and Production'!$T$4:$T$532, CONCATENATE(LEFT('WBS Summary by Year'!D$6,1),'WBS Summary by Year'!$C8,'WBS Summary by Year'!$B$4),'Pre- and Production'!AC$4:AC$532)</f>
        <v>0</v>
      </c>
      <c r="E8" s="286">
        <f>SUMIF('Pre- and Production'!$T$4:$T$532, CONCATENATE(LEFT('WBS Summary by Year'!E$6,1),'WBS Summary by Year'!$C8,'WBS Summary by Year'!$B$4),'Pre- and Production'!AM$4:AM$532)</f>
        <v>0</v>
      </c>
      <c r="F8" s="26">
        <f>SUMIF('Pre- and Production'!$T$4:$T$532, CONCATENATE(LEFT('WBS Summary by Year'!F$6,1),'WBS Summary by Year'!$C8,'WBS Summary by Year'!$B$4),'Pre- and Production'!AD$4:AD$532)</f>
        <v>0</v>
      </c>
      <c r="G8" s="279">
        <f>SUMIF('Pre- and Production'!$T$4:$T$532, CONCATENATE(LEFT('WBS Summary by Year'!G$6,1),'WBS Summary by Year'!$C8,'WBS Summary by Year'!$B$4),'Pre- and Production'!AN$4:AN$532)</f>
        <v>0</v>
      </c>
      <c r="H8" s="290">
        <f>SUMIF('Pre- and Production'!$T$4:$T$532, CONCATENATE(LEFT('WBS Summary by Year'!H$6,1),'WBS Summary by Year'!$C8,'WBS Summary by Year'!$B$4),'Pre- and Production'!AE$4:AE$532)</f>
        <v>0</v>
      </c>
      <c r="I8" s="286">
        <f>SUMIF('Pre- and Production'!$T$4:$T$532, CONCATENATE(LEFT('WBS Summary by Year'!I$6,1),'WBS Summary by Year'!$C8,'WBS Summary by Year'!$B$4),'Pre- and Production'!AO$4:AO$532)</f>
        <v>0</v>
      </c>
      <c r="J8" s="26">
        <f>SUMIF('Pre- and Production'!$T$4:$T$532, CONCATENATE(LEFT('WBS Summary by Year'!J$6,1),'WBS Summary by Year'!$C8,'WBS Summary by Year'!$B$4),'Pre- and Production'!AF$4:AFI$532)</f>
        <v>0</v>
      </c>
      <c r="K8" s="279">
        <f>SUMIF('Pre- and Production'!$T$4:$T$532, CONCATENATE(LEFT('WBS Summary by Year'!K$6,1),'WBS Summary by Year'!$C8,'WBS Summary by Year'!$B$4),'Pre- and Production'!AP$4:AP$532)</f>
        <v>0</v>
      </c>
      <c r="L8" s="290">
        <f>SUMIF('Pre- and Production'!$T$4:$T$532, CONCATENATE(LEFT('WBS Summary by Year'!L$6,1),'WBS Summary by Year'!$C8,'WBS Summary by Year'!$B$4),'Pre- and Production'!AG$4:AG$532)</f>
        <v>0</v>
      </c>
      <c r="M8" s="286">
        <f>SUMIF('Pre- and Production'!$T$4:$T$532, CONCATENATE(LEFT('WBS Summary by Year'!M$6,1),'WBS Summary by Year'!$C8,'WBS Summary by Year'!$B$4),'Pre- and Production'!AQ$4:AQ$532)</f>
        <v>0</v>
      </c>
      <c r="N8" s="298">
        <f>SUMIF('Pre- and Production'!$T$4:$T$532, CONCATENATE(LEFT('WBS Summary by Year'!N$6,1),'WBS Summary by Year'!$C8,'WBS Summary by Year'!$B$4),'Pre- and Production'!AH$4:AH$532)</f>
        <v>0</v>
      </c>
      <c r="O8" s="299">
        <f>SUMIF('Pre- and Production'!$T$4:$T$532, CONCATENATE(LEFT('WBS Summary by Year'!O$6,1),'WBS Summary by Year'!$C8,'WBS Summary by Year'!$B$4),'Pre- and Production'!AR$4:AR$532)</f>
        <v>0</v>
      </c>
    </row>
    <row r="9" spans="1:31">
      <c r="A9" s="9"/>
      <c r="C9" s="9" t="s">
        <v>198</v>
      </c>
      <c r="D9" s="26">
        <f>SUMIF('Pre- and Production'!$T$4:$T$532, CONCATENATE(LEFT('WBS Summary by Year'!D$6,1),'WBS Summary by Year'!$C9,'WBS Summary by Year'!$B$4),'Pre- and Production'!AC$4:AC$532)</f>
        <v>0</v>
      </c>
      <c r="E9" s="286">
        <f>SUMIF('Pre- and Production'!$T$4:$T$532, CONCATENATE(LEFT('WBS Summary by Year'!E$6,1),'WBS Summary by Year'!$C9,'WBS Summary by Year'!$B$4),'Pre- and Production'!AM$4:AM$532)</f>
        <v>0</v>
      </c>
      <c r="F9" s="26">
        <f>SUMIF('Pre- and Production'!$T$4:$T$532, CONCATENATE(LEFT('WBS Summary by Year'!F$6,1),'WBS Summary by Year'!$C9,'WBS Summary by Year'!$B$4),'Pre- and Production'!AD$4:AD$532)</f>
        <v>0</v>
      </c>
      <c r="G9" s="279">
        <f>SUMIF('Pre- and Production'!$T$4:$T$532, CONCATENATE(LEFT('WBS Summary by Year'!G$6,1),'WBS Summary by Year'!$C9,'WBS Summary by Year'!$B$4),'Pre- and Production'!AN$4:AN$532)</f>
        <v>0</v>
      </c>
      <c r="H9" s="290">
        <f>SUMIF('Pre- and Production'!$T$4:$T$532, CONCATENATE(LEFT('WBS Summary by Year'!H$6,1),'WBS Summary by Year'!$C9,'WBS Summary by Year'!$B$4),'Pre- and Production'!AE$4:AE$532)</f>
        <v>0</v>
      </c>
      <c r="I9" s="286">
        <f>SUMIF('Pre- and Production'!$T$4:$T$532, CONCATENATE(LEFT('WBS Summary by Year'!I$6,1),'WBS Summary by Year'!$C9,'WBS Summary by Year'!$B$4),'Pre- and Production'!AO$4:AO$532)</f>
        <v>0</v>
      </c>
      <c r="J9" s="26">
        <f>SUMIF('Pre- and Production'!$T$4:$T$532, CONCATENATE(LEFT('WBS Summary by Year'!J$6,1),'WBS Summary by Year'!$C9,'WBS Summary by Year'!$B$4),'Pre- and Production'!AF$4:AFI$532)</f>
        <v>0</v>
      </c>
      <c r="K9" s="279">
        <f>SUMIF('Pre- and Production'!$T$4:$T$532, CONCATENATE(LEFT('WBS Summary by Year'!K$6,1),'WBS Summary by Year'!$C9,'WBS Summary by Year'!$B$4),'Pre- and Production'!AP$4:AP$532)</f>
        <v>0</v>
      </c>
      <c r="L9" s="290">
        <f>SUMIF('Pre- and Production'!$T$4:$T$532, CONCATENATE(LEFT('WBS Summary by Year'!L$6,1),'WBS Summary by Year'!$C9,'WBS Summary by Year'!$B$4),'Pre- and Production'!AG$4:AG$532)</f>
        <v>0</v>
      </c>
      <c r="M9" s="286">
        <f>SUMIF('Pre- and Production'!$T$4:$T$532, CONCATENATE(LEFT('WBS Summary by Year'!M$6,1),'WBS Summary by Year'!$C9,'WBS Summary by Year'!$B$4),'Pre- and Production'!AQ$4:AQ$532)</f>
        <v>0</v>
      </c>
      <c r="N9" s="298">
        <f>SUMIF('Pre- and Production'!$T$4:$T$532, CONCATENATE(LEFT('WBS Summary by Year'!N$6,1),'WBS Summary by Year'!$C9,'WBS Summary by Year'!$B$4),'Pre- and Production'!AH$4:AH$532)</f>
        <v>0</v>
      </c>
      <c r="O9" s="299">
        <f>SUMIF('Pre- and Production'!$T$4:$T$532, CONCATENATE(LEFT('WBS Summary by Year'!O$6,1),'WBS Summary by Year'!$C9,'WBS Summary by Year'!$B$4),'Pre- and Production'!AR$4:AR$532)</f>
        <v>0</v>
      </c>
    </row>
    <row r="10" spans="1:31">
      <c r="A10" s="9"/>
      <c r="C10" s="9" t="s">
        <v>200</v>
      </c>
      <c r="D10" s="26">
        <f>SUMIF('Pre- and Production'!$T$4:$T$532, CONCATENATE(LEFT('WBS Summary by Year'!D$6,1),'WBS Summary by Year'!$C10,'WBS Summary by Year'!$B$4),'Pre- and Production'!AC$4:AC$532)</f>
        <v>0</v>
      </c>
      <c r="E10" s="286">
        <f>SUMIF('Pre- and Production'!$T$4:$T$532, CONCATENATE(LEFT('WBS Summary by Year'!E$6,1),'WBS Summary by Year'!$C10,'WBS Summary by Year'!$B$4),'Pre- and Production'!AM$4:AM$532)</f>
        <v>0</v>
      </c>
      <c r="F10" s="26">
        <f>SUMIF('Pre- and Production'!$T$4:$T$532, CONCATENATE(LEFT('WBS Summary by Year'!F$6,1),'WBS Summary by Year'!$C10,'WBS Summary by Year'!$B$4),'Pre- and Production'!AD$4:AD$532)</f>
        <v>0</v>
      </c>
      <c r="G10" s="279">
        <f>SUMIF('Pre- and Production'!$T$4:$T$532, CONCATENATE(LEFT('WBS Summary by Year'!G$6,1),'WBS Summary by Year'!$C10,'WBS Summary by Year'!$B$4),'Pre- and Production'!AN$4:AN$532)</f>
        <v>0</v>
      </c>
      <c r="H10" s="290">
        <f>SUMIF('Pre- and Production'!$T$4:$T$532, CONCATENATE(LEFT('WBS Summary by Year'!H$6,1),'WBS Summary by Year'!$C10,'WBS Summary by Year'!$B$4),'Pre- and Production'!AE$4:AE$532)</f>
        <v>0</v>
      </c>
      <c r="I10" s="286">
        <f>SUMIF('Pre- and Production'!$T$4:$T$532, CONCATENATE(LEFT('WBS Summary by Year'!I$6,1),'WBS Summary by Year'!$C10,'WBS Summary by Year'!$B$4),'Pre- and Production'!AO$4:AO$532)</f>
        <v>0</v>
      </c>
      <c r="J10" s="26">
        <f>SUMIF('Pre- and Production'!$T$4:$T$532, CONCATENATE(LEFT('WBS Summary by Year'!J$6,1),'WBS Summary by Year'!$C10,'WBS Summary by Year'!$B$4),'Pre- and Production'!AF$4:AFI$532)</f>
        <v>0</v>
      </c>
      <c r="K10" s="279">
        <f>SUMIF('Pre- and Production'!$T$4:$T$532, CONCATENATE(LEFT('WBS Summary by Year'!K$6,1),'WBS Summary by Year'!$C10,'WBS Summary by Year'!$B$4),'Pre- and Production'!AP$4:AP$532)</f>
        <v>0</v>
      </c>
      <c r="L10" s="290">
        <f>SUMIF('Pre- and Production'!$T$4:$T$532, CONCATENATE(LEFT('WBS Summary by Year'!L$6,1),'WBS Summary by Year'!$C10,'WBS Summary by Year'!$B$4),'Pre- and Production'!AG$4:AG$532)</f>
        <v>0</v>
      </c>
      <c r="M10" s="286">
        <f>SUMIF('Pre- and Production'!$T$4:$T$532, CONCATENATE(LEFT('WBS Summary by Year'!M$6,1),'WBS Summary by Year'!$C10,'WBS Summary by Year'!$B$4),'Pre- and Production'!AQ$4:AQ$532)</f>
        <v>0</v>
      </c>
      <c r="N10" s="298">
        <f>SUMIF('Pre- and Production'!$T$4:$T$532, CONCATENATE(LEFT('WBS Summary by Year'!N$6,1),'WBS Summary by Year'!$C10,'WBS Summary by Year'!$B$4),'Pre- and Production'!AH$4:AH$532)</f>
        <v>0</v>
      </c>
      <c r="O10" s="299">
        <f>SUMIF('Pre- and Production'!$T$4:$T$532, CONCATENATE(LEFT('WBS Summary by Year'!O$6,1),'WBS Summary by Year'!$C10,'WBS Summary by Year'!$B$4),'Pre- and Production'!AR$4:AR$532)</f>
        <v>0</v>
      </c>
    </row>
    <row r="11" spans="1:31">
      <c r="A11" s="9"/>
      <c r="C11" s="9" t="s">
        <v>202</v>
      </c>
      <c r="D11" s="26">
        <f>SUMIF('Pre- and Production'!$T$4:$T$532, CONCATENATE(LEFT('WBS Summary by Year'!D$6,1),'WBS Summary by Year'!$C11,'WBS Summary by Year'!$B$4),'Pre- and Production'!AC$4:AC$532)</f>
        <v>0</v>
      </c>
      <c r="E11" s="286">
        <f>SUMIF('Pre- and Production'!$T$4:$T$532, CONCATENATE(LEFT('WBS Summary by Year'!E$6,1),'WBS Summary by Year'!$C11,'WBS Summary by Year'!$B$4),'Pre- and Production'!AM$4:AM$532)</f>
        <v>0</v>
      </c>
      <c r="F11" s="26">
        <f>SUMIF('Pre- and Production'!$T$4:$T$532, CONCATENATE(LEFT('WBS Summary by Year'!F$6,1),'WBS Summary by Year'!$C11,'WBS Summary by Year'!$B$4),'Pre- and Production'!AD$4:AD$532)</f>
        <v>0</v>
      </c>
      <c r="G11" s="279">
        <f>SUMIF('Pre- and Production'!$T$4:$T$532, CONCATENATE(LEFT('WBS Summary by Year'!G$6,1),'WBS Summary by Year'!$C11,'WBS Summary by Year'!$B$4),'Pre- and Production'!AN$4:AN$532)</f>
        <v>0</v>
      </c>
      <c r="H11" s="290">
        <f>SUMIF('Pre- and Production'!$T$4:$T$532, CONCATENATE(LEFT('WBS Summary by Year'!H$6,1),'WBS Summary by Year'!$C11,'WBS Summary by Year'!$B$4),'Pre- and Production'!AE$4:AE$532)</f>
        <v>0</v>
      </c>
      <c r="I11" s="286">
        <f>SUMIF('Pre- and Production'!$T$4:$T$532, CONCATENATE(LEFT('WBS Summary by Year'!I$6,1),'WBS Summary by Year'!$C11,'WBS Summary by Year'!$B$4),'Pre- and Production'!AO$4:AO$532)</f>
        <v>0</v>
      </c>
      <c r="J11" s="26">
        <f>SUMIF('Pre- and Production'!$T$4:$T$532, CONCATENATE(LEFT('WBS Summary by Year'!J$6,1),'WBS Summary by Year'!$C11,'WBS Summary by Year'!$B$4),'Pre- and Production'!AF$4:AFI$532)</f>
        <v>0</v>
      </c>
      <c r="K11" s="279">
        <f>SUMIF('Pre- and Production'!$T$4:$T$532, CONCATENATE(LEFT('WBS Summary by Year'!K$6,1),'WBS Summary by Year'!$C11,'WBS Summary by Year'!$B$4),'Pre- and Production'!AP$4:AP$532)</f>
        <v>0</v>
      </c>
      <c r="L11" s="290">
        <f>SUMIF('Pre- and Production'!$T$4:$T$532, CONCATENATE(LEFT('WBS Summary by Year'!L$6,1),'WBS Summary by Year'!$C11,'WBS Summary by Year'!$B$4),'Pre- and Production'!AG$4:AG$532)</f>
        <v>0</v>
      </c>
      <c r="M11" s="286">
        <f>SUMIF('Pre- and Production'!$T$4:$T$532, CONCATENATE(LEFT('WBS Summary by Year'!M$6,1),'WBS Summary by Year'!$C11,'WBS Summary by Year'!$B$4),'Pre- and Production'!AQ$4:AQ$532)</f>
        <v>0</v>
      </c>
      <c r="N11" s="298">
        <f>SUMIF('Pre- and Production'!$T$4:$T$532, CONCATENATE(LEFT('WBS Summary by Year'!N$6,1),'WBS Summary by Year'!$C11,'WBS Summary by Year'!$B$4),'Pre- and Production'!AH$4:AH$532)</f>
        <v>0</v>
      </c>
      <c r="O11" s="299">
        <f>SUMIF('Pre- and Production'!$T$4:$T$532, CONCATENATE(LEFT('WBS Summary by Year'!O$6,1),'WBS Summary by Year'!$C11,'WBS Summary by Year'!$B$4),'Pre- and Production'!AR$4:AR$532)</f>
        <v>0</v>
      </c>
    </row>
    <row r="12" spans="1:31">
      <c r="A12" s="9"/>
      <c r="C12" s="9" t="s">
        <v>204</v>
      </c>
      <c r="D12" s="26">
        <f>SUMIF('Pre- and Production'!$T$4:$T$532, CONCATENATE(LEFT('WBS Summary by Year'!D$6,1),'WBS Summary by Year'!$C12,'WBS Summary by Year'!$B$4),'Pre- and Production'!AC$4:AC$532)</f>
        <v>0</v>
      </c>
      <c r="E12" s="286">
        <f>SUMIF('Pre- and Production'!$T$4:$T$532, CONCATENATE(LEFT('WBS Summary by Year'!E$6,1),'WBS Summary by Year'!$C12,'WBS Summary by Year'!$B$4),'Pre- and Production'!AM$4:AM$532)</f>
        <v>0</v>
      </c>
      <c r="F12" s="26">
        <f>SUMIF('Pre- and Production'!$T$4:$T$532, CONCATENATE(LEFT('WBS Summary by Year'!F$6,1),'WBS Summary by Year'!$C12,'WBS Summary by Year'!$B$4),'Pre- and Production'!AD$4:AD$532)</f>
        <v>0</v>
      </c>
      <c r="G12" s="279">
        <f>SUMIF('Pre- and Production'!$T$4:$T$532, CONCATENATE(LEFT('WBS Summary by Year'!G$6,1),'WBS Summary by Year'!$C12,'WBS Summary by Year'!$B$4),'Pre- and Production'!AN$4:AN$532)</f>
        <v>0</v>
      </c>
      <c r="H12" s="290">
        <f>SUMIF('Pre- and Production'!$T$4:$T$532, CONCATENATE(LEFT('WBS Summary by Year'!H$6,1),'WBS Summary by Year'!$C12,'WBS Summary by Year'!$B$4),'Pre- and Production'!AE$4:AE$532)</f>
        <v>0</v>
      </c>
      <c r="I12" s="286">
        <f>SUMIF('Pre- and Production'!$T$4:$T$532, CONCATENATE(LEFT('WBS Summary by Year'!I$6,1),'WBS Summary by Year'!$C12,'WBS Summary by Year'!$B$4),'Pre- and Production'!AO$4:AO$532)</f>
        <v>0</v>
      </c>
      <c r="J12" s="26">
        <f>SUMIF('Pre- and Production'!$T$4:$T$532, CONCATENATE(LEFT('WBS Summary by Year'!J$6,1),'WBS Summary by Year'!$C12,'WBS Summary by Year'!$B$4),'Pre- and Production'!AF$4:AFI$532)</f>
        <v>0</v>
      </c>
      <c r="K12" s="279">
        <f>SUMIF('Pre- and Production'!$T$4:$T$532, CONCATENATE(LEFT('WBS Summary by Year'!K$6,1),'WBS Summary by Year'!$C12,'WBS Summary by Year'!$B$4),'Pre- and Production'!AP$4:AP$532)</f>
        <v>0</v>
      </c>
      <c r="L12" s="290">
        <f>SUMIF('Pre- and Production'!$T$4:$T$532, CONCATENATE(LEFT('WBS Summary by Year'!L$6,1),'WBS Summary by Year'!$C12,'WBS Summary by Year'!$B$4),'Pre- and Production'!AG$4:AG$532)</f>
        <v>0</v>
      </c>
      <c r="M12" s="286">
        <f>SUMIF('Pre- and Production'!$T$4:$T$532, CONCATENATE(LEFT('WBS Summary by Year'!M$6,1),'WBS Summary by Year'!$C12,'WBS Summary by Year'!$B$4),'Pre- and Production'!AQ$4:AQ$532)</f>
        <v>0</v>
      </c>
      <c r="N12" s="298">
        <f>SUMIF('Pre- and Production'!$T$4:$T$532, CONCATENATE(LEFT('WBS Summary by Year'!N$6,1),'WBS Summary by Year'!$C12,'WBS Summary by Year'!$B$4),'Pre- and Production'!AH$4:AH$532)</f>
        <v>0</v>
      </c>
      <c r="O12" s="299">
        <f>SUMIF('Pre- and Production'!$T$4:$T$532, CONCATENATE(LEFT('WBS Summary by Year'!O$6,1),'WBS Summary by Year'!$C12,'WBS Summary by Year'!$B$4),'Pre- and Production'!AR$4:AR$532)</f>
        <v>0</v>
      </c>
    </row>
    <row r="13" spans="1:31">
      <c r="A13" s="9"/>
      <c r="C13" s="9" t="s">
        <v>206</v>
      </c>
      <c r="D13" s="26">
        <f>SUMIF('Pre- and Production'!$T$4:$T$532, CONCATENATE(LEFT('WBS Summary by Year'!D$6,1),'WBS Summary by Year'!$C13,'WBS Summary by Year'!$B$4),'Pre- and Production'!AC$4:AC$532)</f>
        <v>0</v>
      </c>
      <c r="E13" s="286">
        <f>SUMIF('Pre- and Production'!$T$4:$T$532, CONCATENATE(LEFT('WBS Summary by Year'!E$6,1),'WBS Summary by Year'!$C13,'WBS Summary by Year'!$B$4),'Pre- and Production'!AM$4:AM$532)</f>
        <v>0</v>
      </c>
      <c r="F13" s="26">
        <f>SUMIF('Pre- and Production'!$T$4:$T$532, CONCATENATE(LEFT('WBS Summary by Year'!F$6,1),'WBS Summary by Year'!$C13,'WBS Summary by Year'!$B$4),'Pre- and Production'!AD$4:AD$532)</f>
        <v>0</v>
      </c>
      <c r="G13" s="279">
        <f>SUMIF('Pre- and Production'!$T$4:$T$532, CONCATENATE(LEFT('WBS Summary by Year'!G$6,1),'WBS Summary by Year'!$C13,'WBS Summary by Year'!$B$4),'Pre- and Production'!AN$4:AN$532)</f>
        <v>0</v>
      </c>
      <c r="H13" s="290">
        <f>SUMIF('Pre- and Production'!$T$4:$T$532, CONCATENATE(LEFT('WBS Summary by Year'!H$6,1),'WBS Summary by Year'!$C13,'WBS Summary by Year'!$B$4),'Pre- and Production'!AE$4:AE$532)</f>
        <v>0</v>
      </c>
      <c r="I13" s="286">
        <f>SUMIF('Pre- and Production'!$T$4:$T$532, CONCATENATE(LEFT('WBS Summary by Year'!I$6,1),'WBS Summary by Year'!$C13,'WBS Summary by Year'!$B$4),'Pre- and Production'!AO$4:AO$532)</f>
        <v>0</v>
      </c>
      <c r="J13" s="26">
        <f>SUMIF('Pre- and Production'!$T$4:$T$532, CONCATENATE(LEFT('WBS Summary by Year'!J$6,1),'WBS Summary by Year'!$C13,'WBS Summary by Year'!$B$4),'Pre- and Production'!AF$4:AFI$532)</f>
        <v>0</v>
      </c>
      <c r="K13" s="279">
        <f>SUMIF('Pre- and Production'!$T$4:$T$532, CONCATENATE(LEFT('WBS Summary by Year'!K$6,1),'WBS Summary by Year'!$C13,'WBS Summary by Year'!$B$4),'Pre- and Production'!AP$4:AP$532)</f>
        <v>0</v>
      </c>
      <c r="L13" s="290">
        <f>SUMIF('Pre- and Production'!$T$4:$T$532, CONCATENATE(LEFT('WBS Summary by Year'!L$6,1),'WBS Summary by Year'!$C13,'WBS Summary by Year'!$B$4),'Pre- and Production'!AG$4:AG$532)</f>
        <v>0</v>
      </c>
      <c r="M13" s="286">
        <f>SUMIF('Pre- and Production'!$T$4:$T$532, CONCATENATE(LEFT('WBS Summary by Year'!M$6,1),'WBS Summary by Year'!$C13,'WBS Summary by Year'!$B$4),'Pre- and Production'!AQ$4:AQ$532)</f>
        <v>0</v>
      </c>
      <c r="N13" s="298">
        <f>SUMIF('Pre- and Production'!$T$4:$T$532, CONCATENATE(LEFT('WBS Summary by Year'!N$6,1),'WBS Summary by Year'!$C13,'WBS Summary by Year'!$B$4),'Pre- and Production'!AH$4:AH$532)</f>
        <v>0</v>
      </c>
      <c r="O13" s="299">
        <f>SUMIF('Pre- and Production'!$T$4:$T$532, CONCATENATE(LEFT('WBS Summary by Year'!O$6,1),'WBS Summary by Year'!$C13,'WBS Summary by Year'!$B$4),'Pre- and Production'!AR$4:AR$532)</f>
        <v>0</v>
      </c>
    </row>
    <row r="14" spans="1:31">
      <c r="A14" s="9"/>
      <c r="C14" s="9" t="s">
        <v>208</v>
      </c>
      <c r="D14" s="26">
        <f>SUMIF('Pre- and Production'!$T$4:$T$532, CONCATENATE(LEFT('WBS Summary by Year'!D$6,1),'WBS Summary by Year'!$C14,'WBS Summary by Year'!$B$4),'Pre- and Production'!AC$4:AC$532)</f>
        <v>0</v>
      </c>
      <c r="E14" s="286">
        <f>SUMIF('Pre- and Production'!$T$4:$T$532, CONCATENATE(LEFT('WBS Summary by Year'!E$6,1),'WBS Summary by Year'!$C14,'WBS Summary by Year'!$B$4),'Pre- and Production'!AM$4:AM$532)</f>
        <v>0</v>
      </c>
      <c r="F14" s="26">
        <f>SUMIF('Pre- and Production'!$T$4:$T$532, CONCATENATE(LEFT('WBS Summary by Year'!F$6,1),'WBS Summary by Year'!$C14,'WBS Summary by Year'!$B$4),'Pre- and Production'!AD$4:AD$532)</f>
        <v>0</v>
      </c>
      <c r="G14" s="279">
        <f>SUMIF('Pre- and Production'!$T$4:$T$532, CONCATENATE(LEFT('WBS Summary by Year'!G$6,1),'WBS Summary by Year'!$C14,'WBS Summary by Year'!$B$4),'Pre- and Production'!AN$4:AN$532)</f>
        <v>0</v>
      </c>
      <c r="H14" s="290">
        <f>SUMIF('Pre- and Production'!$T$4:$T$532, CONCATENATE(LEFT('WBS Summary by Year'!H$6,1),'WBS Summary by Year'!$C14,'WBS Summary by Year'!$B$4),'Pre- and Production'!AE$4:AE$532)</f>
        <v>0</v>
      </c>
      <c r="I14" s="286">
        <f>SUMIF('Pre- and Production'!$T$4:$T$532, CONCATENATE(LEFT('WBS Summary by Year'!I$6,1),'WBS Summary by Year'!$C14,'WBS Summary by Year'!$B$4),'Pre- and Production'!AO$4:AO$532)</f>
        <v>0</v>
      </c>
      <c r="J14" s="26">
        <f>SUMIF('Pre- and Production'!$T$4:$T$532, CONCATENATE(LEFT('WBS Summary by Year'!J$6,1),'WBS Summary by Year'!$C14,'WBS Summary by Year'!$B$4),'Pre- and Production'!AF$4:AFI$532)</f>
        <v>0</v>
      </c>
      <c r="K14" s="279">
        <f>SUMIF('Pre- and Production'!$T$4:$T$532, CONCATENATE(LEFT('WBS Summary by Year'!K$6,1),'WBS Summary by Year'!$C14,'WBS Summary by Year'!$B$4),'Pre- and Production'!AP$4:AP$532)</f>
        <v>0</v>
      </c>
      <c r="L14" s="290">
        <f>SUMIF('Pre- and Production'!$T$4:$T$532, CONCATENATE(LEFT('WBS Summary by Year'!L$6,1),'WBS Summary by Year'!$C14,'WBS Summary by Year'!$B$4),'Pre- and Production'!AG$4:AG$532)</f>
        <v>0</v>
      </c>
      <c r="M14" s="286">
        <f>SUMIF('Pre- and Production'!$T$4:$T$532, CONCATENATE(LEFT('WBS Summary by Year'!M$6,1),'WBS Summary by Year'!$C14,'WBS Summary by Year'!$B$4),'Pre- and Production'!AQ$4:AQ$532)</f>
        <v>0</v>
      </c>
      <c r="N14" s="298">
        <f>SUMIF('Pre- and Production'!$T$4:$T$532, CONCATENATE(LEFT('WBS Summary by Year'!N$6,1),'WBS Summary by Year'!$C14,'WBS Summary by Year'!$B$4),'Pre- and Production'!AH$4:AH$532)</f>
        <v>0</v>
      </c>
      <c r="O14" s="299">
        <f>SUMIF('Pre- and Production'!$T$4:$T$532, CONCATENATE(LEFT('WBS Summary by Year'!O$6,1),'WBS Summary by Year'!$C14,'WBS Summary by Year'!$B$4),'Pre- and Production'!AR$4:AR$532)</f>
        <v>0</v>
      </c>
    </row>
    <row r="15" spans="1:31">
      <c r="A15" s="9"/>
      <c r="C15" s="9" t="s">
        <v>214</v>
      </c>
      <c r="D15" s="26">
        <f>SUMIF('Pre- and Production'!$T$4:$T$532, CONCATENATE(LEFT('WBS Summary by Year'!D$6,1),'WBS Summary by Year'!$C15,'WBS Summary by Year'!$B$4),'Pre- and Production'!AC$4:AC$532)</f>
        <v>0</v>
      </c>
      <c r="E15" s="286">
        <f>SUMIF('Pre- and Production'!$T$4:$T$532, CONCATENATE(LEFT('WBS Summary by Year'!E$6,1),'WBS Summary by Year'!$C15,'WBS Summary by Year'!$B$4),'Pre- and Production'!AM$4:AM$532)</f>
        <v>0</v>
      </c>
      <c r="F15" s="26">
        <f>SUMIF('Pre- and Production'!$T$4:$T$532, CONCATENATE(LEFT('WBS Summary by Year'!F$6,1),'WBS Summary by Year'!$C15,'WBS Summary by Year'!$B$4),'Pre- and Production'!AD$4:AD$532)</f>
        <v>0</v>
      </c>
      <c r="G15" s="279">
        <f>SUMIF('Pre- and Production'!$T$4:$T$532, CONCATENATE(LEFT('WBS Summary by Year'!G$6,1),'WBS Summary by Year'!$C15,'WBS Summary by Year'!$B$4),'Pre- and Production'!AN$4:AN$532)</f>
        <v>0</v>
      </c>
      <c r="H15" s="290">
        <f>SUMIF('Pre- and Production'!$T$4:$T$532, CONCATENATE(LEFT('WBS Summary by Year'!H$6,1),'WBS Summary by Year'!$C15,'WBS Summary by Year'!$B$4),'Pre- and Production'!AE$4:AE$532)</f>
        <v>0</v>
      </c>
      <c r="I15" s="286">
        <f>SUMIF('Pre- and Production'!$T$4:$T$532, CONCATENATE(LEFT('WBS Summary by Year'!I$6,1),'WBS Summary by Year'!$C15,'WBS Summary by Year'!$B$4),'Pre- and Production'!AO$4:AO$532)</f>
        <v>0</v>
      </c>
      <c r="J15" s="26">
        <f>SUMIF('Pre- and Production'!$T$4:$T$532, CONCATENATE(LEFT('WBS Summary by Year'!J$6,1),'WBS Summary by Year'!$C15,'WBS Summary by Year'!$B$4),'Pre- and Production'!AF$4:AFI$532)</f>
        <v>0</v>
      </c>
      <c r="K15" s="279">
        <f>SUMIF('Pre- and Production'!$T$4:$T$532, CONCATENATE(LEFT('WBS Summary by Year'!K$6,1),'WBS Summary by Year'!$C15,'WBS Summary by Year'!$B$4),'Pre- and Production'!AP$4:AP$532)</f>
        <v>0</v>
      </c>
      <c r="L15" s="290">
        <f>SUMIF('Pre- and Production'!$T$4:$T$532, CONCATENATE(LEFT('WBS Summary by Year'!L$6,1),'WBS Summary by Year'!$C15,'WBS Summary by Year'!$B$4),'Pre- and Production'!AG$4:AG$532)</f>
        <v>0</v>
      </c>
      <c r="M15" s="286">
        <f>SUMIF('Pre- and Production'!$T$4:$T$532, CONCATENATE(LEFT('WBS Summary by Year'!M$6,1),'WBS Summary by Year'!$C15,'WBS Summary by Year'!$B$4),'Pre- and Production'!AQ$4:AQ$532)</f>
        <v>0</v>
      </c>
      <c r="N15" s="298">
        <f>SUMIF('Pre- and Production'!$T$4:$T$532, CONCATENATE(LEFT('WBS Summary by Year'!N$6,1),'WBS Summary by Year'!$C15,'WBS Summary by Year'!$B$4),'Pre- and Production'!AH$4:AH$532)</f>
        <v>0</v>
      </c>
      <c r="O15" s="299">
        <f>SUMIF('Pre- and Production'!$T$4:$T$532, CONCATENATE(LEFT('WBS Summary by Year'!O$6,1),'WBS Summary by Year'!$C15,'WBS Summary by Year'!$B$4),'Pre- and Production'!AR$4:AR$532)</f>
        <v>0</v>
      </c>
    </row>
    <row r="16" spans="1:31">
      <c r="A16" s="9"/>
      <c r="C16" s="9" t="s">
        <v>215</v>
      </c>
      <c r="D16" s="26">
        <f>SUMIF('Pre- and Production'!$T$4:$T$532, CONCATENATE(LEFT('WBS Summary by Year'!D$6,1),'WBS Summary by Year'!$C16,'WBS Summary by Year'!$B$4),'Pre- and Production'!AC$4:AC$532)</f>
        <v>0</v>
      </c>
      <c r="E16" s="286">
        <f>SUMIF('Pre- and Production'!$T$4:$T$532, CONCATENATE(LEFT('WBS Summary by Year'!E$6,1),'WBS Summary by Year'!$C16,'WBS Summary by Year'!$B$4),'Pre- and Production'!AM$4:AM$532)</f>
        <v>0</v>
      </c>
      <c r="F16" s="26">
        <f>SUMIF('Pre- and Production'!$T$4:$T$532, CONCATENATE(LEFT('WBS Summary by Year'!F$6,1),'WBS Summary by Year'!$C16,'WBS Summary by Year'!$B$4),'Pre- and Production'!AD$4:AD$532)</f>
        <v>0</v>
      </c>
      <c r="G16" s="279">
        <f>SUMIF('Pre- and Production'!$T$4:$T$532, CONCATENATE(LEFT('WBS Summary by Year'!G$6,1),'WBS Summary by Year'!$C16,'WBS Summary by Year'!$B$4),'Pre- and Production'!AN$4:AN$532)</f>
        <v>0</v>
      </c>
      <c r="H16" s="290">
        <f>SUMIF('Pre- and Production'!$T$4:$T$532, CONCATENATE(LEFT('WBS Summary by Year'!H$6,1),'WBS Summary by Year'!$C16,'WBS Summary by Year'!$B$4),'Pre- and Production'!AE$4:AE$532)</f>
        <v>0</v>
      </c>
      <c r="I16" s="286">
        <f>SUMIF('Pre- and Production'!$T$4:$T$532, CONCATENATE(LEFT('WBS Summary by Year'!I$6,1),'WBS Summary by Year'!$C16,'WBS Summary by Year'!$B$4),'Pre- and Production'!AO$4:AO$532)</f>
        <v>0</v>
      </c>
      <c r="J16" s="26">
        <f>SUMIF('Pre- and Production'!$T$4:$T$532, CONCATENATE(LEFT('WBS Summary by Year'!J$6,1),'WBS Summary by Year'!$C16,'WBS Summary by Year'!$B$4),'Pre- and Production'!AF$4:AFI$532)</f>
        <v>0</v>
      </c>
      <c r="K16" s="279">
        <f>SUMIF('Pre- and Production'!$T$4:$T$532, CONCATENATE(LEFT('WBS Summary by Year'!K$6,1),'WBS Summary by Year'!$C16,'WBS Summary by Year'!$B$4),'Pre- and Production'!AP$4:AP$532)</f>
        <v>0</v>
      </c>
      <c r="L16" s="290">
        <f>SUMIF('Pre- and Production'!$T$4:$T$532, CONCATENATE(LEFT('WBS Summary by Year'!L$6,1),'WBS Summary by Year'!$C16,'WBS Summary by Year'!$B$4),'Pre- and Production'!AG$4:AG$532)</f>
        <v>0</v>
      </c>
      <c r="M16" s="286">
        <f>SUMIF('Pre- and Production'!$T$4:$T$532, CONCATENATE(LEFT('WBS Summary by Year'!M$6,1),'WBS Summary by Year'!$C16,'WBS Summary by Year'!$B$4),'Pre- and Production'!AQ$4:AQ$532)</f>
        <v>0</v>
      </c>
      <c r="N16" s="298">
        <f>SUMIF('Pre- and Production'!$T$4:$T$532, CONCATENATE(LEFT('WBS Summary by Year'!N$6,1),'WBS Summary by Year'!$C16,'WBS Summary by Year'!$B$4),'Pre- and Production'!AH$4:AH$532)</f>
        <v>0</v>
      </c>
      <c r="O16" s="299">
        <f>SUMIF('Pre- and Production'!$T$4:$T$532, CONCATENATE(LEFT('WBS Summary by Year'!O$6,1),'WBS Summary by Year'!$C16,'WBS Summary by Year'!$B$4),'Pre- and Production'!AR$4:AR$532)</f>
        <v>0</v>
      </c>
    </row>
    <row r="17" spans="1:15">
      <c r="A17" s="9"/>
      <c r="C17" s="9" t="s">
        <v>216</v>
      </c>
      <c r="D17" s="26">
        <f>SUMIF('Pre- and Production'!$T$4:$T$532, CONCATENATE(LEFT('WBS Summary by Year'!D$6,1),'WBS Summary by Year'!$C17,'WBS Summary by Year'!$B$4),'Pre- and Production'!AC$4:AC$532)</f>
        <v>0</v>
      </c>
      <c r="E17" s="286">
        <f>SUMIF('Pre- and Production'!$T$4:$T$532, CONCATENATE(LEFT('WBS Summary by Year'!E$6,1),'WBS Summary by Year'!$C17,'WBS Summary by Year'!$B$4),'Pre- and Production'!AM$4:AM$532)</f>
        <v>0</v>
      </c>
      <c r="F17" s="26">
        <f>SUMIF('Pre- and Production'!$T$4:$T$532, CONCATENATE(LEFT('WBS Summary by Year'!F$6,1),'WBS Summary by Year'!$C17,'WBS Summary by Year'!$B$4),'Pre- and Production'!AD$4:AD$532)</f>
        <v>0</v>
      </c>
      <c r="G17" s="279">
        <f>SUMIF('Pre- and Production'!$T$4:$T$532, CONCATENATE(LEFT('WBS Summary by Year'!G$6,1),'WBS Summary by Year'!$C17,'WBS Summary by Year'!$B$4),'Pre- and Production'!AN$4:AN$532)</f>
        <v>0</v>
      </c>
      <c r="H17" s="290">
        <f>SUMIF('Pre- and Production'!$T$4:$T$532, CONCATENATE(LEFT('WBS Summary by Year'!H$6,1),'WBS Summary by Year'!$C17,'WBS Summary by Year'!$B$4),'Pre- and Production'!AE$4:AE$532)</f>
        <v>0</v>
      </c>
      <c r="I17" s="286">
        <f>SUMIF('Pre- and Production'!$T$4:$T$532, CONCATENATE(LEFT('WBS Summary by Year'!I$6,1),'WBS Summary by Year'!$C17,'WBS Summary by Year'!$B$4),'Pre- and Production'!AO$4:AO$532)</f>
        <v>0</v>
      </c>
      <c r="J17" s="26">
        <f>SUMIF('Pre- and Production'!$T$4:$T$532, CONCATENATE(LEFT('WBS Summary by Year'!J$6,1),'WBS Summary by Year'!$C17,'WBS Summary by Year'!$B$4),'Pre- and Production'!AF$4:AFI$532)</f>
        <v>0</v>
      </c>
      <c r="K17" s="279">
        <f>SUMIF('Pre- and Production'!$T$4:$T$532, CONCATENATE(LEFT('WBS Summary by Year'!K$6,1),'WBS Summary by Year'!$C17,'WBS Summary by Year'!$B$4),'Pre- and Production'!AP$4:AP$532)</f>
        <v>0</v>
      </c>
      <c r="L17" s="290">
        <f>SUMIF('Pre- and Production'!$T$4:$T$532, CONCATENATE(LEFT('WBS Summary by Year'!L$6,1),'WBS Summary by Year'!$C17,'WBS Summary by Year'!$B$4),'Pre- and Production'!AG$4:AG$532)</f>
        <v>0</v>
      </c>
      <c r="M17" s="286">
        <f>SUMIF('Pre- and Production'!$T$4:$T$532, CONCATENATE(LEFT('WBS Summary by Year'!M$6,1),'WBS Summary by Year'!$C17,'WBS Summary by Year'!$B$4),'Pre- and Production'!AQ$4:AQ$532)</f>
        <v>0</v>
      </c>
      <c r="N17" s="298">
        <f>SUMIF('Pre- and Production'!$T$4:$T$532, CONCATENATE(LEFT('WBS Summary by Year'!N$6,1),'WBS Summary by Year'!$C17,'WBS Summary by Year'!$B$4),'Pre- and Production'!AH$4:AH$532)</f>
        <v>0</v>
      </c>
      <c r="O17" s="299">
        <f>SUMIF('Pre- and Production'!$T$4:$T$532, CONCATENATE(LEFT('WBS Summary by Year'!O$6,1),'WBS Summary by Year'!$C17,'WBS Summary by Year'!$B$4),'Pre- and Production'!AR$4:AR$532)</f>
        <v>0</v>
      </c>
    </row>
    <row r="18" spans="1:15">
      <c r="A18" s="9"/>
      <c r="C18" s="9" t="s">
        <v>217</v>
      </c>
      <c r="D18" s="26">
        <f>SUMIF('Pre- and Production'!$T$4:$T$532, CONCATENATE(LEFT('WBS Summary by Year'!D$6,1),'WBS Summary by Year'!$C18,'WBS Summary by Year'!$B$4),'Pre- and Production'!AC$4:AC$532)</f>
        <v>0</v>
      </c>
      <c r="E18" s="286">
        <f>SUMIF('Pre- and Production'!$T$4:$T$532, CONCATENATE(LEFT('WBS Summary by Year'!E$6,1),'WBS Summary by Year'!$C18,'WBS Summary by Year'!$B$4),'Pre- and Production'!AM$4:AM$532)</f>
        <v>0</v>
      </c>
      <c r="F18" s="26">
        <f>SUMIF('Pre- and Production'!$T$4:$T$532, CONCATENATE(LEFT('WBS Summary by Year'!F$6,1),'WBS Summary by Year'!$C18,'WBS Summary by Year'!$B$4),'Pre- and Production'!AD$4:AD$532)</f>
        <v>0</v>
      </c>
      <c r="G18" s="279">
        <f>SUMIF('Pre- and Production'!$T$4:$T$532, CONCATENATE(LEFT('WBS Summary by Year'!G$6,1),'WBS Summary by Year'!$C18,'WBS Summary by Year'!$B$4),'Pre- and Production'!AN$4:AN$532)</f>
        <v>0</v>
      </c>
      <c r="H18" s="290">
        <f>SUMIF('Pre- and Production'!$T$4:$T$532, CONCATENATE(LEFT('WBS Summary by Year'!H$6,1),'WBS Summary by Year'!$C18,'WBS Summary by Year'!$B$4),'Pre- and Production'!AE$4:AE$532)</f>
        <v>0</v>
      </c>
      <c r="I18" s="286">
        <f>SUMIF('Pre- and Production'!$T$4:$T$532, CONCATENATE(LEFT('WBS Summary by Year'!I$6,1),'WBS Summary by Year'!$C18,'WBS Summary by Year'!$B$4),'Pre- and Production'!AO$4:AO$532)</f>
        <v>0</v>
      </c>
      <c r="J18" s="26">
        <f>SUMIF('Pre- and Production'!$T$4:$T$532, CONCATENATE(LEFT('WBS Summary by Year'!J$6,1),'WBS Summary by Year'!$C18,'WBS Summary by Year'!$B$4),'Pre- and Production'!AF$4:AFI$532)</f>
        <v>0</v>
      </c>
      <c r="K18" s="279">
        <f>SUMIF('Pre- and Production'!$T$4:$T$532, CONCATENATE(LEFT('WBS Summary by Year'!K$6,1),'WBS Summary by Year'!$C18,'WBS Summary by Year'!$B$4),'Pre- and Production'!AP$4:AP$532)</f>
        <v>0</v>
      </c>
      <c r="L18" s="290">
        <f>SUMIF('Pre- and Production'!$T$4:$T$532, CONCATENATE(LEFT('WBS Summary by Year'!L$6,1),'WBS Summary by Year'!$C18,'WBS Summary by Year'!$B$4),'Pre- and Production'!AG$4:AG$532)</f>
        <v>0</v>
      </c>
      <c r="M18" s="286">
        <f>SUMIF('Pre- and Production'!$T$4:$T$532, CONCATENATE(LEFT('WBS Summary by Year'!M$6,1),'WBS Summary by Year'!$C18,'WBS Summary by Year'!$B$4),'Pre- and Production'!AQ$4:AQ$532)</f>
        <v>0</v>
      </c>
      <c r="N18" s="298">
        <f>SUMIF('Pre- and Production'!$T$4:$T$532, CONCATENATE(LEFT('WBS Summary by Year'!N$6,1),'WBS Summary by Year'!$C18,'WBS Summary by Year'!$B$4),'Pre- and Production'!AH$4:AH$532)</f>
        <v>0</v>
      </c>
      <c r="O18" s="299">
        <f>SUMIF('Pre- and Production'!$T$4:$T$532, CONCATENATE(LEFT('WBS Summary by Year'!O$6,1),'WBS Summary by Year'!$C18,'WBS Summary by Year'!$B$4),'Pre- and Production'!AR$4:AR$532)</f>
        <v>0</v>
      </c>
    </row>
    <row r="19" spans="1:15">
      <c r="A19" s="9"/>
      <c r="C19" s="9" t="s">
        <v>218</v>
      </c>
      <c r="D19" s="26">
        <f>SUMIF('Pre- and Production'!$T$4:$T$532, CONCATENATE(LEFT('WBS Summary by Year'!D$6,1),'WBS Summary by Year'!$C19,'WBS Summary by Year'!$B$4),'Pre- and Production'!AC$4:AC$532)</f>
        <v>0</v>
      </c>
      <c r="E19" s="286">
        <f>SUMIF('Pre- and Production'!$T$4:$T$532, CONCATENATE(LEFT('WBS Summary by Year'!E$6,1),'WBS Summary by Year'!$C19,'WBS Summary by Year'!$B$4),'Pre- and Production'!AM$4:AM$532)</f>
        <v>0</v>
      </c>
      <c r="F19" s="26">
        <f>SUMIF('Pre- and Production'!$T$4:$T$532, CONCATENATE(LEFT('WBS Summary by Year'!F$6,1),'WBS Summary by Year'!$C19,'WBS Summary by Year'!$B$4),'Pre- and Production'!AD$4:AD$532)</f>
        <v>0</v>
      </c>
      <c r="G19" s="279">
        <f>SUMIF('Pre- and Production'!$T$4:$T$532, CONCATENATE(LEFT('WBS Summary by Year'!G$6,1),'WBS Summary by Year'!$C19,'WBS Summary by Year'!$B$4),'Pre- and Production'!AN$4:AN$532)</f>
        <v>0</v>
      </c>
      <c r="H19" s="290">
        <f>SUMIF('Pre- and Production'!$T$4:$T$532, CONCATENATE(LEFT('WBS Summary by Year'!H$6,1),'WBS Summary by Year'!$C19,'WBS Summary by Year'!$B$4),'Pre- and Production'!AE$4:AE$532)</f>
        <v>0</v>
      </c>
      <c r="I19" s="286">
        <f>SUMIF('Pre- and Production'!$T$4:$T$532, CONCATENATE(LEFT('WBS Summary by Year'!I$6,1),'WBS Summary by Year'!$C19,'WBS Summary by Year'!$B$4),'Pre- and Production'!AO$4:AO$532)</f>
        <v>0</v>
      </c>
      <c r="J19" s="26">
        <f>SUMIF('Pre- and Production'!$T$4:$T$532, CONCATENATE(LEFT('WBS Summary by Year'!J$6,1),'WBS Summary by Year'!$C19,'WBS Summary by Year'!$B$4),'Pre- and Production'!AF$4:AFI$532)</f>
        <v>0</v>
      </c>
      <c r="K19" s="279">
        <f>SUMIF('Pre- and Production'!$T$4:$T$532, CONCATENATE(LEFT('WBS Summary by Year'!K$6,1),'WBS Summary by Year'!$C19,'WBS Summary by Year'!$B$4),'Pre- and Production'!AP$4:AP$532)</f>
        <v>0</v>
      </c>
      <c r="L19" s="290">
        <f>SUMIF('Pre- and Production'!$T$4:$T$532, CONCATENATE(LEFT('WBS Summary by Year'!L$6,1),'WBS Summary by Year'!$C19,'WBS Summary by Year'!$B$4),'Pre- and Production'!AG$4:AG$532)</f>
        <v>0</v>
      </c>
      <c r="M19" s="286">
        <f>SUMIF('Pre- and Production'!$T$4:$T$532, CONCATENATE(LEFT('WBS Summary by Year'!M$6,1),'WBS Summary by Year'!$C19,'WBS Summary by Year'!$B$4),'Pre- and Production'!AQ$4:AQ$532)</f>
        <v>0</v>
      </c>
      <c r="N19" s="298">
        <f>SUMIF('Pre- and Production'!$T$4:$T$532, CONCATENATE(LEFT('WBS Summary by Year'!N$6,1),'WBS Summary by Year'!$C19,'WBS Summary by Year'!$B$4),'Pre- and Production'!AH$4:AH$532)</f>
        <v>0</v>
      </c>
      <c r="O19" s="299">
        <f>SUMIF('Pre- and Production'!$T$4:$T$532, CONCATENATE(LEFT('WBS Summary by Year'!O$6,1),'WBS Summary by Year'!$C19,'WBS Summary by Year'!$B$4),'Pre- and Production'!AR$4:AR$532)</f>
        <v>0</v>
      </c>
    </row>
    <row r="20" spans="1:15">
      <c r="A20" s="9"/>
      <c r="C20" s="9" t="s">
        <v>219</v>
      </c>
      <c r="D20" s="26">
        <f>SUMIF('Pre- and Production'!$T$4:$T$532, CONCATENATE(LEFT('WBS Summary by Year'!D$6,1),'WBS Summary by Year'!$C20,'WBS Summary by Year'!$B$4),'Pre- and Production'!AC$4:AC$532)</f>
        <v>0</v>
      </c>
      <c r="E20" s="286">
        <f>SUMIF('Pre- and Production'!$T$4:$T$532, CONCATENATE(LEFT('WBS Summary by Year'!E$6,1),'WBS Summary by Year'!$C20,'WBS Summary by Year'!$B$4),'Pre- and Production'!AM$4:AM$532)</f>
        <v>0</v>
      </c>
      <c r="F20" s="26">
        <f>SUMIF('Pre- and Production'!$T$4:$T$532, CONCATENATE(LEFT('WBS Summary by Year'!F$6,1),'WBS Summary by Year'!$C20,'WBS Summary by Year'!$B$4),'Pre- and Production'!AD$4:AD$532)</f>
        <v>0</v>
      </c>
      <c r="G20" s="279">
        <f>SUMIF('Pre- and Production'!$T$4:$T$532, CONCATENATE(LEFT('WBS Summary by Year'!G$6,1),'WBS Summary by Year'!$C20,'WBS Summary by Year'!$B$4),'Pre- and Production'!AN$4:AN$532)</f>
        <v>0</v>
      </c>
      <c r="H20" s="290">
        <f>SUMIF('Pre- and Production'!$T$4:$T$532, CONCATENATE(LEFT('WBS Summary by Year'!H$6,1),'WBS Summary by Year'!$C20,'WBS Summary by Year'!$B$4),'Pre- and Production'!AE$4:AE$532)</f>
        <v>0</v>
      </c>
      <c r="I20" s="286">
        <f>SUMIF('Pre- and Production'!$T$4:$T$532, CONCATENATE(LEFT('WBS Summary by Year'!I$6,1),'WBS Summary by Year'!$C20,'WBS Summary by Year'!$B$4),'Pre- and Production'!AO$4:AO$532)</f>
        <v>0</v>
      </c>
      <c r="J20" s="26">
        <f>SUMIF('Pre- and Production'!$T$4:$T$532, CONCATENATE(LEFT('WBS Summary by Year'!J$6,1),'WBS Summary by Year'!$C20,'WBS Summary by Year'!$B$4),'Pre- and Production'!AF$4:AFI$532)</f>
        <v>0</v>
      </c>
      <c r="K20" s="279">
        <f>SUMIF('Pre- and Production'!$T$4:$T$532, CONCATENATE(LEFT('WBS Summary by Year'!K$6,1),'WBS Summary by Year'!$C20,'WBS Summary by Year'!$B$4),'Pre- and Production'!AP$4:AP$532)</f>
        <v>0</v>
      </c>
      <c r="L20" s="290">
        <f>SUMIF('Pre- and Production'!$T$4:$T$532, CONCATENATE(LEFT('WBS Summary by Year'!L$6,1),'WBS Summary by Year'!$C20,'WBS Summary by Year'!$B$4),'Pre- and Production'!AG$4:AG$532)</f>
        <v>0</v>
      </c>
      <c r="M20" s="286">
        <f>SUMIF('Pre- and Production'!$T$4:$T$532, CONCATENATE(LEFT('WBS Summary by Year'!M$6,1),'WBS Summary by Year'!$C20,'WBS Summary by Year'!$B$4),'Pre- and Production'!AQ$4:AQ$532)</f>
        <v>0</v>
      </c>
      <c r="N20" s="298">
        <f>SUMIF('Pre- and Production'!$T$4:$T$532, CONCATENATE(LEFT('WBS Summary by Year'!N$6,1),'WBS Summary by Year'!$C20,'WBS Summary by Year'!$B$4),'Pre- and Production'!AH$4:AH$532)</f>
        <v>0</v>
      </c>
      <c r="O20" s="299">
        <f>SUMIF('Pre- and Production'!$T$4:$T$532, CONCATENATE(LEFT('WBS Summary by Year'!O$6,1),'WBS Summary by Year'!$C20,'WBS Summary by Year'!$B$4),'Pre- and Production'!AR$4:AR$532)</f>
        <v>0</v>
      </c>
    </row>
    <row r="21" spans="1:15" s="302" customFormat="1">
      <c r="A21" s="9"/>
      <c r="C21" s="9" t="s">
        <v>220</v>
      </c>
      <c r="D21" s="26">
        <f>SUMIF('Pre- and Production'!$T$4:$T$532, CONCATENATE(LEFT('WBS Summary by Year'!D$6,1),'WBS Summary by Year'!$C21,'WBS Summary by Year'!$B$4),'Pre- and Production'!AC$4:AC$532)</f>
        <v>0</v>
      </c>
      <c r="E21" s="286">
        <f>SUMIF('Pre- and Production'!$T$4:$T$532, CONCATENATE(LEFT('WBS Summary by Year'!E$6,1),'WBS Summary by Year'!$C21,'WBS Summary by Year'!$B$4),'Pre- and Production'!AM$4:AM$532)</f>
        <v>0</v>
      </c>
      <c r="F21" s="26">
        <f>SUMIF('Pre- and Production'!$T$4:$T$532, CONCATENATE(LEFT('WBS Summary by Year'!F$6,1),'WBS Summary by Year'!$C21,'WBS Summary by Year'!$B$4),'Pre- and Production'!AD$4:AD$532)</f>
        <v>0</v>
      </c>
      <c r="G21" s="279">
        <f>SUMIF('Pre- and Production'!$T$4:$T$532, CONCATENATE(LEFT('WBS Summary by Year'!G$6,1),'WBS Summary by Year'!$C21,'WBS Summary by Year'!$B$4),'Pre- and Production'!AN$4:AN$532)</f>
        <v>0</v>
      </c>
      <c r="H21" s="290">
        <f>SUMIF('Pre- and Production'!$T$4:$T$532, CONCATENATE(LEFT('WBS Summary by Year'!H$6,1),'WBS Summary by Year'!$C21,'WBS Summary by Year'!$B$4),'Pre- and Production'!AE$4:AE$532)</f>
        <v>0</v>
      </c>
      <c r="I21" s="286">
        <f>SUMIF('Pre- and Production'!$T$4:$T$532, CONCATENATE(LEFT('WBS Summary by Year'!I$6,1),'WBS Summary by Year'!$C21,'WBS Summary by Year'!$B$4),'Pre- and Production'!AO$4:AO$532)</f>
        <v>0</v>
      </c>
      <c r="J21" s="26">
        <f>SUMIF('Pre- and Production'!$T$4:$T$532, CONCATENATE(LEFT('WBS Summary by Year'!J$6,1),'WBS Summary by Year'!$C21,'WBS Summary by Year'!$B$4),'Pre- and Production'!AF$4:AFI$532)</f>
        <v>0</v>
      </c>
      <c r="K21" s="279">
        <f>SUMIF('Pre- and Production'!$T$4:$T$532, CONCATENATE(LEFT('WBS Summary by Year'!K$6,1),'WBS Summary by Year'!$C21,'WBS Summary by Year'!$B$4),'Pre- and Production'!AP$4:AP$532)</f>
        <v>0</v>
      </c>
      <c r="L21" s="290">
        <f>SUMIF('Pre- and Production'!$T$4:$T$532, CONCATENATE(LEFT('WBS Summary by Year'!L$6,1),'WBS Summary by Year'!$C21,'WBS Summary by Year'!$B$4),'Pre- and Production'!AG$4:AG$532)</f>
        <v>0</v>
      </c>
      <c r="M21" s="286">
        <f>SUMIF('Pre- and Production'!$T$4:$T$532, CONCATENATE(LEFT('WBS Summary by Year'!M$6,1),'WBS Summary by Year'!$C21,'WBS Summary by Year'!$B$4),'Pre- and Production'!AQ$4:AQ$532)</f>
        <v>0</v>
      </c>
      <c r="N21" s="298">
        <f>SUMIF('Pre- and Production'!$T$4:$T$532, CONCATENATE(LEFT('WBS Summary by Year'!N$6,1),'WBS Summary by Year'!$C21,'WBS Summary by Year'!$B$4),'Pre- and Production'!AH$4:AH$532)</f>
        <v>0</v>
      </c>
      <c r="O21" s="299">
        <f>SUMIF('Pre- and Production'!$T$4:$T$532, CONCATENATE(LEFT('WBS Summary by Year'!O$6,1),'WBS Summary by Year'!$C21,'WBS Summary by Year'!$B$4),'Pre- and Production'!AR$4:AR$532)</f>
        <v>0</v>
      </c>
    </row>
    <row r="22" spans="1:15" s="302" customFormat="1">
      <c r="A22" s="9"/>
      <c r="C22" s="9" t="s">
        <v>221</v>
      </c>
      <c r="D22" s="26">
        <f>SUMIF('Pre- and Production'!$T$4:$T$532, CONCATENATE(LEFT('WBS Summary by Year'!D$6,1),'WBS Summary by Year'!$C22,'WBS Summary by Year'!$B$4),'Pre- and Production'!AC$4:AC$532)</f>
        <v>0</v>
      </c>
      <c r="E22" s="286">
        <f>SUMIF('Pre- and Production'!$T$4:$T$532, CONCATENATE(LEFT('WBS Summary by Year'!E$6,1),'WBS Summary by Year'!$C22,'WBS Summary by Year'!$B$4),'Pre- and Production'!AM$4:AM$532)</f>
        <v>0</v>
      </c>
      <c r="F22" s="26">
        <f>SUMIF('Pre- and Production'!$T$4:$T$532, CONCATENATE(LEFT('WBS Summary by Year'!F$6,1),'WBS Summary by Year'!$C22,'WBS Summary by Year'!$B$4),'Pre- and Production'!AD$4:AD$532)</f>
        <v>0</v>
      </c>
      <c r="G22" s="279">
        <f>SUMIF('Pre- and Production'!$T$4:$T$532, CONCATENATE(LEFT('WBS Summary by Year'!G$6,1),'WBS Summary by Year'!$C22,'WBS Summary by Year'!$B$4),'Pre- and Production'!AN$4:AN$532)</f>
        <v>0</v>
      </c>
      <c r="H22" s="290">
        <f>SUMIF('Pre- and Production'!$T$4:$T$532, CONCATENATE(LEFT('WBS Summary by Year'!H$6,1),'WBS Summary by Year'!$C22,'WBS Summary by Year'!$B$4),'Pre- and Production'!AE$4:AE$532)</f>
        <v>0</v>
      </c>
      <c r="I22" s="286">
        <f>SUMIF('Pre- and Production'!$T$4:$T$532, CONCATENATE(LEFT('WBS Summary by Year'!I$6,1),'WBS Summary by Year'!$C22,'WBS Summary by Year'!$B$4),'Pre- and Production'!AO$4:AO$532)</f>
        <v>0</v>
      </c>
      <c r="J22" s="26">
        <f>SUMIF('Pre- and Production'!$T$4:$T$532, CONCATENATE(LEFT('WBS Summary by Year'!J$6,1),'WBS Summary by Year'!$C22,'WBS Summary by Year'!$B$4),'Pre- and Production'!AF$4:AFI$532)</f>
        <v>0</v>
      </c>
      <c r="K22" s="279">
        <f>SUMIF('Pre- and Production'!$T$4:$T$532, CONCATENATE(LEFT('WBS Summary by Year'!K$6,1),'WBS Summary by Year'!$C22,'WBS Summary by Year'!$B$4),'Pre- and Production'!AP$4:AP$532)</f>
        <v>0</v>
      </c>
      <c r="L22" s="290">
        <f>SUMIF('Pre- and Production'!$T$4:$T$532, CONCATENATE(LEFT('WBS Summary by Year'!L$6,1),'WBS Summary by Year'!$C22,'WBS Summary by Year'!$B$4),'Pre- and Production'!AG$4:AG$532)</f>
        <v>0</v>
      </c>
      <c r="M22" s="286">
        <f>SUMIF('Pre- and Production'!$T$4:$T$532, CONCATENATE(LEFT('WBS Summary by Year'!M$6,1),'WBS Summary by Year'!$C22,'WBS Summary by Year'!$B$4),'Pre- and Production'!AQ$4:AQ$532)</f>
        <v>0</v>
      </c>
      <c r="N22" s="298">
        <f>SUMIF('Pre- and Production'!$T$4:$T$532, CONCATENATE(LEFT('WBS Summary by Year'!N$6,1),'WBS Summary by Year'!$C22,'WBS Summary by Year'!$B$4),'Pre- and Production'!AH$4:AH$532)</f>
        <v>0</v>
      </c>
      <c r="O22" s="299">
        <f>SUMIF('Pre- and Production'!$T$4:$T$532, CONCATENATE(LEFT('WBS Summary by Year'!O$6,1),'WBS Summary by Year'!$C22,'WBS Summary by Year'!$B$4),'Pre- and Production'!AR$4:AR$532)</f>
        <v>0</v>
      </c>
    </row>
    <row r="23" spans="1:15" s="302" customFormat="1">
      <c r="A23" s="9"/>
      <c r="C23" s="9" t="s">
        <v>222</v>
      </c>
      <c r="D23" s="26">
        <f>SUMIF('Pre- and Production'!$T$4:$T$532, CONCATENATE(LEFT('WBS Summary by Year'!D$6,1),'WBS Summary by Year'!$C23,'WBS Summary by Year'!$B$4),'Pre- and Production'!AC$4:AC$532)</f>
        <v>0</v>
      </c>
      <c r="E23" s="286">
        <f>SUMIF('Pre- and Production'!$T$4:$T$532, CONCATENATE(LEFT('WBS Summary by Year'!E$6,1),'WBS Summary by Year'!$C23,'WBS Summary by Year'!$B$4),'Pre- and Production'!AM$4:AM$532)</f>
        <v>0</v>
      </c>
      <c r="F23" s="26">
        <f>SUMIF('Pre- and Production'!$T$4:$T$532, CONCATENATE(LEFT('WBS Summary by Year'!F$6,1),'WBS Summary by Year'!$C23,'WBS Summary by Year'!$B$4),'Pre- and Production'!AD$4:AD$532)</f>
        <v>0</v>
      </c>
      <c r="G23" s="279">
        <f>SUMIF('Pre- and Production'!$T$4:$T$532, CONCATENATE(LEFT('WBS Summary by Year'!G$6,1),'WBS Summary by Year'!$C23,'WBS Summary by Year'!$B$4),'Pre- and Production'!AN$4:AN$532)</f>
        <v>0</v>
      </c>
      <c r="H23" s="290">
        <f>SUMIF('Pre- and Production'!$T$4:$T$532, CONCATENATE(LEFT('WBS Summary by Year'!H$6,1),'WBS Summary by Year'!$C23,'WBS Summary by Year'!$B$4),'Pre- and Production'!AE$4:AE$532)</f>
        <v>0</v>
      </c>
      <c r="I23" s="286">
        <f>SUMIF('Pre- and Production'!$T$4:$T$532, CONCATENATE(LEFT('WBS Summary by Year'!I$6,1),'WBS Summary by Year'!$C23,'WBS Summary by Year'!$B$4),'Pre- and Production'!AO$4:AO$532)</f>
        <v>0</v>
      </c>
      <c r="J23" s="26">
        <f>SUMIF('Pre- and Production'!$T$4:$T$532, CONCATENATE(LEFT('WBS Summary by Year'!J$6,1),'WBS Summary by Year'!$C23,'WBS Summary by Year'!$B$4),'Pre- and Production'!AF$4:AFI$532)</f>
        <v>0</v>
      </c>
      <c r="K23" s="279">
        <f>SUMIF('Pre- and Production'!$T$4:$T$532, CONCATENATE(LEFT('WBS Summary by Year'!K$6,1),'WBS Summary by Year'!$C23,'WBS Summary by Year'!$B$4),'Pre- and Production'!AP$4:AP$532)</f>
        <v>0</v>
      </c>
      <c r="L23" s="290">
        <f>SUMIF('Pre- and Production'!$T$4:$T$532, CONCATENATE(LEFT('WBS Summary by Year'!L$6,1),'WBS Summary by Year'!$C23,'WBS Summary by Year'!$B$4),'Pre- and Production'!AG$4:AG$532)</f>
        <v>0</v>
      </c>
      <c r="M23" s="286">
        <f>SUMIF('Pre- and Production'!$T$4:$T$532, CONCATENATE(LEFT('WBS Summary by Year'!M$6,1),'WBS Summary by Year'!$C23,'WBS Summary by Year'!$B$4),'Pre- and Production'!AQ$4:AQ$532)</f>
        <v>0</v>
      </c>
      <c r="N23" s="298">
        <f>SUMIF('Pre- and Production'!$T$4:$T$532, CONCATENATE(LEFT('WBS Summary by Year'!N$6,1),'WBS Summary by Year'!$C23,'WBS Summary by Year'!$B$4),'Pre- and Production'!AH$4:AH$532)</f>
        <v>0</v>
      </c>
      <c r="O23" s="299">
        <f>SUMIF('Pre- and Production'!$T$4:$T$532, CONCATENATE(LEFT('WBS Summary by Year'!O$6,1),'WBS Summary by Year'!$C23,'WBS Summary by Year'!$B$4),'Pre- and Production'!AR$4:AR$532)</f>
        <v>0</v>
      </c>
    </row>
    <row r="24" spans="1:15" s="302" customFormat="1">
      <c r="A24" s="9"/>
      <c r="C24" s="9" t="s">
        <v>223</v>
      </c>
      <c r="D24" s="26">
        <f>SUMIF('Pre- and Production'!$T$4:$T$532, CONCATENATE(LEFT('WBS Summary by Year'!D$6,1),'WBS Summary by Year'!$C24,'WBS Summary by Year'!$B$4),'Pre- and Production'!AC$4:AC$532)</f>
        <v>0</v>
      </c>
      <c r="E24" s="286">
        <f>SUMIF('Pre- and Production'!$T$4:$T$532, CONCATENATE(LEFT('WBS Summary by Year'!E$6,1),'WBS Summary by Year'!$C24,'WBS Summary by Year'!$B$4),'Pre- and Production'!AM$4:AM$532)</f>
        <v>0</v>
      </c>
      <c r="F24" s="26">
        <f>SUMIF('Pre- and Production'!$T$4:$T$532, CONCATENATE(LEFT('WBS Summary by Year'!F$6,1),'WBS Summary by Year'!$C24,'WBS Summary by Year'!$B$4),'Pre- and Production'!AD$4:AD$532)</f>
        <v>0</v>
      </c>
      <c r="G24" s="279">
        <f>SUMIF('Pre- and Production'!$T$4:$T$532, CONCATENATE(LEFT('WBS Summary by Year'!G$6,1),'WBS Summary by Year'!$C24,'WBS Summary by Year'!$B$4),'Pre- and Production'!AN$4:AN$532)</f>
        <v>0</v>
      </c>
      <c r="H24" s="290">
        <f>SUMIF('Pre- and Production'!$T$4:$T$532, CONCATENATE(LEFT('WBS Summary by Year'!H$6,1),'WBS Summary by Year'!$C24,'WBS Summary by Year'!$B$4),'Pre- and Production'!AE$4:AE$532)</f>
        <v>0</v>
      </c>
      <c r="I24" s="286">
        <f>SUMIF('Pre- and Production'!$T$4:$T$532, CONCATENATE(LEFT('WBS Summary by Year'!I$6,1),'WBS Summary by Year'!$C24,'WBS Summary by Year'!$B$4),'Pre- and Production'!AO$4:AO$532)</f>
        <v>0</v>
      </c>
      <c r="J24" s="26">
        <f>SUMIF('Pre- and Production'!$T$4:$T$532, CONCATENATE(LEFT('WBS Summary by Year'!J$6,1),'WBS Summary by Year'!$C24,'WBS Summary by Year'!$B$4),'Pre- and Production'!AF$4:AFI$532)</f>
        <v>0</v>
      </c>
      <c r="K24" s="279">
        <f>SUMIF('Pre- and Production'!$T$4:$T$532, CONCATENATE(LEFT('WBS Summary by Year'!K$6,1),'WBS Summary by Year'!$C24,'WBS Summary by Year'!$B$4),'Pre- and Production'!AP$4:AP$532)</f>
        <v>0</v>
      </c>
      <c r="L24" s="290">
        <f>SUMIF('Pre- and Production'!$T$4:$T$532, CONCATENATE(LEFT('WBS Summary by Year'!L$6,1),'WBS Summary by Year'!$C24,'WBS Summary by Year'!$B$4),'Pre- and Production'!AG$4:AG$532)</f>
        <v>0</v>
      </c>
      <c r="M24" s="286">
        <f>SUMIF('Pre- and Production'!$T$4:$T$532, CONCATENATE(LEFT('WBS Summary by Year'!M$6,1),'WBS Summary by Year'!$C24,'WBS Summary by Year'!$B$4),'Pre- and Production'!AQ$4:AQ$532)</f>
        <v>0</v>
      </c>
      <c r="N24" s="298">
        <f>SUMIF('Pre- and Production'!$T$4:$T$532, CONCATENATE(LEFT('WBS Summary by Year'!N$6,1),'WBS Summary by Year'!$C24,'WBS Summary by Year'!$B$4),'Pre- and Production'!AH$4:AH$532)</f>
        <v>0</v>
      </c>
      <c r="O24" s="299">
        <f>SUMIF('Pre- and Production'!$T$4:$T$532, CONCATENATE(LEFT('WBS Summary by Year'!O$6,1),'WBS Summary by Year'!$C24,'WBS Summary by Year'!$B$4),'Pre- and Production'!AR$4:AR$532)</f>
        <v>0</v>
      </c>
    </row>
    <row r="25" spans="1:15" s="302" customFormat="1">
      <c r="A25" s="9"/>
      <c r="C25" s="9" t="s">
        <v>224</v>
      </c>
      <c r="D25" s="26">
        <f>SUMIF('Pre- and Production'!$T$4:$T$532, CONCATENATE(LEFT('WBS Summary by Year'!D$6,1),'WBS Summary by Year'!$C25,'WBS Summary by Year'!$B$4),'Pre- and Production'!AC$4:AC$532)</f>
        <v>0</v>
      </c>
      <c r="E25" s="286">
        <f>SUMIF('Pre- and Production'!$T$4:$T$532, CONCATENATE(LEFT('WBS Summary by Year'!E$6,1),'WBS Summary by Year'!$C25,'WBS Summary by Year'!$B$4),'Pre- and Production'!AM$4:AM$532)</f>
        <v>0</v>
      </c>
      <c r="F25" s="26">
        <f>SUMIF('Pre- and Production'!$T$4:$T$532, CONCATENATE(LEFT('WBS Summary by Year'!F$6,1),'WBS Summary by Year'!$C25,'WBS Summary by Year'!$B$4),'Pre- and Production'!AD$4:AD$532)</f>
        <v>0</v>
      </c>
      <c r="G25" s="279">
        <f>SUMIF('Pre- and Production'!$T$4:$T$532, CONCATENATE(LEFT('WBS Summary by Year'!G$6,1),'WBS Summary by Year'!$C25,'WBS Summary by Year'!$B$4),'Pre- and Production'!AN$4:AN$532)</f>
        <v>0</v>
      </c>
      <c r="H25" s="290">
        <f>SUMIF('Pre- and Production'!$T$4:$T$532, CONCATENATE(LEFT('WBS Summary by Year'!H$6,1),'WBS Summary by Year'!$C25,'WBS Summary by Year'!$B$4),'Pre- and Production'!AE$4:AE$532)</f>
        <v>0</v>
      </c>
      <c r="I25" s="286">
        <f>SUMIF('Pre- and Production'!$T$4:$T$532, CONCATENATE(LEFT('WBS Summary by Year'!I$6,1),'WBS Summary by Year'!$C25,'WBS Summary by Year'!$B$4),'Pre- and Production'!AO$4:AO$532)</f>
        <v>0</v>
      </c>
      <c r="J25" s="26">
        <f>SUMIF('Pre- and Production'!$T$4:$T$532, CONCATENATE(LEFT('WBS Summary by Year'!J$6,1),'WBS Summary by Year'!$C25,'WBS Summary by Year'!$B$4),'Pre- and Production'!AF$4:AFI$532)</f>
        <v>0</v>
      </c>
      <c r="K25" s="279">
        <f>SUMIF('Pre- and Production'!$T$4:$T$532, CONCATENATE(LEFT('WBS Summary by Year'!K$6,1),'WBS Summary by Year'!$C25,'WBS Summary by Year'!$B$4),'Pre- and Production'!AP$4:AP$532)</f>
        <v>0</v>
      </c>
      <c r="L25" s="290">
        <f>SUMIF('Pre- and Production'!$T$4:$T$532, CONCATENATE(LEFT('WBS Summary by Year'!L$6,1),'WBS Summary by Year'!$C25,'WBS Summary by Year'!$B$4),'Pre- and Production'!AG$4:AG$532)</f>
        <v>0</v>
      </c>
      <c r="M25" s="286">
        <f>SUMIF('Pre- and Production'!$T$4:$T$532, CONCATENATE(LEFT('WBS Summary by Year'!M$6,1),'WBS Summary by Year'!$C25,'WBS Summary by Year'!$B$4),'Pre- and Production'!AQ$4:AQ$532)</f>
        <v>0</v>
      </c>
      <c r="N25" s="298">
        <f>SUMIF('Pre- and Production'!$T$4:$T$532, CONCATENATE(LEFT('WBS Summary by Year'!N$6,1),'WBS Summary by Year'!$C25,'WBS Summary by Year'!$B$4),'Pre- and Production'!AH$4:AH$532)</f>
        <v>0</v>
      </c>
      <c r="O25" s="299">
        <f>SUMIF('Pre- and Production'!$T$4:$T$532, CONCATENATE(LEFT('WBS Summary by Year'!O$6,1),'WBS Summary by Year'!$C25,'WBS Summary by Year'!$B$4),'Pre- and Production'!AR$4:AR$532)</f>
        <v>0</v>
      </c>
    </row>
    <row r="26" spans="1:15" s="302" customFormat="1">
      <c r="A26" s="9"/>
      <c r="C26" s="9" t="s">
        <v>225</v>
      </c>
      <c r="D26" s="26">
        <f>SUMIF('Pre- and Production'!$T$4:$T$532, CONCATENATE(LEFT('WBS Summary by Year'!D$6,1),'WBS Summary by Year'!$C26,'WBS Summary by Year'!$B$4),'Pre- and Production'!AC$4:AC$532)</f>
        <v>0</v>
      </c>
      <c r="E26" s="286">
        <f>SUMIF('Pre- and Production'!$T$4:$T$532, CONCATENATE(LEFT('WBS Summary by Year'!E$6,1),'WBS Summary by Year'!$C26,'WBS Summary by Year'!$B$4),'Pre- and Production'!AM$4:AM$532)</f>
        <v>0</v>
      </c>
      <c r="F26" s="26">
        <f>SUMIF('Pre- and Production'!$T$4:$T$532, CONCATENATE(LEFT('WBS Summary by Year'!F$6,1),'WBS Summary by Year'!$C26,'WBS Summary by Year'!$B$4),'Pre- and Production'!AD$4:AD$532)</f>
        <v>0</v>
      </c>
      <c r="G26" s="279">
        <f>SUMIF('Pre- and Production'!$T$4:$T$532, CONCATENATE(LEFT('WBS Summary by Year'!G$6,1),'WBS Summary by Year'!$C26,'WBS Summary by Year'!$B$4),'Pre- and Production'!AN$4:AN$532)</f>
        <v>0</v>
      </c>
      <c r="H26" s="290">
        <f>SUMIF('Pre- and Production'!$T$4:$T$532, CONCATENATE(LEFT('WBS Summary by Year'!H$6,1),'WBS Summary by Year'!$C26,'WBS Summary by Year'!$B$4),'Pre- and Production'!AE$4:AE$532)</f>
        <v>0</v>
      </c>
      <c r="I26" s="286">
        <f>SUMIF('Pre- and Production'!$T$4:$T$532, CONCATENATE(LEFT('WBS Summary by Year'!I$6,1),'WBS Summary by Year'!$C26,'WBS Summary by Year'!$B$4),'Pre- and Production'!AO$4:AO$532)</f>
        <v>0</v>
      </c>
      <c r="J26" s="26">
        <f>SUMIF('Pre- and Production'!$T$4:$T$532, CONCATENATE(LEFT('WBS Summary by Year'!J$6,1),'WBS Summary by Year'!$C26,'WBS Summary by Year'!$B$4),'Pre- and Production'!AF$4:AFI$532)</f>
        <v>0</v>
      </c>
      <c r="K26" s="279">
        <f>SUMIF('Pre- and Production'!$T$4:$T$532, CONCATENATE(LEFT('WBS Summary by Year'!K$6,1),'WBS Summary by Year'!$C26,'WBS Summary by Year'!$B$4),'Pre- and Production'!AP$4:AP$532)</f>
        <v>0</v>
      </c>
      <c r="L26" s="290">
        <f>SUMIF('Pre- and Production'!$T$4:$T$532, CONCATENATE(LEFT('WBS Summary by Year'!L$6,1),'WBS Summary by Year'!$C26,'WBS Summary by Year'!$B$4),'Pre- and Production'!AG$4:AG$532)</f>
        <v>0</v>
      </c>
      <c r="M26" s="286">
        <f>SUMIF('Pre- and Production'!$T$4:$T$532, CONCATENATE(LEFT('WBS Summary by Year'!M$6,1),'WBS Summary by Year'!$C26,'WBS Summary by Year'!$B$4),'Pre- and Production'!AQ$4:AQ$532)</f>
        <v>0</v>
      </c>
      <c r="N26" s="298">
        <f>SUMIF('Pre- and Production'!$T$4:$T$532, CONCATENATE(LEFT('WBS Summary by Year'!N$6,1),'WBS Summary by Year'!$C26,'WBS Summary by Year'!$B$4),'Pre- and Production'!AH$4:AH$532)</f>
        <v>0</v>
      </c>
      <c r="O26" s="299">
        <f>SUMIF('Pre- and Production'!$T$4:$T$532, CONCATENATE(LEFT('WBS Summary by Year'!O$6,1),'WBS Summary by Year'!$C26,'WBS Summary by Year'!$B$4),'Pre- and Production'!AR$4:AR$532)</f>
        <v>0</v>
      </c>
    </row>
    <row r="27" spans="1:15" s="302" customFormat="1">
      <c r="A27" s="9"/>
      <c r="C27" s="9" t="s">
        <v>226</v>
      </c>
      <c r="D27" s="26">
        <f>SUMIF('Pre- and Production'!$T$4:$T$532, CONCATENATE(LEFT('WBS Summary by Year'!D$6,1),'WBS Summary by Year'!$C27,'WBS Summary by Year'!$B$4),'Pre- and Production'!AC$4:AC$532)</f>
        <v>0</v>
      </c>
      <c r="E27" s="286">
        <f>SUMIF('Pre- and Production'!$T$4:$T$532, CONCATENATE(LEFT('WBS Summary by Year'!E$6,1),'WBS Summary by Year'!$C27,'WBS Summary by Year'!$B$4),'Pre- and Production'!AM$4:AM$532)</f>
        <v>0</v>
      </c>
      <c r="F27" s="26">
        <f>SUMIF('Pre- and Production'!$T$4:$T$532, CONCATENATE(LEFT('WBS Summary by Year'!F$6,1),'WBS Summary by Year'!$C27,'WBS Summary by Year'!$B$4),'Pre- and Production'!AD$4:AD$532)</f>
        <v>0</v>
      </c>
      <c r="G27" s="279">
        <f>SUMIF('Pre- and Production'!$T$4:$T$532, CONCATENATE(LEFT('WBS Summary by Year'!G$6,1),'WBS Summary by Year'!$C27,'WBS Summary by Year'!$B$4),'Pre- and Production'!AN$4:AN$532)</f>
        <v>0</v>
      </c>
      <c r="H27" s="290">
        <f>SUMIF('Pre- and Production'!$T$4:$T$532, CONCATENATE(LEFT('WBS Summary by Year'!H$6,1),'WBS Summary by Year'!$C27,'WBS Summary by Year'!$B$4),'Pre- and Production'!AE$4:AE$532)</f>
        <v>0</v>
      </c>
      <c r="I27" s="286">
        <f>SUMIF('Pre- and Production'!$T$4:$T$532, CONCATENATE(LEFT('WBS Summary by Year'!I$6,1),'WBS Summary by Year'!$C27,'WBS Summary by Year'!$B$4),'Pre- and Production'!AO$4:AO$532)</f>
        <v>0</v>
      </c>
      <c r="J27" s="26">
        <f>SUMIF('Pre- and Production'!$T$4:$T$532, CONCATENATE(LEFT('WBS Summary by Year'!J$6,1),'WBS Summary by Year'!$C27,'WBS Summary by Year'!$B$4),'Pre- and Production'!AF$4:AFI$532)</f>
        <v>0</v>
      </c>
      <c r="K27" s="279">
        <f>SUMIF('Pre- and Production'!$T$4:$T$532, CONCATENATE(LEFT('WBS Summary by Year'!K$6,1),'WBS Summary by Year'!$C27,'WBS Summary by Year'!$B$4),'Pre- and Production'!AP$4:AP$532)</f>
        <v>0</v>
      </c>
      <c r="L27" s="290">
        <f>SUMIF('Pre- and Production'!$T$4:$T$532, CONCATENATE(LEFT('WBS Summary by Year'!L$6,1),'WBS Summary by Year'!$C27,'WBS Summary by Year'!$B$4),'Pre- and Production'!AG$4:AG$532)</f>
        <v>0</v>
      </c>
      <c r="M27" s="286">
        <f>SUMIF('Pre- and Production'!$T$4:$T$532, CONCATENATE(LEFT('WBS Summary by Year'!M$6,1),'WBS Summary by Year'!$C27,'WBS Summary by Year'!$B$4),'Pre- and Production'!AQ$4:AQ$532)</f>
        <v>0</v>
      </c>
      <c r="N27" s="298">
        <f>SUMIF('Pre- and Production'!$T$4:$T$532, CONCATENATE(LEFT('WBS Summary by Year'!N$6,1),'WBS Summary by Year'!$C27,'WBS Summary by Year'!$B$4),'Pre- and Production'!AH$4:AH$532)</f>
        <v>0</v>
      </c>
      <c r="O27" s="299">
        <f>SUMIF('Pre- and Production'!$T$4:$T$532, CONCATENATE(LEFT('WBS Summary by Year'!O$6,1),'WBS Summary by Year'!$C27,'WBS Summary by Year'!$B$4),'Pre- and Production'!AR$4:AR$532)</f>
        <v>0</v>
      </c>
    </row>
    <row r="28" spans="1:15" s="302" customFormat="1">
      <c r="A28" s="9"/>
      <c r="C28" s="9" t="s">
        <v>227</v>
      </c>
      <c r="D28" s="26">
        <f>SUMIF('Pre- and Production'!$T$4:$T$532, CONCATENATE(LEFT('WBS Summary by Year'!D$6,1),'WBS Summary by Year'!$C28,'WBS Summary by Year'!$B$4),'Pre- and Production'!AC$4:AC$532)</f>
        <v>0</v>
      </c>
      <c r="E28" s="286">
        <f>SUMIF('Pre- and Production'!$T$4:$T$532, CONCATENATE(LEFT('WBS Summary by Year'!E$6,1),'WBS Summary by Year'!$C28,'WBS Summary by Year'!$B$4),'Pre- and Production'!AM$4:AM$532)</f>
        <v>0</v>
      </c>
      <c r="F28" s="26">
        <f>SUMIF('Pre- and Production'!$T$4:$T$532, CONCATENATE(LEFT('WBS Summary by Year'!F$6,1),'WBS Summary by Year'!$C28,'WBS Summary by Year'!$B$4),'Pre- and Production'!AD$4:AD$532)</f>
        <v>0</v>
      </c>
      <c r="G28" s="279">
        <f>SUMIF('Pre- and Production'!$T$4:$T$532, CONCATENATE(LEFT('WBS Summary by Year'!G$6,1),'WBS Summary by Year'!$C28,'WBS Summary by Year'!$B$4),'Pre- and Production'!AN$4:AN$532)</f>
        <v>0</v>
      </c>
      <c r="H28" s="290">
        <f>SUMIF('Pre- and Production'!$T$4:$T$532, CONCATENATE(LEFT('WBS Summary by Year'!H$6,1),'WBS Summary by Year'!$C28,'WBS Summary by Year'!$B$4),'Pre- and Production'!AE$4:AE$532)</f>
        <v>0</v>
      </c>
      <c r="I28" s="286">
        <f>SUMIF('Pre- and Production'!$T$4:$T$532, CONCATENATE(LEFT('WBS Summary by Year'!I$6,1),'WBS Summary by Year'!$C28,'WBS Summary by Year'!$B$4),'Pre- and Production'!AO$4:AO$532)</f>
        <v>0</v>
      </c>
      <c r="J28" s="26">
        <f>SUMIF('Pre- and Production'!$T$4:$T$532, CONCATENATE(LEFT('WBS Summary by Year'!J$6,1),'WBS Summary by Year'!$C28,'WBS Summary by Year'!$B$4),'Pre- and Production'!AF$4:AFI$532)</f>
        <v>0</v>
      </c>
      <c r="K28" s="279">
        <f>SUMIF('Pre- and Production'!$T$4:$T$532, CONCATENATE(LEFT('WBS Summary by Year'!K$6,1),'WBS Summary by Year'!$C28,'WBS Summary by Year'!$B$4),'Pre- and Production'!AP$4:AP$532)</f>
        <v>0</v>
      </c>
      <c r="L28" s="290">
        <f>SUMIF('Pre- and Production'!$T$4:$T$532, CONCATENATE(LEFT('WBS Summary by Year'!L$6,1),'WBS Summary by Year'!$C28,'WBS Summary by Year'!$B$4),'Pre- and Production'!AG$4:AG$532)</f>
        <v>0</v>
      </c>
      <c r="M28" s="286">
        <f>SUMIF('Pre- and Production'!$T$4:$T$532, CONCATENATE(LEFT('WBS Summary by Year'!M$6,1),'WBS Summary by Year'!$C28,'WBS Summary by Year'!$B$4),'Pre- and Production'!AQ$4:AQ$532)</f>
        <v>0</v>
      </c>
      <c r="N28" s="298">
        <f>SUMIF('Pre- and Production'!$T$4:$T$532, CONCATENATE(LEFT('WBS Summary by Year'!N$6,1),'WBS Summary by Year'!$C28,'WBS Summary by Year'!$B$4),'Pre- and Production'!AH$4:AH$532)</f>
        <v>0</v>
      </c>
      <c r="O28" s="299">
        <f>SUMIF('Pre- and Production'!$T$4:$T$532, CONCATENATE(LEFT('WBS Summary by Year'!O$6,1),'WBS Summary by Year'!$C28,'WBS Summary by Year'!$B$4),'Pre- and Production'!AR$4:AR$532)</f>
        <v>0</v>
      </c>
    </row>
    <row r="29" spans="1:15" s="302" customFormat="1">
      <c r="A29" s="9"/>
      <c r="C29" s="9" t="s">
        <v>228</v>
      </c>
      <c r="D29" s="26">
        <f>SUMIF('Pre- and Production'!$T$4:$T$532, CONCATENATE(LEFT('WBS Summary by Year'!D$6,1),'WBS Summary by Year'!$C29,'WBS Summary by Year'!$B$4),'Pre- and Production'!AC$4:AC$532)</f>
        <v>0</v>
      </c>
      <c r="E29" s="286">
        <f>SUMIF('Pre- and Production'!$T$4:$T$532, CONCATENATE(LEFT('WBS Summary by Year'!E$6,1),'WBS Summary by Year'!$C29,'WBS Summary by Year'!$B$4),'Pre- and Production'!AM$4:AM$532)</f>
        <v>0</v>
      </c>
      <c r="F29" s="26">
        <f>SUMIF('Pre- and Production'!$T$4:$T$532, CONCATENATE(LEFT('WBS Summary by Year'!F$6,1),'WBS Summary by Year'!$C29,'WBS Summary by Year'!$B$4),'Pre- and Production'!AD$4:AD$532)</f>
        <v>0</v>
      </c>
      <c r="G29" s="279">
        <f>SUMIF('Pre- and Production'!$T$4:$T$532, CONCATENATE(LEFT('WBS Summary by Year'!G$6,1),'WBS Summary by Year'!$C29,'WBS Summary by Year'!$B$4),'Pre- and Production'!AN$4:AN$532)</f>
        <v>0</v>
      </c>
      <c r="H29" s="290">
        <f>SUMIF('Pre- and Production'!$T$4:$T$532, CONCATENATE(LEFT('WBS Summary by Year'!H$6,1),'WBS Summary by Year'!$C29,'WBS Summary by Year'!$B$4),'Pre- and Production'!AE$4:AE$532)</f>
        <v>0</v>
      </c>
      <c r="I29" s="286">
        <f>SUMIF('Pre- and Production'!$T$4:$T$532, CONCATENATE(LEFT('WBS Summary by Year'!I$6,1),'WBS Summary by Year'!$C29,'WBS Summary by Year'!$B$4),'Pre- and Production'!AO$4:AO$532)</f>
        <v>0</v>
      </c>
      <c r="J29" s="26">
        <f>SUMIF('Pre- and Production'!$T$4:$T$532, CONCATENATE(LEFT('WBS Summary by Year'!J$6,1),'WBS Summary by Year'!$C29,'WBS Summary by Year'!$B$4),'Pre- and Production'!AF$4:AFI$532)</f>
        <v>0</v>
      </c>
      <c r="K29" s="279">
        <f>SUMIF('Pre- and Production'!$T$4:$T$532, CONCATENATE(LEFT('WBS Summary by Year'!K$6,1),'WBS Summary by Year'!$C29,'WBS Summary by Year'!$B$4),'Pre- and Production'!AP$4:AP$532)</f>
        <v>0</v>
      </c>
      <c r="L29" s="290">
        <f>SUMIF('Pre- and Production'!$T$4:$T$532, CONCATENATE(LEFT('WBS Summary by Year'!L$6,1),'WBS Summary by Year'!$C29,'WBS Summary by Year'!$B$4),'Pre- and Production'!AG$4:AG$532)</f>
        <v>0</v>
      </c>
      <c r="M29" s="286">
        <f>SUMIF('Pre- and Production'!$T$4:$T$532, CONCATENATE(LEFT('WBS Summary by Year'!M$6,1),'WBS Summary by Year'!$C29,'WBS Summary by Year'!$B$4),'Pre- and Production'!AQ$4:AQ$532)</f>
        <v>0</v>
      </c>
      <c r="N29" s="298">
        <f>SUMIF('Pre- and Production'!$T$4:$T$532, CONCATENATE(LEFT('WBS Summary by Year'!N$6,1),'WBS Summary by Year'!$C29,'WBS Summary by Year'!$B$4),'Pre- and Production'!AH$4:AH$532)</f>
        <v>0</v>
      </c>
      <c r="O29" s="299">
        <f>SUMIF('Pre- and Production'!$T$4:$T$532, CONCATENATE(LEFT('WBS Summary by Year'!O$6,1),'WBS Summary by Year'!$C29,'WBS Summary by Year'!$B$4),'Pre- and Production'!AR$4:AR$532)</f>
        <v>0</v>
      </c>
    </row>
    <row r="30" spans="1:15" s="302" customFormat="1">
      <c r="A30" s="9"/>
      <c r="C30" s="9" t="s">
        <v>229</v>
      </c>
      <c r="D30" s="26">
        <f>SUMIF('Pre- and Production'!$T$4:$T$532, CONCATENATE(LEFT('WBS Summary by Year'!D$6,1),'WBS Summary by Year'!$C30,'WBS Summary by Year'!$B$4),'Pre- and Production'!AC$4:AC$532)</f>
        <v>0</v>
      </c>
      <c r="E30" s="286">
        <f>SUMIF('Pre- and Production'!$T$4:$T$532, CONCATENATE(LEFT('WBS Summary by Year'!E$6,1),'WBS Summary by Year'!$C30,'WBS Summary by Year'!$B$4),'Pre- and Production'!AM$4:AM$532)</f>
        <v>0</v>
      </c>
      <c r="F30" s="26">
        <f>SUMIF('Pre- and Production'!$T$4:$T$532, CONCATENATE(LEFT('WBS Summary by Year'!F$6,1),'WBS Summary by Year'!$C30,'WBS Summary by Year'!$B$4),'Pre- and Production'!AD$4:AD$532)</f>
        <v>0</v>
      </c>
      <c r="G30" s="279">
        <f>SUMIF('Pre- and Production'!$T$4:$T$532, CONCATENATE(LEFT('WBS Summary by Year'!G$6,1),'WBS Summary by Year'!$C30,'WBS Summary by Year'!$B$4),'Pre- and Production'!AN$4:AN$532)</f>
        <v>0</v>
      </c>
      <c r="H30" s="290">
        <f>SUMIF('Pre- and Production'!$T$4:$T$532, CONCATENATE(LEFT('WBS Summary by Year'!H$6,1),'WBS Summary by Year'!$C30,'WBS Summary by Year'!$B$4),'Pre- and Production'!AE$4:AE$532)</f>
        <v>0</v>
      </c>
      <c r="I30" s="286">
        <f>SUMIF('Pre- and Production'!$T$4:$T$532, CONCATENATE(LEFT('WBS Summary by Year'!I$6,1),'WBS Summary by Year'!$C30,'WBS Summary by Year'!$B$4),'Pre- and Production'!AO$4:AO$532)</f>
        <v>0</v>
      </c>
      <c r="J30" s="26">
        <f>SUMIF('Pre- and Production'!$T$4:$T$532, CONCATENATE(LEFT('WBS Summary by Year'!J$6,1),'WBS Summary by Year'!$C30,'WBS Summary by Year'!$B$4),'Pre- and Production'!AF$4:AFI$532)</f>
        <v>0</v>
      </c>
      <c r="K30" s="279">
        <f>SUMIF('Pre- and Production'!$T$4:$T$532, CONCATENATE(LEFT('WBS Summary by Year'!K$6,1),'WBS Summary by Year'!$C30,'WBS Summary by Year'!$B$4),'Pre- and Production'!AP$4:AP$532)</f>
        <v>0</v>
      </c>
      <c r="L30" s="290">
        <f>SUMIF('Pre- and Production'!$T$4:$T$532, CONCATENATE(LEFT('WBS Summary by Year'!L$6,1),'WBS Summary by Year'!$C30,'WBS Summary by Year'!$B$4),'Pre- and Production'!AG$4:AG$532)</f>
        <v>0</v>
      </c>
      <c r="M30" s="286">
        <f>SUMIF('Pre- and Production'!$T$4:$T$532, CONCATENATE(LEFT('WBS Summary by Year'!M$6,1),'WBS Summary by Year'!$C30,'WBS Summary by Year'!$B$4),'Pre- and Production'!AQ$4:AQ$532)</f>
        <v>0</v>
      </c>
      <c r="N30" s="298">
        <f>SUMIF('Pre- and Production'!$T$4:$T$532, CONCATENATE(LEFT('WBS Summary by Year'!N$6,1),'WBS Summary by Year'!$C30,'WBS Summary by Year'!$B$4),'Pre- and Production'!AH$4:AH$532)</f>
        <v>0</v>
      </c>
      <c r="O30" s="299">
        <f>SUMIF('Pre- and Production'!$T$4:$T$532, CONCATENATE(LEFT('WBS Summary by Year'!O$6,1),'WBS Summary by Year'!$C30,'WBS Summary by Year'!$B$4),'Pre- and Production'!AR$4:AR$532)</f>
        <v>0</v>
      </c>
    </row>
    <row r="31" spans="1:15" s="302" customFormat="1">
      <c r="A31" s="9"/>
      <c r="C31" s="9" t="s">
        <v>230</v>
      </c>
      <c r="D31" s="26">
        <f>SUMIF('Pre- and Production'!$T$4:$T$532, CONCATENATE(LEFT('WBS Summary by Year'!D$6,1),'WBS Summary by Year'!$C31,'WBS Summary by Year'!$B$4),'Pre- and Production'!AC$4:AC$532)</f>
        <v>0</v>
      </c>
      <c r="E31" s="286">
        <f>SUMIF('Pre- and Production'!$T$4:$T$532, CONCATENATE(LEFT('WBS Summary by Year'!E$6,1),'WBS Summary by Year'!$C31,'WBS Summary by Year'!$B$4),'Pre- and Production'!AM$4:AM$532)</f>
        <v>0</v>
      </c>
      <c r="F31" s="26">
        <f>SUMIF('Pre- and Production'!$T$4:$T$532, CONCATENATE(LEFT('WBS Summary by Year'!F$6,1),'WBS Summary by Year'!$C31,'WBS Summary by Year'!$B$4),'Pre- and Production'!AD$4:AD$532)</f>
        <v>0</v>
      </c>
      <c r="G31" s="279">
        <f>SUMIF('Pre- and Production'!$T$4:$T$532, CONCATENATE(LEFT('WBS Summary by Year'!G$6,1),'WBS Summary by Year'!$C31,'WBS Summary by Year'!$B$4),'Pre- and Production'!AN$4:AN$532)</f>
        <v>0</v>
      </c>
      <c r="H31" s="290">
        <f>SUMIF('Pre- and Production'!$T$4:$T$532, CONCATENATE(LEFT('WBS Summary by Year'!H$6,1),'WBS Summary by Year'!$C31,'WBS Summary by Year'!$B$4),'Pre- and Production'!AE$4:AE$532)</f>
        <v>0</v>
      </c>
      <c r="I31" s="286">
        <f>SUMIF('Pre- and Production'!$T$4:$T$532, CONCATENATE(LEFT('WBS Summary by Year'!I$6,1),'WBS Summary by Year'!$C31,'WBS Summary by Year'!$B$4),'Pre- and Production'!AO$4:AO$532)</f>
        <v>0</v>
      </c>
      <c r="J31" s="26">
        <f>SUMIF('Pre- and Production'!$T$4:$T$532, CONCATENATE(LEFT('WBS Summary by Year'!J$6,1),'WBS Summary by Year'!$C31,'WBS Summary by Year'!$B$4),'Pre- and Production'!AF$4:AFI$532)</f>
        <v>0</v>
      </c>
      <c r="K31" s="279">
        <f>SUMIF('Pre- and Production'!$T$4:$T$532, CONCATENATE(LEFT('WBS Summary by Year'!K$6,1),'WBS Summary by Year'!$C31,'WBS Summary by Year'!$B$4),'Pre- and Production'!AP$4:AP$532)</f>
        <v>0</v>
      </c>
      <c r="L31" s="290">
        <f>SUMIF('Pre- and Production'!$T$4:$T$532, CONCATENATE(LEFT('WBS Summary by Year'!L$6,1),'WBS Summary by Year'!$C31,'WBS Summary by Year'!$B$4),'Pre- and Production'!AG$4:AG$532)</f>
        <v>0</v>
      </c>
      <c r="M31" s="286">
        <f>SUMIF('Pre- and Production'!$T$4:$T$532, CONCATENATE(LEFT('WBS Summary by Year'!M$6,1),'WBS Summary by Year'!$C31,'WBS Summary by Year'!$B$4),'Pre- and Production'!AQ$4:AQ$532)</f>
        <v>0</v>
      </c>
      <c r="N31" s="298">
        <f>SUMIF('Pre- and Production'!$T$4:$T$532, CONCATENATE(LEFT('WBS Summary by Year'!N$6,1),'WBS Summary by Year'!$C31,'WBS Summary by Year'!$B$4),'Pre- and Production'!AH$4:AH$532)</f>
        <v>0</v>
      </c>
      <c r="O31" s="299">
        <f>SUMIF('Pre- and Production'!$T$4:$T$532, CONCATENATE(LEFT('WBS Summary by Year'!O$6,1),'WBS Summary by Year'!$C31,'WBS Summary by Year'!$B$4),'Pre- and Production'!AR$4:AR$532)</f>
        <v>0</v>
      </c>
    </row>
    <row r="32" spans="1:15" s="302" customFormat="1">
      <c r="A32" s="9"/>
      <c r="C32" s="9" t="s">
        <v>231</v>
      </c>
      <c r="D32" s="26">
        <f>SUMIF('Pre- and Production'!$T$4:$T$532, CONCATENATE(LEFT('WBS Summary by Year'!D$6,1),'WBS Summary by Year'!$C32,'WBS Summary by Year'!$B$4),'Pre- and Production'!AC$4:AC$532)</f>
        <v>0</v>
      </c>
      <c r="E32" s="286">
        <f>SUMIF('Pre- and Production'!$T$4:$T$532, CONCATENATE(LEFT('WBS Summary by Year'!E$6,1),'WBS Summary by Year'!$C32,'WBS Summary by Year'!$B$4),'Pre- and Production'!AM$4:AM$532)</f>
        <v>0</v>
      </c>
      <c r="F32" s="26">
        <f>SUMIF('Pre- and Production'!$T$4:$T$532, CONCATENATE(LEFT('WBS Summary by Year'!F$6,1),'WBS Summary by Year'!$C32,'WBS Summary by Year'!$B$4),'Pre- and Production'!AD$4:AD$532)</f>
        <v>0</v>
      </c>
      <c r="G32" s="279">
        <f>SUMIF('Pre- and Production'!$T$4:$T$532, CONCATENATE(LEFT('WBS Summary by Year'!G$6,1),'WBS Summary by Year'!$C32,'WBS Summary by Year'!$B$4),'Pre- and Production'!AN$4:AN$532)</f>
        <v>0</v>
      </c>
      <c r="H32" s="290">
        <f>SUMIF('Pre- and Production'!$T$4:$T$532, CONCATENATE(LEFT('WBS Summary by Year'!H$6,1),'WBS Summary by Year'!$C32,'WBS Summary by Year'!$B$4),'Pre- and Production'!AE$4:AE$532)</f>
        <v>0</v>
      </c>
      <c r="I32" s="286">
        <f>SUMIF('Pre- and Production'!$T$4:$T$532, CONCATENATE(LEFT('WBS Summary by Year'!I$6,1),'WBS Summary by Year'!$C32,'WBS Summary by Year'!$B$4),'Pre- and Production'!AO$4:AO$532)</f>
        <v>0</v>
      </c>
      <c r="J32" s="26">
        <f>SUMIF('Pre- and Production'!$T$4:$T$532, CONCATENATE(LEFT('WBS Summary by Year'!J$6,1),'WBS Summary by Year'!$C32,'WBS Summary by Year'!$B$4),'Pre- and Production'!AF$4:AFI$532)</f>
        <v>0</v>
      </c>
      <c r="K32" s="279">
        <f>SUMIF('Pre- and Production'!$T$4:$T$532, CONCATENATE(LEFT('WBS Summary by Year'!K$6,1),'WBS Summary by Year'!$C32,'WBS Summary by Year'!$B$4),'Pre- and Production'!AP$4:AP$532)</f>
        <v>0</v>
      </c>
      <c r="L32" s="290">
        <f>SUMIF('Pre- and Production'!$T$4:$T$532, CONCATENATE(LEFT('WBS Summary by Year'!L$6,1),'WBS Summary by Year'!$C32,'WBS Summary by Year'!$B$4),'Pre- and Production'!AG$4:AG$532)</f>
        <v>0</v>
      </c>
      <c r="M32" s="286">
        <f>SUMIF('Pre- and Production'!$T$4:$T$532, CONCATENATE(LEFT('WBS Summary by Year'!M$6,1),'WBS Summary by Year'!$C32,'WBS Summary by Year'!$B$4),'Pre- and Production'!AQ$4:AQ$532)</f>
        <v>0</v>
      </c>
      <c r="N32" s="298">
        <f>SUMIF('Pre- and Production'!$T$4:$T$532, CONCATENATE(LEFT('WBS Summary by Year'!N$6,1),'WBS Summary by Year'!$C32,'WBS Summary by Year'!$B$4),'Pre- and Production'!AH$4:AH$532)</f>
        <v>0</v>
      </c>
      <c r="O32" s="299">
        <f>SUMIF('Pre- and Production'!$T$4:$T$532, CONCATENATE(LEFT('WBS Summary by Year'!O$6,1),'WBS Summary by Year'!$C32,'WBS Summary by Year'!$B$4),'Pre- and Production'!AR$4:AR$532)</f>
        <v>0</v>
      </c>
    </row>
    <row r="33" spans="1:31" s="302" customFormat="1">
      <c r="A33" s="9"/>
      <c r="C33" s="9" t="s">
        <v>232</v>
      </c>
      <c r="D33" s="26">
        <f>SUMIF('Pre- and Production'!$T$4:$T$532, CONCATENATE(LEFT('WBS Summary by Year'!D$6,1),'WBS Summary by Year'!$C33,'WBS Summary by Year'!$B$4),'Pre- and Production'!AC$4:AC$532)</f>
        <v>0</v>
      </c>
      <c r="E33" s="286">
        <f>SUMIF('Pre- and Production'!$T$4:$T$532, CONCATENATE(LEFT('WBS Summary by Year'!E$6,1),'WBS Summary by Year'!$C33,'WBS Summary by Year'!$B$4),'Pre- and Production'!AM$4:AM$532)</f>
        <v>0</v>
      </c>
      <c r="F33" s="26">
        <f>SUMIF('Pre- and Production'!$T$4:$T$532, CONCATENATE(LEFT('WBS Summary by Year'!F$6,1),'WBS Summary by Year'!$C33,'WBS Summary by Year'!$B$4),'Pre- and Production'!AD$4:AD$532)</f>
        <v>0</v>
      </c>
      <c r="G33" s="279">
        <f>SUMIF('Pre- and Production'!$T$4:$T$532, CONCATENATE(LEFT('WBS Summary by Year'!G$6,1),'WBS Summary by Year'!$C33,'WBS Summary by Year'!$B$4),'Pre- and Production'!AN$4:AN$532)</f>
        <v>0</v>
      </c>
      <c r="H33" s="290">
        <f>SUMIF('Pre- and Production'!$T$4:$T$532, CONCATENATE(LEFT('WBS Summary by Year'!H$6,1),'WBS Summary by Year'!$C33,'WBS Summary by Year'!$B$4),'Pre- and Production'!AE$4:AE$532)</f>
        <v>0</v>
      </c>
      <c r="I33" s="286">
        <f>SUMIF('Pre- and Production'!$T$4:$T$532, CONCATENATE(LEFT('WBS Summary by Year'!I$6,1),'WBS Summary by Year'!$C33,'WBS Summary by Year'!$B$4),'Pre- and Production'!AO$4:AO$532)</f>
        <v>0</v>
      </c>
      <c r="J33" s="26">
        <f>SUMIF('Pre- and Production'!$T$4:$T$532, CONCATENATE(LEFT('WBS Summary by Year'!J$6,1),'WBS Summary by Year'!$C33,'WBS Summary by Year'!$B$4),'Pre- and Production'!AF$4:AFI$532)</f>
        <v>0</v>
      </c>
      <c r="K33" s="279">
        <f>SUMIF('Pre- and Production'!$T$4:$T$532, CONCATENATE(LEFT('WBS Summary by Year'!K$6,1),'WBS Summary by Year'!$C33,'WBS Summary by Year'!$B$4),'Pre- and Production'!AP$4:AP$532)</f>
        <v>0</v>
      </c>
      <c r="L33" s="290">
        <f>SUMIF('Pre- and Production'!$T$4:$T$532, CONCATENATE(LEFT('WBS Summary by Year'!L$6,1),'WBS Summary by Year'!$C33,'WBS Summary by Year'!$B$4),'Pre- and Production'!AG$4:AG$532)</f>
        <v>0</v>
      </c>
      <c r="M33" s="286">
        <f>SUMIF('Pre- and Production'!$T$4:$T$532, CONCATENATE(LEFT('WBS Summary by Year'!M$6,1),'WBS Summary by Year'!$C33,'WBS Summary by Year'!$B$4),'Pre- and Production'!AQ$4:AQ$532)</f>
        <v>0</v>
      </c>
      <c r="N33" s="298">
        <f>SUMIF('Pre- and Production'!$T$4:$T$532, CONCATENATE(LEFT('WBS Summary by Year'!N$6,1),'WBS Summary by Year'!$C33,'WBS Summary by Year'!$B$4),'Pre- and Production'!AH$4:AH$532)</f>
        <v>0</v>
      </c>
      <c r="O33" s="299">
        <f>SUMIF('Pre- and Production'!$T$4:$T$532, CONCATENATE(LEFT('WBS Summary by Year'!O$6,1),'WBS Summary by Year'!$C33,'WBS Summary by Year'!$B$4),'Pre- and Production'!AR$4:AR$532)</f>
        <v>0</v>
      </c>
    </row>
    <row r="34" spans="1:31" s="302" customFormat="1">
      <c r="A34" s="9"/>
      <c r="C34" s="9" t="s">
        <v>233</v>
      </c>
      <c r="D34" s="26">
        <f>SUMIF('Pre- and Production'!$T$4:$T$532, CONCATENATE(LEFT('WBS Summary by Year'!D$6,1),'WBS Summary by Year'!$C34,'WBS Summary by Year'!$B$4),'Pre- and Production'!AC$4:AC$532)</f>
        <v>0</v>
      </c>
      <c r="E34" s="286">
        <f>SUMIF('Pre- and Production'!$T$4:$T$532, CONCATENATE(LEFT('WBS Summary by Year'!E$6,1),'WBS Summary by Year'!$C34,'WBS Summary by Year'!$B$4),'Pre- and Production'!AM$4:AM$532)</f>
        <v>0</v>
      </c>
      <c r="F34" s="26">
        <f>SUMIF('Pre- and Production'!$T$4:$T$532, CONCATENATE(LEFT('WBS Summary by Year'!F$6,1),'WBS Summary by Year'!$C34,'WBS Summary by Year'!$B$4),'Pre- and Production'!AD$4:AD$532)</f>
        <v>0</v>
      </c>
      <c r="G34" s="279">
        <f>SUMIF('Pre- and Production'!$T$4:$T$532, CONCATENATE(LEFT('WBS Summary by Year'!G$6,1),'WBS Summary by Year'!$C34,'WBS Summary by Year'!$B$4),'Pre- and Production'!AN$4:AN$532)</f>
        <v>0</v>
      </c>
      <c r="H34" s="290">
        <f>SUMIF('Pre- and Production'!$T$4:$T$532, CONCATENATE(LEFT('WBS Summary by Year'!H$6,1),'WBS Summary by Year'!$C34,'WBS Summary by Year'!$B$4),'Pre- and Production'!AE$4:AE$532)</f>
        <v>0</v>
      </c>
      <c r="I34" s="286">
        <f>SUMIF('Pre- and Production'!$T$4:$T$532, CONCATENATE(LEFT('WBS Summary by Year'!I$6,1),'WBS Summary by Year'!$C34,'WBS Summary by Year'!$B$4),'Pre- and Production'!AO$4:AO$532)</f>
        <v>0</v>
      </c>
      <c r="J34" s="26">
        <f>SUMIF('Pre- and Production'!$T$4:$T$532, CONCATENATE(LEFT('WBS Summary by Year'!J$6,1),'WBS Summary by Year'!$C34,'WBS Summary by Year'!$B$4),'Pre- and Production'!AF$4:AFI$532)</f>
        <v>0</v>
      </c>
      <c r="K34" s="279">
        <f>SUMIF('Pre- and Production'!$T$4:$T$532, CONCATENATE(LEFT('WBS Summary by Year'!K$6,1),'WBS Summary by Year'!$C34,'WBS Summary by Year'!$B$4),'Pre- and Production'!AP$4:AP$532)</f>
        <v>0</v>
      </c>
      <c r="L34" s="290">
        <f>SUMIF('Pre- and Production'!$T$4:$T$532, CONCATENATE(LEFT('WBS Summary by Year'!L$6,1),'WBS Summary by Year'!$C34,'WBS Summary by Year'!$B$4),'Pre- and Production'!AG$4:AG$532)</f>
        <v>0</v>
      </c>
      <c r="M34" s="286">
        <f>SUMIF('Pre- and Production'!$T$4:$T$532, CONCATENATE(LEFT('WBS Summary by Year'!M$6,1),'WBS Summary by Year'!$C34,'WBS Summary by Year'!$B$4),'Pre- and Production'!AQ$4:AQ$532)</f>
        <v>0</v>
      </c>
      <c r="N34" s="298">
        <f>SUMIF('Pre- and Production'!$T$4:$T$532, CONCATENATE(LEFT('WBS Summary by Year'!N$6,1),'WBS Summary by Year'!$C34,'WBS Summary by Year'!$B$4),'Pre- and Production'!AH$4:AH$532)</f>
        <v>0</v>
      </c>
      <c r="O34" s="299">
        <f>SUMIF('Pre- and Production'!$T$4:$T$532, CONCATENATE(LEFT('WBS Summary by Year'!O$6,1),'WBS Summary by Year'!$C34,'WBS Summary by Year'!$B$4),'Pre- and Production'!AR$4:AR$532)</f>
        <v>0</v>
      </c>
    </row>
    <row r="35" spans="1:31" s="302" customFormat="1">
      <c r="A35" s="9"/>
      <c r="C35" s="9" t="s">
        <v>234</v>
      </c>
      <c r="D35" s="26">
        <f>SUMIF('Pre- and Production'!$T$4:$T$532, CONCATENATE(LEFT('WBS Summary by Year'!D$6,1),'WBS Summary by Year'!$C35,'WBS Summary by Year'!$B$4),'Pre- and Production'!AC$4:AC$532)</f>
        <v>0</v>
      </c>
      <c r="E35" s="286">
        <f>SUMIF('Pre- and Production'!$T$4:$T$532, CONCATENATE(LEFT('WBS Summary by Year'!E$6,1),'WBS Summary by Year'!$C35,'WBS Summary by Year'!$B$4),'Pre- and Production'!AM$4:AM$532)</f>
        <v>0</v>
      </c>
      <c r="F35" s="26">
        <f>SUMIF('Pre- and Production'!$T$4:$T$532, CONCATENATE(LEFT('WBS Summary by Year'!F$6,1),'WBS Summary by Year'!$C35,'WBS Summary by Year'!$B$4),'Pre- and Production'!AD$4:AD$532)</f>
        <v>0</v>
      </c>
      <c r="G35" s="279">
        <f>SUMIF('Pre- and Production'!$T$4:$T$532, CONCATENATE(LEFT('WBS Summary by Year'!G$6,1),'WBS Summary by Year'!$C35,'WBS Summary by Year'!$B$4),'Pre- and Production'!AN$4:AN$532)</f>
        <v>0</v>
      </c>
      <c r="H35" s="290">
        <f>SUMIF('Pre- and Production'!$T$4:$T$532, CONCATENATE(LEFT('WBS Summary by Year'!H$6,1),'WBS Summary by Year'!$C35,'WBS Summary by Year'!$B$4),'Pre- and Production'!AE$4:AE$532)</f>
        <v>0</v>
      </c>
      <c r="I35" s="286">
        <f>SUMIF('Pre- and Production'!$T$4:$T$532, CONCATENATE(LEFT('WBS Summary by Year'!I$6,1),'WBS Summary by Year'!$C35,'WBS Summary by Year'!$B$4),'Pre- and Production'!AO$4:AO$532)</f>
        <v>0</v>
      </c>
      <c r="J35" s="26">
        <f>SUMIF('Pre- and Production'!$T$4:$T$532, CONCATENATE(LEFT('WBS Summary by Year'!J$6,1),'WBS Summary by Year'!$C35,'WBS Summary by Year'!$B$4),'Pre- and Production'!AF$4:AFI$532)</f>
        <v>0</v>
      </c>
      <c r="K35" s="279">
        <f>SUMIF('Pre- and Production'!$T$4:$T$532, CONCATENATE(LEFT('WBS Summary by Year'!K$6,1),'WBS Summary by Year'!$C35,'WBS Summary by Year'!$B$4),'Pre- and Production'!AP$4:AP$532)</f>
        <v>0</v>
      </c>
      <c r="L35" s="290">
        <f>SUMIF('Pre- and Production'!$T$4:$T$532, CONCATENATE(LEFT('WBS Summary by Year'!L$6,1),'WBS Summary by Year'!$C35,'WBS Summary by Year'!$B$4),'Pre- and Production'!AG$4:AG$532)</f>
        <v>0</v>
      </c>
      <c r="M35" s="286">
        <f>SUMIF('Pre- and Production'!$T$4:$T$532, CONCATENATE(LEFT('WBS Summary by Year'!M$6,1),'WBS Summary by Year'!$C35,'WBS Summary by Year'!$B$4),'Pre- and Production'!AQ$4:AQ$532)</f>
        <v>0</v>
      </c>
      <c r="N35" s="298">
        <f>SUMIF('Pre- and Production'!$T$4:$T$532, CONCATENATE(LEFT('WBS Summary by Year'!N$6,1),'WBS Summary by Year'!$C35,'WBS Summary by Year'!$B$4),'Pre- and Production'!AH$4:AH$532)</f>
        <v>0</v>
      </c>
      <c r="O35" s="299">
        <f>SUMIF('Pre- and Production'!$T$4:$T$532, CONCATENATE(LEFT('WBS Summary by Year'!O$6,1),'WBS Summary by Year'!$C35,'WBS Summary by Year'!$B$4),'Pre- and Production'!AR$4:AR$532)</f>
        <v>0</v>
      </c>
    </row>
    <row r="36" spans="1:31" s="302" customFormat="1">
      <c r="A36" s="9"/>
      <c r="C36" s="9" t="s">
        <v>235</v>
      </c>
      <c r="D36" s="26">
        <f>SUMIF('Pre- and Production'!$T$4:$T$532, CONCATENATE(LEFT('WBS Summary by Year'!D$6,1),'WBS Summary by Year'!$C36,'WBS Summary by Year'!$B$4),'Pre- and Production'!AC$4:AC$532)</f>
        <v>0</v>
      </c>
      <c r="E36" s="286">
        <f>SUMIF('Pre- and Production'!$T$4:$T$532, CONCATENATE(LEFT('WBS Summary by Year'!E$6,1),'WBS Summary by Year'!$C36,'WBS Summary by Year'!$B$4),'Pre- and Production'!AM$4:AM$532)</f>
        <v>0</v>
      </c>
      <c r="F36" s="26">
        <f>SUMIF('Pre- and Production'!$T$4:$T$532, CONCATENATE(LEFT('WBS Summary by Year'!F$6,1),'WBS Summary by Year'!$C36,'WBS Summary by Year'!$B$4),'Pre- and Production'!AD$4:AD$532)</f>
        <v>0</v>
      </c>
      <c r="G36" s="279">
        <f>SUMIF('Pre- and Production'!$T$4:$T$532, CONCATENATE(LEFT('WBS Summary by Year'!G$6,1),'WBS Summary by Year'!$C36,'WBS Summary by Year'!$B$4),'Pre- and Production'!AN$4:AN$532)</f>
        <v>0</v>
      </c>
      <c r="H36" s="290">
        <f>SUMIF('Pre- and Production'!$T$4:$T$532, CONCATENATE(LEFT('WBS Summary by Year'!H$6,1),'WBS Summary by Year'!$C36,'WBS Summary by Year'!$B$4),'Pre- and Production'!AE$4:AE$532)</f>
        <v>0</v>
      </c>
      <c r="I36" s="286">
        <f>SUMIF('Pre- and Production'!$T$4:$T$532, CONCATENATE(LEFT('WBS Summary by Year'!I$6,1),'WBS Summary by Year'!$C36,'WBS Summary by Year'!$B$4),'Pre- and Production'!AO$4:AO$532)</f>
        <v>0</v>
      </c>
      <c r="J36" s="26">
        <f>SUMIF('Pre- and Production'!$T$4:$T$532, CONCATENATE(LEFT('WBS Summary by Year'!J$6,1),'WBS Summary by Year'!$C36,'WBS Summary by Year'!$B$4),'Pre- and Production'!AF$4:AFI$532)</f>
        <v>0</v>
      </c>
      <c r="K36" s="279">
        <f>SUMIF('Pre- and Production'!$T$4:$T$532, CONCATENATE(LEFT('WBS Summary by Year'!K$6,1),'WBS Summary by Year'!$C36,'WBS Summary by Year'!$B$4),'Pre- and Production'!AP$4:AP$532)</f>
        <v>0</v>
      </c>
      <c r="L36" s="290">
        <f>SUMIF('Pre- and Production'!$T$4:$T$532, CONCATENATE(LEFT('WBS Summary by Year'!L$6,1),'WBS Summary by Year'!$C36,'WBS Summary by Year'!$B$4),'Pre- and Production'!AG$4:AG$532)</f>
        <v>0</v>
      </c>
      <c r="M36" s="286">
        <f>SUMIF('Pre- and Production'!$T$4:$T$532, CONCATENATE(LEFT('WBS Summary by Year'!M$6,1),'WBS Summary by Year'!$C36,'WBS Summary by Year'!$B$4),'Pre- and Production'!AQ$4:AQ$532)</f>
        <v>0</v>
      </c>
      <c r="N36" s="298">
        <f>SUMIF('Pre- and Production'!$T$4:$T$532, CONCATENATE(LEFT('WBS Summary by Year'!N$6,1),'WBS Summary by Year'!$C36,'WBS Summary by Year'!$B$4),'Pre- and Production'!AH$4:AH$532)</f>
        <v>0</v>
      </c>
      <c r="O36" s="299">
        <f>SUMIF('Pre- and Production'!$T$4:$T$532, CONCATENATE(LEFT('WBS Summary by Year'!O$6,1),'WBS Summary by Year'!$C36,'WBS Summary by Year'!$B$4),'Pre- and Production'!AR$4:AR$532)</f>
        <v>0</v>
      </c>
    </row>
    <row r="37" spans="1:31" s="302" customFormat="1">
      <c r="A37" s="9"/>
      <c r="C37" s="9" t="s">
        <v>236</v>
      </c>
      <c r="D37" s="26">
        <f>SUMIF('Pre- and Production'!$T$4:$T$532, CONCATENATE(LEFT('WBS Summary by Year'!D$6,1),'WBS Summary by Year'!$C37,'WBS Summary by Year'!$B$4),'Pre- and Production'!AC$4:AC$532)</f>
        <v>0</v>
      </c>
      <c r="E37" s="286">
        <f>SUMIF('Pre- and Production'!$T$4:$T$532, CONCATENATE(LEFT('WBS Summary by Year'!E$6,1),'WBS Summary by Year'!$C37,'WBS Summary by Year'!$B$4),'Pre- and Production'!AM$4:AM$532)</f>
        <v>0</v>
      </c>
      <c r="F37" s="26">
        <f>SUMIF('Pre- and Production'!$T$4:$T$532, CONCATENATE(LEFT('WBS Summary by Year'!F$6,1),'WBS Summary by Year'!$C37,'WBS Summary by Year'!$B$4),'Pre- and Production'!AD$4:AD$532)</f>
        <v>0</v>
      </c>
      <c r="G37" s="279">
        <f>SUMIF('Pre- and Production'!$T$4:$T$532, CONCATENATE(LEFT('WBS Summary by Year'!G$6,1),'WBS Summary by Year'!$C37,'WBS Summary by Year'!$B$4),'Pre- and Production'!AN$4:AN$532)</f>
        <v>0</v>
      </c>
      <c r="H37" s="290">
        <f>SUMIF('Pre- and Production'!$T$4:$T$532, CONCATENATE(LEFT('WBS Summary by Year'!H$6,1),'WBS Summary by Year'!$C37,'WBS Summary by Year'!$B$4),'Pre- and Production'!AE$4:AE$532)</f>
        <v>0</v>
      </c>
      <c r="I37" s="286">
        <f>SUMIF('Pre- and Production'!$T$4:$T$532, CONCATENATE(LEFT('WBS Summary by Year'!I$6,1),'WBS Summary by Year'!$C37,'WBS Summary by Year'!$B$4),'Pre- and Production'!AO$4:AO$532)</f>
        <v>0</v>
      </c>
      <c r="J37" s="26">
        <f>SUMIF('Pre- and Production'!$T$4:$T$532, CONCATENATE(LEFT('WBS Summary by Year'!J$6,1),'WBS Summary by Year'!$C37,'WBS Summary by Year'!$B$4),'Pre- and Production'!AF$4:AFI$532)</f>
        <v>0</v>
      </c>
      <c r="K37" s="279">
        <f>SUMIF('Pre- and Production'!$T$4:$T$532, CONCATENATE(LEFT('WBS Summary by Year'!K$6,1),'WBS Summary by Year'!$C37,'WBS Summary by Year'!$B$4),'Pre- and Production'!AP$4:AP$532)</f>
        <v>0</v>
      </c>
      <c r="L37" s="290">
        <f>SUMIF('Pre- and Production'!$T$4:$T$532, CONCATENATE(LEFT('WBS Summary by Year'!L$6,1),'WBS Summary by Year'!$C37,'WBS Summary by Year'!$B$4),'Pre- and Production'!AG$4:AG$532)</f>
        <v>0</v>
      </c>
      <c r="M37" s="286">
        <f>SUMIF('Pre- and Production'!$T$4:$T$532, CONCATENATE(LEFT('WBS Summary by Year'!M$6,1),'WBS Summary by Year'!$C37,'WBS Summary by Year'!$B$4),'Pre- and Production'!AQ$4:AQ$532)</f>
        <v>0</v>
      </c>
      <c r="N37" s="298">
        <f>SUMIF('Pre- and Production'!$T$4:$T$532, CONCATENATE(LEFT('WBS Summary by Year'!N$6,1),'WBS Summary by Year'!$C37,'WBS Summary by Year'!$B$4),'Pre- and Production'!AH$4:AH$532)</f>
        <v>0</v>
      </c>
      <c r="O37" s="299">
        <f>SUMIF('Pre- and Production'!$T$4:$T$532, CONCATENATE(LEFT('WBS Summary by Year'!O$6,1),'WBS Summary by Year'!$C37,'WBS Summary by Year'!$B$4),'Pre- and Production'!AR$4:AR$532)</f>
        <v>0</v>
      </c>
    </row>
    <row r="38" spans="1:31" s="302" customFormat="1" ht="13.5" thickBot="1">
      <c r="A38" s="9"/>
      <c r="C38" s="9" t="s">
        <v>237</v>
      </c>
      <c r="D38" s="280">
        <f>SUMIF('Pre- and Production'!$T$4:$T$532, CONCATENATE(LEFT('WBS Summary by Year'!D$6,1),'WBS Summary by Year'!$C38,'WBS Summary by Year'!$B$4),'Pre- and Production'!AC$4:AC$532)</f>
        <v>0</v>
      </c>
      <c r="E38" s="287">
        <f>SUMIF('Pre- and Production'!$T$4:$T$532, CONCATENATE(LEFT('WBS Summary by Year'!E$6,1),'WBS Summary by Year'!$C38,'WBS Summary by Year'!$B$4),'Pre- and Production'!AM$4:AM$532)</f>
        <v>0</v>
      </c>
      <c r="F38" s="280">
        <f>SUMIF('Pre- and Production'!$T$4:$T$532, CONCATENATE(LEFT('WBS Summary by Year'!F$6,1),'WBS Summary by Year'!$C38,'WBS Summary by Year'!$B$4),'Pre- and Production'!AD$4:AD$532)</f>
        <v>0</v>
      </c>
      <c r="G38" s="281">
        <f>SUMIF('Pre- and Production'!$T$4:$T$532, CONCATENATE(LEFT('WBS Summary by Year'!G$6,1),'WBS Summary by Year'!$C38,'WBS Summary by Year'!$B$4),'Pre- and Production'!AN$4:AN$532)</f>
        <v>0</v>
      </c>
      <c r="H38" s="291">
        <f>SUMIF('Pre- and Production'!$T$4:$T$532, CONCATENATE(LEFT('WBS Summary by Year'!H$6,1),'WBS Summary by Year'!$C38,'WBS Summary by Year'!$B$4),'Pre- and Production'!AE$4:AE$532)</f>
        <v>0</v>
      </c>
      <c r="I38" s="287">
        <f>SUMIF('Pre- and Production'!$T$4:$T$532, CONCATENATE(LEFT('WBS Summary by Year'!I$6,1),'WBS Summary by Year'!$C38,'WBS Summary by Year'!$B$4),'Pre- and Production'!AO$4:AO$532)</f>
        <v>0</v>
      </c>
      <c r="J38" s="280">
        <f>SUMIF('Pre- and Production'!$T$4:$T$532, CONCATENATE(LEFT('WBS Summary by Year'!J$6,1),'WBS Summary by Year'!$C38,'WBS Summary by Year'!$B$4),'Pre- and Production'!AF$4:AFI$532)</f>
        <v>0</v>
      </c>
      <c r="K38" s="281">
        <f>SUMIF('Pre- and Production'!$T$4:$T$532, CONCATENATE(LEFT('WBS Summary by Year'!K$6,1),'WBS Summary by Year'!$C38,'WBS Summary by Year'!$B$4),'Pre- and Production'!AP$4:AP$532)</f>
        <v>0</v>
      </c>
      <c r="L38" s="291">
        <f>SUMIF('Pre- and Production'!$T$4:$T$532, CONCATENATE(LEFT('WBS Summary by Year'!L$6,1),'WBS Summary by Year'!$C38,'WBS Summary by Year'!$B$4),'Pre- and Production'!AG$4:AG$532)</f>
        <v>0</v>
      </c>
      <c r="M38" s="287">
        <f>SUMIF('Pre- and Production'!$T$4:$T$532, CONCATENATE(LEFT('WBS Summary by Year'!M$6,1),'WBS Summary by Year'!$C38,'WBS Summary by Year'!$B$4),'Pre- and Production'!AQ$4:AQ$532)</f>
        <v>0</v>
      </c>
      <c r="N38" s="300">
        <f>SUMIF('Pre- and Production'!$T$4:$T$532, CONCATENATE(LEFT('WBS Summary by Year'!N$6,1),'WBS Summary by Year'!$C38,'WBS Summary by Year'!$B$4),'Pre- and Production'!AH$4:AH$532)</f>
        <v>0</v>
      </c>
      <c r="O38" s="301">
        <f>SUMIF('Pre- and Production'!$T$4:$T$532, CONCATENATE(LEFT('WBS Summary by Year'!O$6,1),'WBS Summary by Year'!$C38,'WBS Summary by Year'!$B$4),'Pre- and Production'!AR$4:AR$532)</f>
        <v>0</v>
      </c>
    </row>
    <row r="39" spans="1:31" ht="13.5" thickTop="1"/>
    <row r="40" spans="1:31">
      <c r="D40">
        <f t="shared" ref="D40:O40" si="0">SUM(D7:D38)</f>
        <v>16</v>
      </c>
      <c r="E40">
        <f t="shared" si="0"/>
        <v>0</v>
      </c>
      <c r="F40">
        <f t="shared" si="0"/>
        <v>52</v>
      </c>
      <c r="G40">
        <f t="shared" si="0"/>
        <v>0</v>
      </c>
      <c r="H40">
        <f t="shared" si="0"/>
        <v>0</v>
      </c>
      <c r="I40">
        <f t="shared" si="0"/>
        <v>0</v>
      </c>
      <c r="J40">
        <f t="shared" si="0"/>
        <v>0</v>
      </c>
      <c r="K40">
        <f t="shared" si="0"/>
        <v>0</v>
      </c>
      <c r="L40">
        <f t="shared" si="0"/>
        <v>0</v>
      </c>
      <c r="M40">
        <f t="shared" si="0"/>
        <v>0</v>
      </c>
      <c r="N40" s="293">
        <f t="shared" si="0"/>
        <v>7420</v>
      </c>
      <c r="O40" s="293">
        <f t="shared" si="0"/>
        <v>0</v>
      </c>
    </row>
    <row r="43" spans="1:31" ht="18.75" thickBot="1">
      <c r="B43" s="292">
        <v>2010</v>
      </c>
    </row>
    <row r="44" spans="1:31" ht="13.5" thickTop="1">
      <c r="D44" s="441" t="s">
        <v>42</v>
      </c>
      <c r="E44" s="442"/>
      <c r="F44" s="441" t="s">
        <v>191</v>
      </c>
      <c r="G44" s="443"/>
      <c r="H44" s="444" t="s">
        <v>38</v>
      </c>
      <c r="I44" s="442"/>
      <c r="J44" s="441" t="s">
        <v>192</v>
      </c>
      <c r="K44" s="443"/>
      <c r="L44" s="444" t="s">
        <v>32</v>
      </c>
      <c r="M44" s="442"/>
      <c r="N44" s="439" t="s">
        <v>193</v>
      </c>
      <c r="O44" s="440"/>
      <c r="T44" s="445"/>
      <c r="U44" s="445"/>
      <c r="V44" s="445"/>
      <c r="W44" s="445"/>
      <c r="X44" s="445"/>
      <c r="Y44" s="445"/>
      <c r="Z44" s="445"/>
      <c r="AA44" s="445"/>
      <c r="AB44" s="445"/>
      <c r="AC44" s="445"/>
      <c r="AD44" s="445"/>
      <c r="AE44" s="445"/>
    </row>
    <row r="45" spans="1:31" ht="13.5" thickBot="1">
      <c r="D45" s="282" t="s">
        <v>70</v>
      </c>
      <c r="E45" s="284" t="s">
        <v>194</v>
      </c>
      <c r="F45" s="282" t="s">
        <v>70</v>
      </c>
      <c r="G45" s="283" t="s">
        <v>194</v>
      </c>
      <c r="H45" s="288" t="s">
        <v>70</v>
      </c>
      <c r="I45" s="284" t="s">
        <v>194</v>
      </c>
      <c r="J45" s="282" t="s">
        <v>70</v>
      </c>
      <c r="K45" s="283" t="s">
        <v>194</v>
      </c>
      <c r="L45" s="288" t="s">
        <v>70</v>
      </c>
      <c r="M45" s="284" t="s">
        <v>194</v>
      </c>
      <c r="N45" s="294" t="s">
        <v>70</v>
      </c>
      <c r="O45" s="295" t="s">
        <v>194</v>
      </c>
    </row>
    <row r="46" spans="1:31" ht="13.5" thickTop="1">
      <c r="C46" s="223">
        <v>1.5</v>
      </c>
      <c r="D46" s="277">
        <f>SUMIF('Pre- and Production'!$T$4:$T$532, CONCATENATE(LEFT('WBS Summary by Year'!D$6,1),'WBS Summary by Year'!$C46,'WBS Summary by Year'!$B$43),'Pre- and Production'!AC$4:AC$532)</f>
        <v>0</v>
      </c>
      <c r="E46" s="285">
        <f>SUMIF('Pre- and Production'!$T$4:$T$532, CONCATENATE(LEFT('WBS Summary by Year'!E$6,1),'WBS Summary by Year'!$C46,'WBS Summary by Year'!$B$43),'Pre- and Production'!AM$4:AM$532)</f>
        <v>0</v>
      </c>
      <c r="F46" s="277">
        <f>SUMIF('Pre- and Production'!$T$4:$T$532, CONCATENATE(LEFT('WBS Summary by Year'!F$6,1),'WBS Summary by Year'!$C46,'WBS Summary by Year'!$B$43),'Pre- and Production'!AD$4:AD$532)</f>
        <v>0</v>
      </c>
      <c r="G46" s="278">
        <f>SUMIF('Pre- and Production'!$T$4:$T$532, CONCATENATE(LEFT('WBS Summary by Year'!G$6,1),'WBS Summary by Year'!$C46,'WBS Summary by Year'!$B$43),'Pre- and Production'!AN$4:AN$532)</f>
        <v>0</v>
      </c>
      <c r="H46" s="289">
        <f>SUMIF('Pre- and Production'!$T$4:$T$532, CONCATENATE(LEFT('WBS Summary by Year'!H$6,1),'WBS Summary by Year'!$C46,'WBS Summary by Year'!$B$43),'Pre- and Production'!AE$4:AE$532)</f>
        <v>0</v>
      </c>
      <c r="I46" s="285">
        <f>SUMIF('Pre- and Production'!$T$4:$T$532, CONCATENATE(LEFT('WBS Summary by Year'!I$6,1),'WBS Summary by Year'!$C46,'WBS Summary by Year'!$B$43),'Pre- and Production'!AO$4:AO$532)</f>
        <v>0</v>
      </c>
      <c r="J46" s="277">
        <f>SUMIF('Pre- and Production'!$T$4:$T$532, CONCATENATE(LEFT('WBS Summary by Year'!J$6,1),'WBS Summary by Year'!$C46,'WBS Summary by Year'!$B$43),'Pre- and Production'!AF$4:AFI$532)</f>
        <v>0</v>
      </c>
      <c r="K46" s="278">
        <f>SUMIF('Pre- and Production'!$T$4:$T$532, CONCATENATE(LEFT('WBS Summary by Year'!K$6,1),'WBS Summary by Year'!$C46,'WBS Summary by Year'!$B$43),'Pre- and Production'!AP$4:AP$532)</f>
        <v>0</v>
      </c>
      <c r="L46" s="289">
        <f>SUMIF('Pre- and Production'!$T$4:$T$532, CONCATENATE(LEFT('WBS Summary by Year'!L$6,1),'WBS Summary by Year'!$C46,'WBS Summary by Year'!$B$43),'Pre- and Production'!AG$4:AG$532)</f>
        <v>0</v>
      </c>
      <c r="M46" s="285">
        <f>SUMIF('Pre- and Production'!$T$4:$T$532, CONCATENATE(LEFT('WBS Summary by Year'!M$6,1),'WBS Summary by Year'!$C46,'WBS Summary by Year'!$B$43),'Pre- and Production'!AQ$4:AQ$532)</f>
        <v>0</v>
      </c>
      <c r="N46" s="296">
        <f>SUMIF('Pre- and Production'!$T$4:$T$532, CONCATENATE(LEFT('WBS Summary by Year'!N$6,1),'WBS Summary by Year'!$C46,'WBS Summary by Year'!$B$43),'Pre- and Production'!AH$4:AH$532)</f>
        <v>0</v>
      </c>
      <c r="O46" s="297">
        <f>SUMIF('Pre- and Production'!$T$4:$T$532, CONCATENATE(LEFT('WBS Summary by Year'!O$6,1),'WBS Summary by Year'!$C46,'WBS Summary by Year'!$B$43),'Pre- and Production'!AR$4:AR$532)</f>
        <v>0</v>
      </c>
    </row>
    <row r="47" spans="1:31">
      <c r="C47" s="9" t="s">
        <v>195</v>
      </c>
      <c r="D47" s="26">
        <f>SUMIF('Pre- and Production'!$T$4:$T$532, CONCATENATE(LEFT('WBS Summary by Year'!D$6,1),'WBS Summary by Year'!$C47,'WBS Summary by Year'!$B$43),'Pre- and Production'!AC$4:AC$532)</f>
        <v>0</v>
      </c>
      <c r="E47" s="286">
        <f>SUMIF('Pre- and Production'!$T$4:$T$532, CONCATENATE(LEFT('WBS Summary by Year'!E$6,1),'WBS Summary by Year'!$C47,'WBS Summary by Year'!$B$43),'Pre- and Production'!AM$4:AM$532)</f>
        <v>0</v>
      </c>
      <c r="F47" s="26">
        <f>SUMIF('Pre- and Production'!$T$4:$T$532, CONCATENATE(LEFT('WBS Summary by Year'!F$6,1),'WBS Summary by Year'!$C47,'WBS Summary by Year'!$B$43),'Pre- and Production'!AD$4:AD$532)</f>
        <v>0</v>
      </c>
      <c r="G47" s="279">
        <f>SUMIF('Pre- and Production'!$T$4:$T$532, CONCATENATE(LEFT('WBS Summary by Year'!G$6,1),'WBS Summary by Year'!$C47,'WBS Summary by Year'!$B$43),'Pre- and Production'!AN$4:AN$532)</f>
        <v>0</v>
      </c>
      <c r="H47" s="290">
        <f>SUMIF('Pre- and Production'!$T$4:$T$532, CONCATENATE(LEFT('WBS Summary by Year'!H$6,1),'WBS Summary by Year'!$C47,'WBS Summary by Year'!$B$43),'Pre- and Production'!AE$4:AE$532)</f>
        <v>0</v>
      </c>
      <c r="I47" s="286">
        <f>SUMIF('Pre- and Production'!$T$4:$T$532, CONCATENATE(LEFT('WBS Summary by Year'!I$6,1),'WBS Summary by Year'!$C47,'WBS Summary by Year'!$B$43),'Pre- and Production'!AO$4:AO$532)</f>
        <v>0</v>
      </c>
      <c r="J47" s="26">
        <f>SUMIF('Pre- and Production'!$T$4:$T$532, CONCATENATE(LEFT('WBS Summary by Year'!J$6,1),'WBS Summary by Year'!$C47,'WBS Summary by Year'!$B$43),'Pre- and Production'!AF$4:AFI$532)</f>
        <v>0</v>
      </c>
      <c r="K47" s="279">
        <f>SUMIF('Pre- and Production'!$T$4:$T$532, CONCATENATE(LEFT('WBS Summary by Year'!K$6,1),'WBS Summary by Year'!$C47,'WBS Summary by Year'!$B$43),'Pre- and Production'!AP$4:AP$532)</f>
        <v>0</v>
      </c>
      <c r="L47" s="290">
        <f>SUMIF('Pre- and Production'!$T$4:$T$532, CONCATENATE(LEFT('WBS Summary by Year'!L$6,1),'WBS Summary by Year'!$C47,'WBS Summary by Year'!$B$43),'Pre- and Production'!AG$4:AG$532)</f>
        <v>0</v>
      </c>
      <c r="M47" s="286">
        <f>SUMIF('Pre- and Production'!$T$4:$T$532, CONCATENATE(LEFT('WBS Summary by Year'!M$6,1),'WBS Summary by Year'!$C47,'WBS Summary by Year'!$B$43),'Pre- and Production'!AQ$4:AQ$532)</f>
        <v>0</v>
      </c>
      <c r="N47" s="298">
        <f>SUMIF('Pre- and Production'!$T$4:$T$532, CONCATENATE(LEFT('WBS Summary by Year'!N$6,1),'WBS Summary by Year'!$C47,'WBS Summary by Year'!$B$43),'Pre- and Production'!AH$4:AH$532)</f>
        <v>0</v>
      </c>
      <c r="O47" s="299">
        <f>SUMIF('Pre- and Production'!$T$4:$T$532, CONCATENATE(LEFT('WBS Summary by Year'!O$6,1),'WBS Summary by Year'!$C47,'WBS Summary by Year'!$B$43),'Pre- and Production'!AR$4:AR$532)</f>
        <v>0</v>
      </c>
    </row>
    <row r="48" spans="1:31">
      <c r="C48" s="9" t="s">
        <v>198</v>
      </c>
      <c r="D48" s="26">
        <f>SUMIF('Pre- and Production'!$T$4:$T$532, CONCATENATE(LEFT('WBS Summary by Year'!D$6,1),'WBS Summary by Year'!$C48,'WBS Summary by Year'!$B$43),'Pre- and Production'!AC$4:AC$532)</f>
        <v>0</v>
      </c>
      <c r="E48" s="286">
        <f>SUMIF('Pre- and Production'!$T$4:$T$532, CONCATENATE(LEFT('WBS Summary by Year'!E$6,1),'WBS Summary by Year'!$C48,'WBS Summary by Year'!$B$43),'Pre- and Production'!AM$4:AM$532)</f>
        <v>0</v>
      </c>
      <c r="F48" s="26">
        <f>SUMIF('Pre- and Production'!$T$4:$T$532, CONCATENATE(LEFT('WBS Summary by Year'!F$6,1),'WBS Summary by Year'!$C48,'WBS Summary by Year'!$B$43),'Pre- and Production'!AD$4:AD$532)</f>
        <v>0</v>
      </c>
      <c r="G48" s="279">
        <f>SUMIF('Pre- and Production'!$T$4:$T$532, CONCATENATE(LEFT('WBS Summary by Year'!G$6,1),'WBS Summary by Year'!$C48,'WBS Summary by Year'!$B$43),'Pre- and Production'!AN$4:AN$532)</f>
        <v>0</v>
      </c>
      <c r="H48" s="290">
        <f>SUMIF('Pre- and Production'!$T$4:$T$532, CONCATENATE(LEFT('WBS Summary by Year'!H$6,1),'WBS Summary by Year'!$C48,'WBS Summary by Year'!$B$43),'Pre- and Production'!AE$4:AE$532)</f>
        <v>0</v>
      </c>
      <c r="I48" s="286">
        <f>SUMIF('Pre- and Production'!$T$4:$T$532, CONCATENATE(LEFT('WBS Summary by Year'!I$6,1),'WBS Summary by Year'!$C48,'WBS Summary by Year'!$B$43),'Pre- and Production'!AO$4:AO$532)</f>
        <v>0</v>
      </c>
      <c r="J48" s="26">
        <f>SUMIF('Pre- and Production'!$T$4:$T$532, CONCATENATE(LEFT('WBS Summary by Year'!J$6,1),'WBS Summary by Year'!$C48,'WBS Summary by Year'!$B$43),'Pre- and Production'!AF$4:AFI$532)</f>
        <v>0</v>
      </c>
      <c r="K48" s="279">
        <f>SUMIF('Pre- and Production'!$T$4:$T$532, CONCATENATE(LEFT('WBS Summary by Year'!K$6,1),'WBS Summary by Year'!$C48,'WBS Summary by Year'!$B$43),'Pre- and Production'!AP$4:AP$532)</f>
        <v>0</v>
      </c>
      <c r="L48" s="290">
        <f>SUMIF('Pre- and Production'!$T$4:$T$532, CONCATENATE(LEFT('WBS Summary by Year'!L$6,1),'WBS Summary by Year'!$C48,'WBS Summary by Year'!$B$43),'Pre- and Production'!AG$4:AG$532)</f>
        <v>0</v>
      </c>
      <c r="M48" s="286">
        <f>SUMIF('Pre- and Production'!$T$4:$T$532, CONCATENATE(LEFT('WBS Summary by Year'!M$6,1),'WBS Summary by Year'!$C48,'WBS Summary by Year'!$B$43),'Pre- and Production'!AQ$4:AQ$532)</f>
        <v>0</v>
      </c>
      <c r="N48" s="298">
        <f>SUMIF('Pre- and Production'!$T$4:$T$532, CONCATENATE(LEFT('WBS Summary by Year'!N$6,1),'WBS Summary by Year'!$C48,'WBS Summary by Year'!$B$43),'Pre- and Production'!AH$4:AH$532)</f>
        <v>0</v>
      </c>
      <c r="O48" s="299">
        <f>SUMIF('Pre- and Production'!$T$4:$T$532, CONCATENATE(LEFT('WBS Summary by Year'!O$6,1),'WBS Summary by Year'!$C48,'WBS Summary by Year'!$B$43),'Pre- and Production'!AR$4:AR$532)</f>
        <v>0</v>
      </c>
    </row>
    <row r="49" spans="3:15">
      <c r="C49" s="9" t="s">
        <v>200</v>
      </c>
      <c r="D49" s="26">
        <f>SUMIF('Pre- and Production'!$T$4:$T$532, CONCATENATE(LEFT('WBS Summary by Year'!D$6,1),'WBS Summary by Year'!$C49,'WBS Summary by Year'!$B$43),'Pre- and Production'!AC$4:AC$532)</f>
        <v>0</v>
      </c>
      <c r="E49" s="286">
        <f>SUMIF('Pre- and Production'!$T$4:$T$532, CONCATENATE(LEFT('WBS Summary by Year'!E$6,1),'WBS Summary by Year'!$C49,'WBS Summary by Year'!$B$43),'Pre- and Production'!AM$4:AM$532)</f>
        <v>0</v>
      </c>
      <c r="F49" s="26">
        <f>SUMIF('Pre- and Production'!$T$4:$T$532, CONCATENATE(LEFT('WBS Summary by Year'!F$6,1),'WBS Summary by Year'!$C49,'WBS Summary by Year'!$B$43),'Pre- and Production'!AD$4:AD$532)</f>
        <v>0</v>
      </c>
      <c r="G49" s="279">
        <f>SUMIF('Pre- and Production'!$T$4:$T$532, CONCATENATE(LEFT('WBS Summary by Year'!G$6,1),'WBS Summary by Year'!$C49,'WBS Summary by Year'!$B$43),'Pre- and Production'!AN$4:AN$532)</f>
        <v>0</v>
      </c>
      <c r="H49" s="290">
        <f>SUMIF('Pre- and Production'!$T$4:$T$532, CONCATENATE(LEFT('WBS Summary by Year'!H$6,1),'WBS Summary by Year'!$C49,'WBS Summary by Year'!$B$43),'Pre- and Production'!AE$4:AE$532)</f>
        <v>0</v>
      </c>
      <c r="I49" s="286">
        <f>SUMIF('Pre- and Production'!$T$4:$T$532, CONCATENATE(LEFT('WBS Summary by Year'!I$6,1),'WBS Summary by Year'!$C49,'WBS Summary by Year'!$B$43),'Pre- and Production'!AO$4:AO$532)</f>
        <v>0</v>
      </c>
      <c r="J49" s="26">
        <f>SUMIF('Pre- and Production'!$T$4:$T$532, CONCATENATE(LEFT('WBS Summary by Year'!J$6,1),'WBS Summary by Year'!$C49,'WBS Summary by Year'!$B$43),'Pre- and Production'!AF$4:AFI$532)</f>
        <v>0</v>
      </c>
      <c r="K49" s="279">
        <f>SUMIF('Pre- and Production'!$T$4:$T$532, CONCATENATE(LEFT('WBS Summary by Year'!K$6,1),'WBS Summary by Year'!$C49,'WBS Summary by Year'!$B$43),'Pre- and Production'!AP$4:AP$532)</f>
        <v>0</v>
      </c>
      <c r="L49" s="290">
        <f>SUMIF('Pre- and Production'!$T$4:$T$532, CONCATENATE(LEFT('WBS Summary by Year'!L$6,1),'WBS Summary by Year'!$C49,'WBS Summary by Year'!$B$43),'Pre- and Production'!AG$4:AG$532)</f>
        <v>0</v>
      </c>
      <c r="M49" s="286">
        <f>SUMIF('Pre- and Production'!$T$4:$T$532, CONCATENATE(LEFT('WBS Summary by Year'!M$6,1),'WBS Summary by Year'!$C49,'WBS Summary by Year'!$B$43),'Pre- and Production'!AQ$4:AQ$532)</f>
        <v>0</v>
      </c>
      <c r="N49" s="298">
        <f>SUMIF('Pre- and Production'!$T$4:$T$532, CONCATENATE(LEFT('WBS Summary by Year'!N$6,1),'WBS Summary by Year'!$C49,'WBS Summary by Year'!$B$43),'Pre- and Production'!AH$4:AH$532)</f>
        <v>0</v>
      </c>
      <c r="O49" s="299">
        <f>SUMIF('Pre- and Production'!$T$4:$T$532, CONCATENATE(LEFT('WBS Summary by Year'!O$6,1),'WBS Summary by Year'!$C49,'WBS Summary by Year'!$B$43),'Pre- and Production'!AR$4:AR$532)</f>
        <v>0</v>
      </c>
    </row>
    <row r="50" spans="3:15" s="302" customFormat="1">
      <c r="C50" s="9" t="s">
        <v>202</v>
      </c>
      <c r="D50" s="26">
        <f>SUMIF('Pre- and Production'!$T$4:$T$532, CONCATENATE(LEFT('WBS Summary by Year'!D$6,1),'WBS Summary by Year'!$C50,'WBS Summary by Year'!$B$43),'Pre- and Production'!AC$4:AC$532)</f>
        <v>0</v>
      </c>
      <c r="E50" s="286">
        <f>SUMIF('Pre- and Production'!$T$4:$T$532, CONCATENATE(LEFT('WBS Summary by Year'!E$6,1),'WBS Summary by Year'!$C50,'WBS Summary by Year'!$B$43),'Pre- and Production'!AM$4:AM$532)</f>
        <v>0</v>
      </c>
      <c r="F50" s="26">
        <f>SUMIF('Pre- and Production'!$T$4:$T$532, CONCATENATE(LEFT('WBS Summary by Year'!F$6,1),'WBS Summary by Year'!$C50,'WBS Summary by Year'!$B$43),'Pre- and Production'!AD$4:AD$532)</f>
        <v>3</v>
      </c>
      <c r="G50" s="279">
        <f>SUMIF('Pre- and Production'!$T$4:$T$532, CONCATENATE(LEFT('WBS Summary by Year'!G$6,1),'WBS Summary by Year'!$C50,'WBS Summary by Year'!$B$43),'Pre- and Production'!AN$4:AN$532)</f>
        <v>0</v>
      </c>
      <c r="H50" s="290">
        <f>SUMIF('Pre- and Production'!$T$4:$T$532, CONCATENATE(LEFT('WBS Summary by Year'!H$6,1),'WBS Summary by Year'!$C50,'WBS Summary by Year'!$B$43),'Pre- and Production'!AE$4:AE$532)</f>
        <v>0</v>
      </c>
      <c r="I50" s="286">
        <f>SUMIF('Pre- and Production'!$T$4:$T$532, CONCATENATE(LEFT('WBS Summary by Year'!I$6,1),'WBS Summary by Year'!$C50,'WBS Summary by Year'!$B$43),'Pre- and Production'!AO$4:AO$532)</f>
        <v>0</v>
      </c>
      <c r="J50" s="26">
        <f>SUMIF('Pre- and Production'!$T$4:$T$532, CONCATENATE(LEFT('WBS Summary by Year'!J$6,1),'WBS Summary by Year'!$C50,'WBS Summary by Year'!$B$43),'Pre- and Production'!AF$4:AFI$532)</f>
        <v>0</v>
      </c>
      <c r="K50" s="279">
        <f>SUMIF('Pre- and Production'!$T$4:$T$532, CONCATENATE(LEFT('WBS Summary by Year'!K$6,1),'WBS Summary by Year'!$C50,'WBS Summary by Year'!$B$43),'Pre- and Production'!AP$4:AP$532)</f>
        <v>0</v>
      </c>
      <c r="L50" s="290">
        <f>SUMIF('Pre- and Production'!$T$4:$T$532, CONCATENATE(LEFT('WBS Summary by Year'!L$6,1),'WBS Summary by Year'!$C50,'WBS Summary by Year'!$B$43),'Pre- and Production'!AG$4:AG$532)</f>
        <v>0</v>
      </c>
      <c r="M50" s="286">
        <f>SUMIF('Pre- and Production'!$T$4:$T$532, CONCATENATE(LEFT('WBS Summary by Year'!M$6,1),'WBS Summary by Year'!$C50,'WBS Summary by Year'!$B$43),'Pre- and Production'!AQ$4:AQ$532)</f>
        <v>0</v>
      </c>
      <c r="N50" s="298">
        <f>SUMIF('Pre- and Production'!$T$4:$T$532, CONCATENATE(LEFT('WBS Summary by Year'!N$6,1),'WBS Summary by Year'!$C50,'WBS Summary by Year'!$B$43),'Pre- and Production'!AH$4:AH$532)</f>
        <v>4500</v>
      </c>
      <c r="O50" s="299">
        <f>SUMIF('Pre- and Production'!$T$4:$T$532, CONCATENATE(LEFT('WBS Summary by Year'!O$6,1),'WBS Summary by Year'!$C50,'WBS Summary by Year'!$B$43),'Pre- and Production'!AR$4:AR$532)</f>
        <v>0</v>
      </c>
    </row>
    <row r="51" spans="3:15" s="302" customFormat="1">
      <c r="C51" s="9" t="s">
        <v>204</v>
      </c>
      <c r="D51" s="26">
        <f>SUMIF('Pre- and Production'!$T$4:$T$532, CONCATENATE(LEFT('WBS Summary by Year'!D$6,1),'WBS Summary by Year'!$C51,'WBS Summary by Year'!$B$43),'Pre- and Production'!AC$4:AC$532)</f>
        <v>58</v>
      </c>
      <c r="E51" s="286">
        <f>SUMIF('Pre- and Production'!$T$4:$T$532, CONCATENATE(LEFT('WBS Summary by Year'!E$6,1),'WBS Summary by Year'!$C51,'WBS Summary by Year'!$B$43),'Pre- and Production'!AM$4:AM$532)</f>
        <v>0</v>
      </c>
      <c r="F51" s="26">
        <f>SUMIF('Pre- and Production'!$T$4:$T$532, CONCATENATE(LEFT('WBS Summary by Year'!F$6,1),'WBS Summary by Year'!$C51,'WBS Summary by Year'!$B$43),'Pre- and Production'!AD$4:AD$532)</f>
        <v>260</v>
      </c>
      <c r="G51" s="279">
        <f>SUMIF('Pre- and Production'!$T$4:$T$532, CONCATENATE(LEFT('WBS Summary by Year'!G$6,1),'WBS Summary by Year'!$C51,'WBS Summary by Year'!$B$43),'Pre- and Production'!AN$4:AN$532)</f>
        <v>0</v>
      </c>
      <c r="H51" s="290">
        <f>SUMIF('Pre- and Production'!$T$4:$T$532, CONCATENATE(LEFT('WBS Summary by Year'!H$6,1),'WBS Summary by Year'!$C51,'WBS Summary by Year'!$B$43),'Pre- and Production'!AE$4:AE$532)</f>
        <v>0</v>
      </c>
      <c r="I51" s="286">
        <f>SUMIF('Pre- and Production'!$T$4:$T$532, CONCATENATE(LEFT('WBS Summary by Year'!I$6,1),'WBS Summary by Year'!$C51,'WBS Summary by Year'!$B$43),'Pre- and Production'!AO$4:AO$532)</f>
        <v>0</v>
      </c>
      <c r="J51" s="26">
        <f>SUMIF('Pre- and Production'!$T$4:$T$532, CONCATENATE(LEFT('WBS Summary by Year'!J$6,1),'WBS Summary by Year'!$C51,'WBS Summary by Year'!$B$43),'Pre- and Production'!AF$4:AFI$532)</f>
        <v>498</v>
      </c>
      <c r="K51" s="279">
        <f>SUMIF('Pre- and Production'!$T$4:$T$532, CONCATENATE(LEFT('WBS Summary by Year'!K$6,1),'WBS Summary by Year'!$C51,'WBS Summary by Year'!$B$43),'Pre- and Production'!AP$4:AP$532)</f>
        <v>0</v>
      </c>
      <c r="L51" s="290">
        <f>SUMIF('Pre- and Production'!$T$4:$T$532, CONCATENATE(LEFT('WBS Summary by Year'!L$6,1),'WBS Summary by Year'!$C51,'WBS Summary by Year'!$B$43),'Pre- and Production'!AG$4:AG$532)</f>
        <v>0</v>
      </c>
      <c r="M51" s="286">
        <f>SUMIF('Pre- and Production'!$T$4:$T$532, CONCATENATE(LEFT('WBS Summary by Year'!M$6,1),'WBS Summary by Year'!$C51,'WBS Summary by Year'!$B$43),'Pre- and Production'!AQ$4:AQ$532)</f>
        <v>0</v>
      </c>
      <c r="N51" s="298">
        <f>SUMIF('Pre- and Production'!$T$4:$T$532, CONCATENATE(LEFT('WBS Summary by Year'!N$6,1),'WBS Summary by Year'!$C51,'WBS Summary by Year'!$B$43),'Pre- and Production'!AH$4:AH$532)</f>
        <v>38075</v>
      </c>
      <c r="O51" s="299">
        <f>SUMIF('Pre- and Production'!$T$4:$T$532, CONCATENATE(LEFT('WBS Summary by Year'!O$6,1),'WBS Summary by Year'!$C51,'WBS Summary by Year'!$B$43),'Pre- and Production'!AR$4:AR$532)</f>
        <v>0</v>
      </c>
    </row>
    <row r="52" spans="3:15" s="302" customFormat="1">
      <c r="C52" s="9" t="s">
        <v>206</v>
      </c>
      <c r="D52" s="26">
        <f>SUMIF('Pre- and Production'!$T$4:$T$532, CONCATENATE(LEFT('WBS Summary by Year'!D$6,1),'WBS Summary by Year'!$C52,'WBS Summary by Year'!$B$43),'Pre- and Production'!AC$4:AC$532)</f>
        <v>0</v>
      </c>
      <c r="E52" s="286">
        <f>SUMIF('Pre- and Production'!$T$4:$T$532, CONCATENATE(LEFT('WBS Summary by Year'!E$6,1),'WBS Summary by Year'!$C52,'WBS Summary by Year'!$B$43),'Pre- and Production'!AM$4:AM$532)</f>
        <v>0</v>
      </c>
      <c r="F52" s="26">
        <f>SUMIF('Pre- and Production'!$T$4:$T$532, CONCATENATE(LEFT('WBS Summary by Year'!F$6,1),'WBS Summary by Year'!$C52,'WBS Summary by Year'!$B$43),'Pre- and Production'!AD$4:AD$532)</f>
        <v>0</v>
      </c>
      <c r="G52" s="279">
        <f>SUMIF('Pre- and Production'!$T$4:$T$532, CONCATENATE(LEFT('WBS Summary by Year'!G$6,1),'WBS Summary by Year'!$C52,'WBS Summary by Year'!$B$43),'Pre- and Production'!AN$4:AN$532)</f>
        <v>0</v>
      </c>
      <c r="H52" s="290">
        <f>SUMIF('Pre- and Production'!$T$4:$T$532, CONCATENATE(LEFT('WBS Summary by Year'!H$6,1),'WBS Summary by Year'!$C52,'WBS Summary by Year'!$B$43),'Pre- and Production'!AE$4:AE$532)</f>
        <v>0</v>
      </c>
      <c r="I52" s="286">
        <f>SUMIF('Pre- and Production'!$T$4:$T$532, CONCATENATE(LEFT('WBS Summary by Year'!I$6,1),'WBS Summary by Year'!$C52,'WBS Summary by Year'!$B$43),'Pre- and Production'!AO$4:AO$532)</f>
        <v>0</v>
      </c>
      <c r="J52" s="26">
        <f>SUMIF('Pre- and Production'!$T$4:$T$532, CONCATENATE(LEFT('WBS Summary by Year'!J$6,1),'WBS Summary by Year'!$C52,'WBS Summary by Year'!$B$43),'Pre- and Production'!AF$4:AFI$532)</f>
        <v>0</v>
      </c>
      <c r="K52" s="279">
        <f>SUMIF('Pre- and Production'!$T$4:$T$532, CONCATENATE(LEFT('WBS Summary by Year'!K$6,1),'WBS Summary by Year'!$C52,'WBS Summary by Year'!$B$43),'Pre- and Production'!AP$4:AP$532)</f>
        <v>0</v>
      </c>
      <c r="L52" s="290">
        <f>SUMIF('Pre- and Production'!$T$4:$T$532, CONCATENATE(LEFT('WBS Summary by Year'!L$6,1),'WBS Summary by Year'!$C52,'WBS Summary by Year'!$B$43),'Pre- and Production'!AG$4:AG$532)</f>
        <v>0</v>
      </c>
      <c r="M52" s="286">
        <f>SUMIF('Pre- and Production'!$T$4:$T$532, CONCATENATE(LEFT('WBS Summary by Year'!M$6,1),'WBS Summary by Year'!$C52,'WBS Summary by Year'!$B$43),'Pre- and Production'!AQ$4:AQ$532)</f>
        <v>0</v>
      </c>
      <c r="N52" s="298">
        <f>SUMIF('Pre- and Production'!$T$4:$T$532, CONCATENATE(LEFT('WBS Summary by Year'!N$6,1),'WBS Summary by Year'!$C52,'WBS Summary by Year'!$B$43),'Pre- and Production'!AH$4:AH$532)</f>
        <v>0</v>
      </c>
      <c r="O52" s="299">
        <f>SUMIF('Pre- and Production'!$T$4:$T$532, CONCATENATE(LEFT('WBS Summary by Year'!O$6,1),'WBS Summary by Year'!$C52,'WBS Summary by Year'!$B$43),'Pre- and Production'!AR$4:AR$532)</f>
        <v>0</v>
      </c>
    </row>
    <row r="53" spans="3:15" s="302" customFormat="1">
      <c r="C53" s="9" t="s">
        <v>208</v>
      </c>
      <c r="D53" s="26">
        <f>SUMIF('Pre- and Production'!$T$4:$T$532, CONCATENATE(LEFT('WBS Summary by Year'!D$6,1),'WBS Summary by Year'!$C53,'WBS Summary by Year'!$B$43),'Pre- and Production'!AC$4:AC$532)</f>
        <v>0</v>
      </c>
      <c r="E53" s="286">
        <f>SUMIF('Pre- and Production'!$T$4:$T$532, CONCATENATE(LEFT('WBS Summary by Year'!E$6,1),'WBS Summary by Year'!$C53,'WBS Summary by Year'!$B$43),'Pre- and Production'!AM$4:AM$532)</f>
        <v>0</v>
      </c>
      <c r="F53" s="26">
        <f>SUMIF('Pre- and Production'!$T$4:$T$532, CONCATENATE(LEFT('WBS Summary by Year'!F$6,1),'WBS Summary by Year'!$C53,'WBS Summary by Year'!$B$43),'Pre- and Production'!AD$4:AD$532)</f>
        <v>0</v>
      </c>
      <c r="G53" s="279">
        <f>SUMIF('Pre- and Production'!$T$4:$T$532, CONCATENATE(LEFT('WBS Summary by Year'!G$6,1),'WBS Summary by Year'!$C53,'WBS Summary by Year'!$B$43),'Pre- and Production'!AN$4:AN$532)</f>
        <v>0</v>
      </c>
      <c r="H53" s="290">
        <f>SUMIF('Pre- and Production'!$T$4:$T$532, CONCATENATE(LEFT('WBS Summary by Year'!H$6,1),'WBS Summary by Year'!$C53,'WBS Summary by Year'!$B$43),'Pre- and Production'!AE$4:AE$532)</f>
        <v>0</v>
      </c>
      <c r="I53" s="286">
        <f>SUMIF('Pre- and Production'!$T$4:$T$532, CONCATENATE(LEFT('WBS Summary by Year'!I$6,1),'WBS Summary by Year'!$C53,'WBS Summary by Year'!$B$43),'Pre- and Production'!AO$4:AO$532)</f>
        <v>0</v>
      </c>
      <c r="J53" s="26">
        <f>SUMIF('Pre- and Production'!$T$4:$T$532, CONCATENATE(LEFT('WBS Summary by Year'!J$6,1),'WBS Summary by Year'!$C53,'WBS Summary by Year'!$B$43),'Pre- and Production'!AF$4:AFI$532)</f>
        <v>0</v>
      </c>
      <c r="K53" s="279">
        <f>SUMIF('Pre- and Production'!$T$4:$T$532, CONCATENATE(LEFT('WBS Summary by Year'!K$6,1),'WBS Summary by Year'!$C53,'WBS Summary by Year'!$B$43),'Pre- and Production'!AP$4:AP$532)</f>
        <v>0</v>
      </c>
      <c r="L53" s="290">
        <f>SUMIF('Pre- and Production'!$T$4:$T$532, CONCATENATE(LEFT('WBS Summary by Year'!L$6,1),'WBS Summary by Year'!$C53,'WBS Summary by Year'!$B$43),'Pre- and Production'!AG$4:AG$532)</f>
        <v>0</v>
      </c>
      <c r="M53" s="286">
        <f>SUMIF('Pre- and Production'!$T$4:$T$532, CONCATENATE(LEFT('WBS Summary by Year'!M$6,1),'WBS Summary by Year'!$C53,'WBS Summary by Year'!$B$43),'Pre- and Production'!AQ$4:AQ$532)</f>
        <v>0</v>
      </c>
      <c r="N53" s="298">
        <f>SUMIF('Pre- and Production'!$T$4:$T$532, CONCATENATE(LEFT('WBS Summary by Year'!N$6,1),'WBS Summary by Year'!$C53,'WBS Summary by Year'!$B$43),'Pre- and Production'!AH$4:AH$532)</f>
        <v>0</v>
      </c>
      <c r="O53" s="299">
        <f>SUMIF('Pre- and Production'!$T$4:$T$532, CONCATENATE(LEFT('WBS Summary by Year'!O$6,1),'WBS Summary by Year'!$C53,'WBS Summary by Year'!$B$43),'Pre- and Production'!AR$4:AR$532)</f>
        <v>0</v>
      </c>
    </row>
    <row r="54" spans="3:15" s="302" customFormat="1">
      <c r="C54" s="9" t="s">
        <v>214</v>
      </c>
      <c r="D54" s="26">
        <f>SUMIF('Pre- and Production'!$T$4:$T$532, CONCATENATE(LEFT('WBS Summary by Year'!D$6,1),'WBS Summary by Year'!$C54,'WBS Summary by Year'!$B$43),'Pre- and Production'!AC$4:AC$532)</f>
        <v>0</v>
      </c>
      <c r="E54" s="286">
        <f>SUMIF('Pre- and Production'!$T$4:$T$532, CONCATENATE(LEFT('WBS Summary by Year'!E$6,1),'WBS Summary by Year'!$C54,'WBS Summary by Year'!$B$43),'Pre- and Production'!AM$4:AM$532)</f>
        <v>0</v>
      </c>
      <c r="F54" s="26">
        <f>SUMIF('Pre- and Production'!$T$4:$T$532, CONCATENATE(LEFT('WBS Summary by Year'!F$6,1),'WBS Summary by Year'!$C54,'WBS Summary by Year'!$B$43),'Pre- and Production'!AD$4:AD$532)</f>
        <v>0</v>
      </c>
      <c r="G54" s="279">
        <f>SUMIF('Pre- and Production'!$T$4:$T$532, CONCATENATE(LEFT('WBS Summary by Year'!G$6,1),'WBS Summary by Year'!$C54,'WBS Summary by Year'!$B$43),'Pre- and Production'!AN$4:AN$532)</f>
        <v>0</v>
      </c>
      <c r="H54" s="290">
        <f>SUMIF('Pre- and Production'!$T$4:$T$532, CONCATENATE(LEFT('WBS Summary by Year'!H$6,1),'WBS Summary by Year'!$C54,'WBS Summary by Year'!$B$43),'Pre- and Production'!AE$4:AE$532)</f>
        <v>0</v>
      </c>
      <c r="I54" s="286">
        <f>SUMIF('Pre- and Production'!$T$4:$T$532, CONCATENATE(LEFT('WBS Summary by Year'!I$6,1),'WBS Summary by Year'!$C54,'WBS Summary by Year'!$B$43),'Pre- and Production'!AO$4:AO$532)</f>
        <v>0</v>
      </c>
      <c r="J54" s="26">
        <f>SUMIF('Pre- and Production'!$T$4:$T$532, CONCATENATE(LEFT('WBS Summary by Year'!J$6,1),'WBS Summary by Year'!$C54,'WBS Summary by Year'!$B$43),'Pre- and Production'!AF$4:AFI$532)</f>
        <v>0</v>
      </c>
      <c r="K54" s="279">
        <f>SUMIF('Pre- and Production'!$T$4:$T$532, CONCATENATE(LEFT('WBS Summary by Year'!K$6,1),'WBS Summary by Year'!$C54,'WBS Summary by Year'!$B$43),'Pre- and Production'!AP$4:AP$532)</f>
        <v>0</v>
      </c>
      <c r="L54" s="290">
        <f>SUMIF('Pre- and Production'!$T$4:$T$532, CONCATENATE(LEFT('WBS Summary by Year'!L$6,1),'WBS Summary by Year'!$C54,'WBS Summary by Year'!$B$43),'Pre- and Production'!AG$4:AG$532)</f>
        <v>0</v>
      </c>
      <c r="M54" s="286">
        <f>SUMIF('Pre- and Production'!$T$4:$T$532, CONCATENATE(LEFT('WBS Summary by Year'!M$6,1),'WBS Summary by Year'!$C54,'WBS Summary by Year'!$B$43),'Pre- and Production'!AQ$4:AQ$532)</f>
        <v>0</v>
      </c>
      <c r="N54" s="298">
        <f>SUMIF('Pre- and Production'!$T$4:$T$532, CONCATENATE(LEFT('WBS Summary by Year'!N$6,1),'WBS Summary by Year'!$C54,'WBS Summary by Year'!$B$43),'Pre- and Production'!AH$4:AH$532)</f>
        <v>0</v>
      </c>
      <c r="O54" s="299">
        <f>SUMIF('Pre- and Production'!$T$4:$T$532, CONCATENATE(LEFT('WBS Summary by Year'!O$6,1),'WBS Summary by Year'!$C54,'WBS Summary by Year'!$B$43),'Pre- and Production'!AR$4:AR$532)</f>
        <v>0</v>
      </c>
    </row>
    <row r="55" spans="3:15" s="302" customFormat="1">
      <c r="C55" s="9" t="s">
        <v>215</v>
      </c>
      <c r="D55" s="26">
        <f>SUMIF('Pre- and Production'!$T$4:$T$532, CONCATENATE(LEFT('WBS Summary by Year'!D$6,1),'WBS Summary by Year'!$C55,'WBS Summary by Year'!$B$43),'Pre- and Production'!AC$4:AC$532)</f>
        <v>0</v>
      </c>
      <c r="E55" s="286">
        <f>SUMIF('Pre- and Production'!$T$4:$T$532, CONCATENATE(LEFT('WBS Summary by Year'!E$6,1),'WBS Summary by Year'!$C55,'WBS Summary by Year'!$B$43),'Pre- and Production'!AM$4:AM$532)</f>
        <v>0</v>
      </c>
      <c r="F55" s="26">
        <f>SUMIF('Pre- and Production'!$T$4:$T$532, CONCATENATE(LEFT('WBS Summary by Year'!F$6,1),'WBS Summary by Year'!$C55,'WBS Summary by Year'!$B$43),'Pre- and Production'!AD$4:AD$532)</f>
        <v>0</v>
      </c>
      <c r="G55" s="279">
        <f>SUMIF('Pre- and Production'!$T$4:$T$532, CONCATENATE(LEFT('WBS Summary by Year'!G$6,1),'WBS Summary by Year'!$C55,'WBS Summary by Year'!$B$43),'Pre- and Production'!AN$4:AN$532)</f>
        <v>0</v>
      </c>
      <c r="H55" s="290">
        <f>SUMIF('Pre- and Production'!$T$4:$T$532, CONCATENATE(LEFT('WBS Summary by Year'!H$6,1),'WBS Summary by Year'!$C55,'WBS Summary by Year'!$B$43),'Pre- and Production'!AE$4:AE$532)</f>
        <v>0</v>
      </c>
      <c r="I55" s="286">
        <f>SUMIF('Pre- and Production'!$T$4:$T$532, CONCATENATE(LEFT('WBS Summary by Year'!I$6,1),'WBS Summary by Year'!$C55,'WBS Summary by Year'!$B$43),'Pre- and Production'!AO$4:AO$532)</f>
        <v>0</v>
      </c>
      <c r="J55" s="26">
        <f>SUMIF('Pre- and Production'!$T$4:$T$532, CONCATENATE(LEFT('WBS Summary by Year'!J$6,1),'WBS Summary by Year'!$C55,'WBS Summary by Year'!$B$43),'Pre- and Production'!AF$4:AFI$532)</f>
        <v>0</v>
      </c>
      <c r="K55" s="279">
        <f>SUMIF('Pre- and Production'!$T$4:$T$532, CONCATENATE(LEFT('WBS Summary by Year'!K$6,1),'WBS Summary by Year'!$C55,'WBS Summary by Year'!$B$43),'Pre- and Production'!AP$4:AP$532)</f>
        <v>0</v>
      </c>
      <c r="L55" s="290">
        <f>SUMIF('Pre- and Production'!$T$4:$T$532, CONCATENATE(LEFT('WBS Summary by Year'!L$6,1),'WBS Summary by Year'!$C55,'WBS Summary by Year'!$B$43),'Pre- and Production'!AG$4:AG$532)</f>
        <v>0</v>
      </c>
      <c r="M55" s="286">
        <f>SUMIF('Pre- and Production'!$T$4:$T$532, CONCATENATE(LEFT('WBS Summary by Year'!M$6,1),'WBS Summary by Year'!$C55,'WBS Summary by Year'!$B$43),'Pre- and Production'!AQ$4:AQ$532)</f>
        <v>0</v>
      </c>
      <c r="N55" s="298">
        <f>SUMIF('Pre- and Production'!$T$4:$T$532, CONCATENATE(LEFT('WBS Summary by Year'!N$6,1),'WBS Summary by Year'!$C55,'WBS Summary by Year'!$B$43),'Pre- and Production'!AH$4:AH$532)</f>
        <v>0</v>
      </c>
      <c r="O55" s="299">
        <f>SUMIF('Pre- and Production'!$T$4:$T$532, CONCATENATE(LEFT('WBS Summary by Year'!O$6,1),'WBS Summary by Year'!$C55,'WBS Summary by Year'!$B$43),'Pre- and Production'!AR$4:AR$532)</f>
        <v>0</v>
      </c>
    </row>
    <row r="56" spans="3:15" s="302" customFormat="1">
      <c r="C56" s="9" t="s">
        <v>216</v>
      </c>
      <c r="D56" s="26">
        <f>SUMIF('Pre- and Production'!$T$4:$T$532, CONCATENATE(LEFT('WBS Summary by Year'!D$6,1),'WBS Summary by Year'!$C56,'WBS Summary by Year'!$B$43),'Pre- and Production'!AC$4:AC$532)</f>
        <v>0</v>
      </c>
      <c r="E56" s="286">
        <f>SUMIF('Pre- and Production'!$T$4:$T$532, CONCATENATE(LEFT('WBS Summary by Year'!E$6,1),'WBS Summary by Year'!$C56,'WBS Summary by Year'!$B$43),'Pre- and Production'!AM$4:AM$532)</f>
        <v>0</v>
      </c>
      <c r="F56" s="26">
        <f>SUMIF('Pre- and Production'!$T$4:$T$532, CONCATENATE(LEFT('WBS Summary by Year'!F$6,1),'WBS Summary by Year'!$C56,'WBS Summary by Year'!$B$43),'Pre- and Production'!AD$4:AD$532)</f>
        <v>0</v>
      </c>
      <c r="G56" s="279">
        <f>SUMIF('Pre- and Production'!$T$4:$T$532, CONCATENATE(LEFT('WBS Summary by Year'!G$6,1),'WBS Summary by Year'!$C56,'WBS Summary by Year'!$B$43),'Pre- and Production'!AN$4:AN$532)</f>
        <v>0</v>
      </c>
      <c r="H56" s="290">
        <f>SUMIF('Pre- and Production'!$T$4:$T$532, CONCATENATE(LEFT('WBS Summary by Year'!H$6,1),'WBS Summary by Year'!$C56,'WBS Summary by Year'!$B$43),'Pre- and Production'!AE$4:AE$532)</f>
        <v>0</v>
      </c>
      <c r="I56" s="286">
        <f>SUMIF('Pre- and Production'!$T$4:$T$532, CONCATENATE(LEFT('WBS Summary by Year'!I$6,1),'WBS Summary by Year'!$C56,'WBS Summary by Year'!$B$43),'Pre- and Production'!AO$4:AO$532)</f>
        <v>0</v>
      </c>
      <c r="J56" s="26">
        <f>SUMIF('Pre- and Production'!$T$4:$T$532, CONCATENATE(LEFT('WBS Summary by Year'!J$6,1),'WBS Summary by Year'!$C56,'WBS Summary by Year'!$B$43),'Pre- and Production'!AF$4:AFI$532)</f>
        <v>0</v>
      </c>
      <c r="K56" s="279">
        <f>SUMIF('Pre- and Production'!$T$4:$T$532, CONCATENATE(LEFT('WBS Summary by Year'!K$6,1),'WBS Summary by Year'!$C56,'WBS Summary by Year'!$B$43),'Pre- and Production'!AP$4:AP$532)</f>
        <v>0</v>
      </c>
      <c r="L56" s="290">
        <f>SUMIF('Pre- and Production'!$T$4:$T$532, CONCATENATE(LEFT('WBS Summary by Year'!L$6,1),'WBS Summary by Year'!$C56,'WBS Summary by Year'!$B$43),'Pre- and Production'!AG$4:AG$532)</f>
        <v>0</v>
      </c>
      <c r="M56" s="286">
        <f>SUMIF('Pre- and Production'!$T$4:$T$532, CONCATENATE(LEFT('WBS Summary by Year'!M$6,1),'WBS Summary by Year'!$C56,'WBS Summary by Year'!$B$43),'Pre- and Production'!AQ$4:AQ$532)</f>
        <v>0</v>
      </c>
      <c r="N56" s="298">
        <f>SUMIF('Pre- and Production'!$T$4:$T$532, CONCATENATE(LEFT('WBS Summary by Year'!N$6,1),'WBS Summary by Year'!$C56,'WBS Summary by Year'!$B$43),'Pre- and Production'!AH$4:AH$532)</f>
        <v>0</v>
      </c>
      <c r="O56" s="299">
        <f>SUMIF('Pre- and Production'!$T$4:$T$532, CONCATENATE(LEFT('WBS Summary by Year'!O$6,1),'WBS Summary by Year'!$C56,'WBS Summary by Year'!$B$43),'Pre- and Production'!AR$4:AR$532)</f>
        <v>0</v>
      </c>
    </row>
    <row r="57" spans="3:15" s="302" customFormat="1">
      <c r="C57" s="9" t="s">
        <v>217</v>
      </c>
      <c r="D57" s="26">
        <f>SUMIF('Pre- and Production'!$T$4:$T$532, CONCATENATE(LEFT('WBS Summary by Year'!D$6,1),'WBS Summary by Year'!$C57,'WBS Summary by Year'!$B$43),'Pre- and Production'!AC$4:AC$532)</f>
        <v>24</v>
      </c>
      <c r="E57" s="286">
        <f>SUMIF('Pre- and Production'!$T$4:$T$532, CONCATENATE(LEFT('WBS Summary by Year'!E$6,1),'WBS Summary by Year'!$C57,'WBS Summary by Year'!$B$43),'Pre- and Production'!AM$4:AM$532)</f>
        <v>0</v>
      </c>
      <c r="F57" s="26">
        <f>SUMIF('Pre- and Production'!$T$4:$T$532, CONCATENATE(LEFT('WBS Summary by Year'!F$6,1),'WBS Summary by Year'!$C57,'WBS Summary by Year'!$B$43),'Pre- and Production'!AD$4:AD$532)</f>
        <v>8</v>
      </c>
      <c r="G57" s="279">
        <f>SUMIF('Pre- and Production'!$T$4:$T$532, CONCATENATE(LEFT('WBS Summary by Year'!G$6,1),'WBS Summary by Year'!$C57,'WBS Summary by Year'!$B$43),'Pre- and Production'!AN$4:AN$532)</f>
        <v>0</v>
      </c>
      <c r="H57" s="290">
        <f>SUMIF('Pre- and Production'!$T$4:$T$532, CONCATENATE(LEFT('WBS Summary by Year'!H$6,1),'WBS Summary by Year'!$C57,'WBS Summary by Year'!$B$43),'Pre- and Production'!AE$4:AE$532)</f>
        <v>0</v>
      </c>
      <c r="I57" s="286">
        <f>SUMIF('Pre- and Production'!$T$4:$T$532, CONCATENATE(LEFT('WBS Summary by Year'!I$6,1),'WBS Summary by Year'!$C57,'WBS Summary by Year'!$B$43),'Pre- and Production'!AO$4:AO$532)</f>
        <v>0</v>
      </c>
      <c r="J57" s="26">
        <f>SUMIF('Pre- and Production'!$T$4:$T$532, CONCATENATE(LEFT('WBS Summary by Year'!J$6,1),'WBS Summary by Year'!$C57,'WBS Summary by Year'!$B$43),'Pre- and Production'!AF$4:AFI$532)</f>
        <v>120</v>
      </c>
      <c r="K57" s="279">
        <f>SUMIF('Pre- and Production'!$T$4:$T$532, CONCATENATE(LEFT('WBS Summary by Year'!K$6,1),'WBS Summary by Year'!$C57,'WBS Summary by Year'!$B$43),'Pre- and Production'!AP$4:AP$532)</f>
        <v>0</v>
      </c>
      <c r="L57" s="290">
        <f>SUMIF('Pre- and Production'!$T$4:$T$532, CONCATENATE(LEFT('WBS Summary by Year'!L$6,1),'WBS Summary by Year'!$C57,'WBS Summary by Year'!$B$43),'Pre- and Production'!AG$4:AG$532)</f>
        <v>0</v>
      </c>
      <c r="M57" s="286">
        <f>SUMIF('Pre- and Production'!$T$4:$T$532, CONCATENATE(LEFT('WBS Summary by Year'!M$6,1),'WBS Summary by Year'!$C57,'WBS Summary by Year'!$B$43),'Pre- and Production'!AQ$4:AQ$532)</f>
        <v>0</v>
      </c>
      <c r="N57" s="298">
        <f>SUMIF('Pre- and Production'!$T$4:$T$532, CONCATENATE(LEFT('WBS Summary by Year'!N$6,1),'WBS Summary by Year'!$C57,'WBS Summary by Year'!$B$43),'Pre- and Production'!AH$4:AH$532)</f>
        <v>320</v>
      </c>
      <c r="O57" s="299">
        <f>SUMIF('Pre- and Production'!$T$4:$T$532, CONCATENATE(LEFT('WBS Summary by Year'!O$6,1),'WBS Summary by Year'!$C57,'WBS Summary by Year'!$B$43),'Pre- and Production'!AR$4:AR$532)</f>
        <v>0</v>
      </c>
    </row>
    <row r="58" spans="3:15" s="302" customFormat="1">
      <c r="C58" s="9" t="s">
        <v>218</v>
      </c>
      <c r="D58" s="26">
        <f>SUMIF('Pre- and Production'!$T$4:$T$532, CONCATENATE(LEFT('WBS Summary by Year'!D$6,1),'WBS Summary by Year'!$C58,'WBS Summary by Year'!$B$43),'Pre- and Production'!AC$4:AC$532)</f>
        <v>0</v>
      </c>
      <c r="E58" s="286">
        <f>SUMIF('Pre- and Production'!$T$4:$T$532, CONCATENATE(LEFT('WBS Summary by Year'!E$6,1),'WBS Summary by Year'!$C58,'WBS Summary by Year'!$B$43),'Pre- and Production'!AM$4:AM$532)</f>
        <v>0</v>
      </c>
      <c r="F58" s="26">
        <f>SUMIF('Pre- and Production'!$T$4:$T$532, CONCATENATE(LEFT('WBS Summary by Year'!F$6,1),'WBS Summary by Year'!$C58,'WBS Summary by Year'!$B$43),'Pre- and Production'!AD$4:AD$532)</f>
        <v>0</v>
      </c>
      <c r="G58" s="279">
        <f>SUMIF('Pre- and Production'!$T$4:$T$532, CONCATENATE(LEFT('WBS Summary by Year'!G$6,1),'WBS Summary by Year'!$C58,'WBS Summary by Year'!$B$43),'Pre- and Production'!AN$4:AN$532)</f>
        <v>0</v>
      </c>
      <c r="H58" s="290">
        <f>SUMIF('Pre- and Production'!$T$4:$T$532, CONCATENATE(LEFT('WBS Summary by Year'!H$6,1),'WBS Summary by Year'!$C58,'WBS Summary by Year'!$B$43),'Pre- and Production'!AE$4:AE$532)</f>
        <v>0</v>
      </c>
      <c r="I58" s="286">
        <f>SUMIF('Pre- and Production'!$T$4:$T$532, CONCATENATE(LEFT('WBS Summary by Year'!I$6,1),'WBS Summary by Year'!$C58,'WBS Summary by Year'!$B$43),'Pre- and Production'!AO$4:AO$532)</f>
        <v>0</v>
      </c>
      <c r="J58" s="26">
        <f>SUMIF('Pre- and Production'!$T$4:$T$532, CONCATENATE(LEFT('WBS Summary by Year'!J$6,1),'WBS Summary by Year'!$C58,'WBS Summary by Year'!$B$43),'Pre- and Production'!AF$4:AFI$532)</f>
        <v>0</v>
      </c>
      <c r="K58" s="279">
        <f>SUMIF('Pre- and Production'!$T$4:$T$532, CONCATENATE(LEFT('WBS Summary by Year'!K$6,1),'WBS Summary by Year'!$C58,'WBS Summary by Year'!$B$43),'Pre- and Production'!AP$4:AP$532)</f>
        <v>0</v>
      </c>
      <c r="L58" s="290">
        <f>SUMIF('Pre- and Production'!$T$4:$T$532, CONCATENATE(LEFT('WBS Summary by Year'!L$6,1),'WBS Summary by Year'!$C58,'WBS Summary by Year'!$B$43),'Pre- and Production'!AG$4:AG$532)</f>
        <v>0</v>
      </c>
      <c r="M58" s="286">
        <f>SUMIF('Pre- and Production'!$T$4:$T$532, CONCATENATE(LEFT('WBS Summary by Year'!M$6,1),'WBS Summary by Year'!$C58,'WBS Summary by Year'!$B$43),'Pre- and Production'!AQ$4:AQ$532)</f>
        <v>0</v>
      </c>
      <c r="N58" s="298">
        <f>SUMIF('Pre- and Production'!$T$4:$T$532, CONCATENATE(LEFT('WBS Summary by Year'!N$6,1),'WBS Summary by Year'!$C58,'WBS Summary by Year'!$B$43),'Pre- and Production'!AH$4:AH$532)</f>
        <v>0</v>
      </c>
      <c r="O58" s="299">
        <f>SUMIF('Pre- and Production'!$T$4:$T$532, CONCATENATE(LEFT('WBS Summary by Year'!O$6,1),'WBS Summary by Year'!$C58,'WBS Summary by Year'!$B$43),'Pre- and Production'!AR$4:AR$532)</f>
        <v>0</v>
      </c>
    </row>
    <row r="59" spans="3:15" s="302" customFormat="1">
      <c r="C59" s="9" t="s">
        <v>219</v>
      </c>
      <c r="D59" s="26">
        <f>SUMIF('Pre- and Production'!$T$4:$T$532, CONCATENATE(LEFT('WBS Summary by Year'!D$6,1),'WBS Summary by Year'!$C59,'WBS Summary by Year'!$B$43),'Pre- and Production'!AC$4:AC$532)</f>
        <v>0</v>
      </c>
      <c r="E59" s="286">
        <f>SUMIF('Pre- and Production'!$T$4:$T$532, CONCATENATE(LEFT('WBS Summary by Year'!E$6,1),'WBS Summary by Year'!$C59,'WBS Summary by Year'!$B$43),'Pre- and Production'!AM$4:AM$532)</f>
        <v>0</v>
      </c>
      <c r="F59" s="26">
        <f>SUMIF('Pre- and Production'!$T$4:$T$532, CONCATENATE(LEFT('WBS Summary by Year'!F$6,1),'WBS Summary by Year'!$C59,'WBS Summary by Year'!$B$43),'Pre- and Production'!AD$4:AD$532)</f>
        <v>0</v>
      </c>
      <c r="G59" s="279">
        <f>SUMIF('Pre- and Production'!$T$4:$T$532, CONCATENATE(LEFT('WBS Summary by Year'!G$6,1),'WBS Summary by Year'!$C59,'WBS Summary by Year'!$B$43),'Pre- and Production'!AN$4:AN$532)</f>
        <v>0</v>
      </c>
      <c r="H59" s="290">
        <f>SUMIF('Pre- and Production'!$T$4:$T$532, CONCATENATE(LEFT('WBS Summary by Year'!H$6,1),'WBS Summary by Year'!$C59,'WBS Summary by Year'!$B$43),'Pre- and Production'!AE$4:AE$532)</f>
        <v>0</v>
      </c>
      <c r="I59" s="286">
        <f>SUMIF('Pre- and Production'!$T$4:$T$532, CONCATENATE(LEFT('WBS Summary by Year'!I$6,1),'WBS Summary by Year'!$C59,'WBS Summary by Year'!$B$43),'Pre- and Production'!AO$4:AO$532)</f>
        <v>0</v>
      </c>
      <c r="J59" s="26">
        <f>SUMIF('Pre- and Production'!$T$4:$T$532, CONCATENATE(LEFT('WBS Summary by Year'!J$6,1),'WBS Summary by Year'!$C59,'WBS Summary by Year'!$B$43),'Pre- and Production'!AF$4:AFI$532)</f>
        <v>60</v>
      </c>
      <c r="K59" s="279">
        <f>SUMIF('Pre- and Production'!$T$4:$T$532, CONCATENATE(LEFT('WBS Summary by Year'!K$6,1),'WBS Summary by Year'!$C59,'WBS Summary by Year'!$B$43),'Pre- and Production'!AP$4:AP$532)</f>
        <v>0</v>
      </c>
      <c r="L59" s="290">
        <f>SUMIF('Pre- and Production'!$T$4:$T$532, CONCATENATE(LEFT('WBS Summary by Year'!L$6,1),'WBS Summary by Year'!$C59,'WBS Summary by Year'!$B$43),'Pre- and Production'!AG$4:AG$532)</f>
        <v>0</v>
      </c>
      <c r="M59" s="286">
        <f>SUMIF('Pre- and Production'!$T$4:$T$532, CONCATENATE(LEFT('WBS Summary by Year'!M$6,1),'WBS Summary by Year'!$C59,'WBS Summary by Year'!$B$43),'Pre- and Production'!AQ$4:AQ$532)</f>
        <v>0</v>
      </c>
      <c r="N59" s="298">
        <f>SUMIF('Pre- and Production'!$T$4:$T$532, CONCATENATE(LEFT('WBS Summary by Year'!N$6,1),'WBS Summary by Year'!$C59,'WBS Summary by Year'!$B$43),'Pre- and Production'!AH$4:AH$532)</f>
        <v>0</v>
      </c>
      <c r="O59" s="299">
        <f>SUMIF('Pre- and Production'!$T$4:$T$532, CONCATENATE(LEFT('WBS Summary by Year'!O$6,1),'WBS Summary by Year'!$C59,'WBS Summary by Year'!$B$43),'Pre- and Production'!AR$4:AR$532)</f>
        <v>0</v>
      </c>
    </row>
    <row r="60" spans="3:15" s="302" customFormat="1">
      <c r="C60" s="9" t="s">
        <v>220</v>
      </c>
      <c r="D60" s="26">
        <f>SUMIF('Pre- and Production'!$T$4:$T$532, CONCATENATE(LEFT('WBS Summary by Year'!D$6,1),'WBS Summary by Year'!$C60,'WBS Summary by Year'!$B$43),'Pre- and Production'!AC$4:AC$532)</f>
        <v>0</v>
      </c>
      <c r="E60" s="286">
        <f>SUMIF('Pre- and Production'!$T$4:$T$532, CONCATENATE(LEFT('WBS Summary by Year'!E$6,1),'WBS Summary by Year'!$C60,'WBS Summary by Year'!$B$43),'Pre- and Production'!AM$4:AM$532)</f>
        <v>0</v>
      </c>
      <c r="F60" s="26">
        <f>SUMIF('Pre- and Production'!$T$4:$T$532, CONCATENATE(LEFT('WBS Summary by Year'!F$6,1),'WBS Summary by Year'!$C60,'WBS Summary by Year'!$B$43),'Pre- and Production'!AD$4:AD$532)</f>
        <v>0</v>
      </c>
      <c r="G60" s="279">
        <f>SUMIF('Pre- and Production'!$T$4:$T$532, CONCATENATE(LEFT('WBS Summary by Year'!G$6,1),'WBS Summary by Year'!$C60,'WBS Summary by Year'!$B$43),'Pre- and Production'!AN$4:AN$532)</f>
        <v>0</v>
      </c>
      <c r="H60" s="290">
        <f>SUMIF('Pre- and Production'!$T$4:$T$532, CONCATENATE(LEFT('WBS Summary by Year'!H$6,1),'WBS Summary by Year'!$C60,'WBS Summary by Year'!$B$43),'Pre- and Production'!AE$4:AE$532)</f>
        <v>0</v>
      </c>
      <c r="I60" s="286">
        <f>SUMIF('Pre- and Production'!$T$4:$T$532, CONCATENATE(LEFT('WBS Summary by Year'!I$6,1),'WBS Summary by Year'!$C60,'WBS Summary by Year'!$B$43),'Pre- and Production'!AO$4:AO$532)</f>
        <v>0</v>
      </c>
      <c r="J60" s="26">
        <f>SUMIF('Pre- and Production'!$T$4:$T$532, CONCATENATE(LEFT('WBS Summary by Year'!J$6,1),'WBS Summary by Year'!$C60,'WBS Summary by Year'!$B$43),'Pre- and Production'!AF$4:AFI$532)</f>
        <v>0</v>
      </c>
      <c r="K60" s="279">
        <f>SUMIF('Pre- and Production'!$T$4:$T$532, CONCATENATE(LEFT('WBS Summary by Year'!K$6,1),'WBS Summary by Year'!$C60,'WBS Summary by Year'!$B$43),'Pre- and Production'!AP$4:AP$532)</f>
        <v>0</v>
      </c>
      <c r="L60" s="290">
        <f>SUMIF('Pre- and Production'!$T$4:$T$532, CONCATENATE(LEFT('WBS Summary by Year'!L$6,1),'WBS Summary by Year'!$C60,'WBS Summary by Year'!$B$43),'Pre- and Production'!AG$4:AG$532)</f>
        <v>0</v>
      </c>
      <c r="M60" s="286">
        <f>SUMIF('Pre- and Production'!$T$4:$T$532, CONCATENATE(LEFT('WBS Summary by Year'!M$6,1),'WBS Summary by Year'!$C60,'WBS Summary by Year'!$B$43),'Pre- and Production'!AQ$4:AQ$532)</f>
        <v>0</v>
      </c>
      <c r="N60" s="298">
        <f>SUMIF('Pre- and Production'!$T$4:$T$532, CONCATENATE(LEFT('WBS Summary by Year'!N$6,1),'WBS Summary by Year'!$C60,'WBS Summary by Year'!$B$43),'Pre- and Production'!AH$4:AH$532)</f>
        <v>0</v>
      </c>
      <c r="O60" s="299">
        <f>SUMIF('Pre- and Production'!$T$4:$T$532, CONCATENATE(LEFT('WBS Summary by Year'!O$6,1),'WBS Summary by Year'!$C60,'WBS Summary by Year'!$B$43),'Pre- and Production'!AR$4:AR$532)</f>
        <v>0</v>
      </c>
    </row>
    <row r="61" spans="3:15" s="302" customFormat="1">
      <c r="C61" s="9" t="s">
        <v>221</v>
      </c>
      <c r="D61" s="26">
        <f>SUMIF('Pre- and Production'!$T$4:$T$532, CONCATENATE(LEFT('WBS Summary by Year'!D$6,1),'WBS Summary by Year'!$C61,'WBS Summary by Year'!$B$43),'Pre- and Production'!AC$4:AC$532)</f>
        <v>0</v>
      </c>
      <c r="E61" s="286">
        <f>SUMIF('Pre- and Production'!$T$4:$T$532, CONCATENATE(LEFT('WBS Summary by Year'!E$6,1),'WBS Summary by Year'!$C61,'WBS Summary by Year'!$B$43),'Pre- and Production'!AM$4:AM$532)</f>
        <v>0</v>
      </c>
      <c r="F61" s="26">
        <f>SUMIF('Pre- and Production'!$T$4:$T$532, CONCATENATE(LEFT('WBS Summary by Year'!F$6,1),'WBS Summary by Year'!$C61,'WBS Summary by Year'!$B$43),'Pre- and Production'!AD$4:AD$532)</f>
        <v>0</v>
      </c>
      <c r="G61" s="279">
        <f>SUMIF('Pre- and Production'!$T$4:$T$532, CONCATENATE(LEFT('WBS Summary by Year'!G$6,1),'WBS Summary by Year'!$C61,'WBS Summary by Year'!$B$43),'Pre- and Production'!AN$4:AN$532)</f>
        <v>0</v>
      </c>
      <c r="H61" s="290">
        <f>SUMIF('Pre- and Production'!$T$4:$T$532, CONCATENATE(LEFT('WBS Summary by Year'!H$6,1),'WBS Summary by Year'!$C61,'WBS Summary by Year'!$B$43),'Pre- and Production'!AE$4:AE$532)</f>
        <v>0</v>
      </c>
      <c r="I61" s="286">
        <f>SUMIF('Pre- and Production'!$T$4:$T$532, CONCATENATE(LEFT('WBS Summary by Year'!I$6,1),'WBS Summary by Year'!$C61,'WBS Summary by Year'!$B$43),'Pre- and Production'!AO$4:AO$532)</f>
        <v>0</v>
      </c>
      <c r="J61" s="26">
        <f>SUMIF('Pre- and Production'!$T$4:$T$532, CONCATENATE(LEFT('WBS Summary by Year'!J$6,1),'WBS Summary by Year'!$C61,'WBS Summary by Year'!$B$43),'Pre- and Production'!AF$4:AFI$532)</f>
        <v>0</v>
      </c>
      <c r="K61" s="279">
        <f>SUMIF('Pre- and Production'!$T$4:$T$532, CONCATENATE(LEFT('WBS Summary by Year'!K$6,1),'WBS Summary by Year'!$C61,'WBS Summary by Year'!$B$43),'Pre- and Production'!AP$4:AP$532)</f>
        <v>0</v>
      </c>
      <c r="L61" s="290">
        <f>SUMIF('Pre- and Production'!$T$4:$T$532, CONCATENATE(LEFT('WBS Summary by Year'!L$6,1),'WBS Summary by Year'!$C61,'WBS Summary by Year'!$B$43),'Pre- and Production'!AG$4:AG$532)</f>
        <v>0</v>
      </c>
      <c r="M61" s="286">
        <f>SUMIF('Pre- and Production'!$T$4:$T$532, CONCATENATE(LEFT('WBS Summary by Year'!M$6,1),'WBS Summary by Year'!$C61,'WBS Summary by Year'!$B$43),'Pre- and Production'!AQ$4:AQ$532)</f>
        <v>0</v>
      </c>
      <c r="N61" s="298">
        <f>SUMIF('Pre- and Production'!$T$4:$T$532, CONCATENATE(LEFT('WBS Summary by Year'!N$6,1),'WBS Summary by Year'!$C61,'WBS Summary by Year'!$B$43),'Pre- and Production'!AH$4:AH$532)</f>
        <v>0</v>
      </c>
      <c r="O61" s="299">
        <f>SUMIF('Pre- and Production'!$T$4:$T$532, CONCATENATE(LEFT('WBS Summary by Year'!O$6,1),'WBS Summary by Year'!$C61,'WBS Summary by Year'!$B$43),'Pre- and Production'!AR$4:AR$532)</f>
        <v>0</v>
      </c>
    </row>
    <row r="62" spans="3:15" s="302" customFormat="1">
      <c r="C62" s="9" t="s">
        <v>222</v>
      </c>
      <c r="D62" s="26">
        <f>SUMIF('Pre- and Production'!$T$4:$T$532, CONCATENATE(LEFT('WBS Summary by Year'!D$6,1),'WBS Summary by Year'!$C62,'WBS Summary by Year'!$B$43),'Pre- and Production'!AC$4:AC$532)</f>
        <v>0</v>
      </c>
      <c r="E62" s="286">
        <f>SUMIF('Pre- and Production'!$T$4:$T$532, CONCATENATE(LEFT('WBS Summary by Year'!E$6,1),'WBS Summary by Year'!$C62,'WBS Summary by Year'!$B$43),'Pre- and Production'!AM$4:AM$532)</f>
        <v>0</v>
      </c>
      <c r="F62" s="26">
        <f>SUMIF('Pre- and Production'!$T$4:$T$532, CONCATENATE(LEFT('WBS Summary by Year'!F$6,1),'WBS Summary by Year'!$C62,'WBS Summary by Year'!$B$43),'Pre- and Production'!AD$4:AD$532)</f>
        <v>0</v>
      </c>
      <c r="G62" s="279">
        <f>SUMIF('Pre- and Production'!$T$4:$T$532, CONCATENATE(LEFT('WBS Summary by Year'!G$6,1),'WBS Summary by Year'!$C62,'WBS Summary by Year'!$B$43),'Pre- and Production'!AN$4:AN$532)</f>
        <v>0</v>
      </c>
      <c r="H62" s="290">
        <f>SUMIF('Pre- and Production'!$T$4:$T$532, CONCATENATE(LEFT('WBS Summary by Year'!H$6,1),'WBS Summary by Year'!$C62,'WBS Summary by Year'!$B$43),'Pre- and Production'!AE$4:AE$532)</f>
        <v>0</v>
      </c>
      <c r="I62" s="286">
        <f>SUMIF('Pre- and Production'!$T$4:$T$532, CONCATENATE(LEFT('WBS Summary by Year'!I$6,1),'WBS Summary by Year'!$C62,'WBS Summary by Year'!$B$43),'Pre- and Production'!AO$4:AO$532)</f>
        <v>0</v>
      </c>
      <c r="J62" s="26">
        <f>SUMIF('Pre- and Production'!$T$4:$T$532, CONCATENATE(LEFT('WBS Summary by Year'!J$6,1),'WBS Summary by Year'!$C62,'WBS Summary by Year'!$B$43),'Pre- and Production'!AF$4:AFI$532)</f>
        <v>0</v>
      </c>
      <c r="K62" s="279">
        <f>SUMIF('Pre- and Production'!$T$4:$T$532, CONCATENATE(LEFT('WBS Summary by Year'!K$6,1),'WBS Summary by Year'!$C62,'WBS Summary by Year'!$B$43),'Pre- and Production'!AP$4:AP$532)</f>
        <v>0</v>
      </c>
      <c r="L62" s="290">
        <f>SUMIF('Pre- and Production'!$T$4:$T$532, CONCATENATE(LEFT('WBS Summary by Year'!L$6,1),'WBS Summary by Year'!$C62,'WBS Summary by Year'!$B$43),'Pre- and Production'!AG$4:AG$532)</f>
        <v>0</v>
      </c>
      <c r="M62" s="286">
        <f>SUMIF('Pre- and Production'!$T$4:$T$532, CONCATENATE(LEFT('WBS Summary by Year'!M$6,1),'WBS Summary by Year'!$C62,'WBS Summary by Year'!$B$43),'Pre- and Production'!AQ$4:AQ$532)</f>
        <v>0</v>
      </c>
      <c r="N62" s="298">
        <f>SUMIF('Pre- and Production'!$T$4:$T$532, CONCATENATE(LEFT('WBS Summary by Year'!N$6,1),'WBS Summary by Year'!$C62,'WBS Summary by Year'!$B$43),'Pre- and Production'!AH$4:AH$532)</f>
        <v>0</v>
      </c>
      <c r="O62" s="299">
        <f>SUMIF('Pre- and Production'!$T$4:$T$532, CONCATENATE(LEFT('WBS Summary by Year'!O$6,1),'WBS Summary by Year'!$C62,'WBS Summary by Year'!$B$43),'Pre- and Production'!AR$4:AR$532)</f>
        <v>0</v>
      </c>
    </row>
    <row r="63" spans="3:15" s="302" customFormat="1">
      <c r="C63" s="9" t="s">
        <v>223</v>
      </c>
      <c r="D63" s="26">
        <f>SUMIF('Pre- and Production'!$T$4:$T$532, CONCATENATE(LEFT('WBS Summary by Year'!D$6,1),'WBS Summary by Year'!$C63,'WBS Summary by Year'!$B$43),'Pre- and Production'!AC$4:AC$532)</f>
        <v>0</v>
      </c>
      <c r="E63" s="286">
        <f>SUMIF('Pre- and Production'!$T$4:$T$532, CONCATENATE(LEFT('WBS Summary by Year'!E$6,1),'WBS Summary by Year'!$C63,'WBS Summary by Year'!$B$43),'Pre- and Production'!AM$4:AM$532)</f>
        <v>0</v>
      </c>
      <c r="F63" s="26">
        <f>SUMIF('Pre- and Production'!$T$4:$T$532, CONCATENATE(LEFT('WBS Summary by Year'!F$6,1),'WBS Summary by Year'!$C63,'WBS Summary by Year'!$B$43),'Pre- and Production'!AD$4:AD$532)</f>
        <v>0</v>
      </c>
      <c r="G63" s="279">
        <f>SUMIF('Pre- and Production'!$T$4:$T$532, CONCATENATE(LEFT('WBS Summary by Year'!G$6,1),'WBS Summary by Year'!$C63,'WBS Summary by Year'!$B$43),'Pre- and Production'!AN$4:AN$532)</f>
        <v>0</v>
      </c>
      <c r="H63" s="290">
        <f>SUMIF('Pre- and Production'!$T$4:$T$532, CONCATENATE(LEFT('WBS Summary by Year'!H$6,1),'WBS Summary by Year'!$C63,'WBS Summary by Year'!$B$43),'Pre- and Production'!AE$4:AE$532)</f>
        <v>0</v>
      </c>
      <c r="I63" s="286">
        <f>SUMIF('Pre- and Production'!$T$4:$T$532, CONCATENATE(LEFT('WBS Summary by Year'!I$6,1),'WBS Summary by Year'!$C63,'WBS Summary by Year'!$B$43),'Pre- and Production'!AO$4:AO$532)</f>
        <v>0</v>
      </c>
      <c r="J63" s="26">
        <f>SUMIF('Pre- and Production'!$T$4:$T$532, CONCATENATE(LEFT('WBS Summary by Year'!J$6,1),'WBS Summary by Year'!$C63,'WBS Summary by Year'!$B$43),'Pre- and Production'!AF$4:AFI$532)</f>
        <v>80</v>
      </c>
      <c r="K63" s="279">
        <f>SUMIF('Pre- and Production'!$T$4:$T$532, CONCATENATE(LEFT('WBS Summary by Year'!K$6,1),'WBS Summary by Year'!$C63,'WBS Summary by Year'!$B$43),'Pre- and Production'!AP$4:AP$532)</f>
        <v>0</v>
      </c>
      <c r="L63" s="290">
        <f>SUMIF('Pre- and Production'!$T$4:$T$532, CONCATENATE(LEFT('WBS Summary by Year'!L$6,1),'WBS Summary by Year'!$C63,'WBS Summary by Year'!$B$43),'Pre- and Production'!AG$4:AG$532)</f>
        <v>0</v>
      </c>
      <c r="M63" s="286">
        <f>SUMIF('Pre- and Production'!$T$4:$T$532, CONCATENATE(LEFT('WBS Summary by Year'!M$6,1),'WBS Summary by Year'!$C63,'WBS Summary by Year'!$B$43),'Pre- and Production'!AQ$4:AQ$532)</f>
        <v>0</v>
      </c>
      <c r="N63" s="298">
        <f>SUMIF('Pre- and Production'!$T$4:$T$532, CONCATENATE(LEFT('WBS Summary by Year'!N$6,1),'WBS Summary by Year'!$C63,'WBS Summary by Year'!$B$43),'Pre- and Production'!AH$4:AH$532)</f>
        <v>0</v>
      </c>
      <c r="O63" s="299">
        <f>SUMIF('Pre- and Production'!$T$4:$T$532, CONCATENATE(LEFT('WBS Summary by Year'!O$6,1),'WBS Summary by Year'!$C63,'WBS Summary by Year'!$B$43),'Pre- and Production'!AR$4:AR$532)</f>
        <v>0</v>
      </c>
    </row>
    <row r="64" spans="3:15" s="302" customFormat="1">
      <c r="C64" s="9" t="s">
        <v>224</v>
      </c>
      <c r="D64" s="26">
        <f>SUMIF('Pre- and Production'!$T$4:$T$532, CONCATENATE(LEFT('WBS Summary by Year'!D$6,1),'WBS Summary by Year'!$C64,'WBS Summary by Year'!$B$43),'Pre- and Production'!AC$4:AC$532)</f>
        <v>0</v>
      </c>
      <c r="E64" s="286">
        <f>SUMIF('Pre- and Production'!$T$4:$T$532, CONCATENATE(LEFT('WBS Summary by Year'!E$6,1),'WBS Summary by Year'!$C64,'WBS Summary by Year'!$B$43),'Pre- and Production'!AM$4:AM$532)</f>
        <v>0</v>
      </c>
      <c r="F64" s="26">
        <f>SUMIF('Pre- and Production'!$T$4:$T$532, CONCATENATE(LEFT('WBS Summary by Year'!F$6,1),'WBS Summary by Year'!$C64,'WBS Summary by Year'!$B$43),'Pre- and Production'!AD$4:AD$532)</f>
        <v>0</v>
      </c>
      <c r="G64" s="279">
        <f>SUMIF('Pre- and Production'!$T$4:$T$532, CONCATENATE(LEFT('WBS Summary by Year'!G$6,1),'WBS Summary by Year'!$C64,'WBS Summary by Year'!$B$43),'Pre- and Production'!AN$4:AN$532)</f>
        <v>0</v>
      </c>
      <c r="H64" s="290">
        <f>SUMIF('Pre- and Production'!$T$4:$T$532, CONCATENATE(LEFT('WBS Summary by Year'!H$6,1),'WBS Summary by Year'!$C64,'WBS Summary by Year'!$B$43),'Pre- and Production'!AE$4:AE$532)</f>
        <v>0</v>
      </c>
      <c r="I64" s="286">
        <f>SUMIF('Pre- and Production'!$T$4:$T$532, CONCATENATE(LEFT('WBS Summary by Year'!I$6,1),'WBS Summary by Year'!$C64,'WBS Summary by Year'!$B$43),'Pre- and Production'!AO$4:AO$532)</f>
        <v>0</v>
      </c>
      <c r="J64" s="26">
        <f>SUMIF('Pre- and Production'!$T$4:$T$532, CONCATENATE(LEFT('WBS Summary by Year'!J$6,1),'WBS Summary by Year'!$C64,'WBS Summary by Year'!$B$43),'Pre- and Production'!AF$4:AFI$532)</f>
        <v>0</v>
      </c>
      <c r="K64" s="279">
        <f>SUMIF('Pre- and Production'!$T$4:$T$532, CONCATENATE(LEFT('WBS Summary by Year'!K$6,1),'WBS Summary by Year'!$C64,'WBS Summary by Year'!$B$43),'Pre- and Production'!AP$4:AP$532)</f>
        <v>0</v>
      </c>
      <c r="L64" s="290">
        <f>SUMIF('Pre- and Production'!$T$4:$T$532, CONCATENATE(LEFT('WBS Summary by Year'!L$6,1),'WBS Summary by Year'!$C64,'WBS Summary by Year'!$B$43),'Pre- and Production'!AG$4:AG$532)</f>
        <v>0</v>
      </c>
      <c r="M64" s="286">
        <f>SUMIF('Pre- and Production'!$T$4:$T$532, CONCATENATE(LEFT('WBS Summary by Year'!M$6,1),'WBS Summary by Year'!$C64,'WBS Summary by Year'!$B$43),'Pre- and Production'!AQ$4:AQ$532)</f>
        <v>0</v>
      </c>
      <c r="N64" s="298">
        <f>SUMIF('Pre- and Production'!$T$4:$T$532, CONCATENATE(LEFT('WBS Summary by Year'!N$6,1),'WBS Summary by Year'!$C64,'WBS Summary by Year'!$B$43),'Pre- and Production'!AH$4:AH$532)</f>
        <v>0</v>
      </c>
      <c r="O64" s="299">
        <f>SUMIF('Pre- and Production'!$T$4:$T$532, CONCATENATE(LEFT('WBS Summary by Year'!O$6,1),'WBS Summary by Year'!$C64,'WBS Summary by Year'!$B$43),'Pre- and Production'!AR$4:AR$532)</f>
        <v>0</v>
      </c>
    </row>
    <row r="65" spans="3:15" s="302" customFormat="1">
      <c r="C65" s="9" t="s">
        <v>225</v>
      </c>
      <c r="D65" s="26">
        <f>SUMIF('Pre- and Production'!$T$4:$T$532, CONCATENATE(LEFT('WBS Summary by Year'!D$6,1),'WBS Summary by Year'!$C65,'WBS Summary by Year'!$B$43),'Pre- and Production'!AC$4:AC$532)</f>
        <v>0</v>
      </c>
      <c r="E65" s="286">
        <f>SUMIF('Pre- and Production'!$T$4:$T$532, CONCATENATE(LEFT('WBS Summary by Year'!E$6,1),'WBS Summary by Year'!$C65,'WBS Summary by Year'!$B$43),'Pre- and Production'!AM$4:AM$532)</f>
        <v>0</v>
      </c>
      <c r="F65" s="26">
        <f>SUMIF('Pre- and Production'!$T$4:$T$532, CONCATENATE(LEFT('WBS Summary by Year'!F$6,1),'WBS Summary by Year'!$C65,'WBS Summary by Year'!$B$43),'Pre- and Production'!AD$4:AD$532)</f>
        <v>0</v>
      </c>
      <c r="G65" s="279">
        <f>SUMIF('Pre- and Production'!$T$4:$T$532, CONCATENATE(LEFT('WBS Summary by Year'!G$6,1),'WBS Summary by Year'!$C65,'WBS Summary by Year'!$B$43),'Pre- and Production'!AN$4:AN$532)</f>
        <v>0</v>
      </c>
      <c r="H65" s="290">
        <f>SUMIF('Pre- and Production'!$T$4:$T$532, CONCATENATE(LEFT('WBS Summary by Year'!H$6,1),'WBS Summary by Year'!$C65,'WBS Summary by Year'!$B$43),'Pre- and Production'!AE$4:AE$532)</f>
        <v>0</v>
      </c>
      <c r="I65" s="286">
        <f>SUMIF('Pre- and Production'!$T$4:$T$532, CONCATENATE(LEFT('WBS Summary by Year'!I$6,1),'WBS Summary by Year'!$C65,'WBS Summary by Year'!$B$43),'Pre- and Production'!AO$4:AO$532)</f>
        <v>0</v>
      </c>
      <c r="J65" s="26">
        <f>SUMIF('Pre- and Production'!$T$4:$T$532, CONCATENATE(LEFT('WBS Summary by Year'!J$6,1),'WBS Summary by Year'!$C65,'WBS Summary by Year'!$B$43),'Pre- and Production'!AF$4:AFI$532)</f>
        <v>0</v>
      </c>
      <c r="K65" s="279">
        <f>SUMIF('Pre- and Production'!$T$4:$T$532, CONCATENATE(LEFT('WBS Summary by Year'!K$6,1),'WBS Summary by Year'!$C65,'WBS Summary by Year'!$B$43),'Pre- and Production'!AP$4:AP$532)</f>
        <v>0</v>
      </c>
      <c r="L65" s="290">
        <f>SUMIF('Pre- and Production'!$T$4:$T$532, CONCATENATE(LEFT('WBS Summary by Year'!L$6,1),'WBS Summary by Year'!$C65,'WBS Summary by Year'!$B$43),'Pre- and Production'!AG$4:AG$532)</f>
        <v>0</v>
      </c>
      <c r="M65" s="286">
        <f>SUMIF('Pre- and Production'!$T$4:$T$532, CONCATENATE(LEFT('WBS Summary by Year'!M$6,1),'WBS Summary by Year'!$C65,'WBS Summary by Year'!$B$43),'Pre- and Production'!AQ$4:AQ$532)</f>
        <v>0</v>
      </c>
      <c r="N65" s="298">
        <f>SUMIF('Pre- and Production'!$T$4:$T$532, CONCATENATE(LEFT('WBS Summary by Year'!N$6,1),'WBS Summary by Year'!$C65,'WBS Summary by Year'!$B$43),'Pre- and Production'!AH$4:AH$532)</f>
        <v>0</v>
      </c>
      <c r="O65" s="299">
        <f>SUMIF('Pre- and Production'!$T$4:$T$532, CONCATENATE(LEFT('WBS Summary by Year'!O$6,1),'WBS Summary by Year'!$C65,'WBS Summary by Year'!$B$43),'Pre- and Production'!AR$4:AR$532)</f>
        <v>0</v>
      </c>
    </row>
    <row r="66" spans="3:15" s="302" customFormat="1">
      <c r="C66" s="9" t="s">
        <v>226</v>
      </c>
      <c r="D66" s="26">
        <f>SUMIF('Pre- and Production'!$T$4:$T$532, CONCATENATE(LEFT('WBS Summary by Year'!D$6,1),'WBS Summary by Year'!$C66,'WBS Summary by Year'!$B$43),'Pre- and Production'!AC$4:AC$532)</f>
        <v>0</v>
      </c>
      <c r="E66" s="286">
        <f>SUMIF('Pre- and Production'!$T$4:$T$532, CONCATENATE(LEFT('WBS Summary by Year'!E$6,1),'WBS Summary by Year'!$C66,'WBS Summary by Year'!$B$43),'Pre- and Production'!AM$4:AM$532)</f>
        <v>0</v>
      </c>
      <c r="F66" s="26">
        <f>SUMIF('Pre- and Production'!$T$4:$T$532, CONCATENATE(LEFT('WBS Summary by Year'!F$6,1),'WBS Summary by Year'!$C66,'WBS Summary by Year'!$B$43),'Pre- and Production'!AD$4:AD$532)</f>
        <v>0</v>
      </c>
      <c r="G66" s="279">
        <f>SUMIF('Pre- and Production'!$T$4:$T$532, CONCATENATE(LEFT('WBS Summary by Year'!G$6,1),'WBS Summary by Year'!$C66,'WBS Summary by Year'!$B$43),'Pre- and Production'!AN$4:AN$532)</f>
        <v>0</v>
      </c>
      <c r="H66" s="290">
        <f>SUMIF('Pre- and Production'!$T$4:$T$532, CONCATENATE(LEFT('WBS Summary by Year'!H$6,1),'WBS Summary by Year'!$C66,'WBS Summary by Year'!$B$43),'Pre- and Production'!AE$4:AE$532)</f>
        <v>0</v>
      </c>
      <c r="I66" s="286">
        <f>SUMIF('Pre- and Production'!$T$4:$T$532, CONCATENATE(LEFT('WBS Summary by Year'!I$6,1),'WBS Summary by Year'!$C66,'WBS Summary by Year'!$B$43),'Pre- and Production'!AO$4:AO$532)</f>
        <v>0</v>
      </c>
      <c r="J66" s="26">
        <f>SUMIF('Pre- and Production'!$T$4:$T$532, CONCATENATE(LEFT('WBS Summary by Year'!J$6,1),'WBS Summary by Year'!$C66,'WBS Summary by Year'!$B$43),'Pre- and Production'!AF$4:AFI$532)</f>
        <v>0</v>
      </c>
      <c r="K66" s="279">
        <f>SUMIF('Pre- and Production'!$T$4:$T$532, CONCATENATE(LEFT('WBS Summary by Year'!K$6,1),'WBS Summary by Year'!$C66,'WBS Summary by Year'!$B$43),'Pre- and Production'!AP$4:AP$532)</f>
        <v>0</v>
      </c>
      <c r="L66" s="290">
        <f>SUMIF('Pre- and Production'!$T$4:$T$532, CONCATENATE(LEFT('WBS Summary by Year'!L$6,1),'WBS Summary by Year'!$C66,'WBS Summary by Year'!$B$43),'Pre- and Production'!AG$4:AG$532)</f>
        <v>0</v>
      </c>
      <c r="M66" s="286">
        <f>SUMIF('Pre- and Production'!$T$4:$T$532, CONCATENATE(LEFT('WBS Summary by Year'!M$6,1),'WBS Summary by Year'!$C66,'WBS Summary by Year'!$B$43),'Pre- and Production'!AQ$4:AQ$532)</f>
        <v>0</v>
      </c>
      <c r="N66" s="298">
        <f>SUMIF('Pre- and Production'!$T$4:$T$532, CONCATENATE(LEFT('WBS Summary by Year'!N$6,1),'WBS Summary by Year'!$C66,'WBS Summary by Year'!$B$43),'Pre- and Production'!AH$4:AH$532)</f>
        <v>0</v>
      </c>
      <c r="O66" s="299">
        <f>SUMIF('Pre- and Production'!$T$4:$T$532, CONCATENATE(LEFT('WBS Summary by Year'!O$6,1),'WBS Summary by Year'!$C66,'WBS Summary by Year'!$B$43),'Pre- and Production'!AR$4:AR$532)</f>
        <v>0</v>
      </c>
    </row>
    <row r="67" spans="3:15" s="302" customFormat="1">
      <c r="C67" s="9" t="s">
        <v>227</v>
      </c>
      <c r="D67" s="26">
        <f>SUMIF('Pre- and Production'!$T$4:$T$532, CONCATENATE(LEFT('WBS Summary by Year'!D$6,1),'WBS Summary by Year'!$C67,'WBS Summary by Year'!$B$43),'Pre- and Production'!AC$4:AC$532)</f>
        <v>0</v>
      </c>
      <c r="E67" s="286">
        <f>SUMIF('Pre- and Production'!$T$4:$T$532, CONCATENATE(LEFT('WBS Summary by Year'!E$6,1),'WBS Summary by Year'!$C67,'WBS Summary by Year'!$B$43),'Pre- and Production'!AM$4:AM$532)</f>
        <v>0</v>
      </c>
      <c r="F67" s="26">
        <f>SUMIF('Pre- and Production'!$T$4:$T$532, CONCATENATE(LEFT('WBS Summary by Year'!F$6,1),'WBS Summary by Year'!$C67,'WBS Summary by Year'!$B$43),'Pre- and Production'!AD$4:AD$532)</f>
        <v>0</v>
      </c>
      <c r="G67" s="279">
        <f>SUMIF('Pre- and Production'!$T$4:$T$532, CONCATENATE(LEFT('WBS Summary by Year'!G$6,1),'WBS Summary by Year'!$C67,'WBS Summary by Year'!$B$43),'Pre- and Production'!AN$4:AN$532)</f>
        <v>0</v>
      </c>
      <c r="H67" s="290">
        <f>SUMIF('Pre- and Production'!$T$4:$T$532, CONCATENATE(LEFT('WBS Summary by Year'!H$6,1),'WBS Summary by Year'!$C67,'WBS Summary by Year'!$B$43),'Pre- and Production'!AE$4:AE$532)</f>
        <v>0</v>
      </c>
      <c r="I67" s="286">
        <f>SUMIF('Pre- and Production'!$T$4:$T$532, CONCATENATE(LEFT('WBS Summary by Year'!I$6,1),'WBS Summary by Year'!$C67,'WBS Summary by Year'!$B$43),'Pre- and Production'!AO$4:AO$532)</f>
        <v>0</v>
      </c>
      <c r="J67" s="26">
        <f>SUMIF('Pre- and Production'!$T$4:$T$532, CONCATENATE(LEFT('WBS Summary by Year'!J$6,1),'WBS Summary by Year'!$C67,'WBS Summary by Year'!$B$43),'Pre- and Production'!AF$4:AFI$532)</f>
        <v>0</v>
      </c>
      <c r="K67" s="279">
        <f>SUMIF('Pre- and Production'!$T$4:$T$532, CONCATENATE(LEFT('WBS Summary by Year'!K$6,1),'WBS Summary by Year'!$C67,'WBS Summary by Year'!$B$43),'Pre- and Production'!AP$4:AP$532)</f>
        <v>0</v>
      </c>
      <c r="L67" s="290">
        <f>SUMIF('Pre- and Production'!$T$4:$T$532, CONCATENATE(LEFT('WBS Summary by Year'!L$6,1),'WBS Summary by Year'!$C67,'WBS Summary by Year'!$B$43),'Pre- and Production'!AG$4:AG$532)</f>
        <v>0</v>
      </c>
      <c r="M67" s="286">
        <f>SUMIF('Pre- and Production'!$T$4:$T$532, CONCATENATE(LEFT('WBS Summary by Year'!M$6,1),'WBS Summary by Year'!$C67,'WBS Summary by Year'!$B$43),'Pre- and Production'!AQ$4:AQ$532)</f>
        <v>0</v>
      </c>
      <c r="N67" s="298">
        <f>SUMIF('Pre- and Production'!$T$4:$T$532, CONCATENATE(LEFT('WBS Summary by Year'!N$6,1),'WBS Summary by Year'!$C67,'WBS Summary by Year'!$B$43),'Pre- and Production'!AH$4:AH$532)</f>
        <v>0</v>
      </c>
      <c r="O67" s="299">
        <f>SUMIF('Pre- and Production'!$T$4:$T$532, CONCATENATE(LEFT('WBS Summary by Year'!O$6,1),'WBS Summary by Year'!$C67,'WBS Summary by Year'!$B$43),'Pre- and Production'!AR$4:AR$532)</f>
        <v>0</v>
      </c>
    </row>
    <row r="68" spans="3:15" s="302" customFormat="1">
      <c r="C68" s="9" t="s">
        <v>228</v>
      </c>
      <c r="D68" s="26">
        <f>SUMIF('Pre- and Production'!$T$4:$T$532, CONCATENATE(LEFT('WBS Summary by Year'!D$6,1),'WBS Summary by Year'!$C68,'WBS Summary by Year'!$B$43),'Pre- and Production'!AC$4:AC$532)</f>
        <v>0</v>
      </c>
      <c r="E68" s="286">
        <f>SUMIF('Pre- and Production'!$T$4:$T$532, CONCATENATE(LEFT('WBS Summary by Year'!E$6,1),'WBS Summary by Year'!$C68,'WBS Summary by Year'!$B$43),'Pre- and Production'!AM$4:AM$532)</f>
        <v>0</v>
      </c>
      <c r="F68" s="26">
        <f>SUMIF('Pre- and Production'!$T$4:$T$532, CONCATENATE(LEFT('WBS Summary by Year'!F$6,1),'WBS Summary by Year'!$C68,'WBS Summary by Year'!$B$43),'Pre- and Production'!AD$4:AD$532)</f>
        <v>0</v>
      </c>
      <c r="G68" s="279">
        <f>SUMIF('Pre- and Production'!$T$4:$T$532, CONCATENATE(LEFT('WBS Summary by Year'!G$6,1),'WBS Summary by Year'!$C68,'WBS Summary by Year'!$B$43),'Pre- and Production'!AN$4:AN$532)</f>
        <v>0</v>
      </c>
      <c r="H68" s="290">
        <f>SUMIF('Pre- and Production'!$T$4:$T$532, CONCATENATE(LEFT('WBS Summary by Year'!H$6,1),'WBS Summary by Year'!$C68,'WBS Summary by Year'!$B$43),'Pre- and Production'!AE$4:AE$532)</f>
        <v>0</v>
      </c>
      <c r="I68" s="286">
        <f>SUMIF('Pre- and Production'!$T$4:$T$532, CONCATENATE(LEFT('WBS Summary by Year'!I$6,1),'WBS Summary by Year'!$C68,'WBS Summary by Year'!$B$43),'Pre- and Production'!AO$4:AO$532)</f>
        <v>0</v>
      </c>
      <c r="J68" s="26">
        <f>SUMIF('Pre- and Production'!$T$4:$T$532, CONCATENATE(LEFT('WBS Summary by Year'!J$6,1),'WBS Summary by Year'!$C68,'WBS Summary by Year'!$B$43),'Pre- and Production'!AF$4:AFI$532)</f>
        <v>0</v>
      </c>
      <c r="K68" s="279">
        <f>SUMIF('Pre- and Production'!$T$4:$T$532, CONCATENATE(LEFT('WBS Summary by Year'!K$6,1),'WBS Summary by Year'!$C68,'WBS Summary by Year'!$B$43),'Pre- and Production'!AP$4:AP$532)</f>
        <v>0</v>
      </c>
      <c r="L68" s="290">
        <f>SUMIF('Pre- and Production'!$T$4:$T$532, CONCATENATE(LEFT('WBS Summary by Year'!L$6,1),'WBS Summary by Year'!$C68,'WBS Summary by Year'!$B$43),'Pre- and Production'!AG$4:AG$532)</f>
        <v>0</v>
      </c>
      <c r="M68" s="286">
        <f>SUMIF('Pre- and Production'!$T$4:$T$532, CONCATENATE(LEFT('WBS Summary by Year'!M$6,1),'WBS Summary by Year'!$C68,'WBS Summary by Year'!$B$43),'Pre- and Production'!AQ$4:AQ$532)</f>
        <v>0</v>
      </c>
      <c r="N68" s="298">
        <f>SUMIF('Pre- and Production'!$T$4:$T$532, CONCATENATE(LEFT('WBS Summary by Year'!N$6,1),'WBS Summary by Year'!$C68,'WBS Summary by Year'!$B$43),'Pre- and Production'!AH$4:AH$532)</f>
        <v>0</v>
      </c>
      <c r="O68" s="299">
        <f>SUMIF('Pre- and Production'!$T$4:$T$532, CONCATENATE(LEFT('WBS Summary by Year'!O$6,1),'WBS Summary by Year'!$C68,'WBS Summary by Year'!$B$43),'Pre- and Production'!AR$4:AR$532)</f>
        <v>0</v>
      </c>
    </row>
    <row r="69" spans="3:15">
      <c r="C69" s="9" t="s">
        <v>229</v>
      </c>
      <c r="D69" s="26">
        <f>SUMIF('Pre- and Production'!$T$4:$T$532, CONCATENATE(LEFT('WBS Summary by Year'!D$6,1),'WBS Summary by Year'!$C69,'WBS Summary by Year'!$B$43),'Pre- and Production'!AC$4:AC$532)</f>
        <v>0</v>
      </c>
      <c r="E69" s="286">
        <f>SUMIF('Pre- and Production'!$T$4:$T$532, CONCATENATE(LEFT('WBS Summary by Year'!E$6,1),'WBS Summary by Year'!$C69,'WBS Summary by Year'!$B$43),'Pre- and Production'!AM$4:AM$532)</f>
        <v>0</v>
      </c>
      <c r="F69" s="26">
        <f>SUMIF('Pre- and Production'!$T$4:$T$532, CONCATENATE(LEFT('WBS Summary by Year'!F$6,1),'WBS Summary by Year'!$C69,'WBS Summary by Year'!$B$43),'Pre- and Production'!AD$4:AD$532)</f>
        <v>0</v>
      </c>
      <c r="G69" s="279">
        <f>SUMIF('Pre- and Production'!$T$4:$T$532, CONCATENATE(LEFT('WBS Summary by Year'!G$6,1),'WBS Summary by Year'!$C69,'WBS Summary by Year'!$B$43),'Pre- and Production'!AN$4:AN$532)</f>
        <v>0</v>
      </c>
      <c r="H69" s="290">
        <f>SUMIF('Pre- and Production'!$T$4:$T$532, CONCATENATE(LEFT('WBS Summary by Year'!H$6,1),'WBS Summary by Year'!$C69,'WBS Summary by Year'!$B$43),'Pre- and Production'!AE$4:AE$532)</f>
        <v>0</v>
      </c>
      <c r="I69" s="286">
        <f>SUMIF('Pre- and Production'!$T$4:$T$532, CONCATENATE(LEFT('WBS Summary by Year'!I$6,1),'WBS Summary by Year'!$C69,'WBS Summary by Year'!$B$43),'Pre- and Production'!AO$4:AO$532)</f>
        <v>0</v>
      </c>
      <c r="J69" s="26">
        <f>SUMIF('Pre- and Production'!$T$4:$T$532, CONCATENATE(LEFT('WBS Summary by Year'!J$6,1),'WBS Summary by Year'!$C69,'WBS Summary by Year'!$B$43),'Pre- and Production'!AF$4:AFI$532)</f>
        <v>0</v>
      </c>
      <c r="K69" s="279">
        <f>SUMIF('Pre- and Production'!$T$4:$T$532, CONCATENATE(LEFT('WBS Summary by Year'!K$6,1),'WBS Summary by Year'!$C69,'WBS Summary by Year'!$B$43),'Pre- and Production'!AP$4:AP$532)</f>
        <v>0</v>
      </c>
      <c r="L69" s="290">
        <f>SUMIF('Pre- and Production'!$T$4:$T$532, CONCATENATE(LEFT('WBS Summary by Year'!L$6,1),'WBS Summary by Year'!$C69,'WBS Summary by Year'!$B$43),'Pre- and Production'!AG$4:AG$532)</f>
        <v>0</v>
      </c>
      <c r="M69" s="286">
        <f>SUMIF('Pre- and Production'!$T$4:$T$532, CONCATENATE(LEFT('WBS Summary by Year'!M$6,1),'WBS Summary by Year'!$C69,'WBS Summary by Year'!$B$43),'Pre- and Production'!AQ$4:AQ$532)</f>
        <v>0</v>
      </c>
      <c r="N69" s="298">
        <f>SUMIF('Pre- and Production'!$T$4:$T$532, CONCATENATE(LEFT('WBS Summary by Year'!N$6,1),'WBS Summary by Year'!$C69,'WBS Summary by Year'!$B$43),'Pre- and Production'!AH$4:AH$532)</f>
        <v>0</v>
      </c>
      <c r="O69" s="299">
        <f>SUMIF('Pre- and Production'!$T$4:$T$532, CONCATENATE(LEFT('WBS Summary by Year'!O$6,1),'WBS Summary by Year'!$C69,'WBS Summary by Year'!$B$43),'Pre- and Production'!AR$4:AR$532)</f>
        <v>0</v>
      </c>
    </row>
    <row r="70" spans="3:15">
      <c r="C70" s="9" t="s">
        <v>230</v>
      </c>
      <c r="D70" s="26">
        <f>SUMIF('Pre- and Production'!$T$4:$T$532, CONCATENATE(LEFT('WBS Summary by Year'!D$6,1),'WBS Summary by Year'!$C70,'WBS Summary by Year'!$B$43),'Pre- and Production'!AC$4:AC$532)</f>
        <v>0</v>
      </c>
      <c r="E70" s="286">
        <f>SUMIF('Pre- and Production'!$T$4:$T$532, CONCATENATE(LEFT('WBS Summary by Year'!E$6,1),'WBS Summary by Year'!$C70,'WBS Summary by Year'!$B$43),'Pre- and Production'!AM$4:AM$532)</f>
        <v>0</v>
      </c>
      <c r="F70" s="26">
        <f>SUMIF('Pre- and Production'!$T$4:$T$532, CONCATENATE(LEFT('WBS Summary by Year'!F$6,1),'WBS Summary by Year'!$C70,'WBS Summary by Year'!$B$43),'Pre- and Production'!AD$4:AD$532)</f>
        <v>0</v>
      </c>
      <c r="G70" s="279">
        <f>SUMIF('Pre- and Production'!$T$4:$T$532, CONCATENATE(LEFT('WBS Summary by Year'!G$6,1),'WBS Summary by Year'!$C70,'WBS Summary by Year'!$B$43),'Pre- and Production'!AN$4:AN$532)</f>
        <v>0</v>
      </c>
      <c r="H70" s="290">
        <f>SUMIF('Pre- and Production'!$T$4:$T$532, CONCATENATE(LEFT('WBS Summary by Year'!H$6,1),'WBS Summary by Year'!$C70,'WBS Summary by Year'!$B$43),'Pre- and Production'!AE$4:AE$532)</f>
        <v>0</v>
      </c>
      <c r="I70" s="286">
        <f>SUMIF('Pre- and Production'!$T$4:$T$532, CONCATENATE(LEFT('WBS Summary by Year'!I$6,1),'WBS Summary by Year'!$C70,'WBS Summary by Year'!$B$43),'Pre- and Production'!AO$4:AO$532)</f>
        <v>0</v>
      </c>
      <c r="J70" s="26">
        <f>SUMIF('Pre- and Production'!$T$4:$T$532, CONCATENATE(LEFT('WBS Summary by Year'!J$6,1),'WBS Summary by Year'!$C70,'WBS Summary by Year'!$B$43),'Pre- and Production'!AF$4:AFI$532)</f>
        <v>0</v>
      </c>
      <c r="K70" s="279">
        <f>SUMIF('Pre- and Production'!$T$4:$T$532, CONCATENATE(LEFT('WBS Summary by Year'!K$6,1),'WBS Summary by Year'!$C70,'WBS Summary by Year'!$B$43),'Pre- and Production'!AP$4:AP$532)</f>
        <v>0</v>
      </c>
      <c r="L70" s="290">
        <f>SUMIF('Pre- and Production'!$T$4:$T$532, CONCATENATE(LEFT('WBS Summary by Year'!L$6,1),'WBS Summary by Year'!$C70,'WBS Summary by Year'!$B$43),'Pre- and Production'!AG$4:AG$532)</f>
        <v>0</v>
      </c>
      <c r="M70" s="286">
        <f>SUMIF('Pre- and Production'!$T$4:$T$532, CONCATENATE(LEFT('WBS Summary by Year'!M$6,1),'WBS Summary by Year'!$C70,'WBS Summary by Year'!$B$43),'Pre- and Production'!AQ$4:AQ$532)</f>
        <v>0</v>
      </c>
      <c r="N70" s="298">
        <f>SUMIF('Pre- and Production'!$T$4:$T$532, CONCATENATE(LEFT('WBS Summary by Year'!N$6,1),'WBS Summary by Year'!$C70,'WBS Summary by Year'!$B$43),'Pre- and Production'!AH$4:AH$532)</f>
        <v>0</v>
      </c>
      <c r="O70" s="299">
        <f>SUMIF('Pre- and Production'!$T$4:$T$532, CONCATENATE(LEFT('WBS Summary by Year'!O$6,1),'WBS Summary by Year'!$C70,'WBS Summary by Year'!$B$43),'Pre- and Production'!AR$4:AR$532)</f>
        <v>0</v>
      </c>
    </row>
    <row r="71" spans="3:15">
      <c r="C71" s="9" t="s">
        <v>231</v>
      </c>
      <c r="D71" s="26">
        <f>SUMIF('Pre- and Production'!$T$4:$T$532, CONCATENATE(LEFT('WBS Summary by Year'!D$6,1),'WBS Summary by Year'!$C71,'WBS Summary by Year'!$B$43),'Pre- and Production'!AC$4:AC$532)</f>
        <v>0</v>
      </c>
      <c r="E71" s="286">
        <f>SUMIF('Pre- and Production'!$T$4:$T$532, CONCATENATE(LEFT('WBS Summary by Year'!E$6,1),'WBS Summary by Year'!$C71,'WBS Summary by Year'!$B$43),'Pre- and Production'!AM$4:AM$532)</f>
        <v>0</v>
      </c>
      <c r="F71" s="26">
        <f>SUMIF('Pre- and Production'!$T$4:$T$532, CONCATENATE(LEFT('WBS Summary by Year'!F$6,1),'WBS Summary by Year'!$C71,'WBS Summary by Year'!$B$43),'Pre- and Production'!AD$4:AD$532)</f>
        <v>0</v>
      </c>
      <c r="G71" s="279">
        <f>SUMIF('Pre- and Production'!$T$4:$T$532, CONCATENATE(LEFT('WBS Summary by Year'!G$6,1),'WBS Summary by Year'!$C71,'WBS Summary by Year'!$B$43),'Pre- and Production'!AN$4:AN$532)</f>
        <v>0</v>
      </c>
      <c r="H71" s="290">
        <f>SUMIF('Pre- and Production'!$T$4:$T$532, CONCATENATE(LEFT('WBS Summary by Year'!H$6,1),'WBS Summary by Year'!$C71,'WBS Summary by Year'!$B$43),'Pre- and Production'!AE$4:AE$532)</f>
        <v>0</v>
      </c>
      <c r="I71" s="286">
        <f>SUMIF('Pre- and Production'!$T$4:$T$532, CONCATENATE(LEFT('WBS Summary by Year'!I$6,1),'WBS Summary by Year'!$C71,'WBS Summary by Year'!$B$43),'Pre- and Production'!AO$4:AO$532)</f>
        <v>0</v>
      </c>
      <c r="J71" s="26">
        <f>SUMIF('Pre- and Production'!$T$4:$T$532, CONCATENATE(LEFT('WBS Summary by Year'!J$6,1),'WBS Summary by Year'!$C71,'WBS Summary by Year'!$B$43),'Pre- and Production'!AF$4:AFI$532)</f>
        <v>0</v>
      </c>
      <c r="K71" s="279">
        <f>SUMIF('Pre- and Production'!$T$4:$T$532, CONCATENATE(LEFT('WBS Summary by Year'!K$6,1),'WBS Summary by Year'!$C71,'WBS Summary by Year'!$B$43),'Pre- and Production'!AP$4:AP$532)</f>
        <v>0</v>
      </c>
      <c r="L71" s="290">
        <f>SUMIF('Pre- and Production'!$T$4:$T$532, CONCATENATE(LEFT('WBS Summary by Year'!L$6,1),'WBS Summary by Year'!$C71,'WBS Summary by Year'!$B$43),'Pre- and Production'!AG$4:AG$532)</f>
        <v>0</v>
      </c>
      <c r="M71" s="286">
        <f>SUMIF('Pre- and Production'!$T$4:$T$532, CONCATENATE(LEFT('WBS Summary by Year'!M$6,1),'WBS Summary by Year'!$C71,'WBS Summary by Year'!$B$43),'Pre- and Production'!AQ$4:AQ$532)</f>
        <v>0</v>
      </c>
      <c r="N71" s="298">
        <f>SUMIF('Pre- and Production'!$T$4:$T$532, CONCATENATE(LEFT('WBS Summary by Year'!N$6,1),'WBS Summary by Year'!$C71,'WBS Summary by Year'!$B$43),'Pre- and Production'!AH$4:AH$532)</f>
        <v>0</v>
      </c>
      <c r="O71" s="299">
        <f>SUMIF('Pre- and Production'!$T$4:$T$532, CONCATENATE(LEFT('WBS Summary by Year'!O$6,1),'WBS Summary by Year'!$C71,'WBS Summary by Year'!$B$43),'Pre- and Production'!AR$4:AR$532)</f>
        <v>0</v>
      </c>
    </row>
    <row r="72" spans="3:15">
      <c r="C72" s="9" t="s">
        <v>232</v>
      </c>
      <c r="D72" s="26">
        <f>SUMIF('Pre- and Production'!$T$4:$T$532, CONCATENATE(LEFT('WBS Summary by Year'!D$6,1),'WBS Summary by Year'!$C72,'WBS Summary by Year'!$B$43),'Pre- and Production'!AC$4:AC$532)</f>
        <v>0</v>
      </c>
      <c r="E72" s="286">
        <f>SUMIF('Pre- and Production'!$T$4:$T$532, CONCATENATE(LEFT('WBS Summary by Year'!E$6,1),'WBS Summary by Year'!$C72,'WBS Summary by Year'!$B$43),'Pre- and Production'!AM$4:AM$532)</f>
        <v>0</v>
      </c>
      <c r="F72" s="26">
        <f>SUMIF('Pre- and Production'!$T$4:$T$532, CONCATENATE(LEFT('WBS Summary by Year'!F$6,1),'WBS Summary by Year'!$C72,'WBS Summary by Year'!$B$43),'Pre- and Production'!AD$4:AD$532)</f>
        <v>0</v>
      </c>
      <c r="G72" s="279">
        <f>SUMIF('Pre- and Production'!$T$4:$T$532, CONCATENATE(LEFT('WBS Summary by Year'!G$6,1),'WBS Summary by Year'!$C72,'WBS Summary by Year'!$B$43),'Pre- and Production'!AN$4:AN$532)</f>
        <v>0</v>
      </c>
      <c r="H72" s="290">
        <f>SUMIF('Pre- and Production'!$T$4:$T$532, CONCATENATE(LEFT('WBS Summary by Year'!H$6,1),'WBS Summary by Year'!$C72,'WBS Summary by Year'!$B$43),'Pre- and Production'!AE$4:AE$532)</f>
        <v>0</v>
      </c>
      <c r="I72" s="286">
        <f>SUMIF('Pre- and Production'!$T$4:$T$532, CONCATENATE(LEFT('WBS Summary by Year'!I$6,1),'WBS Summary by Year'!$C72,'WBS Summary by Year'!$B$43),'Pre- and Production'!AO$4:AO$532)</f>
        <v>0</v>
      </c>
      <c r="J72" s="26">
        <f>SUMIF('Pre- and Production'!$T$4:$T$532, CONCATENATE(LEFT('WBS Summary by Year'!J$6,1),'WBS Summary by Year'!$C72,'WBS Summary by Year'!$B$43),'Pre- and Production'!AF$4:AFI$532)</f>
        <v>0</v>
      </c>
      <c r="K72" s="279">
        <f>SUMIF('Pre- and Production'!$T$4:$T$532, CONCATENATE(LEFT('WBS Summary by Year'!K$6,1),'WBS Summary by Year'!$C72,'WBS Summary by Year'!$B$43),'Pre- and Production'!AP$4:AP$532)</f>
        <v>0</v>
      </c>
      <c r="L72" s="290">
        <f>SUMIF('Pre- and Production'!$T$4:$T$532, CONCATENATE(LEFT('WBS Summary by Year'!L$6,1),'WBS Summary by Year'!$C72,'WBS Summary by Year'!$B$43),'Pre- and Production'!AG$4:AG$532)</f>
        <v>0</v>
      </c>
      <c r="M72" s="286">
        <f>SUMIF('Pre- and Production'!$T$4:$T$532, CONCATENATE(LEFT('WBS Summary by Year'!M$6,1),'WBS Summary by Year'!$C72,'WBS Summary by Year'!$B$43),'Pre- and Production'!AQ$4:AQ$532)</f>
        <v>0</v>
      </c>
      <c r="N72" s="298">
        <f>SUMIF('Pre- and Production'!$T$4:$T$532, CONCATENATE(LEFT('WBS Summary by Year'!N$6,1),'WBS Summary by Year'!$C72,'WBS Summary by Year'!$B$43),'Pre- and Production'!AH$4:AH$532)</f>
        <v>0</v>
      </c>
      <c r="O72" s="299">
        <f>SUMIF('Pre- and Production'!$T$4:$T$532, CONCATENATE(LEFT('WBS Summary by Year'!O$6,1),'WBS Summary by Year'!$C72,'WBS Summary by Year'!$B$43),'Pre- and Production'!AR$4:AR$532)</f>
        <v>0</v>
      </c>
    </row>
    <row r="73" spans="3:15">
      <c r="C73" s="9" t="s">
        <v>233</v>
      </c>
      <c r="D73" s="26">
        <f>SUMIF('Pre- and Production'!$T$4:$T$532, CONCATENATE(LEFT('WBS Summary by Year'!D$6,1),'WBS Summary by Year'!$C73,'WBS Summary by Year'!$B$43),'Pre- and Production'!AC$4:AC$532)</f>
        <v>0</v>
      </c>
      <c r="E73" s="286">
        <f>SUMIF('Pre- and Production'!$T$4:$T$532, CONCATENATE(LEFT('WBS Summary by Year'!E$6,1),'WBS Summary by Year'!$C73,'WBS Summary by Year'!$B$43),'Pre- and Production'!AM$4:AM$532)</f>
        <v>0</v>
      </c>
      <c r="F73" s="26">
        <f>SUMIF('Pre- and Production'!$T$4:$T$532, CONCATENATE(LEFT('WBS Summary by Year'!F$6,1),'WBS Summary by Year'!$C73,'WBS Summary by Year'!$B$43),'Pre- and Production'!AD$4:AD$532)</f>
        <v>0</v>
      </c>
      <c r="G73" s="279">
        <f>SUMIF('Pre- and Production'!$T$4:$T$532, CONCATENATE(LEFT('WBS Summary by Year'!G$6,1),'WBS Summary by Year'!$C73,'WBS Summary by Year'!$B$43),'Pre- and Production'!AN$4:AN$532)</f>
        <v>0</v>
      </c>
      <c r="H73" s="290">
        <f>SUMIF('Pre- and Production'!$T$4:$T$532, CONCATENATE(LEFT('WBS Summary by Year'!H$6,1),'WBS Summary by Year'!$C73,'WBS Summary by Year'!$B$43),'Pre- and Production'!AE$4:AE$532)</f>
        <v>0</v>
      </c>
      <c r="I73" s="286">
        <f>SUMIF('Pre- and Production'!$T$4:$T$532, CONCATENATE(LEFT('WBS Summary by Year'!I$6,1),'WBS Summary by Year'!$C73,'WBS Summary by Year'!$B$43),'Pre- and Production'!AO$4:AO$532)</f>
        <v>0</v>
      </c>
      <c r="J73" s="26">
        <f>SUMIF('Pre- and Production'!$T$4:$T$532, CONCATENATE(LEFT('WBS Summary by Year'!J$6,1),'WBS Summary by Year'!$C73,'WBS Summary by Year'!$B$43),'Pre- and Production'!AF$4:AFI$532)</f>
        <v>0</v>
      </c>
      <c r="K73" s="279">
        <f>SUMIF('Pre- and Production'!$T$4:$T$532, CONCATENATE(LEFT('WBS Summary by Year'!K$6,1),'WBS Summary by Year'!$C73,'WBS Summary by Year'!$B$43),'Pre- and Production'!AP$4:AP$532)</f>
        <v>0</v>
      </c>
      <c r="L73" s="290">
        <f>SUMIF('Pre- and Production'!$T$4:$T$532, CONCATENATE(LEFT('WBS Summary by Year'!L$6,1),'WBS Summary by Year'!$C73,'WBS Summary by Year'!$B$43),'Pre- and Production'!AG$4:AG$532)</f>
        <v>0</v>
      </c>
      <c r="M73" s="286">
        <f>SUMIF('Pre- and Production'!$T$4:$T$532, CONCATENATE(LEFT('WBS Summary by Year'!M$6,1),'WBS Summary by Year'!$C73,'WBS Summary by Year'!$B$43),'Pre- and Production'!AQ$4:AQ$532)</f>
        <v>0</v>
      </c>
      <c r="N73" s="298">
        <f>SUMIF('Pre- and Production'!$T$4:$T$532, CONCATENATE(LEFT('WBS Summary by Year'!N$6,1),'WBS Summary by Year'!$C73,'WBS Summary by Year'!$B$43),'Pre- and Production'!AH$4:AH$532)</f>
        <v>0</v>
      </c>
      <c r="O73" s="299">
        <f>SUMIF('Pre- and Production'!$T$4:$T$532, CONCATENATE(LEFT('WBS Summary by Year'!O$6,1),'WBS Summary by Year'!$C73,'WBS Summary by Year'!$B$43),'Pre- and Production'!AR$4:AR$532)</f>
        <v>0</v>
      </c>
    </row>
    <row r="74" spans="3:15">
      <c r="C74" s="9" t="s">
        <v>234</v>
      </c>
      <c r="D74" s="26">
        <f>SUMIF('Pre- and Production'!$T$4:$T$532, CONCATENATE(LEFT('WBS Summary by Year'!D$6,1),'WBS Summary by Year'!$C74,'WBS Summary by Year'!$B$43),'Pre- and Production'!AC$4:AC$532)</f>
        <v>0</v>
      </c>
      <c r="E74" s="286">
        <f>SUMIF('Pre- and Production'!$T$4:$T$532, CONCATENATE(LEFT('WBS Summary by Year'!E$6,1),'WBS Summary by Year'!$C74,'WBS Summary by Year'!$B$43),'Pre- and Production'!AM$4:AM$532)</f>
        <v>0</v>
      </c>
      <c r="F74" s="26">
        <f>SUMIF('Pre- and Production'!$T$4:$T$532, CONCATENATE(LEFT('WBS Summary by Year'!F$6,1),'WBS Summary by Year'!$C74,'WBS Summary by Year'!$B$43),'Pre- and Production'!AD$4:AD$532)</f>
        <v>0</v>
      </c>
      <c r="G74" s="279">
        <f>SUMIF('Pre- and Production'!$T$4:$T$532, CONCATENATE(LEFT('WBS Summary by Year'!G$6,1),'WBS Summary by Year'!$C74,'WBS Summary by Year'!$B$43),'Pre- and Production'!AN$4:AN$532)</f>
        <v>0</v>
      </c>
      <c r="H74" s="290">
        <f>SUMIF('Pre- and Production'!$T$4:$T$532, CONCATENATE(LEFT('WBS Summary by Year'!H$6,1),'WBS Summary by Year'!$C74,'WBS Summary by Year'!$B$43),'Pre- and Production'!AE$4:AE$532)</f>
        <v>0</v>
      </c>
      <c r="I74" s="286">
        <f>SUMIF('Pre- and Production'!$T$4:$T$532, CONCATENATE(LEFT('WBS Summary by Year'!I$6,1),'WBS Summary by Year'!$C74,'WBS Summary by Year'!$B$43),'Pre- and Production'!AO$4:AO$532)</f>
        <v>0</v>
      </c>
      <c r="J74" s="26">
        <f>SUMIF('Pre- and Production'!$T$4:$T$532, CONCATENATE(LEFT('WBS Summary by Year'!J$6,1),'WBS Summary by Year'!$C74,'WBS Summary by Year'!$B$43),'Pre- and Production'!AF$4:AFI$532)</f>
        <v>0</v>
      </c>
      <c r="K74" s="279">
        <f>SUMIF('Pre- and Production'!$T$4:$T$532, CONCATENATE(LEFT('WBS Summary by Year'!K$6,1),'WBS Summary by Year'!$C74,'WBS Summary by Year'!$B$43),'Pre- and Production'!AP$4:AP$532)</f>
        <v>0</v>
      </c>
      <c r="L74" s="290">
        <f>SUMIF('Pre- and Production'!$T$4:$T$532, CONCATENATE(LEFT('WBS Summary by Year'!L$6,1),'WBS Summary by Year'!$C74,'WBS Summary by Year'!$B$43),'Pre- and Production'!AG$4:AG$532)</f>
        <v>0</v>
      </c>
      <c r="M74" s="286">
        <f>SUMIF('Pre- and Production'!$T$4:$T$532, CONCATENATE(LEFT('WBS Summary by Year'!M$6,1),'WBS Summary by Year'!$C74,'WBS Summary by Year'!$B$43),'Pre- and Production'!AQ$4:AQ$532)</f>
        <v>0</v>
      </c>
      <c r="N74" s="298">
        <f>SUMIF('Pre- and Production'!$T$4:$T$532, CONCATENATE(LEFT('WBS Summary by Year'!N$6,1),'WBS Summary by Year'!$C74,'WBS Summary by Year'!$B$43),'Pre- and Production'!AH$4:AH$532)</f>
        <v>0</v>
      </c>
      <c r="O74" s="299">
        <f>SUMIF('Pre- and Production'!$T$4:$T$532, CONCATENATE(LEFT('WBS Summary by Year'!O$6,1),'WBS Summary by Year'!$C74,'WBS Summary by Year'!$B$43),'Pre- and Production'!AR$4:AR$532)</f>
        <v>0</v>
      </c>
    </row>
    <row r="75" spans="3:15">
      <c r="C75" s="9" t="s">
        <v>235</v>
      </c>
      <c r="D75" s="26">
        <f>SUMIF('Pre- and Production'!$T$4:$T$532, CONCATENATE(LEFT('WBS Summary by Year'!D$6,1),'WBS Summary by Year'!$C75,'WBS Summary by Year'!$B$43),'Pre- and Production'!AC$4:AC$532)</f>
        <v>0</v>
      </c>
      <c r="E75" s="286">
        <f>SUMIF('Pre- and Production'!$T$4:$T$532, CONCATENATE(LEFT('WBS Summary by Year'!E$6,1),'WBS Summary by Year'!$C75,'WBS Summary by Year'!$B$43),'Pre- and Production'!AM$4:AM$532)</f>
        <v>0</v>
      </c>
      <c r="F75" s="26">
        <f>SUMIF('Pre- and Production'!$T$4:$T$532, CONCATENATE(LEFT('WBS Summary by Year'!F$6,1),'WBS Summary by Year'!$C75,'WBS Summary by Year'!$B$43),'Pre- and Production'!AD$4:AD$532)</f>
        <v>0</v>
      </c>
      <c r="G75" s="279">
        <f>SUMIF('Pre- and Production'!$T$4:$T$532, CONCATENATE(LEFT('WBS Summary by Year'!G$6,1),'WBS Summary by Year'!$C75,'WBS Summary by Year'!$B$43),'Pre- and Production'!AN$4:AN$532)</f>
        <v>0</v>
      </c>
      <c r="H75" s="290">
        <f>SUMIF('Pre- and Production'!$T$4:$T$532, CONCATENATE(LEFT('WBS Summary by Year'!H$6,1),'WBS Summary by Year'!$C75,'WBS Summary by Year'!$B$43),'Pre- and Production'!AE$4:AE$532)</f>
        <v>0</v>
      </c>
      <c r="I75" s="286">
        <f>SUMIF('Pre- and Production'!$T$4:$T$532, CONCATENATE(LEFT('WBS Summary by Year'!I$6,1),'WBS Summary by Year'!$C75,'WBS Summary by Year'!$B$43),'Pre- and Production'!AO$4:AO$532)</f>
        <v>0</v>
      </c>
      <c r="J75" s="26">
        <f>SUMIF('Pre- and Production'!$T$4:$T$532, CONCATENATE(LEFT('WBS Summary by Year'!J$6,1),'WBS Summary by Year'!$C75,'WBS Summary by Year'!$B$43),'Pre- and Production'!AF$4:AFI$532)</f>
        <v>0</v>
      </c>
      <c r="K75" s="279">
        <f>SUMIF('Pre- and Production'!$T$4:$T$532, CONCATENATE(LEFT('WBS Summary by Year'!K$6,1),'WBS Summary by Year'!$C75,'WBS Summary by Year'!$B$43),'Pre- and Production'!AP$4:AP$532)</f>
        <v>0</v>
      </c>
      <c r="L75" s="290">
        <f>SUMIF('Pre- and Production'!$T$4:$T$532, CONCATENATE(LEFT('WBS Summary by Year'!L$6,1),'WBS Summary by Year'!$C75,'WBS Summary by Year'!$B$43),'Pre- and Production'!AG$4:AG$532)</f>
        <v>0</v>
      </c>
      <c r="M75" s="286">
        <f>SUMIF('Pre- and Production'!$T$4:$T$532, CONCATENATE(LEFT('WBS Summary by Year'!M$6,1),'WBS Summary by Year'!$C75,'WBS Summary by Year'!$B$43),'Pre- and Production'!AQ$4:AQ$532)</f>
        <v>0</v>
      </c>
      <c r="N75" s="298">
        <f>SUMIF('Pre- and Production'!$T$4:$T$532, CONCATENATE(LEFT('WBS Summary by Year'!N$6,1),'WBS Summary by Year'!$C75,'WBS Summary by Year'!$B$43),'Pre- and Production'!AH$4:AH$532)</f>
        <v>0</v>
      </c>
      <c r="O75" s="299">
        <f>SUMIF('Pre- and Production'!$T$4:$T$532, CONCATENATE(LEFT('WBS Summary by Year'!O$6,1),'WBS Summary by Year'!$C75,'WBS Summary by Year'!$B$43),'Pre- and Production'!AR$4:AR$532)</f>
        <v>0</v>
      </c>
    </row>
    <row r="76" spans="3:15">
      <c r="C76" s="9" t="s">
        <v>236</v>
      </c>
      <c r="D76" s="26">
        <f>SUMIF('Pre- and Production'!$T$4:$T$532, CONCATENATE(LEFT('WBS Summary by Year'!D$6,1),'WBS Summary by Year'!$C76,'WBS Summary by Year'!$B$43),'Pre- and Production'!AC$4:AC$532)</f>
        <v>0</v>
      </c>
      <c r="E76" s="286">
        <f>SUMIF('Pre- and Production'!$T$4:$T$532, CONCATENATE(LEFT('WBS Summary by Year'!E$6,1),'WBS Summary by Year'!$C76,'WBS Summary by Year'!$B$43),'Pre- and Production'!AM$4:AM$532)</f>
        <v>0</v>
      </c>
      <c r="F76" s="26">
        <f>SUMIF('Pre- and Production'!$T$4:$T$532, CONCATENATE(LEFT('WBS Summary by Year'!F$6,1),'WBS Summary by Year'!$C76,'WBS Summary by Year'!$B$43),'Pre- and Production'!AD$4:AD$532)</f>
        <v>0</v>
      </c>
      <c r="G76" s="279">
        <f>SUMIF('Pre- and Production'!$T$4:$T$532, CONCATENATE(LEFT('WBS Summary by Year'!G$6,1),'WBS Summary by Year'!$C76,'WBS Summary by Year'!$B$43),'Pre- and Production'!AN$4:AN$532)</f>
        <v>0</v>
      </c>
      <c r="H76" s="290">
        <f>SUMIF('Pre- and Production'!$T$4:$T$532, CONCATENATE(LEFT('WBS Summary by Year'!H$6,1),'WBS Summary by Year'!$C76,'WBS Summary by Year'!$B$43),'Pre- and Production'!AE$4:AE$532)</f>
        <v>0</v>
      </c>
      <c r="I76" s="286">
        <f>SUMIF('Pre- and Production'!$T$4:$T$532, CONCATENATE(LEFT('WBS Summary by Year'!I$6,1),'WBS Summary by Year'!$C76,'WBS Summary by Year'!$B$43),'Pre- and Production'!AO$4:AO$532)</f>
        <v>0</v>
      </c>
      <c r="J76" s="26">
        <f>SUMIF('Pre- and Production'!$T$4:$T$532, CONCATENATE(LEFT('WBS Summary by Year'!J$6,1),'WBS Summary by Year'!$C76,'WBS Summary by Year'!$B$43),'Pre- and Production'!AF$4:AFI$532)</f>
        <v>0</v>
      </c>
      <c r="K76" s="279">
        <f>SUMIF('Pre- and Production'!$T$4:$T$532, CONCATENATE(LEFT('WBS Summary by Year'!K$6,1),'WBS Summary by Year'!$C76,'WBS Summary by Year'!$B$43),'Pre- and Production'!AP$4:AP$532)</f>
        <v>0</v>
      </c>
      <c r="L76" s="290">
        <f>SUMIF('Pre- and Production'!$T$4:$T$532, CONCATENATE(LEFT('WBS Summary by Year'!L$6,1),'WBS Summary by Year'!$C76,'WBS Summary by Year'!$B$43),'Pre- and Production'!AG$4:AG$532)</f>
        <v>0</v>
      </c>
      <c r="M76" s="286">
        <f>SUMIF('Pre- and Production'!$T$4:$T$532, CONCATENATE(LEFT('WBS Summary by Year'!M$6,1),'WBS Summary by Year'!$C76,'WBS Summary by Year'!$B$43),'Pre- and Production'!AQ$4:AQ$532)</f>
        <v>0</v>
      </c>
      <c r="N76" s="298">
        <f>SUMIF('Pre- and Production'!$T$4:$T$532, CONCATENATE(LEFT('WBS Summary by Year'!N$6,1),'WBS Summary by Year'!$C76,'WBS Summary by Year'!$B$43),'Pre- and Production'!AH$4:AH$532)</f>
        <v>0</v>
      </c>
      <c r="O76" s="299">
        <f>SUMIF('Pre- and Production'!$T$4:$T$532, CONCATENATE(LEFT('WBS Summary by Year'!O$6,1),'WBS Summary by Year'!$C76,'WBS Summary by Year'!$B$43),'Pre- and Production'!AR$4:AR$532)</f>
        <v>0</v>
      </c>
    </row>
    <row r="77" spans="3:15">
      <c r="C77" s="9" t="s">
        <v>237</v>
      </c>
      <c r="D77" s="26">
        <f>SUMIF('Pre- and Production'!$T$4:$T$532, CONCATENATE(LEFT('WBS Summary by Year'!D$6,1),'WBS Summary by Year'!$C77,'WBS Summary by Year'!$B$43),'Pre- and Production'!AC$4:AC$532)</f>
        <v>0</v>
      </c>
      <c r="E77" s="286">
        <f>SUMIF('Pre- and Production'!$T$4:$T$532, CONCATENATE(LEFT('WBS Summary by Year'!E$6,1),'WBS Summary by Year'!$C77,'WBS Summary by Year'!$B$43),'Pre- and Production'!AM$4:AM$532)</f>
        <v>0</v>
      </c>
      <c r="F77" s="26">
        <f>SUMIF('Pre- and Production'!$T$4:$T$532, CONCATENATE(LEFT('WBS Summary by Year'!F$6,1),'WBS Summary by Year'!$C77,'WBS Summary by Year'!$B$43),'Pre- and Production'!AD$4:AD$532)</f>
        <v>0</v>
      </c>
      <c r="G77" s="279">
        <f>SUMIF('Pre- and Production'!$T$4:$T$532, CONCATENATE(LEFT('WBS Summary by Year'!G$6,1),'WBS Summary by Year'!$C77,'WBS Summary by Year'!$B$43),'Pre- and Production'!AN$4:AN$532)</f>
        <v>0</v>
      </c>
      <c r="H77" s="290">
        <f>SUMIF('Pre- and Production'!$T$4:$T$532, CONCATENATE(LEFT('WBS Summary by Year'!H$6,1),'WBS Summary by Year'!$C77,'WBS Summary by Year'!$B$43),'Pre- and Production'!AE$4:AE$532)</f>
        <v>0</v>
      </c>
      <c r="I77" s="286">
        <f>SUMIF('Pre- and Production'!$T$4:$T$532, CONCATENATE(LEFT('WBS Summary by Year'!I$6,1),'WBS Summary by Year'!$C77,'WBS Summary by Year'!$B$43),'Pre- and Production'!AO$4:AO$532)</f>
        <v>0</v>
      </c>
      <c r="J77" s="26">
        <f>SUMIF('Pre- and Production'!$T$4:$T$532, CONCATENATE(LEFT('WBS Summary by Year'!J$6,1),'WBS Summary by Year'!$C77,'WBS Summary by Year'!$B$43),'Pre- and Production'!AF$4:AFI$532)</f>
        <v>0</v>
      </c>
      <c r="K77" s="279">
        <f>SUMIF('Pre- and Production'!$T$4:$T$532, CONCATENATE(LEFT('WBS Summary by Year'!K$6,1),'WBS Summary by Year'!$C77,'WBS Summary by Year'!$B$43),'Pre- and Production'!AP$4:AP$532)</f>
        <v>0</v>
      </c>
      <c r="L77" s="290">
        <f>SUMIF('Pre- and Production'!$T$4:$T$532, CONCATENATE(LEFT('WBS Summary by Year'!L$6,1),'WBS Summary by Year'!$C77,'WBS Summary by Year'!$B$43),'Pre- and Production'!AG$4:AG$532)</f>
        <v>0</v>
      </c>
      <c r="M77" s="286">
        <f>SUMIF('Pre- and Production'!$T$4:$T$532, CONCATENATE(LEFT('WBS Summary by Year'!M$6,1),'WBS Summary by Year'!$C77,'WBS Summary by Year'!$B$43),'Pre- and Production'!AQ$4:AQ$532)</f>
        <v>0</v>
      </c>
      <c r="N77" s="298">
        <f>SUMIF('Pre- and Production'!$T$4:$T$532, CONCATENATE(LEFT('WBS Summary by Year'!N$6,1),'WBS Summary by Year'!$C77,'WBS Summary by Year'!$B$43),'Pre- and Production'!AH$4:AH$532)</f>
        <v>0</v>
      </c>
      <c r="O77" s="299">
        <f>SUMIF('Pre- and Production'!$T$4:$T$532, CONCATENATE(LEFT('WBS Summary by Year'!O$6,1),'WBS Summary by Year'!$C77,'WBS Summary by Year'!$B$43),'Pre- and Production'!AR$4:AR$532)</f>
        <v>0</v>
      </c>
    </row>
    <row r="78" spans="3:15" ht="13.5" thickBot="1">
      <c r="C78" s="9" t="s">
        <v>238</v>
      </c>
      <c r="D78" s="280">
        <f>SUMIF('Pre- and Production'!$T$4:$T$532, CONCATENATE(LEFT('WBS Summary by Year'!D$6,1),'WBS Summary by Year'!$C78,'WBS Summary by Year'!$B$43),'Pre- and Production'!AC$4:AC$532)</f>
        <v>0</v>
      </c>
      <c r="E78" s="287">
        <f>SUMIF('Pre- and Production'!$T$4:$T$532, CONCATENATE(LEFT('WBS Summary by Year'!E$6,1),'WBS Summary by Year'!$C78,'WBS Summary by Year'!$B$43),'Pre- and Production'!AM$4:AM$532)</f>
        <v>0</v>
      </c>
      <c r="F78" s="280">
        <f>SUMIF('Pre- and Production'!$T$4:$T$532, CONCATENATE(LEFT('WBS Summary by Year'!F$6,1),'WBS Summary by Year'!$C78,'WBS Summary by Year'!$B$43),'Pre- and Production'!AD$4:AD$532)</f>
        <v>0</v>
      </c>
      <c r="G78" s="281">
        <f>SUMIF('Pre- and Production'!$T$4:$T$532, CONCATENATE(LEFT('WBS Summary by Year'!G$6,1),'WBS Summary by Year'!$C78,'WBS Summary by Year'!$B$43),'Pre- and Production'!AN$4:AN$532)</f>
        <v>0</v>
      </c>
      <c r="H78" s="291">
        <f>SUMIF('Pre- and Production'!$T$4:$T$532, CONCATENATE(LEFT('WBS Summary by Year'!H$6,1),'WBS Summary by Year'!$C78,'WBS Summary by Year'!$B$43),'Pre- and Production'!AE$4:AE$532)</f>
        <v>0</v>
      </c>
      <c r="I78" s="287">
        <f>SUMIF('Pre- and Production'!$T$4:$T$532, CONCATENATE(LEFT('WBS Summary by Year'!I$6,1),'WBS Summary by Year'!$C78,'WBS Summary by Year'!$B$43),'Pre- and Production'!AO$4:AO$532)</f>
        <v>0</v>
      </c>
      <c r="J78" s="280">
        <f>SUMIF('Pre- and Production'!$T$4:$T$532, CONCATENATE(LEFT('WBS Summary by Year'!J$6,1),'WBS Summary by Year'!$C78,'WBS Summary by Year'!$B$43),'Pre- and Production'!AF$4:AFI$532)</f>
        <v>0</v>
      </c>
      <c r="K78" s="281">
        <f>SUMIF('Pre- and Production'!$T$4:$T$532, CONCATENATE(LEFT('WBS Summary by Year'!K$6,1),'WBS Summary by Year'!$C78,'WBS Summary by Year'!$B$43),'Pre- and Production'!AP$4:AP$532)</f>
        <v>0</v>
      </c>
      <c r="L78" s="291">
        <f>SUMIF('Pre- and Production'!$T$4:$T$532, CONCATENATE(LEFT('WBS Summary by Year'!L$6,1),'WBS Summary by Year'!$C78,'WBS Summary by Year'!$B$43),'Pre- and Production'!AG$4:AG$532)</f>
        <v>0</v>
      </c>
      <c r="M78" s="287">
        <f>SUMIF('Pre- and Production'!$T$4:$T$532, CONCATENATE(LEFT('WBS Summary by Year'!M$6,1),'WBS Summary by Year'!$C78,'WBS Summary by Year'!$B$43),'Pre- and Production'!AQ$4:AQ$532)</f>
        <v>0</v>
      </c>
      <c r="N78" s="300">
        <f>SUMIF('Pre- and Production'!$T$4:$T$532, CONCATENATE(LEFT('WBS Summary by Year'!N$6,1),'WBS Summary by Year'!$C78,'WBS Summary by Year'!$B$43),'Pre- and Production'!AH$4:AH$532)</f>
        <v>0</v>
      </c>
      <c r="O78" s="301">
        <f>SUMIF('Pre- and Production'!$T$4:$T$532, CONCATENATE(LEFT('WBS Summary by Year'!O$6,1),'WBS Summary by Year'!$C78,'WBS Summary by Year'!$B$43),'Pre- and Production'!AR$4:AR$532)</f>
        <v>0</v>
      </c>
    </row>
    <row r="79" spans="3:15" ht="13.5" thickTop="1"/>
    <row r="80" spans="3:15">
      <c r="D80">
        <f t="shared" ref="D80:O80" si="1">SUM(D46:D78)</f>
        <v>82</v>
      </c>
      <c r="E80">
        <f t="shared" si="1"/>
        <v>0</v>
      </c>
      <c r="F80">
        <f t="shared" si="1"/>
        <v>271</v>
      </c>
      <c r="G80">
        <f t="shared" si="1"/>
        <v>0</v>
      </c>
      <c r="H80">
        <f t="shared" si="1"/>
        <v>0</v>
      </c>
      <c r="I80">
        <f t="shared" si="1"/>
        <v>0</v>
      </c>
      <c r="J80">
        <f t="shared" si="1"/>
        <v>758</v>
      </c>
      <c r="K80">
        <f t="shared" si="1"/>
        <v>0</v>
      </c>
      <c r="L80">
        <f t="shared" si="1"/>
        <v>0</v>
      </c>
      <c r="M80">
        <f t="shared" si="1"/>
        <v>0</v>
      </c>
      <c r="N80" s="293">
        <f t="shared" si="1"/>
        <v>42895</v>
      </c>
      <c r="O80" s="293">
        <f t="shared" si="1"/>
        <v>0</v>
      </c>
    </row>
    <row r="83" spans="2:15" ht="18.75" thickBot="1">
      <c r="B83" s="292">
        <v>2011</v>
      </c>
    </row>
    <row r="84" spans="2:15" ht="13.5" thickTop="1">
      <c r="D84" s="441" t="s">
        <v>42</v>
      </c>
      <c r="E84" s="442"/>
      <c r="F84" s="441" t="s">
        <v>191</v>
      </c>
      <c r="G84" s="443"/>
      <c r="H84" s="444" t="s">
        <v>38</v>
      </c>
      <c r="I84" s="442"/>
      <c r="J84" s="441" t="s">
        <v>192</v>
      </c>
      <c r="K84" s="443"/>
      <c r="L84" s="444" t="s">
        <v>32</v>
      </c>
      <c r="M84" s="442"/>
      <c r="N84" s="439" t="s">
        <v>193</v>
      </c>
      <c r="O84" s="440"/>
    </row>
    <row r="85" spans="2:15" ht="13.5" thickBot="1">
      <c r="D85" s="282" t="s">
        <v>70</v>
      </c>
      <c r="E85" s="284" t="s">
        <v>194</v>
      </c>
      <c r="F85" s="282" t="s">
        <v>70</v>
      </c>
      <c r="G85" s="283" t="s">
        <v>194</v>
      </c>
      <c r="H85" s="288" t="s">
        <v>70</v>
      </c>
      <c r="I85" s="284" t="s">
        <v>194</v>
      </c>
      <c r="J85" s="282" t="s">
        <v>70</v>
      </c>
      <c r="K85" s="283" t="s">
        <v>194</v>
      </c>
      <c r="L85" s="288" t="s">
        <v>70</v>
      </c>
      <c r="M85" s="284" t="s">
        <v>194</v>
      </c>
      <c r="N85" s="294" t="s">
        <v>70</v>
      </c>
      <c r="O85" s="295" t="s">
        <v>194</v>
      </c>
    </row>
    <row r="86" spans="2:15" ht="13.5" thickTop="1">
      <c r="C86" s="223">
        <v>1.5</v>
      </c>
      <c r="D86" s="277">
        <f>SUMIF('Pre- and Production'!$T$4:$T$532, CONCATENATE(LEFT('WBS Summary by Year'!D$6,1),'WBS Summary by Year'!$C86,'WBS Summary by Year'!$B$83),'Pre- and Production'!AC$4:AC$532)</f>
        <v>0</v>
      </c>
      <c r="E86" s="285">
        <f>SUMIF('Pre- and Production'!$T$4:$T$532, CONCATENATE(LEFT('WBS Summary by Year'!E$6,1),'WBS Summary by Year'!$C86,'WBS Summary by Year'!$B$83),'Pre- and Production'!AM$4:AM$532)</f>
        <v>0</v>
      </c>
      <c r="F86" s="277">
        <f>SUMIF('Pre- and Production'!$T$4:$T$532, CONCATENATE(LEFT('WBS Summary by Year'!F$6,1),'WBS Summary by Year'!$C86,'WBS Summary by Year'!$B$83),'Pre- and Production'!AD$4:AD$532)</f>
        <v>0</v>
      </c>
      <c r="G86" s="278">
        <f>SUMIF('Pre- and Production'!$T$4:$T$532, CONCATENATE(LEFT('WBS Summary by Year'!G$6,1),'WBS Summary by Year'!$C86,'WBS Summary by Year'!$B$83),'Pre- and Production'!AN$4:AN$532)</f>
        <v>0</v>
      </c>
      <c r="H86" s="289">
        <f>SUMIF('Pre- and Production'!$T$4:$T$532, CONCATENATE(LEFT('WBS Summary by Year'!H$6,1),'WBS Summary by Year'!$C86,'WBS Summary by Year'!$B$83),'Pre- and Production'!AE$4:AE$532)</f>
        <v>0</v>
      </c>
      <c r="I86" s="285">
        <f>SUMIF('Pre- and Production'!$T$4:$T$532, CONCATENATE(LEFT('WBS Summary by Year'!I$6,1),'WBS Summary by Year'!$C86,'WBS Summary by Year'!$B$83),'Pre- and Production'!AO$4:AO$532)</f>
        <v>0</v>
      </c>
      <c r="J86" s="277">
        <f>SUMIF('Pre- and Production'!$T$4:$T$532, CONCATENATE(LEFT('WBS Summary by Year'!J$6,1),'WBS Summary by Year'!$C86,'WBS Summary by Year'!$B$83),'Pre- and Production'!AF$4:AFI$532)</f>
        <v>0</v>
      </c>
      <c r="K86" s="278">
        <f>SUMIF('Pre- and Production'!$T$4:$T$532, CONCATENATE(LEFT('WBS Summary by Year'!K$6,1),'WBS Summary by Year'!$C86,'WBS Summary by Year'!$B$83),'Pre- and Production'!AP$4:AP$532)</f>
        <v>0</v>
      </c>
      <c r="L86" s="289">
        <f>SUMIF('Pre- and Production'!$T$4:$T$532, CONCATENATE(LEFT('WBS Summary by Year'!L$6,1),'WBS Summary by Year'!$C86,'WBS Summary by Year'!$B$83),'Pre- and Production'!AG$4:AG$532)</f>
        <v>0</v>
      </c>
      <c r="M86" s="285">
        <f>SUMIF('Pre- and Production'!$T$4:$T$532, CONCATENATE(LEFT('WBS Summary by Year'!M$6,1),'WBS Summary by Year'!$C86,'WBS Summary by Year'!$B$83),'Pre- and Production'!AQ$4:AQ$532)</f>
        <v>0</v>
      </c>
      <c r="N86" s="296">
        <f>SUMIF('Pre- and Production'!$T$4:$T$532, CONCATENATE(LEFT('WBS Summary by Year'!N$6,1),'WBS Summary by Year'!$C86,'WBS Summary by Year'!$B$83),'Pre- and Production'!AH$4:AH$532)</f>
        <v>0</v>
      </c>
      <c r="O86" s="297">
        <f>SUMIF('Pre- and Production'!$T$4:$T$532, CONCATENATE(LEFT('WBS Summary by Year'!O$6,1),'WBS Summary by Year'!$C86,'WBS Summary by Year'!$B$83),'Pre- and Production'!AR$4:AR$532)</f>
        <v>0</v>
      </c>
    </row>
    <row r="87" spans="2:15">
      <c r="C87" s="9" t="s">
        <v>195</v>
      </c>
      <c r="D87" s="26">
        <f>SUMIF('Pre- and Production'!$T$4:$T$532, CONCATENATE(LEFT('WBS Summary by Year'!D$6,1),'WBS Summary by Year'!$C87,'WBS Summary by Year'!$B$83),'Pre- and Production'!AC$4:AC$532)</f>
        <v>0</v>
      </c>
      <c r="E87" s="286">
        <f>SUMIF('Pre- and Production'!$T$4:$T$532, CONCATENATE(LEFT('WBS Summary by Year'!E$6,1),'WBS Summary by Year'!$C87,'WBS Summary by Year'!$B$83),'Pre- and Production'!AM$4:AM$532)</f>
        <v>0</v>
      </c>
      <c r="F87" s="26">
        <f>SUMIF('Pre- and Production'!$T$4:$T$532, CONCATENATE(LEFT('WBS Summary by Year'!F$6,1),'WBS Summary by Year'!$C87,'WBS Summary by Year'!$B$83),'Pre- and Production'!AD$4:AD$532)</f>
        <v>0</v>
      </c>
      <c r="G87" s="279">
        <f>SUMIF('Pre- and Production'!$T$4:$T$532, CONCATENATE(LEFT('WBS Summary by Year'!G$6,1),'WBS Summary by Year'!$C87,'WBS Summary by Year'!$B$83),'Pre- and Production'!AN$4:AN$532)</f>
        <v>0</v>
      </c>
      <c r="H87" s="290">
        <f>SUMIF('Pre- and Production'!$T$4:$T$532, CONCATENATE(LEFT('WBS Summary by Year'!H$6,1),'WBS Summary by Year'!$C87,'WBS Summary by Year'!$B$83),'Pre- and Production'!AE$4:AE$532)</f>
        <v>0</v>
      </c>
      <c r="I87" s="286">
        <f>SUMIF('Pre- and Production'!$T$4:$T$532, CONCATENATE(LEFT('WBS Summary by Year'!I$6,1),'WBS Summary by Year'!$C87,'WBS Summary by Year'!$B$83),'Pre- and Production'!AO$4:AO$532)</f>
        <v>0</v>
      </c>
      <c r="J87" s="26">
        <f>SUMIF('Pre- and Production'!$T$4:$T$532, CONCATENATE(LEFT('WBS Summary by Year'!J$6,1),'WBS Summary by Year'!$C87,'WBS Summary by Year'!$B$83),'Pre- and Production'!AF$4:AFI$532)</f>
        <v>0</v>
      </c>
      <c r="K87" s="279">
        <f>SUMIF('Pre- and Production'!$T$4:$T$532, CONCATENATE(LEFT('WBS Summary by Year'!K$6,1),'WBS Summary by Year'!$C87,'WBS Summary by Year'!$B$83),'Pre- and Production'!AP$4:AP$532)</f>
        <v>0</v>
      </c>
      <c r="L87" s="290">
        <f>SUMIF('Pre- and Production'!$T$4:$T$532, CONCATENATE(LEFT('WBS Summary by Year'!L$6,1),'WBS Summary by Year'!$C87,'WBS Summary by Year'!$B$83),'Pre- and Production'!AG$4:AG$532)</f>
        <v>0</v>
      </c>
      <c r="M87" s="286">
        <f>SUMIF('Pre- and Production'!$T$4:$T$532, CONCATENATE(LEFT('WBS Summary by Year'!M$6,1),'WBS Summary by Year'!$C87,'WBS Summary by Year'!$B$83),'Pre- and Production'!AQ$4:AQ$532)</f>
        <v>0</v>
      </c>
      <c r="N87" s="298">
        <f>SUMIF('Pre- and Production'!$T$4:$T$532, CONCATENATE(LEFT('WBS Summary by Year'!N$6,1),'WBS Summary by Year'!$C87,'WBS Summary by Year'!$B$83),'Pre- and Production'!AH$4:AH$532)</f>
        <v>0</v>
      </c>
      <c r="O87" s="299">
        <f>SUMIF('Pre- and Production'!$T$4:$T$532, CONCATENATE(LEFT('WBS Summary by Year'!O$6,1),'WBS Summary by Year'!$C87,'WBS Summary by Year'!$B$83),'Pre- and Production'!AR$4:AR$532)</f>
        <v>0</v>
      </c>
    </row>
    <row r="88" spans="2:15">
      <c r="C88" s="9" t="s">
        <v>198</v>
      </c>
      <c r="D88" s="26">
        <f>SUMIF('Pre- and Production'!$T$4:$T$532, CONCATENATE(LEFT('WBS Summary by Year'!D$6,1),'WBS Summary by Year'!$C88,'WBS Summary by Year'!$B$83),'Pre- and Production'!AC$4:AC$532)</f>
        <v>0</v>
      </c>
      <c r="E88" s="286">
        <f>SUMIF('Pre- and Production'!$T$4:$T$532, CONCATENATE(LEFT('WBS Summary by Year'!E$6,1),'WBS Summary by Year'!$C88,'WBS Summary by Year'!$B$83),'Pre- and Production'!AM$4:AM$532)</f>
        <v>0</v>
      </c>
      <c r="F88" s="26">
        <f>SUMIF('Pre- and Production'!$T$4:$T$532, CONCATENATE(LEFT('WBS Summary by Year'!F$6,1),'WBS Summary by Year'!$C88,'WBS Summary by Year'!$B$83),'Pre- and Production'!AD$4:AD$532)</f>
        <v>0</v>
      </c>
      <c r="G88" s="279">
        <f>SUMIF('Pre- and Production'!$T$4:$T$532, CONCATENATE(LEFT('WBS Summary by Year'!G$6,1),'WBS Summary by Year'!$C88,'WBS Summary by Year'!$B$83),'Pre- and Production'!AN$4:AN$532)</f>
        <v>0</v>
      </c>
      <c r="H88" s="290">
        <f>SUMIF('Pre- and Production'!$T$4:$T$532, CONCATENATE(LEFT('WBS Summary by Year'!H$6,1),'WBS Summary by Year'!$C88,'WBS Summary by Year'!$B$83),'Pre- and Production'!AE$4:AE$532)</f>
        <v>0</v>
      </c>
      <c r="I88" s="286">
        <f>SUMIF('Pre- and Production'!$T$4:$T$532, CONCATENATE(LEFT('WBS Summary by Year'!I$6,1),'WBS Summary by Year'!$C88,'WBS Summary by Year'!$B$83),'Pre- and Production'!AO$4:AO$532)</f>
        <v>0</v>
      </c>
      <c r="J88" s="26">
        <f>SUMIF('Pre- and Production'!$T$4:$T$532, CONCATENATE(LEFT('WBS Summary by Year'!J$6,1),'WBS Summary by Year'!$C88,'WBS Summary by Year'!$B$83),'Pre- and Production'!AF$4:AFI$532)</f>
        <v>0</v>
      </c>
      <c r="K88" s="279">
        <f>SUMIF('Pre- and Production'!$T$4:$T$532, CONCATENATE(LEFT('WBS Summary by Year'!K$6,1),'WBS Summary by Year'!$C88,'WBS Summary by Year'!$B$83),'Pre- and Production'!AP$4:AP$532)</f>
        <v>0</v>
      </c>
      <c r="L88" s="290">
        <f>SUMIF('Pre- and Production'!$T$4:$T$532, CONCATENATE(LEFT('WBS Summary by Year'!L$6,1),'WBS Summary by Year'!$C88,'WBS Summary by Year'!$B$83),'Pre- and Production'!AG$4:AG$532)</f>
        <v>0</v>
      </c>
      <c r="M88" s="286">
        <f>SUMIF('Pre- and Production'!$T$4:$T$532, CONCATENATE(LEFT('WBS Summary by Year'!M$6,1),'WBS Summary by Year'!$C88,'WBS Summary by Year'!$B$83),'Pre- and Production'!AQ$4:AQ$532)</f>
        <v>0</v>
      </c>
      <c r="N88" s="298">
        <f>SUMIF('Pre- and Production'!$T$4:$T$532, CONCATENATE(LEFT('WBS Summary by Year'!N$6,1),'WBS Summary by Year'!$C88,'WBS Summary by Year'!$B$83),'Pre- and Production'!AH$4:AH$532)</f>
        <v>0</v>
      </c>
      <c r="O88" s="299">
        <f>SUMIF('Pre- and Production'!$T$4:$T$532, CONCATENATE(LEFT('WBS Summary by Year'!O$6,1),'WBS Summary by Year'!$C88,'WBS Summary by Year'!$B$83),'Pre- and Production'!AR$4:AR$532)</f>
        <v>0</v>
      </c>
    </row>
    <row r="89" spans="2:15" s="302" customFormat="1">
      <c r="C89" s="9" t="s">
        <v>200</v>
      </c>
      <c r="D89" s="26">
        <f>SUMIF('Pre- and Production'!$T$4:$T$532, CONCATENATE(LEFT('WBS Summary by Year'!D$6,1),'WBS Summary by Year'!$C89,'WBS Summary by Year'!$B$83),'Pre- and Production'!AC$4:AC$532)</f>
        <v>0</v>
      </c>
      <c r="E89" s="286">
        <f>SUMIF('Pre- and Production'!$T$4:$T$532, CONCATENATE(LEFT('WBS Summary by Year'!E$6,1),'WBS Summary by Year'!$C89,'WBS Summary by Year'!$B$83),'Pre- and Production'!AM$4:AM$532)</f>
        <v>0</v>
      </c>
      <c r="F89" s="26">
        <f>SUMIF('Pre- and Production'!$T$4:$T$532, CONCATENATE(LEFT('WBS Summary by Year'!F$6,1),'WBS Summary by Year'!$C89,'WBS Summary by Year'!$B$83),'Pre- and Production'!AD$4:AD$532)</f>
        <v>0</v>
      </c>
      <c r="G89" s="279">
        <f>SUMIF('Pre- and Production'!$T$4:$T$532, CONCATENATE(LEFT('WBS Summary by Year'!G$6,1),'WBS Summary by Year'!$C89,'WBS Summary by Year'!$B$83),'Pre- and Production'!AN$4:AN$532)</f>
        <v>0</v>
      </c>
      <c r="H89" s="290">
        <f>SUMIF('Pre- and Production'!$T$4:$T$532, CONCATENATE(LEFT('WBS Summary by Year'!H$6,1),'WBS Summary by Year'!$C89,'WBS Summary by Year'!$B$83),'Pre- and Production'!AE$4:AE$532)</f>
        <v>0</v>
      </c>
      <c r="I89" s="286">
        <f>SUMIF('Pre- and Production'!$T$4:$T$532, CONCATENATE(LEFT('WBS Summary by Year'!I$6,1),'WBS Summary by Year'!$C89,'WBS Summary by Year'!$B$83),'Pre- and Production'!AO$4:AO$532)</f>
        <v>0</v>
      </c>
      <c r="J89" s="26">
        <f>SUMIF('Pre- and Production'!$T$4:$T$532, CONCATENATE(LEFT('WBS Summary by Year'!J$6,1),'WBS Summary by Year'!$C89,'WBS Summary by Year'!$B$83),'Pre- and Production'!AF$4:AFI$532)</f>
        <v>0</v>
      </c>
      <c r="K89" s="279">
        <f>SUMIF('Pre- and Production'!$T$4:$T$532, CONCATENATE(LEFT('WBS Summary by Year'!K$6,1),'WBS Summary by Year'!$C89,'WBS Summary by Year'!$B$83),'Pre- and Production'!AP$4:AP$532)</f>
        <v>0</v>
      </c>
      <c r="L89" s="290">
        <f>SUMIF('Pre- and Production'!$T$4:$T$532, CONCATENATE(LEFT('WBS Summary by Year'!L$6,1),'WBS Summary by Year'!$C89,'WBS Summary by Year'!$B$83),'Pre- and Production'!AG$4:AG$532)</f>
        <v>0</v>
      </c>
      <c r="M89" s="286">
        <f>SUMIF('Pre- and Production'!$T$4:$T$532, CONCATENATE(LEFT('WBS Summary by Year'!M$6,1),'WBS Summary by Year'!$C89,'WBS Summary by Year'!$B$83),'Pre- and Production'!AQ$4:AQ$532)</f>
        <v>0</v>
      </c>
      <c r="N89" s="298">
        <f>SUMIF('Pre- and Production'!$T$4:$T$532, CONCATENATE(LEFT('WBS Summary by Year'!N$6,1),'WBS Summary by Year'!$C89,'WBS Summary by Year'!$B$83),'Pre- and Production'!AH$4:AH$532)</f>
        <v>0</v>
      </c>
      <c r="O89" s="299">
        <f>SUMIF('Pre- and Production'!$T$4:$T$532, CONCATENATE(LEFT('WBS Summary by Year'!O$6,1),'WBS Summary by Year'!$C89,'WBS Summary by Year'!$B$83),'Pre- and Production'!AR$4:AR$532)</f>
        <v>0</v>
      </c>
    </row>
    <row r="90" spans="2:15" s="302" customFormat="1">
      <c r="C90" s="9" t="s">
        <v>202</v>
      </c>
      <c r="D90" s="26">
        <f>SUMIF('Pre- and Production'!$T$4:$T$532, CONCATENATE(LEFT('WBS Summary by Year'!D$6,1),'WBS Summary by Year'!$C90,'WBS Summary by Year'!$B$83),'Pre- and Production'!AC$4:AC$532)</f>
        <v>132</v>
      </c>
      <c r="E90" s="286">
        <f>SUMIF('Pre- and Production'!$T$4:$T$532, CONCATENATE(LEFT('WBS Summary by Year'!E$6,1),'WBS Summary by Year'!$C90,'WBS Summary by Year'!$B$83),'Pre- and Production'!AM$4:AM$532)</f>
        <v>8</v>
      </c>
      <c r="F90" s="26">
        <f>SUMIF('Pre- and Production'!$T$4:$T$532, CONCATENATE(LEFT('WBS Summary by Year'!F$6,1),'WBS Summary by Year'!$C90,'WBS Summary by Year'!$B$83),'Pre- and Production'!AD$4:AD$532)</f>
        <v>464</v>
      </c>
      <c r="G90" s="279">
        <f>SUMIF('Pre- and Production'!$T$4:$T$532, CONCATENATE(LEFT('WBS Summary by Year'!G$6,1),'WBS Summary by Year'!$C90,'WBS Summary by Year'!$B$83),'Pre- and Production'!AN$4:AN$532)</f>
        <v>406</v>
      </c>
      <c r="H90" s="290">
        <f>SUMIF('Pre- and Production'!$T$4:$T$532, CONCATENATE(LEFT('WBS Summary by Year'!H$6,1),'WBS Summary by Year'!$C90,'WBS Summary by Year'!$B$83),'Pre- and Production'!AE$4:AE$532)</f>
        <v>16</v>
      </c>
      <c r="I90" s="286">
        <f>SUMIF('Pre- and Production'!$T$4:$T$532, CONCATENATE(LEFT('WBS Summary by Year'!I$6,1),'WBS Summary by Year'!$C90,'WBS Summary by Year'!$B$83),'Pre- and Production'!AO$4:AO$532)</f>
        <v>8</v>
      </c>
      <c r="J90" s="26">
        <f>SUMIF('Pre- and Production'!$T$4:$T$532, CONCATENATE(LEFT('WBS Summary by Year'!J$6,1),'WBS Summary by Year'!$C90,'WBS Summary by Year'!$B$83),'Pre- and Production'!AF$4:AFI$532)</f>
        <v>102</v>
      </c>
      <c r="K90" s="279">
        <f>SUMIF('Pre- and Production'!$T$4:$T$532, CONCATENATE(LEFT('WBS Summary by Year'!K$6,1),'WBS Summary by Year'!$C90,'WBS Summary by Year'!$B$83),'Pre- and Production'!AP$4:AP$532)</f>
        <v>52</v>
      </c>
      <c r="L90" s="290">
        <f>SUMIF('Pre- and Production'!$T$4:$T$532, CONCATENATE(LEFT('WBS Summary by Year'!L$6,1),'WBS Summary by Year'!$C90,'WBS Summary by Year'!$B$83),'Pre- and Production'!AG$4:AG$532)</f>
        <v>0</v>
      </c>
      <c r="M90" s="286">
        <f>SUMIF('Pre- and Production'!$T$4:$T$532, CONCATENATE(LEFT('WBS Summary by Year'!M$6,1),'WBS Summary by Year'!$C90,'WBS Summary by Year'!$B$83),'Pre- and Production'!AQ$4:AQ$532)</f>
        <v>0</v>
      </c>
      <c r="N90" s="298">
        <f>SUMIF('Pre- and Production'!$T$4:$T$532, CONCATENATE(LEFT('WBS Summary by Year'!N$6,1),'WBS Summary by Year'!$C90,'WBS Summary by Year'!$B$83),'Pre- and Production'!AH$4:AH$532)</f>
        <v>16390</v>
      </c>
      <c r="O90" s="299">
        <f>SUMIF('Pre- and Production'!$T$4:$T$532, CONCATENATE(LEFT('WBS Summary by Year'!O$6,1),'WBS Summary by Year'!$C90,'WBS Summary by Year'!$B$83),'Pre- and Production'!AR$4:AR$532)</f>
        <v>2940</v>
      </c>
    </row>
    <row r="91" spans="2:15" s="302" customFormat="1">
      <c r="C91" s="9" t="s">
        <v>204</v>
      </c>
      <c r="D91" s="26">
        <f>SUMIF('Pre- and Production'!$T$4:$T$532, CONCATENATE(LEFT('WBS Summary by Year'!D$6,1),'WBS Summary by Year'!$C91,'WBS Summary by Year'!$B$83),'Pre- and Production'!AC$4:AC$532)</f>
        <v>278</v>
      </c>
      <c r="E91" s="286">
        <f>SUMIF('Pre- and Production'!$T$4:$T$532, CONCATENATE(LEFT('WBS Summary by Year'!E$6,1),'WBS Summary by Year'!$C91,'WBS Summary by Year'!$B$83),'Pre- and Production'!AM$4:AM$532)</f>
        <v>72</v>
      </c>
      <c r="F91" s="26">
        <f>SUMIF('Pre- and Production'!$T$4:$T$532, CONCATENATE(LEFT('WBS Summary by Year'!F$6,1),'WBS Summary by Year'!$C91,'WBS Summary by Year'!$B$83),'Pre- and Production'!AD$4:AD$532)</f>
        <v>492</v>
      </c>
      <c r="G91" s="279">
        <f>SUMIF('Pre- and Production'!$T$4:$T$532, CONCATENATE(LEFT('WBS Summary by Year'!G$6,1),'WBS Summary by Year'!$C91,'WBS Summary by Year'!$B$83),'Pre- and Production'!AN$4:AN$532)</f>
        <v>152</v>
      </c>
      <c r="H91" s="290">
        <f>SUMIF('Pre- and Production'!$T$4:$T$532, CONCATENATE(LEFT('WBS Summary by Year'!H$6,1),'WBS Summary by Year'!$C91,'WBS Summary by Year'!$B$83),'Pre- and Production'!AE$4:AE$532)</f>
        <v>24</v>
      </c>
      <c r="I91" s="286">
        <f>SUMIF('Pre- and Production'!$T$4:$T$532, CONCATENATE(LEFT('WBS Summary by Year'!I$6,1),'WBS Summary by Year'!$C91,'WBS Summary by Year'!$B$83),'Pre- and Production'!AO$4:AO$532)</f>
        <v>0</v>
      </c>
      <c r="J91" s="26">
        <f>SUMIF('Pre- and Production'!$T$4:$T$532, CONCATENATE(LEFT('WBS Summary by Year'!J$6,1),'WBS Summary by Year'!$C91,'WBS Summary by Year'!$B$83),'Pre- and Production'!AF$4:AFI$532)</f>
        <v>240</v>
      </c>
      <c r="K91" s="279">
        <f>SUMIF('Pre- and Production'!$T$4:$T$532, CONCATENATE(LEFT('WBS Summary by Year'!K$6,1),'WBS Summary by Year'!$C91,'WBS Summary by Year'!$B$83),'Pre- and Production'!AP$4:AP$532)</f>
        <v>24</v>
      </c>
      <c r="L91" s="290">
        <f>SUMIF('Pre- and Production'!$T$4:$T$532, CONCATENATE(LEFT('WBS Summary by Year'!L$6,1),'WBS Summary by Year'!$C91,'WBS Summary by Year'!$B$83),'Pre- and Production'!AG$4:AG$532)</f>
        <v>0</v>
      </c>
      <c r="M91" s="286">
        <f>SUMIF('Pre- and Production'!$T$4:$T$532, CONCATENATE(LEFT('WBS Summary by Year'!M$6,1),'WBS Summary by Year'!$C91,'WBS Summary by Year'!$B$83),'Pre- and Production'!AQ$4:AQ$532)</f>
        <v>0</v>
      </c>
      <c r="N91" s="298">
        <f>SUMIF('Pre- and Production'!$T$4:$T$532, CONCATENATE(LEFT('WBS Summary by Year'!N$6,1),'WBS Summary by Year'!$C91,'WBS Summary by Year'!$B$83),'Pre- and Production'!AH$4:AH$532)</f>
        <v>12530</v>
      </c>
      <c r="O91" s="299">
        <f>SUMIF('Pre- and Production'!$T$4:$T$532, CONCATENATE(LEFT('WBS Summary by Year'!O$6,1),'WBS Summary by Year'!$C91,'WBS Summary by Year'!$B$83),'Pre- and Production'!AR$4:AR$532)</f>
        <v>5030</v>
      </c>
    </row>
    <row r="92" spans="2:15" s="302" customFormat="1">
      <c r="C92" s="9" t="s">
        <v>206</v>
      </c>
      <c r="D92" s="26">
        <f>SUMIF('Pre- and Production'!$T$4:$T$532, CONCATENATE(LEFT('WBS Summary by Year'!D$6,1),'WBS Summary by Year'!$C92,'WBS Summary by Year'!$B$83),'Pre- and Production'!AC$4:AC$532)</f>
        <v>0</v>
      </c>
      <c r="E92" s="286">
        <f>SUMIF('Pre- and Production'!$T$4:$T$532, CONCATENATE(LEFT('WBS Summary by Year'!E$6,1),'WBS Summary by Year'!$C92,'WBS Summary by Year'!$B$83),'Pre- and Production'!AM$4:AM$532)</f>
        <v>0</v>
      </c>
      <c r="F92" s="26">
        <f>SUMIF('Pre- and Production'!$T$4:$T$532, CONCATENATE(LEFT('WBS Summary by Year'!F$6,1),'WBS Summary by Year'!$C92,'WBS Summary by Year'!$B$83),'Pre- and Production'!AD$4:AD$532)</f>
        <v>0</v>
      </c>
      <c r="G92" s="279">
        <f>SUMIF('Pre- and Production'!$T$4:$T$532, CONCATENATE(LEFT('WBS Summary by Year'!G$6,1),'WBS Summary by Year'!$C92,'WBS Summary by Year'!$B$83),'Pre- and Production'!AN$4:AN$532)</f>
        <v>0</v>
      </c>
      <c r="H92" s="290">
        <f>SUMIF('Pre- and Production'!$T$4:$T$532, CONCATENATE(LEFT('WBS Summary by Year'!H$6,1),'WBS Summary by Year'!$C92,'WBS Summary by Year'!$B$83),'Pre- and Production'!AE$4:AE$532)</f>
        <v>0</v>
      </c>
      <c r="I92" s="286">
        <f>SUMIF('Pre- and Production'!$T$4:$T$532, CONCATENATE(LEFT('WBS Summary by Year'!I$6,1),'WBS Summary by Year'!$C92,'WBS Summary by Year'!$B$83),'Pre- and Production'!AO$4:AO$532)</f>
        <v>0</v>
      </c>
      <c r="J92" s="26">
        <f>SUMIF('Pre- and Production'!$T$4:$T$532, CONCATENATE(LEFT('WBS Summary by Year'!J$6,1),'WBS Summary by Year'!$C92,'WBS Summary by Year'!$B$83),'Pre- and Production'!AF$4:AFI$532)</f>
        <v>0</v>
      </c>
      <c r="K92" s="279">
        <f>SUMIF('Pre- and Production'!$T$4:$T$532, CONCATENATE(LEFT('WBS Summary by Year'!K$6,1),'WBS Summary by Year'!$C92,'WBS Summary by Year'!$B$83),'Pre- and Production'!AP$4:AP$532)</f>
        <v>0</v>
      </c>
      <c r="L92" s="290">
        <f>SUMIF('Pre- and Production'!$T$4:$T$532, CONCATENATE(LEFT('WBS Summary by Year'!L$6,1),'WBS Summary by Year'!$C92,'WBS Summary by Year'!$B$83),'Pre- and Production'!AG$4:AG$532)</f>
        <v>0</v>
      </c>
      <c r="M92" s="286">
        <f>SUMIF('Pre- and Production'!$T$4:$T$532, CONCATENATE(LEFT('WBS Summary by Year'!M$6,1),'WBS Summary by Year'!$C92,'WBS Summary by Year'!$B$83),'Pre- and Production'!AQ$4:AQ$532)</f>
        <v>0</v>
      </c>
      <c r="N92" s="298">
        <f>SUMIF('Pre- and Production'!$T$4:$T$532, CONCATENATE(LEFT('WBS Summary by Year'!N$6,1),'WBS Summary by Year'!$C92,'WBS Summary by Year'!$B$83),'Pre- and Production'!AH$4:AH$532)</f>
        <v>0</v>
      </c>
      <c r="O92" s="299">
        <f>SUMIF('Pre- and Production'!$T$4:$T$532, CONCATENATE(LEFT('WBS Summary by Year'!O$6,1),'WBS Summary by Year'!$C92,'WBS Summary by Year'!$B$83),'Pre- and Production'!AR$4:AR$532)</f>
        <v>0</v>
      </c>
    </row>
    <row r="93" spans="2:15" s="302" customFormat="1">
      <c r="C93" s="9" t="s">
        <v>208</v>
      </c>
      <c r="D93" s="26">
        <f>SUMIF('Pre- and Production'!$T$4:$T$532, CONCATENATE(LEFT('WBS Summary by Year'!D$6,1),'WBS Summary by Year'!$C93,'WBS Summary by Year'!$B$83),'Pre- and Production'!AC$4:AC$532)</f>
        <v>0</v>
      </c>
      <c r="E93" s="286">
        <f>SUMIF('Pre- and Production'!$T$4:$T$532, CONCATENATE(LEFT('WBS Summary by Year'!E$6,1),'WBS Summary by Year'!$C93,'WBS Summary by Year'!$B$83),'Pre- and Production'!AM$4:AM$532)</f>
        <v>0</v>
      </c>
      <c r="F93" s="26">
        <f>SUMIF('Pre- and Production'!$T$4:$T$532, CONCATENATE(LEFT('WBS Summary by Year'!F$6,1),'WBS Summary by Year'!$C93,'WBS Summary by Year'!$B$83),'Pre- and Production'!AD$4:AD$532)</f>
        <v>7</v>
      </c>
      <c r="G93" s="279">
        <f>SUMIF('Pre- and Production'!$T$4:$T$532, CONCATENATE(LEFT('WBS Summary by Year'!G$6,1),'WBS Summary by Year'!$C93,'WBS Summary by Year'!$B$83),'Pre- and Production'!AN$4:AN$532)</f>
        <v>0</v>
      </c>
      <c r="H93" s="290">
        <f>SUMIF('Pre- and Production'!$T$4:$T$532, CONCATENATE(LEFT('WBS Summary by Year'!H$6,1),'WBS Summary by Year'!$C93,'WBS Summary by Year'!$B$83),'Pre- and Production'!AE$4:AE$532)</f>
        <v>0</v>
      </c>
      <c r="I93" s="286">
        <f>SUMIF('Pre- and Production'!$T$4:$T$532, CONCATENATE(LEFT('WBS Summary by Year'!I$6,1),'WBS Summary by Year'!$C93,'WBS Summary by Year'!$B$83),'Pre- and Production'!AO$4:AO$532)</f>
        <v>0</v>
      </c>
      <c r="J93" s="26">
        <f>SUMIF('Pre- and Production'!$T$4:$T$532, CONCATENATE(LEFT('WBS Summary by Year'!J$6,1),'WBS Summary by Year'!$C93,'WBS Summary by Year'!$B$83),'Pre- and Production'!AF$4:AFI$532)</f>
        <v>0</v>
      </c>
      <c r="K93" s="279">
        <f>SUMIF('Pre- and Production'!$T$4:$T$532, CONCATENATE(LEFT('WBS Summary by Year'!K$6,1),'WBS Summary by Year'!$C93,'WBS Summary by Year'!$B$83),'Pre- and Production'!AP$4:AP$532)</f>
        <v>0</v>
      </c>
      <c r="L93" s="290">
        <f>SUMIF('Pre- and Production'!$T$4:$T$532, CONCATENATE(LEFT('WBS Summary by Year'!L$6,1),'WBS Summary by Year'!$C93,'WBS Summary by Year'!$B$83),'Pre- and Production'!AG$4:AG$532)</f>
        <v>0</v>
      </c>
      <c r="M93" s="286">
        <f>SUMIF('Pre- and Production'!$T$4:$T$532, CONCATENATE(LEFT('WBS Summary by Year'!M$6,1),'WBS Summary by Year'!$C93,'WBS Summary by Year'!$B$83),'Pre- and Production'!AQ$4:AQ$532)</f>
        <v>0</v>
      </c>
      <c r="N93" s="298">
        <f>SUMIF('Pre- and Production'!$T$4:$T$532, CONCATENATE(LEFT('WBS Summary by Year'!N$6,1),'WBS Summary by Year'!$C93,'WBS Summary by Year'!$B$83),'Pre- and Production'!AH$4:AH$532)</f>
        <v>13500</v>
      </c>
      <c r="O93" s="299">
        <f>SUMIF('Pre- and Production'!$T$4:$T$532, CONCATENATE(LEFT('WBS Summary by Year'!O$6,1),'WBS Summary by Year'!$C93,'WBS Summary by Year'!$B$83),'Pre- and Production'!AR$4:AR$532)</f>
        <v>0</v>
      </c>
    </row>
    <row r="94" spans="2:15" s="302" customFormat="1">
      <c r="C94" s="9" t="s">
        <v>214</v>
      </c>
      <c r="D94" s="26">
        <f>SUMIF('Pre- and Production'!$T$4:$T$532, CONCATENATE(LEFT('WBS Summary by Year'!D$6,1),'WBS Summary by Year'!$C94,'WBS Summary by Year'!$B$83),'Pre- and Production'!AC$4:AC$532)</f>
        <v>4</v>
      </c>
      <c r="E94" s="286">
        <f>SUMIF('Pre- and Production'!$T$4:$T$532, CONCATENATE(LEFT('WBS Summary by Year'!E$6,1),'WBS Summary by Year'!$C94,'WBS Summary by Year'!$B$83),'Pre- and Production'!AM$4:AM$532)</f>
        <v>0</v>
      </c>
      <c r="F94" s="26">
        <f>SUMIF('Pre- and Production'!$T$4:$T$532, CONCATENATE(LEFT('WBS Summary by Year'!F$6,1),'WBS Summary by Year'!$C94,'WBS Summary by Year'!$B$83),'Pre- and Production'!AD$4:AD$532)</f>
        <v>40</v>
      </c>
      <c r="G94" s="279">
        <f>SUMIF('Pre- and Production'!$T$4:$T$532, CONCATENATE(LEFT('WBS Summary by Year'!G$6,1),'WBS Summary by Year'!$C94,'WBS Summary by Year'!$B$83),'Pre- and Production'!AN$4:AN$532)</f>
        <v>0</v>
      </c>
      <c r="H94" s="290">
        <f>SUMIF('Pre- and Production'!$T$4:$T$532, CONCATENATE(LEFT('WBS Summary by Year'!H$6,1),'WBS Summary by Year'!$C94,'WBS Summary by Year'!$B$83),'Pre- and Production'!AE$4:AE$532)</f>
        <v>0</v>
      </c>
      <c r="I94" s="286">
        <f>SUMIF('Pre- and Production'!$T$4:$T$532, CONCATENATE(LEFT('WBS Summary by Year'!I$6,1),'WBS Summary by Year'!$C94,'WBS Summary by Year'!$B$83),'Pre- and Production'!AO$4:AO$532)</f>
        <v>0</v>
      </c>
      <c r="J94" s="26">
        <f>SUMIF('Pre- and Production'!$T$4:$T$532, CONCATENATE(LEFT('WBS Summary by Year'!J$6,1),'WBS Summary by Year'!$C94,'WBS Summary by Year'!$B$83),'Pre- and Production'!AF$4:AFI$532)</f>
        <v>40</v>
      </c>
      <c r="K94" s="279">
        <f>SUMIF('Pre- and Production'!$T$4:$T$532, CONCATENATE(LEFT('WBS Summary by Year'!K$6,1),'WBS Summary by Year'!$C94,'WBS Summary by Year'!$B$83),'Pre- and Production'!AP$4:AP$532)</f>
        <v>0</v>
      </c>
      <c r="L94" s="290">
        <f>SUMIF('Pre- and Production'!$T$4:$T$532, CONCATENATE(LEFT('WBS Summary by Year'!L$6,1),'WBS Summary by Year'!$C94,'WBS Summary by Year'!$B$83),'Pre- and Production'!AG$4:AG$532)</f>
        <v>0</v>
      </c>
      <c r="M94" s="286">
        <f>SUMIF('Pre- and Production'!$T$4:$T$532, CONCATENATE(LEFT('WBS Summary by Year'!M$6,1),'WBS Summary by Year'!$C94,'WBS Summary by Year'!$B$83),'Pre- and Production'!AQ$4:AQ$532)</f>
        <v>0</v>
      </c>
      <c r="N94" s="298">
        <f>SUMIF('Pre- and Production'!$T$4:$T$532, CONCATENATE(LEFT('WBS Summary by Year'!N$6,1),'WBS Summary by Year'!$C94,'WBS Summary by Year'!$B$83),'Pre- and Production'!AH$4:AH$532)</f>
        <v>420</v>
      </c>
      <c r="O94" s="299">
        <f>SUMIF('Pre- and Production'!$T$4:$T$532, CONCATENATE(LEFT('WBS Summary by Year'!O$6,1),'WBS Summary by Year'!$C94,'WBS Summary by Year'!$B$83),'Pre- and Production'!AR$4:AR$532)</f>
        <v>0</v>
      </c>
    </row>
    <row r="95" spans="2:15" s="302" customFormat="1">
      <c r="C95" s="9" t="s">
        <v>215</v>
      </c>
      <c r="D95" s="26">
        <f>SUMIF('Pre- and Production'!$T$4:$T$532, CONCATENATE(LEFT('WBS Summary by Year'!D$6,1),'WBS Summary by Year'!$C95,'WBS Summary by Year'!$B$83),'Pre- and Production'!AC$4:AC$532)</f>
        <v>0</v>
      </c>
      <c r="E95" s="286">
        <f>SUMIF('Pre- and Production'!$T$4:$T$532, CONCATENATE(LEFT('WBS Summary by Year'!E$6,1),'WBS Summary by Year'!$C95,'WBS Summary by Year'!$B$83),'Pre- and Production'!AM$4:AM$532)</f>
        <v>0</v>
      </c>
      <c r="F95" s="26">
        <f>SUMIF('Pre- and Production'!$T$4:$T$532, CONCATENATE(LEFT('WBS Summary by Year'!F$6,1),'WBS Summary by Year'!$C95,'WBS Summary by Year'!$B$83),'Pre- and Production'!AD$4:AD$532)</f>
        <v>0</v>
      </c>
      <c r="G95" s="279">
        <f>SUMIF('Pre- and Production'!$T$4:$T$532, CONCATENATE(LEFT('WBS Summary by Year'!G$6,1),'WBS Summary by Year'!$C95,'WBS Summary by Year'!$B$83),'Pre- and Production'!AN$4:AN$532)</f>
        <v>0</v>
      </c>
      <c r="H95" s="290">
        <f>SUMIF('Pre- and Production'!$T$4:$T$532, CONCATENATE(LEFT('WBS Summary by Year'!H$6,1),'WBS Summary by Year'!$C95,'WBS Summary by Year'!$B$83),'Pre- and Production'!AE$4:AE$532)</f>
        <v>0</v>
      </c>
      <c r="I95" s="286">
        <f>SUMIF('Pre- and Production'!$T$4:$T$532, CONCATENATE(LEFT('WBS Summary by Year'!I$6,1),'WBS Summary by Year'!$C95,'WBS Summary by Year'!$B$83),'Pre- and Production'!AO$4:AO$532)</f>
        <v>0</v>
      </c>
      <c r="J95" s="26">
        <f>SUMIF('Pre- and Production'!$T$4:$T$532, CONCATENATE(LEFT('WBS Summary by Year'!J$6,1),'WBS Summary by Year'!$C95,'WBS Summary by Year'!$B$83),'Pre- and Production'!AF$4:AFI$532)</f>
        <v>0</v>
      </c>
      <c r="K95" s="279">
        <f>SUMIF('Pre- and Production'!$T$4:$T$532, CONCATENATE(LEFT('WBS Summary by Year'!K$6,1),'WBS Summary by Year'!$C95,'WBS Summary by Year'!$B$83),'Pre- and Production'!AP$4:AP$532)</f>
        <v>0</v>
      </c>
      <c r="L95" s="290">
        <f>SUMIF('Pre- and Production'!$T$4:$T$532, CONCATENATE(LEFT('WBS Summary by Year'!L$6,1),'WBS Summary by Year'!$C95,'WBS Summary by Year'!$B$83),'Pre- and Production'!AG$4:AG$532)</f>
        <v>0</v>
      </c>
      <c r="M95" s="286">
        <f>SUMIF('Pre- and Production'!$T$4:$T$532, CONCATENATE(LEFT('WBS Summary by Year'!M$6,1),'WBS Summary by Year'!$C95,'WBS Summary by Year'!$B$83),'Pre- and Production'!AQ$4:AQ$532)</f>
        <v>0</v>
      </c>
      <c r="N95" s="298">
        <f>SUMIF('Pre- and Production'!$T$4:$T$532, CONCATENATE(LEFT('WBS Summary by Year'!N$6,1),'WBS Summary by Year'!$C95,'WBS Summary by Year'!$B$83),'Pre- and Production'!AH$4:AH$532)</f>
        <v>0</v>
      </c>
      <c r="O95" s="299">
        <f>SUMIF('Pre- and Production'!$T$4:$T$532, CONCATENATE(LEFT('WBS Summary by Year'!O$6,1),'WBS Summary by Year'!$C95,'WBS Summary by Year'!$B$83),'Pre- and Production'!AR$4:AR$532)</f>
        <v>0</v>
      </c>
    </row>
    <row r="96" spans="2:15" s="302" customFormat="1">
      <c r="C96" s="9" t="s">
        <v>216</v>
      </c>
      <c r="D96" s="26">
        <f>SUMIF('Pre- and Production'!$T$4:$T$532, CONCATENATE(LEFT('WBS Summary by Year'!D$6,1),'WBS Summary by Year'!$C96,'WBS Summary by Year'!$B$83),'Pre- and Production'!AC$4:AC$532)</f>
        <v>0</v>
      </c>
      <c r="E96" s="286">
        <f>SUMIF('Pre- and Production'!$T$4:$T$532, CONCATENATE(LEFT('WBS Summary by Year'!E$6,1),'WBS Summary by Year'!$C96,'WBS Summary by Year'!$B$83),'Pre- and Production'!AM$4:AM$532)</f>
        <v>0</v>
      </c>
      <c r="F96" s="26">
        <f>SUMIF('Pre- and Production'!$T$4:$T$532, CONCATENATE(LEFT('WBS Summary by Year'!F$6,1),'WBS Summary by Year'!$C96,'WBS Summary by Year'!$B$83),'Pre- and Production'!AD$4:AD$532)</f>
        <v>0</v>
      </c>
      <c r="G96" s="279">
        <f>SUMIF('Pre- and Production'!$T$4:$T$532, CONCATENATE(LEFT('WBS Summary by Year'!G$6,1),'WBS Summary by Year'!$C96,'WBS Summary by Year'!$B$83),'Pre- and Production'!AN$4:AN$532)</f>
        <v>0</v>
      </c>
      <c r="H96" s="290">
        <f>SUMIF('Pre- and Production'!$T$4:$T$532, CONCATENATE(LEFT('WBS Summary by Year'!H$6,1),'WBS Summary by Year'!$C96,'WBS Summary by Year'!$B$83),'Pre- and Production'!AE$4:AE$532)</f>
        <v>0</v>
      </c>
      <c r="I96" s="286">
        <f>SUMIF('Pre- and Production'!$T$4:$T$532, CONCATENATE(LEFT('WBS Summary by Year'!I$6,1),'WBS Summary by Year'!$C96,'WBS Summary by Year'!$B$83),'Pre- and Production'!AO$4:AO$532)</f>
        <v>0</v>
      </c>
      <c r="J96" s="26">
        <f>SUMIF('Pre- and Production'!$T$4:$T$532, CONCATENATE(LEFT('WBS Summary by Year'!J$6,1),'WBS Summary by Year'!$C96,'WBS Summary by Year'!$B$83),'Pre- and Production'!AF$4:AFI$532)</f>
        <v>0</v>
      </c>
      <c r="K96" s="279">
        <f>SUMIF('Pre- and Production'!$T$4:$T$532, CONCATENATE(LEFT('WBS Summary by Year'!K$6,1),'WBS Summary by Year'!$C96,'WBS Summary by Year'!$B$83),'Pre- and Production'!AP$4:AP$532)</f>
        <v>0</v>
      </c>
      <c r="L96" s="290">
        <f>SUMIF('Pre- and Production'!$T$4:$T$532, CONCATENATE(LEFT('WBS Summary by Year'!L$6,1),'WBS Summary by Year'!$C96,'WBS Summary by Year'!$B$83),'Pre- and Production'!AG$4:AG$532)</f>
        <v>0</v>
      </c>
      <c r="M96" s="286">
        <f>SUMIF('Pre- and Production'!$T$4:$T$532, CONCATENATE(LEFT('WBS Summary by Year'!M$6,1),'WBS Summary by Year'!$C96,'WBS Summary by Year'!$B$83),'Pre- and Production'!AQ$4:AQ$532)</f>
        <v>0</v>
      </c>
      <c r="N96" s="298">
        <f>SUMIF('Pre- and Production'!$T$4:$T$532, CONCATENATE(LEFT('WBS Summary by Year'!N$6,1),'WBS Summary by Year'!$C96,'WBS Summary by Year'!$B$83),'Pre- and Production'!AH$4:AH$532)</f>
        <v>0</v>
      </c>
      <c r="O96" s="299">
        <f>SUMIF('Pre- and Production'!$T$4:$T$532, CONCATENATE(LEFT('WBS Summary by Year'!O$6,1),'WBS Summary by Year'!$C96,'WBS Summary by Year'!$B$83),'Pre- and Production'!AR$4:AR$532)</f>
        <v>0</v>
      </c>
    </row>
    <row r="97" spans="3:15" s="302" customFormat="1">
      <c r="C97" s="9" t="s">
        <v>217</v>
      </c>
      <c r="D97" s="26">
        <f>SUMIF('Pre- and Production'!$T$4:$T$532, CONCATENATE(LEFT('WBS Summary by Year'!D$6,1),'WBS Summary by Year'!$C97,'WBS Summary by Year'!$B$83),'Pre- and Production'!AC$4:AC$532)</f>
        <v>66</v>
      </c>
      <c r="E97" s="286">
        <f>SUMIF('Pre- and Production'!$T$4:$T$532, CONCATENATE(LEFT('WBS Summary by Year'!E$6,1),'WBS Summary by Year'!$C97,'WBS Summary by Year'!$B$83),'Pre- and Production'!AM$4:AM$532)</f>
        <v>44</v>
      </c>
      <c r="F97" s="26">
        <f>SUMIF('Pre- and Production'!$T$4:$T$532, CONCATENATE(LEFT('WBS Summary by Year'!F$6,1),'WBS Summary by Year'!$C97,'WBS Summary by Year'!$B$83),'Pre- and Production'!AD$4:AD$532)</f>
        <v>256</v>
      </c>
      <c r="G97" s="279">
        <f>SUMIF('Pre- and Production'!$T$4:$T$532, CONCATENATE(LEFT('WBS Summary by Year'!G$6,1),'WBS Summary by Year'!$C97,'WBS Summary by Year'!$B$83),'Pre- and Production'!AN$4:AN$532)</f>
        <v>16</v>
      </c>
      <c r="H97" s="290">
        <f>SUMIF('Pre- and Production'!$T$4:$T$532, CONCATENATE(LEFT('WBS Summary by Year'!H$6,1),'WBS Summary by Year'!$C97,'WBS Summary by Year'!$B$83),'Pre- and Production'!AE$4:AE$532)</f>
        <v>0</v>
      </c>
      <c r="I97" s="286">
        <f>SUMIF('Pre- and Production'!$T$4:$T$532, CONCATENATE(LEFT('WBS Summary by Year'!I$6,1),'WBS Summary by Year'!$C97,'WBS Summary by Year'!$B$83),'Pre- and Production'!AO$4:AO$532)</f>
        <v>0</v>
      </c>
      <c r="J97" s="26">
        <f>SUMIF('Pre- and Production'!$T$4:$T$532, CONCATENATE(LEFT('WBS Summary by Year'!J$6,1),'WBS Summary by Year'!$C97,'WBS Summary by Year'!$B$83),'Pre- and Production'!AF$4:AFI$532)</f>
        <v>240</v>
      </c>
      <c r="K97" s="279">
        <f>SUMIF('Pre- and Production'!$T$4:$T$532, CONCATENATE(LEFT('WBS Summary by Year'!K$6,1),'WBS Summary by Year'!$C97,'WBS Summary by Year'!$B$83),'Pre- and Production'!AP$4:AP$532)</f>
        <v>0</v>
      </c>
      <c r="L97" s="290">
        <f>SUMIF('Pre- and Production'!$T$4:$T$532, CONCATENATE(LEFT('WBS Summary by Year'!L$6,1),'WBS Summary by Year'!$C97,'WBS Summary by Year'!$B$83),'Pre- and Production'!AG$4:AG$532)</f>
        <v>0</v>
      </c>
      <c r="M97" s="286">
        <f>SUMIF('Pre- and Production'!$T$4:$T$532, CONCATENATE(LEFT('WBS Summary by Year'!M$6,1),'WBS Summary by Year'!$C97,'WBS Summary by Year'!$B$83),'Pre- and Production'!AQ$4:AQ$532)</f>
        <v>0</v>
      </c>
      <c r="N97" s="298">
        <f>SUMIF('Pre- and Production'!$T$4:$T$532, CONCATENATE(LEFT('WBS Summary by Year'!N$6,1),'WBS Summary by Year'!$C97,'WBS Summary by Year'!$B$83),'Pre- and Production'!AH$4:AH$532)</f>
        <v>9190</v>
      </c>
      <c r="O97" s="299">
        <f>SUMIF('Pre- and Production'!$T$4:$T$532, CONCATENATE(LEFT('WBS Summary by Year'!O$6,1),'WBS Summary by Year'!$C97,'WBS Summary by Year'!$B$83),'Pre- and Production'!AR$4:AR$532)</f>
        <v>1520</v>
      </c>
    </row>
    <row r="98" spans="3:15" s="302" customFormat="1">
      <c r="C98" s="9" t="s">
        <v>218</v>
      </c>
      <c r="D98" s="26">
        <f>SUMIF('Pre- and Production'!$T$4:$T$532, CONCATENATE(LEFT('WBS Summary by Year'!D$6,1),'WBS Summary by Year'!$C98,'WBS Summary by Year'!$B$83),'Pre- and Production'!AC$4:AC$532)</f>
        <v>8</v>
      </c>
      <c r="E98" s="286">
        <f>SUMIF('Pre- and Production'!$T$4:$T$532, CONCATENATE(LEFT('WBS Summary by Year'!E$6,1),'WBS Summary by Year'!$C98,'WBS Summary by Year'!$B$83),'Pre- and Production'!AM$4:AM$532)</f>
        <v>0</v>
      </c>
      <c r="F98" s="26">
        <f>SUMIF('Pre- and Production'!$T$4:$T$532, CONCATENATE(LEFT('WBS Summary by Year'!F$6,1),'WBS Summary by Year'!$C98,'WBS Summary by Year'!$B$83),'Pre- and Production'!AD$4:AD$532)</f>
        <v>72</v>
      </c>
      <c r="G98" s="279">
        <f>SUMIF('Pre- and Production'!$T$4:$T$532, CONCATENATE(LEFT('WBS Summary by Year'!G$6,1),'WBS Summary by Year'!$C98,'WBS Summary by Year'!$B$83),'Pre- and Production'!AN$4:AN$532)</f>
        <v>0</v>
      </c>
      <c r="H98" s="290">
        <f>SUMIF('Pre- and Production'!$T$4:$T$532, CONCATENATE(LEFT('WBS Summary by Year'!H$6,1),'WBS Summary by Year'!$C98,'WBS Summary by Year'!$B$83),'Pre- and Production'!AE$4:AE$532)</f>
        <v>0</v>
      </c>
      <c r="I98" s="286">
        <f>SUMIF('Pre- and Production'!$T$4:$T$532, CONCATENATE(LEFT('WBS Summary by Year'!I$6,1),'WBS Summary by Year'!$C98,'WBS Summary by Year'!$B$83),'Pre- and Production'!AO$4:AO$532)</f>
        <v>0</v>
      </c>
      <c r="J98" s="26">
        <f>SUMIF('Pre- and Production'!$T$4:$T$532, CONCATENATE(LEFT('WBS Summary by Year'!J$6,1),'WBS Summary by Year'!$C98,'WBS Summary by Year'!$B$83),'Pre- and Production'!AF$4:AFI$532)</f>
        <v>36</v>
      </c>
      <c r="K98" s="279">
        <f>SUMIF('Pre- and Production'!$T$4:$T$532, CONCATENATE(LEFT('WBS Summary by Year'!K$6,1),'WBS Summary by Year'!$C98,'WBS Summary by Year'!$B$83),'Pre- and Production'!AP$4:AP$532)</f>
        <v>0</v>
      </c>
      <c r="L98" s="290">
        <f>SUMIF('Pre- and Production'!$T$4:$T$532, CONCATENATE(LEFT('WBS Summary by Year'!L$6,1),'WBS Summary by Year'!$C98,'WBS Summary by Year'!$B$83),'Pre- and Production'!AG$4:AG$532)</f>
        <v>0</v>
      </c>
      <c r="M98" s="286">
        <f>SUMIF('Pre- and Production'!$T$4:$T$532, CONCATENATE(LEFT('WBS Summary by Year'!M$6,1),'WBS Summary by Year'!$C98,'WBS Summary by Year'!$B$83),'Pre- and Production'!AQ$4:AQ$532)</f>
        <v>0</v>
      </c>
      <c r="N98" s="298">
        <f>SUMIF('Pre- and Production'!$T$4:$T$532, CONCATENATE(LEFT('WBS Summary by Year'!N$6,1),'WBS Summary by Year'!$C98,'WBS Summary by Year'!$B$83),'Pre- and Production'!AH$4:AH$532)</f>
        <v>800</v>
      </c>
      <c r="O98" s="299">
        <f>SUMIF('Pre- and Production'!$T$4:$T$532, CONCATENATE(LEFT('WBS Summary by Year'!O$6,1),'WBS Summary by Year'!$C98,'WBS Summary by Year'!$B$83),'Pre- and Production'!AR$4:AR$532)</f>
        <v>0</v>
      </c>
    </row>
    <row r="99" spans="3:15" s="302" customFormat="1">
      <c r="C99" s="9" t="s">
        <v>219</v>
      </c>
      <c r="D99" s="26">
        <f>SUMIF('Pre- and Production'!$T$4:$T$532, CONCATENATE(LEFT('WBS Summary by Year'!D$6,1),'WBS Summary by Year'!$C99,'WBS Summary by Year'!$B$83),'Pre- and Production'!AC$4:AC$532)</f>
        <v>24</v>
      </c>
      <c r="E99" s="286">
        <f>SUMIF('Pre- and Production'!$T$4:$T$532, CONCATENATE(LEFT('WBS Summary by Year'!E$6,1),'WBS Summary by Year'!$C99,'WBS Summary by Year'!$B$83),'Pre- and Production'!AM$4:AM$532)</f>
        <v>0</v>
      </c>
      <c r="F99" s="26">
        <f>SUMIF('Pre- and Production'!$T$4:$T$532, CONCATENATE(LEFT('WBS Summary by Year'!F$6,1),'WBS Summary by Year'!$C99,'WBS Summary by Year'!$B$83),'Pre- and Production'!AD$4:AD$532)</f>
        <v>80</v>
      </c>
      <c r="G99" s="279">
        <f>SUMIF('Pre- and Production'!$T$4:$T$532, CONCATENATE(LEFT('WBS Summary by Year'!G$6,1),'WBS Summary by Year'!$C99,'WBS Summary by Year'!$B$83),'Pre- and Production'!AN$4:AN$532)</f>
        <v>0</v>
      </c>
      <c r="H99" s="290">
        <f>SUMIF('Pre- and Production'!$T$4:$T$532, CONCATENATE(LEFT('WBS Summary by Year'!H$6,1),'WBS Summary by Year'!$C99,'WBS Summary by Year'!$B$83),'Pre- and Production'!AE$4:AE$532)</f>
        <v>0</v>
      </c>
      <c r="I99" s="286">
        <f>SUMIF('Pre- and Production'!$T$4:$T$532, CONCATENATE(LEFT('WBS Summary by Year'!I$6,1),'WBS Summary by Year'!$C99,'WBS Summary by Year'!$B$83),'Pre- and Production'!AO$4:AO$532)</f>
        <v>0</v>
      </c>
      <c r="J99" s="26">
        <f>SUMIF('Pre- and Production'!$T$4:$T$532, CONCATENATE(LEFT('WBS Summary by Year'!J$6,1),'WBS Summary by Year'!$C99,'WBS Summary by Year'!$B$83),'Pre- and Production'!AF$4:AFI$532)</f>
        <v>12</v>
      </c>
      <c r="K99" s="279">
        <f>SUMIF('Pre- and Production'!$T$4:$T$532, CONCATENATE(LEFT('WBS Summary by Year'!K$6,1),'WBS Summary by Year'!$C99,'WBS Summary by Year'!$B$83),'Pre- and Production'!AP$4:AP$532)</f>
        <v>0</v>
      </c>
      <c r="L99" s="290">
        <f>SUMIF('Pre- and Production'!$T$4:$T$532, CONCATENATE(LEFT('WBS Summary by Year'!L$6,1),'WBS Summary by Year'!$C99,'WBS Summary by Year'!$B$83),'Pre- and Production'!AG$4:AG$532)</f>
        <v>0</v>
      </c>
      <c r="M99" s="286">
        <f>SUMIF('Pre- and Production'!$T$4:$T$532, CONCATENATE(LEFT('WBS Summary by Year'!M$6,1),'WBS Summary by Year'!$C99,'WBS Summary by Year'!$B$83),'Pre- and Production'!AQ$4:AQ$532)</f>
        <v>0</v>
      </c>
      <c r="N99" s="298">
        <f>SUMIF('Pre- and Production'!$T$4:$T$532, CONCATENATE(LEFT('WBS Summary by Year'!N$6,1),'WBS Summary by Year'!$C99,'WBS Summary by Year'!$B$83),'Pre- and Production'!AH$4:AH$532)</f>
        <v>1800</v>
      </c>
      <c r="O99" s="299">
        <f>SUMIF('Pre- and Production'!$T$4:$T$532, CONCATENATE(LEFT('WBS Summary by Year'!O$6,1),'WBS Summary by Year'!$C99,'WBS Summary by Year'!$B$83),'Pre- and Production'!AR$4:AR$532)</f>
        <v>0</v>
      </c>
    </row>
    <row r="100" spans="3:15" s="302" customFormat="1">
      <c r="C100" s="9" t="s">
        <v>220</v>
      </c>
      <c r="D100" s="26">
        <f>SUMIF('Pre- and Production'!$T$4:$T$532, CONCATENATE(LEFT('WBS Summary by Year'!D$6,1),'WBS Summary by Year'!$C100,'WBS Summary by Year'!$B$83),'Pre- and Production'!AC$4:AC$532)</f>
        <v>32</v>
      </c>
      <c r="E100" s="286">
        <f>SUMIF('Pre- and Production'!$T$4:$T$532, CONCATENATE(LEFT('WBS Summary by Year'!E$6,1),'WBS Summary by Year'!$C100,'WBS Summary by Year'!$B$83),'Pre- and Production'!AM$4:AM$532)</f>
        <v>88</v>
      </c>
      <c r="F100" s="26">
        <f>SUMIF('Pre- and Production'!$T$4:$T$532, CONCATENATE(LEFT('WBS Summary by Year'!F$6,1),'WBS Summary by Year'!$C100,'WBS Summary by Year'!$B$83),'Pre- and Production'!AD$4:AD$532)</f>
        <v>68</v>
      </c>
      <c r="G100" s="279">
        <f>SUMIF('Pre- and Production'!$T$4:$T$532, CONCATENATE(LEFT('WBS Summary by Year'!G$6,1),'WBS Summary by Year'!$C100,'WBS Summary by Year'!$B$83),'Pre- and Production'!AN$4:AN$532)</f>
        <v>32</v>
      </c>
      <c r="H100" s="290">
        <f>SUMIF('Pre- and Production'!$T$4:$T$532, CONCATENATE(LEFT('WBS Summary by Year'!H$6,1),'WBS Summary by Year'!$C100,'WBS Summary by Year'!$B$83),'Pre- and Production'!AE$4:AE$532)</f>
        <v>0</v>
      </c>
      <c r="I100" s="286">
        <f>SUMIF('Pre- and Production'!$T$4:$T$532, CONCATENATE(LEFT('WBS Summary by Year'!I$6,1),'WBS Summary by Year'!$C100,'WBS Summary by Year'!$B$83),'Pre- and Production'!AO$4:AO$532)</f>
        <v>0</v>
      </c>
      <c r="J100" s="26">
        <f>SUMIF('Pre- and Production'!$T$4:$T$532, CONCATENATE(LEFT('WBS Summary by Year'!J$6,1),'WBS Summary by Year'!$C100,'WBS Summary by Year'!$B$83),'Pre- and Production'!AF$4:AFI$532)</f>
        <v>120</v>
      </c>
      <c r="K100" s="279">
        <f>SUMIF('Pre- and Production'!$T$4:$T$532, CONCATENATE(LEFT('WBS Summary by Year'!K$6,1),'WBS Summary by Year'!$C100,'WBS Summary by Year'!$B$83),'Pre- and Production'!AP$4:AP$532)</f>
        <v>48</v>
      </c>
      <c r="L100" s="290">
        <f>SUMIF('Pre- and Production'!$T$4:$T$532, CONCATENATE(LEFT('WBS Summary by Year'!L$6,1),'WBS Summary by Year'!$C100,'WBS Summary by Year'!$B$83),'Pre- and Production'!AG$4:AG$532)</f>
        <v>0</v>
      </c>
      <c r="M100" s="286">
        <f>SUMIF('Pre- and Production'!$T$4:$T$532, CONCATENATE(LEFT('WBS Summary by Year'!M$6,1),'WBS Summary by Year'!$C100,'WBS Summary by Year'!$B$83),'Pre- and Production'!AQ$4:AQ$532)</f>
        <v>0</v>
      </c>
      <c r="N100" s="298">
        <f>SUMIF('Pre- and Production'!$T$4:$T$532, CONCATENATE(LEFT('WBS Summary by Year'!N$6,1),'WBS Summary by Year'!$C100,'WBS Summary by Year'!$B$83),'Pre- and Production'!AH$4:AH$532)</f>
        <v>7430</v>
      </c>
      <c r="O100" s="299">
        <f>SUMIF('Pre- and Production'!$T$4:$T$532, CONCATENATE(LEFT('WBS Summary by Year'!O$6,1),'WBS Summary by Year'!$C100,'WBS Summary by Year'!$B$83),'Pre- and Production'!AR$4:AR$532)</f>
        <v>4010</v>
      </c>
    </row>
    <row r="101" spans="3:15" s="302" customFormat="1">
      <c r="C101" s="9" t="s">
        <v>221</v>
      </c>
      <c r="D101" s="26">
        <f>SUMIF('Pre- and Production'!$T$4:$T$532, CONCATENATE(LEFT('WBS Summary by Year'!D$6,1),'WBS Summary by Year'!$C101,'WBS Summary by Year'!$B$83),'Pre- and Production'!AC$4:AC$532)</f>
        <v>0</v>
      </c>
      <c r="E101" s="286">
        <f>SUMIF('Pre- and Production'!$T$4:$T$532, CONCATENATE(LEFT('WBS Summary by Year'!E$6,1),'WBS Summary by Year'!$C101,'WBS Summary by Year'!$B$83),'Pre- and Production'!AM$4:AM$532)</f>
        <v>8</v>
      </c>
      <c r="F101" s="26">
        <f>SUMIF('Pre- and Production'!$T$4:$T$532, CONCATENATE(LEFT('WBS Summary by Year'!F$6,1),'WBS Summary by Year'!$C101,'WBS Summary by Year'!$B$83),'Pre- and Production'!AD$4:AD$532)</f>
        <v>0</v>
      </c>
      <c r="G101" s="279">
        <f>SUMIF('Pre- and Production'!$T$4:$T$532, CONCATENATE(LEFT('WBS Summary by Year'!G$6,1),'WBS Summary by Year'!$C101,'WBS Summary by Year'!$B$83),'Pre- and Production'!AN$4:AN$532)</f>
        <v>76</v>
      </c>
      <c r="H101" s="290">
        <f>SUMIF('Pre- and Production'!$T$4:$T$532, CONCATENATE(LEFT('WBS Summary by Year'!H$6,1),'WBS Summary by Year'!$C101,'WBS Summary by Year'!$B$83),'Pre- and Production'!AE$4:AE$532)</f>
        <v>0</v>
      </c>
      <c r="I101" s="286">
        <f>SUMIF('Pre- and Production'!$T$4:$T$532, CONCATENATE(LEFT('WBS Summary by Year'!I$6,1),'WBS Summary by Year'!$C101,'WBS Summary by Year'!$B$83),'Pre- and Production'!AO$4:AO$532)</f>
        <v>0</v>
      </c>
      <c r="J101" s="26">
        <f>SUMIF('Pre- and Production'!$T$4:$T$532, CONCATENATE(LEFT('WBS Summary by Year'!J$6,1),'WBS Summary by Year'!$C101,'WBS Summary by Year'!$B$83),'Pre- and Production'!AF$4:AFI$532)</f>
        <v>0</v>
      </c>
      <c r="K101" s="279">
        <f>SUMIF('Pre- and Production'!$T$4:$T$532, CONCATENATE(LEFT('WBS Summary by Year'!K$6,1),'WBS Summary by Year'!$C101,'WBS Summary by Year'!$B$83),'Pre- and Production'!AP$4:AP$532)</f>
        <v>44</v>
      </c>
      <c r="L101" s="290">
        <f>SUMIF('Pre- and Production'!$T$4:$T$532, CONCATENATE(LEFT('WBS Summary by Year'!L$6,1),'WBS Summary by Year'!$C101,'WBS Summary by Year'!$B$83),'Pre- and Production'!AG$4:AG$532)</f>
        <v>0</v>
      </c>
      <c r="M101" s="286">
        <f>SUMIF('Pre- and Production'!$T$4:$T$532, CONCATENATE(LEFT('WBS Summary by Year'!M$6,1),'WBS Summary by Year'!$C101,'WBS Summary by Year'!$B$83),'Pre- and Production'!AQ$4:AQ$532)</f>
        <v>0</v>
      </c>
      <c r="N101" s="298">
        <f>SUMIF('Pre- and Production'!$T$4:$T$532, CONCATENATE(LEFT('WBS Summary by Year'!N$6,1),'WBS Summary by Year'!$C101,'WBS Summary by Year'!$B$83),'Pre- and Production'!AH$4:AH$532)</f>
        <v>0</v>
      </c>
      <c r="O101" s="299">
        <f>SUMIF('Pre- and Production'!$T$4:$T$532, CONCATENATE(LEFT('WBS Summary by Year'!O$6,1),'WBS Summary by Year'!$C101,'WBS Summary by Year'!$B$83),'Pre- and Production'!AR$4:AR$532)</f>
        <v>1300</v>
      </c>
    </row>
    <row r="102" spans="3:15" s="302" customFormat="1">
      <c r="C102" s="9" t="s">
        <v>222</v>
      </c>
      <c r="D102" s="26">
        <f>SUMIF('Pre- and Production'!$T$4:$T$532, CONCATENATE(LEFT('WBS Summary by Year'!D$6,1),'WBS Summary by Year'!$C102,'WBS Summary by Year'!$B$83),'Pre- and Production'!AC$4:AC$532)</f>
        <v>0</v>
      </c>
      <c r="E102" s="286">
        <f>SUMIF('Pre- and Production'!$T$4:$T$532, CONCATENATE(LEFT('WBS Summary by Year'!E$6,1),'WBS Summary by Year'!$C102,'WBS Summary by Year'!$B$83),'Pre- and Production'!AM$4:AM$532)</f>
        <v>0</v>
      </c>
      <c r="F102" s="26">
        <f>SUMIF('Pre- and Production'!$T$4:$T$532, CONCATENATE(LEFT('WBS Summary by Year'!F$6,1),'WBS Summary by Year'!$C102,'WBS Summary by Year'!$B$83),'Pre- and Production'!AD$4:AD$532)</f>
        <v>36</v>
      </c>
      <c r="G102" s="279">
        <f>SUMIF('Pre- and Production'!$T$4:$T$532, CONCATENATE(LEFT('WBS Summary by Year'!G$6,1),'WBS Summary by Year'!$C102,'WBS Summary by Year'!$B$83),'Pre- and Production'!AN$4:AN$532)</f>
        <v>0</v>
      </c>
      <c r="H102" s="290">
        <f>SUMIF('Pre- and Production'!$T$4:$T$532, CONCATENATE(LEFT('WBS Summary by Year'!H$6,1),'WBS Summary by Year'!$C102,'WBS Summary by Year'!$B$83),'Pre- and Production'!AE$4:AE$532)</f>
        <v>0</v>
      </c>
      <c r="I102" s="286">
        <f>SUMIF('Pre- and Production'!$T$4:$T$532, CONCATENATE(LEFT('WBS Summary by Year'!I$6,1),'WBS Summary by Year'!$C102,'WBS Summary by Year'!$B$83),'Pre- and Production'!AO$4:AO$532)</f>
        <v>0</v>
      </c>
      <c r="J102" s="26">
        <f>SUMIF('Pre- and Production'!$T$4:$T$532, CONCATENATE(LEFT('WBS Summary by Year'!J$6,1),'WBS Summary by Year'!$C102,'WBS Summary by Year'!$B$83),'Pre- and Production'!AF$4:AFI$532)</f>
        <v>40</v>
      </c>
      <c r="K102" s="279">
        <f>SUMIF('Pre- and Production'!$T$4:$T$532, CONCATENATE(LEFT('WBS Summary by Year'!K$6,1),'WBS Summary by Year'!$C102,'WBS Summary by Year'!$B$83),'Pre- and Production'!AP$4:AP$532)</f>
        <v>0</v>
      </c>
      <c r="L102" s="290">
        <f>SUMIF('Pre- and Production'!$T$4:$T$532, CONCATENATE(LEFT('WBS Summary by Year'!L$6,1),'WBS Summary by Year'!$C102,'WBS Summary by Year'!$B$83),'Pre- and Production'!AG$4:AG$532)</f>
        <v>0</v>
      </c>
      <c r="M102" s="286">
        <f>SUMIF('Pre- and Production'!$T$4:$T$532, CONCATENATE(LEFT('WBS Summary by Year'!M$6,1),'WBS Summary by Year'!$C102,'WBS Summary by Year'!$B$83),'Pre- and Production'!AQ$4:AQ$532)</f>
        <v>0</v>
      </c>
      <c r="N102" s="298">
        <f>SUMIF('Pre- and Production'!$T$4:$T$532, CONCATENATE(LEFT('WBS Summary by Year'!N$6,1),'WBS Summary by Year'!$C102,'WBS Summary by Year'!$B$83),'Pre- and Production'!AH$4:AH$532)</f>
        <v>1300</v>
      </c>
      <c r="O102" s="299">
        <f>SUMIF('Pre- and Production'!$T$4:$T$532, CONCATENATE(LEFT('WBS Summary by Year'!O$6,1),'WBS Summary by Year'!$C102,'WBS Summary by Year'!$B$83),'Pre- and Production'!AR$4:AR$532)</f>
        <v>0</v>
      </c>
    </row>
    <row r="103" spans="3:15" s="302" customFormat="1">
      <c r="C103" s="9" t="s">
        <v>223</v>
      </c>
      <c r="D103" s="26">
        <f>SUMIF('Pre- and Production'!$T$4:$T$532, CONCATENATE(LEFT('WBS Summary by Year'!D$6,1),'WBS Summary by Year'!$C103,'WBS Summary by Year'!$B$83),'Pre- and Production'!AC$4:AC$532)</f>
        <v>8</v>
      </c>
      <c r="E103" s="286">
        <f>SUMIF('Pre- and Production'!$T$4:$T$532, CONCATENATE(LEFT('WBS Summary by Year'!E$6,1),'WBS Summary by Year'!$C103,'WBS Summary by Year'!$B$83),'Pre- and Production'!AM$4:AM$532)</f>
        <v>0</v>
      </c>
      <c r="F103" s="26">
        <f>SUMIF('Pre- and Production'!$T$4:$T$532, CONCATENATE(LEFT('WBS Summary by Year'!F$6,1),'WBS Summary by Year'!$C103,'WBS Summary by Year'!$B$83),'Pre- and Production'!AD$4:AD$532)</f>
        <v>84</v>
      </c>
      <c r="G103" s="279">
        <f>SUMIF('Pre- and Production'!$T$4:$T$532, CONCATENATE(LEFT('WBS Summary by Year'!G$6,1),'WBS Summary by Year'!$C103,'WBS Summary by Year'!$B$83),'Pre- and Production'!AN$4:AN$532)</f>
        <v>80</v>
      </c>
      <c r="H103" s="290">
        <f>SUMIF('Pre- and Production'!$T$4:$T$532, CONCATENATE(LEFT('WBS Summary by Year'!H$6,1),'WBS Summary by Year'!$C103,'WBS Summary by Year'!$B$83),'Pre- and Production'!AE$4:AE$532)</f>
        <v>0</v>
      </c>
      <c r="I103" s="286">
        <f>SUMIF('Pre- and Production'!$T$4:$T$532, CONCATENATE(LEFT('WBS Summary by Year'!I$6,1),'WBS Summary by Year'!$C103,'WBS Summary by Year'!$B$83),'Pre- and Production'!AO$4:AO$532)</f>
        <v>0</v>
      </c>
      <c r="J103" s="26">
        <f>SUMIF('Pre- and Production'!$T$4:$T$532, CONCATENATE(LEFT('WBS Summary by Year'!J$6,1),'WBS Summary by Year'!$C103,'WBS Summary by Year'!$B$83),'Pre- and Production'!AF$4:AFI$532)</f>
        <v>364</v>
      </c>
      <c r="K103" s="279">
        <f>SUMIF('Pre- and Production'!$T$4:$T$532, CONCATENATE(LEFT('WBS Summary by Year'!K$6,1),'WBS Summary by Year'!$C103,'WBS Summary by Year'!$B$83),'Pre- and Production'!AP$4:AP$532)</f>
        <v>200</v>
      </c>
      <c r="L103" s="290">
        <f>SUMIF('Pre- and Production'!$T$4:$T$532, CONCATENATE(LEFT('WBS Summary by Year'!L$6,1),'WBS Summary by Year'!$C103,'WBS Summary by Year'!$B$83),'Pre- and Production'!AG$4:AG$532)</f>
        <v>0</v>
      </c>
      <c r="M103" s="286">
        <f>SUMIF('Pre- and Production'!$T$4:$T$532, CONCATENATE(LEFT('WBS Summary by Year'!M$6,1),'WBS Summary by Year'!$C103,'WBS Summary by Year'!$B$83),'Pre- and Production'!AQ$4:AQ$532)</f>
        <v>0</v>
      </c>
      <c r="N103" s="298">
        <f>SUMIF('Pre- and Production'!$T$4:$T$532, CONCATENATE(LEFT('WBS Summary by Year'!N$6,1),'WBS Summary by Year'!$C103,'WBS Summary by Year'!$B$83),'Pre- and Production'!AH$4:AH$532)</f>
        <v>1000</v>
      </c>
      <c r="O103" s="299">
        <f>SUMIF('Pre- and Production'!$T$4:$T$532, CONCATENATE(LEFT('WBS Summary by Year'!O$6,1),'WBS Summary by Year'!$C103,'WBS Summary by Year'!$B$83),'Pre- and Production'!AR$4:AR$532)</f>
        <v>0</v>
      </c>
    </row>
    <row r="104" spans="3:15" s="302" customFormat="1">
      <c r="C104" s="9" t="s">
        <v>224</v>
      </c>
      <c r="D104" s="26">
        <f>SUMIF('Pre- and Production'!$T$4:$T$532, CONCATENATE(LEFT('WBS Summary by Year'!D$6,1),'WBS Summary by Year'!$C104,'WBS Summary by Year'!$B$83),'Pre- and Production'!AC$4:AC$532)</f>
        <v>0</v>
      </c>
      <c r="E104" s="286">
        <f>SUMIF('Pre- and Production'!$T$4:$T$532, CONCATENATE(LEFT('WBS Summary by Year'!E$6,1),'WBS Summary by Year'!$C104,'WBS Summary by Year'!$B$83),'Pre- and Production'!AM$4:AM$532)</f>
        <v>0</v>
      </c>
      <c r="F104" s="26">
        <f>SUMIF('Pre- and Production'!$T$4:$T$532, CONCATENATE(LEFT('WBS Summary by Year'!F$6,1),'WBS Summary by Year'!$C104,'WBS Summary by Year'!$B$83),'Pre- and Production'!AD$4:AD$532)</f>
        <v>0</v>
      </c>
      <c r="G104" s="279">
        <f>SUMIF('Pre- and Production'!$T$4:$T$532, CONCATENATE(LEFT('WBS Summary by Year'!G$6,1),'WBS Summary by Year'!$C104,'WBS Summary by Year'!$B$83),'Pre- and Production'!AN$4:AN$532)</f>
        <v>0</v>
      </c>
      <c r="H104" s="290">
        <f>SUMIF('Pre- and Production'!$T$4:$T$532, CONCATENATE(LEFT('WBS Summary by Year'!H$6,1),'WBS Summary by Year'!$C104,'WBS Summary by Year'!$B$83),'Pre- and Production'!AE$4:AE$532)</f>
        <v>0</v>
      </c>
      <c r="I104" s="286">
        <f>SUMIF('Pre- and Production'!$T$4:$T$532, CONCATENATE(LEFT('WBS Summary by Year'!I$6,1),'WBS Summary by Year'!$C104,'WBS Summary by Year'!$B$83),'Pre- and Production'!AO$4:AO$532)</f>
        <v>0</v>
      </c>
      <c r="J104" s="26">
        <f>SUMIF('Pre- and Production'!$T$4:$T$532, CONCATENATE(LEFT('WBS Summary by Year'!J$6,1),'WBS Summary by Year'!$C104,'WBS Summary by Year'!$B$83),'Pre- and Production'!AF$4:AFI$532)</f>
        <v>0</v>
      </c>
      <c r="K104" s="279">
        <f>SUMIF('Pre- and Production'!$T$4:$T$532, CONCATENATE(LEFT('WBS Summary by Year'!K$6,1),'WBS Summary by Year'!$C104,'WBS Summary by Year'!$B$83),'Pre- and Production'!AP$4:AP$532)</f>
        <v>0</v>
      </c>
      <c r="L104" s="290">
        <f>SUMIF('Pre- and Production'!$T$4:$T$532, CONCATENATE(LEFT('WBS Summary by Year'!L$6,1),'WBS Summary by Year'!$C104,'WBS Summary by Year'!$B$83),'Pre- and Production'!AG$4:AG$532)</f>
        <v>0</v>
      </c>
      <c r="M104" s="286">
        <f>SUMIF('Pre- and Production'!$T$4:$T$532, CONCATENATE(LEFT('WBS Summary by Year'!M$6,1),'WBS Summary by Year'!$C104,'WBS Summary by Year'!$B$83),'Pre- and Production'!AQ$4:AQ$532)</f>
        <v>0</v>
      </c>
      <c r="N104" s="298">
        <f>SUMIF('Pre- and Production'!$T$4:$T$532, CONCATENATE(LEFT('WBS Summary by Year'!N$6,1),'WBS Summary by Year'!$C104,'WBS Summary by Year'!$B$83),'Pre- and Production'!AH$4:AH$532)</f>
        <v>0</v>
      </c>
      <c r="O104" s="299">
        <f>SUMIF('Pre- and Production'!$T$4:$T$532, CONCATENATE(LEFT('WBS Summary by Year'!O$6,1),'WBS Summary by Year'!$C104,'WBS Summary by Year'!$B$83),'Pre- and Production'!AR$4:AR$532)</f>
        <v>0</v>
      </c>
    </row>
    <row r="105" spans="3:15" s="302" customFormat="1">
      <c r="C105" s="9" t="s">
        <v>225</v>
      </c>
      <c r="D105" s="26">
        <f>SUMIF('Pre- and Production'!$T$4:$T$532, CONCATENATE(LEFT('WBS Summary by Year'!D$6,1),'WBS Summary by Year'!$C105,'WBS Summary by Year'!$B$83),'Pre- and Production'!AC$4:AC$532)</f>
        <v>0</v>
      </c>
      <c r="E105" s="286">
        <f>SUMIF('Pre- and Production'!$T$4:$T$532, CONCATENATE(LEFT('WBS Summary by Year'!E$6,1),'WBS Summary by Year'!$C105,'WBS Summary by Year'!$B$83),'Pre- and Production'!AM$4:AM$532)</f>
        <v>0</v>
      </c>
      <c r="F105" s="26">
        <f>SUMIF('Pre- and Production'!$T$4:$T$532, CONCATENATE(LEFT('WBS Summary by Year'!F$6,1),'WBS Summary by Year'!$C105,'WBS Summary by Year'!$B$83),'Pre- and Production'!AD$4:AD$532)</f>
        <v>0</v>
      </c>
      <c r="G105" s="279">
        <f>SUMIF('Pre- and Production'!$T$4:$T$532, CONCATENATE(LEFT('WBS Summary by Year'!G$6,1),'WBS Summary by Year'!$C105,'WBS Summary by Year'!$B$83),'Pre- and Production'!AN$4:AN$532)</f>
        <v>0</v>
      </c>
      <c r="H105" s="290">
        <f>SUMIF('Pre- and Production'!$T$4:$T$532, CONCATENATE(LEFT('WBS Summary by Year'!H$6,1),'WBS Summary by Year'!$C105,'WBS Summary by Year'!$B$83),'Pre- and Production'!AE$4:AE$532)</f>
        <v>0</v>
      </c>
      <c r="I105" s="286">
        <f>SUMIF('Pre- and Production'!$T$4:$T$532, CONCATENATE(LEFT('WBS Summary by Year'!I$6,1),'WBS Summary by Year'!$C105,'WBS Summary by Year'!$B$83),'Pre- and Production'!AO$4:AO$532)</f>
        <v>0</v>
      </c>
      <c r="J105" s="26">
        <f>SUMIF('Pre- and Production'!$T$4:$T$532, CONCATENATE(LEFT('WBS Summary by Year'!J$6,1),'WBS Summary by Year'!$C105,'WBS Summary by Year'!$B$83),'Pre- and Production'!AF$4:AFI$532)</f>
        <v>0</v>
      </c>
      <c r="K105" s="279">
        <f>SUMIF('Pre- and Production'!$T$4:$T$532, CONCATENATE(LEFT('WBS Summary by Year'!K$6,1),'WBS Summary by Year'!$C105,'WBS Summary by Year'!$B$83),'Pre- and Production'!AP$4:AP$532)</f>
        <v>0</v>
      </c>
      <c r="L105" s="290">
        <f>SUMIF('Pre- and Production'!$T$4:$T$532, CONCATENATE(LEFT('WBS Summary by Year'!L$6,1),'WBS Summary by Year'!$C105,'WBS Summary by Year'!$B$83),'Pre- and Production'!AG$4:AG$532)</f>
        <v>0</v>
      </c>
      <c r="M105" s="286">
        <f>SUMIF('Pre- and Production'!$T$4:$T$532, CONCATENATE(LEFT('WBS Summary by Year'!M$6,1),'WBS Summary by Year'!$C105,'WBS Summary by Year'!$B$83),'Pre- and Production'!AQ$4:AQ$532)</f>
        <v>0</v>
      </c>
      <c r="N105" s="298">
        <f>SUMIF('Pre- and Production'!$T$4:$T$532, CONCATENATE(LEFT('WBS Summary by Year'!N$6,1),'WBS Summary by Year'!$C105,'WBS Summary by Year'!$B$83),'Pre- and Production'!AH$4:AH$532)</f>
        <v>0</v>
      </c>
      <c r="O105" s="299">
        <f>SUMIF('Pre- and Production'!$T$4:$T$532, CONCATENATE(LEFT('WBS Summary by Year'!O$6,1),'WBS Summary by Year'!$C105,'WBS Summary by Year'!$B$83),'Pre- and Production'!AR$4:AR$532)</f>
        <v>0</v>
      </c>
    </row>
    <row r="106" spans="3:15" s="302" customFormat="1">
      <c r="C106" s="9" t="s">
        <v>226</v>
      </c>
      <c r="D106" s="26">
        <f>SUMIF('Pre- and Production'!$T$4:$T$532, CONCATENATE(LEFT('WBS Summary by Year'!D$6,1),'WBS Summary by Year'!$C106,'WBS Summary by Year'!$B$83),'Pre- and Production'!AC$4:AC$532)</f>
        <v>0</v>
      </c>
      <c r="E106" s="286">
        <f>SUMIF('Pre- and Production'!$T$4:$T$532, CONCATENATE(LEFT('WBS Summary by Year'!E$6,1),'WBS Summary by Year'!$C106,'WBS Summary by Year'!$B$83),'Pre- and Production'!AM$4:AM$532)</f>
        <v>0</v>
      </c>
      <c r="F106" s="26">
        <f>SUMIF('Pre- and Production'!$T$4:$T$532, CONCATENATE(LEFT('WBS Summary by Year'!F$6,1),'WBS Summary by Year'!$C106,'WBS Summary by Year'!$B$83),'Pre- and Production'!AD$4:AD$532)</f>
        <v>0</v>
      </c>
      <c r="G106" s="279">
        <f>SUMIF('Pre- and Production'!$T$4:$T$532, CONCATENATE(LEFT('WBS Summary by Year'!G$6,1),'WBS Summary by Year'!$C106,'WBS Summary by Year'!$B$83),'Pre- and Production'!AN$4:AN$532)</f>
        <v>0</v>
      </c>
      <c r="H106" s="290">
        <f>SUMIF('Pre- and Production'!$T$4:$T$532, CONCATENATE(LEFT('WBS Summary by Year'!H$6,1),'WBS Summary by Year'!$C106,'WBS Summary by Year'!$B$83),'Pre- and Production'!AE$4:AE$532)</f>
        <v>0</v>
      </c>
      <c r="I106" s="286">
        <f>SUMIF('Pre- and Production'!$T$4:$T$532, CONCATENATE(LEFT('WBS Summary by Year'!I$6,1),'WBS Summary by Year'!$C106,'WBS Summary by Year'!$B$83),'Pre- and Production'!AO$4:AO$532)</f>
        <v>0</v>
      </c>
      <c r="J106" s="26">
        <f>SUMIF('Pre- and Production'!$T$4:$T$532, CONCATENATE(LEFT('WBS Summary by Year'!J$6,1),'WBS Summary by Year'!$C106,'WBS Summary by Year'!$B$83),'Pre- and Production'!AF$4:AFI$532)</f>
        <v>0</v>
      </c>
      <c r="K106" s="279">
        <f>SUMIF('Pre- and Production'!$T$4:$T$532, CONCATENATE(LEFT('WBS Summary by Year'!K$6,1),'WBS Summary by Year'!$C106,'WBS Summary by Year'!$B$83),'Pre- and Production'!AP$4:AP$532)</f>
        <v>0</v>
      </c>
      <c r="L106" s="290">
        <f>SUMIF('Pre- and Production'!$T$4:$T$532, CONCATENATE(LEFT('WBS Summary by Year'!L$6,1),'WBS Summary by Year'!$C106,'WBS Summary by Year'!$B$83),'Pre- and Production'!AG$4:AG$532)</f>
        <v>0</v>
      </c>
      <c r="M106" s="286">
        <f>SUMIF('Pre- and Production'!$T$4:$T$532, CONCATENATE(LEFT('WBS Summary by Year'!M$6,1),'WBS Summary by Year'!$C106,'WBS Summary by Year'!$B$83),'Pre- and Production'!AQ$4:AQ$532)</f>
        <v>0</v>
      </c>
      <c r="N106" s="298">
        <f>SUMIF('Pre- and Production'!$T$4:$T$532, CONCATENATE(LEFT('WBS Summary by Year'!N$6,1),'WBS Summary by Year'!$C106,'WBS Summary by Year'!$B$83),'Pre- and Production'!AH$4:AH$532)</f>
        <v>0</v>
      </c>
      <c r="O106" s="299">
        <f>SUMIF('Pre- and Production'!$T$4:$T$532, CONCATENATE(LEFT('WBS Summary by Year'!O$6,1),'WBS Summary by Year'!$C106,'WBS Summary by Year'!$B$83),'Pre- and Production'!AR$4:AR$532)</f>
        <v>0</v>
      </c>
    </row>
    <row r="107" spans="3:15" s="302" customFormat="1">
      <c r="C107" s="9" t="s">
        <v>227</v>
      </c>
      <c r="D107" s="26">
        <f>SUMIF('Pre- and Production'!$T$4:$T$532, CONCATENATE(LEFT('WBS Summary by Year'!D$6,1),'WBS Summary by Year'!$C107,'WBS Summary by Year'!$B$83),'Pre- and Production'!AC$4:AC$532)</f>
        <v>0</v>
      </c>
      <c r="E107" s="286">
        <f>SUMIF('Pre- and Production'!$T$4:$T$532, CONCATENATE(LEFT('WBS Summary by Year'!E$6,1),'WBS Summary by Year'!$C107,'WBS Summary by Year'!$B$83),'Pre- and Production'!AM$4:AM$532)</f>
        <v>0</v>
      </c>
      <c r="F107" s="26">
        <f>SUMIF('Pre- and Production'!$T$4:$T$532, CONCATENATE(LEFT('WBS Summary by Year'!F$6,1),'WBS Summary by Year'!$C107,'WBS Summary by Year'!$B$83),'Pre- and Production'!AD$4:AD$532)</f>
        <v>0</v>
      </c>
      <c r="G107" s="279">
        <f>SUMIF('Pre- and Production'!$T$4:$T$532, CONCATENATE(LEFT('WBS Summary by Year'!G$6,1),'WBS Summary by Year'!$C107,'WBS Summary by Year'!$B$83),'Pre- and Production'!AN$4:AN$532)</f>
        <v>0</v>
      </c>
      <c r="H107" s="290">
        <f>SUMIF('Pre- and Production'!$T$4:$T$532, CONCATENATE(LEFT('WBS Summary by Year'!H$6,1),'WBS Summary by Year'!$C107,'WBS Summary by Year'!$B$83),'Pre- and Production'!AE$4:AE$532)</f>
        <v>0</v>
      </c>
      <c r="I107" s="286">
        <f>SUMIF('Pre- and Production'!$T$4:$T$532, CONCATENATE(LEFT('WBS Summary by Year'!I$6,1),'WBS Summary by Year'!$C107,'WBS Summary by Year'!$B$83),'Pre- and Production'!AO$4:AO$532)</f>
        <v>0</v>
      </c>
      <c r="J107" s="26">
        <f>SUMIF('Pre- and Production'!$T$4:$T$532, CONCATENATE(LEFT('WBS Summary by Year'!J$6,1),'WBS Summary by Year'!$C107,'WBS Summary by Year'!$B$83),'Pre- and Production'!AF$4:AFI$532)</f>
        <v>0</v>
      </c>
      <c r="K107" s="279">
        <f>SUMIF('Pre- and Production'!$T$4:$T$532, CONCATENATE(LEFT('WBS Summary by Year'!K$6,1),'WBS Summary by Year'!$C107,'WBS Summary by Year'!$B$83),'Pre- and Production'!AP$4:AP$532)</f>
        <v>0</v>
      </c>
      <c r="L107" s="290">
        <f>SUMIF('Pre- and Production'!$T$4:$T$532, CONCATENATE(LEFT('WBS Summary by Year'!L$6,1),'WBS Summary by Year'!$C107,'WBS Summary by Year'!$B$83),'Pre- and Production'!AG$4:AG$532)</f>
        <v>0</v>
      </c>
      <c r="M107" s="286">
        <f>SUMIF('Pre- and Production'!$T$4:$T$532, CONCATENATE(LEFT('WBS Summary by Year'!M$6,1),'WBS Summary by Year'!$C107,'WBS Summary by Year'!$B$83),'Pre- and Production'!AQ$4:AQ$532)</f>
        <v>0</v>
      </c>
      <c r="N107" s="298">
        <f>SUMIF('Pre- and Production'!$T$4:$T$532, CONCATENATE(LEFT('WBS Summary by Year'!N$6,1),'WBS Summary by Year'!$C107,'WBS Summary by Year'!$B$83),'Pre- and Production'!AH$4:AH$532)</f>
        <v>0</v>
      </c>
      <c r="O107" s="299">
        <f>SUMIF('Pre- and Production'!$T$4:$T$532, CONCATENATE(LEFT('WBS Summary by Year'!O$6,1),'WBS Summary by Year'!$C107,'WBS Summary by Year'!$B$83),'Pre- and Production'!AR$4:AR$532)</f>
        <v>0</v>
      </c>
    </row>
    <row r="108" spans="3:15">
      <c r="C108" s="9" t="s">
        <v>228</v>
      </c>
      <c r="D108" s="26">
        <f>SUMIF('Pre- and Production'!$T$4:$T$532, CONCATENATE(LEFT('WBS Summary by Year'!D$6,1),'WBS Summary by Year'!$C108,'WBS Summary by Year'!$B$83),'Pre- and Production'!AC$4:AC$532)</f>
        <v>0</v>
      </c>
      <c r="E108" s="286">
        <f>SUMIF('Pre- and Production'!$T$4:$T$532, CONCATENATE(LEFT('WBS Summary by Year'!E$6,1),'WBS Summary by Year'!$C108,'WBS Summary by Year'!$B$83),'Pre- and Production'!AM$4:AM$532)</f>
        <v>0</v>
      </c>
      <c r="F108" s="26">
        <f>SUMIF('Pre- and Production'!$T$4:$T$532, CONCATENATE(LEFT('WBS Summary by Year'!F$6,1),'WBS Summary by Year'!$C108,'WBS Summary by Year'!$B$83),'Pre- and Production'!AD$4:AD$532)</f>
        <v>0</v>
      </c>
      <c r="G108" s="279">
        <f>SUMIF('Pre- and Production'!$T$4:$T$532, CONCATENATE(LEFT('WBS Summary by Year'!G$6,1),'WBS Summary by Year'!$C108,'WBS Summary by Year'!$B$83),'Pre- and Production'!AN$4:AN$532)</f>
        <v>0</v>
      </c>
      <c r="H108" s="290">
        <f>SUMIF('Pre- and Production'!$T$4:$T$532, CONCATENATE(LEFT('WBS Summary by Year'!H$6,1),'WBS Summary by Year'!$C108,'WBS Summary by Year'!$B$83),'Pre- and Production'!AE$4:AE$532)</f>
        <v>0</v>
      </c>
      <c r="I108" s="286">
        <f>SUMIF('Pre- and Production'!$T$4:$T$532, CONCATENATE(LEFT('WBS Summary by Year'!I$6,1),'WBS Summary by Year'!$C108,'WBS Summary by Year'!$B$83),'Pre- and Production'!AO$4:AO$532)</f>
        <v>0</v>
      </c>
      <c r="J108" s="26">
        <f>SUMIF('Pre- and Production'!$T$4:$T$532, CONCATENATE(LEFT('WBS Summary by Year'!J$6,1),'WBS Summary by Year'!$C108,'WBS Summary by Year'!$B$83),'Pre- and Production'!AF$4:AFI$532)</f>
        <v>0</v>
      </c>
      <c r="K108" s="279">
        <f>SUMIF('Pre- and Production'!$T$4:$T$532, CONCATENATE(LEFT('WBS Summary by Year'!K$6,1),'WBS Summary by Year'!$C108,'WBS Summary by Year'!$B$83),'Pre- and Production'!AP$4:AP$532)</f>
        <v>0</v>
      </c>
      <c r="L108" s="290">
        <f>SUMIF('Pre- and Production'!$T$4:$T$532, CONCATENATE(LEFT('WBS Summary by Year'!L$6,1),'WBS Summary by Year'!$C108,'WBS Summary by Year'!$B$83),'Pre- and Production'!AG$4:AG$532)</f>
        <v>0</v>
      </c>
      <c r="M108" s="286">
        <f>SUMIF('Pre- and Production'!$T$4:$T$532, CONCATENATE(LEFT('WBS Summary by Year'!M$6,1),'WBS Summary by Year'!$C108,'WBS Summary by Year'!$B$83),'Pre- and Production'!AQ$4:AQ$532)</f>
        <v>0</v>
      </c>
      <c r="N108" s="298">
        <f>SUMIF('Pre- and Production'!$T$4:$T$532, CONCATENATE(LEFT('WBS Summary by Year'!N$6,1),'WBS Summary by Year'!$C108,'WBS Summary by Year'!$B$83),'Pre- and Production'!AH$4:AH$532)</f>
        <v>0</v>
      </c>
      <c r="O108" s="299">
        <f>SUMIF('Pre- and Production'!$T$4:$T$532, CONCATENATE(LEFT('WBS Summary by Year'!O$6,1),'WBS Summary by Year'!$C108,'WBS Summary by Year'!$B$83),'Pre- and Production'!AR$4:AR$532)</f>
        <v>0</v>
      </c>
    </row>
    <row r="109" spans="3:15">
      <c r="C109" s="9" t="s">
        <v>229</v>
      </c>
      <c r="D109" s="26">
        <f>SUMIF('Pre- and Production'!$T$4:$T$532, CONCATENATE(LEFT('WBS Summary by Year'!D$6,1),'WBS Summary by Year'!$C109,'WBS Summary by Year'!$B$83),'Pre- and Production'!AC$4:AC$532)</f>
        <v>0</v>
      </c>
      <c r="E109" s="286">
        <f>SUMIF('Pre- and Production'!$T$4:$T$532, CONCATENATE(LEFT('WBS Summary by Year'!E$6,1),'WBS Summary by Year'!$C109,'WBS Summary by Year'!$B$83),'Pre- and Production'!AM$4:AM$532)</f>
        <v>0</v>
      </c>
      <c r="F109" s="26">
        <f>SUMIF('Pre- and Production'!$T$4:$T$532, CONCATENATE(LEFT('WBS Summary by Year'!F$6,1),'WBS Summary by Year'!$C109,'WBS Summary by Year'!$B$83),'Pre- and Production'!AD$4:AD$532)</f>
        <v>0</v>
      </c>
      <c r="G109" s="279">
        <f>SUMIF('Pre- and Production'!$T$4:$T$532, CONCATENATE(LEFT('WBS Summary by Year'!G$6,1),'WBS Summary by Year'!$C109,'WBS Summary by Year'!$B$83),'Pre- and Production'!AN$4:AN$532)</f>
        <v>0</v>
      </c>
      <c r="H109" s="290">
        <f>SUMIF('Pre- and Production'!$T$4:$T$532, CONCATENATE(LEFT('WBS Summary by Year'!H$6,1),'WBS Summary by Year'!$C109,'WBS Summary by Year'!$B$83),'Pre- and Production'!AE$4:AE$532)</f>
        <v>0</v>
      </c>
      <c r="I109" s="286">
        <f>SUMIF('Pre- and Production'!$T$4:$T$532, CONCATENATE(LEFT('WBS Summary by Year'!I$6,1),'WBS Summary by Year'!$C109,'WBS Summary by Year'!$B$83),'Pre- and Production'!AO$4:AO$532)</f>
        <v>0</v>
      </c>
      <c r="J109" s="26">
        <f>SUMIF('Pre- and Production'!$T$4:$T$532, CONCATENATE(LEFT('WBS Summary by Year'!J$6,1),'WBS Summary by Year'!$C109,'WBS Summary by Year'!$B$83),'Pre- and Production'!AF$4:AFI$532)</f>
        <v>120</v>
      </c>
      <c r="K109" s="279">
        <f>SUMIF('Pre- and Production'!$T$4:$T$532, CONCATENATE(LEFT('WBS Summary by Year'!K$6,1),'WBS Summary by Year'!$C109,'WBS Summary by Year'!$B$83),'Pre- and Production'!AP$4:AP$532)</f>
        <v>0</v>
      </c>
      <c r="L109" s="290">
        <f>SUMIF('Pre- and Production'!$T$4:$T$532, CONCATENATE(LEFT('WBS Summary by Year'!L$6,1),'WBS Summary by Year'!$C109,'WBS Summary by Year'!$B$83),'Pre- and Production'!AG$4:AG$532)</f>
        <v>0</v>
      </c>
      <c r="M109" s="286">
        <f>SUMIF('Pre- and Production'!$T$4:$T$532, CONCATENATE(LEFT('WBS Summary by Year'!M$6,1),'WBS Summary by Year'!$C109,'WBS Summary by Year'!$B$83),'Pre- and Production'!AQ$4:AQ$532)</f>
        <v>0</v>
      </c>
      <c r="N109" s="298">
        <f>SUMIF('Pre- and Production'!$T$4:$T$532, CONCATENATE(LEFT('WBS Summary by Year'!N$6,1),'WBS Summary by Year'!$C109,'WBS Summary by Year'!$B$83),'Pre- and Production'!AH$4:AH$532)</f>
        <v>0</v>
      </c>
      <c r="O109" s="299">
        <f>SUMIF('Pre- and Production'!$T$4:$T$532, CONCATENATE(LEFT('WBS Summary by Year'!O$6,1),'WBS Summary by Year'!$C109,'WBS Summary by Year'!$B$83),'Pre- and Production'!AR$4:AR$532)</f>
        <v>0</v>
      </c>
    </row>
    <row r="110" spans="3:15">
      <c r="C110" s="9" t="s">
        <v>230</v>
      </c>
      <c r="D110" s="26">
        <f>SUMIF('Pre- and Production'!$T$4:$T$532, CONCATENATE(LEFT('WBS Summary by Year'!D$6,1),'WBS Summary by Year'!$C110,'WBS Summary by Year'!$B$83),'Pre- and Production'!AC$4:AC$532)</f>
        <v>0</v>
      </c>
      <c r="E110" s="286">
        <f>SUMIF('Pre- and Production'!$T$4:$T$532, CONCATENATE(LEFT('WBS Summary by Year'!E$6,1),'WBS Summary by Year'!$C110,'WBS Summary by Year'!$B$83),'Pre- and Production'!AM$4:AM$532)</f>
        <v>0</v>
      </c>
      <c r="F110" s="26">
        <f>SUMIF('Pre- and Production'!$T$4:$T$532, CONCATENATE(LEFT('WBS Summary by Year'!F$6,1),'WBS Summary by Year'!$C110,'WBS Summary by Year'!$B$83),'Pre- and Production'!AD$4:AD$532)</f>
        <v>0</v>
      </c>
      <c r="G110" s="279">
        <f>SUMIF('Pre- and Production'!$T$4:$T$532, CONCATENATE(LEFT('WBS Summary by Year'!G$6,1),'WBS Summary by Year'!$C110,'WBS Summary by Year'!$B$83),'Pre- and Production'!AN$4:AN$532)</f>
        <v>0</v>
      </c>
      <c r="H110" s="290">
        <f>SUMIF('Pre- and Production'!$T$4:$T$532, CONCATENATE(LEFT('WBS Summary by Year'!H$6,1),'WBS Summary by Year'!$C110,'WBS Summary by Year'!$B$83),'Pre- and Production'!AE$4:AE$532)</f>
        <v>0</v>
      </c>
      <c r="I110" s="286">
        <f>SUMIF('Pre- and Production'!$T$4:$T$532, CONCATENATE(LEFT('WBS Summary by Year'!I$6,1),'WBS Summary by Year'!$C110,'WBS Summary by Year'!$B$83),'Pre- and Production'!AO$4:AO$532)</f>
        <v>0</v>
      </c>
      <c r="J110" s="26">
        <f>SUMIF('Pre- and Production'!$T$4:$T$532, CONCATENATE(LEFT('WBS Summary by Year'!J$6,1),'WBS Summary by Year'!$C110,'WBS Summary by Year'!$B$83),'Pre- and Production'!AF$4:AFI$532)</f>
        <v>120</v>
      </c>
      <c r="K110" s="279">
        <f>SUMIF('Pre- and Production'!$T$4:$T$532, CONCATENATE(LEFT('WBS Summary by Year'!K$6,1),'WBS Summary by Year'!$C110,'WBS Summary by Year'!$B$83),'Pre- and Production'!AP$4:AP$532)</f>
        <v>40</v>
      </c>
      <c r="L110" s="290">
        <f>SUMIF('Pre- and Production'!$T$4:$T$532, CONCATENATE(LEFT('WBS Summary by Year'!L$6,1),'WBS Summary by Year'!$C110,'WBS Summary by Year'!$B$83),'Pre- and Production'!AG$4:AG$532)</f>
        <v>0</v>
      </c>
      <c r="M110" s="286">
        <f>SUMIF('Pre- and Production'!$T$4:$T$532, CONCATENATE(LEFT('WBS Summary by Year'!M$6,1),'WBS Summary by Year'!$C110,'WBS Summary by Year'!$B$83),'Pre- and Production'!AQ$4:AQ$532)</f>
        <v>0</v>
      </c>
      <c r="N110" s="298">
        <f>SUMIF('Pre- and Production'!$T$4:$T$532, CONCATENATE(LEFT('WBS Summary by Year'!N$6,1),'WBS Summary by Year'!$C110,'WBS Summary by Year'!$B$83),'Pre- and Production'!AH$4:AH$532)</f>
        <v>0</v>
      </c>
      <c r="O110" s="299">
        <f>SUMIF('Pre- and Production'!$T$4:$T$532, CONCATENATE(LEFT('WBS Summary by Year'!O$6,1),'WBS Summary by Year'!$C110,'WBS Summary by Year'!$B$83),'Pre- and Production'!AR$4:AR$532)</f>
        <v>0</v>
      </c>
    </row>
    <row r="111" spans="3:15">
      <c r="C111" s="9" t="s">
        <v>231</v>
      </c>
      <c r="D111" s="26">
        <f>SUMIF('Pre- and Production'!$T$4:$T$532, CONCATENATE(LEFT('WBS Summary by Year'!D$6,1),'WBS Summary by Year'!$C111,'WBS Summary by Year'!$B$83),'Pre- and Production'!AC$4:AC$532)</f>
        <v>0</v>
      </c>
      <c r="E111" s="286">
        <f>SUMIF('Pre- and Production'!$T$4:$T$532, CONCATENATE(LEFT('WBS Summary by Year'!E$6,1),'WBS Summary by Year'!$C111,'WBS Summary by Year'!$B$83),'Pre- and Production'!AM$4:AM$532)</f>
        <v>0</v>
      </c>
      <c r="F111" s="26">
        <f>SUMIF('Pre- and Production'!$T$4:$T$532, CONCATENATE(LEFT('WBS Summary by Year'!F$6,1),'WBS Summary by Year'!$C111,'WBS Summary by Year'!$B$83),'Pre- and Production'!AD$4:AD$532)</f>
        <v>0</v>
      </c>
      <c r="G111" s="279">
        <f>SUMIF('Pre- and Production'!$T$4:$T$532, CONCATENATE(LEFT('WBS Summary by Year'!G$6,1),'WBS Summary by Year'!$C111,'WBS Summary by Year'!$B$83),'Pre- and Production'!AN$4:AN$532)</f>
        <v>0</v>
      </c>
      <c r="H111" s="290">
        <f>SUMIF('Pre- and Production'!$T$4:$T$532, CONCATENATE(LEFT('WBS Summary by Year'!H$6,1),'WBS Summary by Year'!$C111,'WBS Summary by Year'!$B$83),'Pre- and Production'!AE$4:AE$532)</f>
        <v>0</v>
      </c>
      <c r="I111" s="286">
        <f>SUMIF('Pre- and Production'!$T$4:$T$532, CONCATENATE(LEFT('WBS Summary by Year'!I$6,1),'WBS Summary by Year'!$C111,'WBS Summary by Year'!$B$83),'Pre- and Production'!AO$4:AO$532)</f>
        <v>0</v>
      </c>
      <c r="J111" s="26">
        <f>SUMIF('Pre- and Production'!$T$4:$T$532, CONCATENATE(LEFT('WBS Summary by Year'!J$6,1),'WBS Summary by Year'!$C111,'WBS Summary by Year'!$B$83),'Pre- and Production'!AF$4:AFI$532)</f>
        <v>0</v>
      </c>
      <c r="K111" s="279">
        <f>SUMIF('Pre- and Production'!$T$4:$T$532, CONCATENATE(LEFT('WBS Summary by Year'!K$6,1),'WBS Summary by Year'!$C111,'WBS Summary by Year'!$B$83),'Pre- and Production'!AP$4:AP$532)</f>
        <v>0</v>
      </c>
      <c r="L111" s="290">
        <f>SUMIF('Pre- and Production'!$T$4:$T$532, CONCATENATE(LEFT('WBS Summary by Year'!L$6,1),'WBS Summary by Year'!$C111,'WBS Summary by Year'!$B$83),'Pre- and Production'!AG$4:AG$532)</f>
        <v>0</v>
      </c>
      <c r="M111" s="286">
        <f>SUMIF('Pre- and Production'!$T$4:$T$532, CONCATENATE(LEFT('WBS Summary by Year'!M$6,1),'WBS Summary by Year'!$C111,'WBS Summary by Year'!$B$83),'Pre- and Production'!AQ$4:AQ$532)</f>
        <v>0</v>
      </c>
      <c r="N111" s="298">
        <f>SUMIF('Pre- and Production'!$T$4:$T$532, CONCATENATE(LEFT('WBS Summary by Year'!N$6,1),'WBS Summary by Year'!$C111,'WBS Summary by Year'!$B$83),'Pre- and Production'!AH$4:AH$532)</f>
        <v>0</v>
      </c>
      <c r="O111" s="299">
        <f>SUMIF('Pre- and Production'!$T$4:$T$532, CONCATENATE(LEFT('WBS Summary by Year'!O$6,1),'WBS Summary by Year'!$C111,'WBS Summary by Year'!$B$83),'Pre- and Production'!AR$4:AR$532)</f>
        <v>0</v>
      </c>
    </row>
    <row r="112" spans="3:15">
      <c r="C112" s="9" t="s">
        <v>232</v>
      </c>
      <c r="D112" s="26">
        <f>SUMIF('Pre- and Production'!$T$4:$T$532, CONCATENATE(LEFT('WBS Summary by Year'!D$6,1),'WBS Summary by Year'!$C112,'WBS Summary by Year'!$B$83),'Pre- and Production'!AC$4:AC$532)</f>
        <v>0</v>
      </c>
      <c r="E112" s="286">
        <f>SUMIF('Pre- and Production'!$T$4:$T$532, CONCATENATE(LEFT('WBS Summary by Year'!E$6,1),'WBS Summary by Year'!$C112,'WBS Summary by Year'!$B$83),'Pre- and Production'!AM$4:AM$532)</f>
        <v>0</v>
      </c>
      <c r="F112" s="26">
        <f>SUMIF('Pre- and Production'!$T$4:$T$532, CONCATENATE(LEFT('WBS Summary by Year'!F$6,1),'WBS Summary by Year'!$C112,'WBS Summary by Year'!$B$83),'Pre- and Production'!AD$4:AD$532)</f>
        <v>0</v>
      </c>
      <c r="G112" s="279">
        <f>SUMIF('Pre- and Production'!$T$4:$T$532, CONCATENATE(LEFT('WBS Summary by Year'!G$6,1),'WBS Summary by Year'!$C112,'WBS Summary by Year'!$B$83),'Pre- and Production'!AN$4:AN$532)</f>
        <v>0</v>
      </c>
      <c r="H112" s="290">
        <f>SUMIF('Pre- and Production'!$T$4:$T$532, CONCATENATE(LEFT('WBS Summary by Year'!H$6,1),'WBS Summary by Year'!$C112,'WBS Summary by Year'!$B$83),'Pre- and Production'!AE$4:AE$532)</f>
        <v>0</v>
      </c>
      <c r="I112" s="286">
        <f>SUMIF('Pre- and Production'!$T$4:$T$532, CONCATENATE(LEFT('WBS Summary by Year'!I$6,1),'WBS Summary by Year'!$C112,'WBS Summary by Year'!$B$83),'Pre- and Production'!AO$4:AO$532)</f>
        <v>0</v>
      </c>
      <c r="J112" s="26">
        <f>SUMIF('Pre- and Production'!$T$4:$T$532, CONCATENATE(LEFT('WBS Summary by Year'!J$6,1),'WBS Summary by Year'!$C112,'WBS Summary by Year'!$B$83),'Pre- and Production'!AF$4:AFI$532)</f>
        <v>0</v>
      </c>
      <c r="K112" s="279">
        <f>SUMIF('Pre- and Production'!$T$4:$T$532, CONCATENATE(LEFT('WBS Summary by Year'!K$6,1),'WBS Summary by Year'!$C112,'WBS Summary by Year'!$B$83),'Pre- and Production'!AP$4:AP$532)</f>
        <v>0</v>
      </c>
      <c r="L112" s="290">
        <f>SUMIF('Pre- and Production'!$T$4:$T$532, CONCATENATE(LEFT('WBS Summary by Year'!L$6,1),'WBS Summary by Year'!$C112,'WBS Summary by Year'!$B$83),'Pre- and Production'!AG$4:AG$532)</f>
        <v>0</v>
      </c>
      <c r="M112" s="286">
        <f>SUMIF('Pre- and Production'!$T$4:$T$532, CONCATENATE(LEFT('WBS Summary by Year'!M$6,1),'WBS Summary by Year'!$C112,'WBS Summary by Year'!$B$83),'Pre- and Production'!AQ$4:AQ$532)</f>
        <v>0</v>
      </c>
      <c r="N112" s="298">
        <f>SUMIF('Pre- and Production'!$T$4:$T$532, CONCATENATE(LEFT('WBS Summary by Year'!N$6,1),'WBS Summary by Year'!$C112,'WBS Summary by Year'!$B$83),'Pre- and Production'!AH$4:AH$532)</f>
        <v>0</v>
      </c>
      <c r="O112" s="299">
        <f>SUMIF('Pre- and Production'!$T$4:$T$532, CONCATENATE(LEFT('WBS Summary by Year'!O$6,1),'WBS Summary by Year'!$C112,'WBS Summary by Year'!$B$83),'Pre- and Production'!AR$4:AR$532)</f>
        <v>0</v>
      </c>
    </row>
    <row r="113" spans="2:15">
      <c r="C113" s="9" t="s">
        <v>233</v>
      </c>
      <c r="D113" s="26">
        <f>SUMIF('Pre- and Production'!$T$4:$T$532, CONCATENATE(LEFT('WBS Summary by Year'!D$6,1),'WBS Summary by Year'!$C113,'WBS Summary by Year'!$B$83),'Pre- and Production'!AC$4:AC$532)</f>
        <v>0</v>
      </c>
      <c r="E113" s="286">
        <f>SUMIF('Pre- and Production'!$T$4:$T$532, CONCATENATE(LEFT('WBS Summary by Year'!E$6,1),'WBS Summary by Year'!$C113,'WBS Summary by Year'!$B$83),'Pre- and Production'!AM$4:AM$532)</f>
        <v>0</v>
      </c>
      <c r="F113" s="26">
        <f>SUMIF('Pre- and Production'!$T$4:$T$532, CONCATENATE(LEFT('WBS Summary by Year'!F$6,1),'WBS Summary by Year'!$C113,'WBS Summary by Year'!$B$83),'Pre- and Production'!AD$4:AD$532)</f>
        <v>0</v>
      </c>
      <c r="G113" s="279">
        <f>SUMIF('Pre- and Production'!$T$4:$T$532, CONCATENATE(LEFT('WBS Summary by Year'!G$6,1),'WBS Summary by Year'!$C113,'WBS Summary by Year'!$B$83),'Pre- and Production'!AN$4:AN$532)</f>
        <v>0</v>
      </c>
      <c r="H113" s="290">
        <f>SUMIF('Pre- and Production'!$T$4:$T$532, CONCATENATE(LEFT('WBS Summary by Year'!H$6,1),'WBS Summary by Year'!$C113,'WBS Summary by Year'!$B$83),'Pre- and Production'!AE$4:AE$532)</f>
        <v>0</v>
      </c>
      <c r="I113" s="286">
        <f>SUMIF('Pre- and Production'!$T$4:$T$532, CONCATENATE(LEFT('WBS Summary by Year'!I$6,1),'WBS Summary by Year'!$C113,'WBS Summary by Year'!$B$83),'Pre- and Production'!AO$4:AO$532)</f>
        <v>0</v>
      </c>
      <c r="J113" s="26">
        <f>SUMIF('Pre- and Production'!$T$4:$T$532, CONCATENATE(LEFT('WBS Summary by Year'!J$6,1),'WBS Summary by Year'!$C113,'WBS Summary by Year'!$B$83),'Pre- and Production'!AF$4:AFI$532)</f>
        <v>0</v>
      </c>
      <c r="K113" s="279">
        <f>SUMIF('Pre- and Production'!$T$4:$T$532, CONCATENATE(LEFT('WBS Summary by Year'!K$6,1),'WBS Summary by Year'!$C113,'WBS Summary by Year'!$B$83),'Pre- and Production'!AP$4:AP$532)</f>
        <v>0</v>
      </c>
      <c r="L113" s="290">
        <f>SUMIF('Pre- and Production'!$T$4:$T$532, CONCATENATE(LEFT('WBS Summary by Year'!L$6,1),'WBS Summary by Year'!$C113,'WBS Summary by Year'!$B$83),'Pre- and Production'!AG$4:AG$532)</f>
        <v>0</v>
      </c>
      <c r="M113" s="286">
        <f>SUMIF('Pre- and Production'!$T$4:$T$532, CONCATENATE(LEFT('WBS Summary by Year'!M$6,1),'WBS Summary by Year'!$C113,'WBS Summary by Year'!$B$83),'Pre- and Production'!AQ$4:AQ$532)</f>
        <v>0</v>
      </c>
      <c r="N113" s="298">
        <f>SUMIF('Pre- and Production'!$T$4:$T$532, CONCATENATE(LEFT('WBS Summary by Year'!N$6,1),'WBS Summary by Year'!$C113,'WBS Summary by Year'!$B$83),'Pre- and Production'!AH$4:AH$532)</f>
        <v>0</v>
      </c>
      <c r="O113" s="299">
        <f>SUMIF('Pre- and Production'!$T$4:$T$532, CONCATENATE(LEFT('WBS Summary by Year'!O$6,1),'WBS Summary by Year'!$C113,'WBS Summary by Year'!$B$83),'Pre- and Production'!AR$4:AR$532)</f>
        <v>0</v>
      </c>
    </row>
    <row r="114" spans="2:15">
      <c r="C114" s="9" t="s">
        <v>234</v>
      </c>
      <c r="D114" s="26">
        <f>SUMIF('Pre- and Production'!$T$4:$T$532, CONCATENATE(LEFT('WBS Summary by Year'!D$6,1),'WBS Summary by Year'!$C114,'WBS Summary by Year'!$B$83),'Pre- and Production'!AC$4:AC$532)</f>
        <v>0</v>
      </c>
      <c r="E114" s="286">
        <f>SUMIF('Pre- and Production'!$T$4:$T$532, CONCATENATE(LEFT('WBS Summary by Year'!E$6,1),'WBS Summary by Year'!$C114,'WBS Summary by Year'!$B$83),'Pre- and Production'!AM$4:AM$532)</f>
        <v>0</v>
      </c>
      <c r="F114" s="26">
        <f>SUMIF('Pre- and Production'!$T$4:$T$532, CONCATENATE(LEFT('WBS Summary by Year'!F$6,1),'WBS Summary by Year'!$C114,'WBS Summary by Year'!$B$83),'Pre- and Production'!AD$4:AD$532)</f>
        <v>0</v>
      </c>
      <c r="G114" s="279">
        <f>SUMIF('Pre- and Production'!$T$4:$T$532, CONCATENATE(LEFT('WBS Summary by Year'!G$6,1),'WBS Summary by Year'!$C114,'WBS Summary by Year'!$B$83),'Pre- and Production'!AN$4:AN$532)</f>
        <v>0</v>
      </c>
      <c r="H114" s="290">
        <f>SUMIF('Pre- and Production'!$T$4:$T$532, CONCATENATE(LEFT('WBS Summary by Year'!H$6,1),'WBS Summary by Year'!$C114,'WBS Summary by Year'!$B$83),'Pre- and Production'!AE$4:AE$532)</f>
        <v>0</v>
      </c>
      <c r="I114" s="286">
        <f>SUMIF('Pre- and Production'!$T$4:$T$532, CONCATENATE(LEFT('WBS Summary by Year'!I$6,1),'WBS Summary by Year'!$C114,'WBS Summary by Year'!$B$83),'Pre- and Production'!AO$4:AO$532)</f>
        <v>0</v>
      </c>
      <c r="J114" s="26">
        <f>SUMIF('Pre- and Production'!$T$4:$T$532, CONCATENATE(LEFT('WBS Summary by Year'!J$6,1),'WBS Summary by Year'!$C114,'WBS Summary by Year'!$B$83),'Pre- and Production'!AF$4:AFI$532)</f>
        <v>0</v>
      </c>
      <c r="K114" s="279">
        <f>SUMIF('Pre- and Production'!$T$4:$T$532, CONCATENATE(LEFT('WBS Summary by Year'!K$6,1),'WBS Summary by Year'!$C114,'WBS Summary by Year'!$B$83),'Pre- and Production'!AP$4:AP$532)</f>
        <v>0</v>
      </c>
      <c r="L114" s="290">
        <f>SUMIF('Pre- and Production'!$T$4:$T$532, CONCATENATE(LEFT('WBS Summary by Year'!L$6,1),'WBS Summary by Year'!$C114,'WBS Summary by Year'!$B$83),'Pre- and Production'!AG$4:AG$532)</f>
        <v>0</v>
      </c>
      <c r="M114" s="286">
        <f>SUMIF('Pre- and Production'!$T$4:$T$532, CONCATENATE(LEFT('WBS Summary by Year'!M$6,1),'WBS Summary by Year'!$C114,'WBS Summary by Year'!$B$83),'Pre- and Production'!AQ$4:AQ$532)</f>
        <v>0</v>
      </c>
      <c r="N114" s="298">
        <f>SUMIF('Pre- and Production'!$T$4:$T$532, CONCATENATE(LEFT('WBS Summary by Year'!N$6,1),'WBS Summary by Year'!$C114,'WBS Summary by Year'!$B$83),'Pre- and Production'!AH$4:AH$532)</f>
        <v>0</v>
      </c>
      <c r="O114" s="299">
        <f>SUMIF('Pre- and Production'!$T$4:$T$532, CONCATENATE(LEFT('WBS Summary by Year'!O$6,1),'WBS Summary by Year'!$C114,'WBS Summary by Year'!$B$83),'Pre- and Production'!AR$4:AR$532)</f>
        <v>0</v>
      </c>
    </row>
    <row r="115" spans="2:15">
      <c r="C115" s="9" t="s">
        <v>235</v>
      </c>
      <c r="D115" s="26">
        <f>SUMIF('Pre- and Production'!$T$4:$T$532, CONCATENATE(LEFT('WBS Summary by Year'!D$6,1),'WBS Summary by Year'!$C115,'WBS Summary by Year'!$B$83),'Pre- and Production'!AC$4:AC$532)</f>
        <v>0</v>
      </c>
      <c r="E115" s="286">
        <f>SUMIF('Pre- and Production'!$T$4:$T$532, CONCATENATE(LEFT('WBS Summary by Year'!E$6,1),'WBS Summary by Year'!$C115,'WBS Summary by Year'!$B$83),'Pre- and Production'!AM$4:AM$532)</f>
        <v>0</v>
      </c>
      <c r="F115" s="26">
        <f>SUMIF('Pre- and Production'!$T$4:$T$532, CONCATENATE(LEFT('WBS Summary by Year'!F$6,1),'WBS Summary by Year'!$C115,'WBS Summary by Year'!$B$83),'Pre- and Production'!AD$4:AD$532)</f>
        <v>0</v>
      </c>
      <c r="G115" s="279">
        <f>SUMIF('Pre- and Production'!$T$4:$T$532, CONCATENATE(LEFT('WBS Summary by Year'!G$6,1),'WBS Summary by Year'!$C115,'WBS Summary by Year'!$B$83),'Pre- and Production'!AN$4:AN$532)</f>
        <v>0</v>
      </c>
      <c r="H115" s="290">
        <f>SUMIF('Pre- and Production'!$T$4:$T$532, CONCATENATE(LEFT('WBS Summary by Year'!H$6,1),'WBS Summary by Year'!$C115,'WBS Summary by Year'!$B$83),'Pre- and Production'!AE$4:AE$532)</f>
        <v>0</v>
      </c>
      <c r="I115" s="286">
        <f>SUMIF('Pre- and Production'!$T$4:$T$532, CONCATENATE(LEFT('WBS Summary by Year'!I$6,1),'WBS Summary by Year'!$C115,'WBS Summary by Year'!$B$83),'Pre- and Production'!AO$4:AO$532)</f>
        <v>0</v>
      </c>
      <c r="J115" s="26">
        <f>SUMIF('Pre- and Production'!$T$4:$T$532, CONCATENATE(LEFT('WBS Summary by Year'!J$6,1),'WBS Summary by Year'!$C115,'WBS Summary by Year'!$B$83),'Pre- and Production'!AF$4:AFI$532)</f>
        <v>0</v>
      </c>
      <c r="K115" s="279">
        <f>SUMIF('Pre- and Production'!$T$4:$T$532, CONCATENATE(LEFT('WBS Summary by Year'!K$6,1),'WBS Summary by Year'!$C115,'WBS Summary by Year'!$B$83),'Pre- and Production'!AP$4:AP$532)</f>
        <v>0</v>
      </c>
      <c r="L115" s="290">
        <f>SUMIF('Pre- and Production'!$T$4:$T$532, CONCATENATE(LEFT('WBS Summary by Year'!L$6,1),'WBS Summary by Year'!$C115,'WBS Summary by Year'!$B$83),'Pre- and Production'!AG$4:AG$532)</f>
        <v>0</v>
      </c>
      <c r="M115" s="286">
        <f>SUMIF('Pre- and Production'!$T$4:$T$532, CONCATENATE(LEFT('WBS Summary by Year'!M$6,1),'WBS Summary by Year'!$C115,'WBS Summary by Year'!$B$83),'Pre- and Production'!AQ$4:AQ$532)</f>
        <v>0</v>
      </c>
      <c r="N115" s="298">
        <f>SUMIF('Pre- and Production'!$T$4:$T$532, CONCATENATE(LEFT('WBS Summary by Year'!N$6,1),'WBS Summary by Year'!$C115,'WBS Summary by Year'!$B$83),'Pre- and Production'!AH$4:AH$532)</f>
        <v>0</v>
      </c>
      <c r="O115" s="299">
        <f>SUMIF('Pre- and Production'!$T$4:$T$532, CONCATENATE(LEFT('WBS Summary by Year'!O$6,1),'WBS Summary by Year'!$C115,'WBS Summary by Year'!$B$83),'Pre- and Production'!AR$4:AR$532)</f>
        <v>0</v>
      </c>
    </row>
    <row r="116" spans="2:15">
      <c r="C116" s="9" t="s">
        <v>236</v>
      </c>
      <c r="D116" s="26">
        <f>SUMIF('Pre- and Production'!$T$4:$T$532, CONCATENATE(LEFT('WBS Summary by Year'!D$6,1),'WBS Summary by Year'!$C116,'WBS Summary by Year'!$B$83),'Pre- and Production'!AC$4:AC$532)</f>
        <v>0</v>
      </c>
      <c r="E116" s="286">
        <f>SUMIF('Pre- and Production'!$T$4:$T$532, CONCATENATE(LEFT('WBS Summary by Year'!E$6,1),'WBS Summary by Year'!$C116,'WBS Summary by Year'!$B$83),'Pre- and Production'!AM$4:AM$532)</f>
        <v>0</v>
      </c>
      <c r="F116" s="26">
        <f>SUMIF('Pre- and Production'!$T$4:$T$532, CONCATENATE(LEFT('WBS Summary by Year'!F$6,1),'WBS Summary by Year'!$C116,'WBS Summary by Year'!$B$83),'Pre- and Production'!AD$4:AD$532)</f>
        <v>0</v>
      </c>
      <c r="G116" s="279">
        <f>SUMIF('Pre- and Production'!$T$4:$T$532, CONCATENATE(LEFT('WBS Summary by Year'!G$6,1),'WBS Summary by Year'!$C116,'WBS Summary by Year'!$B$83),'Pre- and Production'!AN$4:AN$532)</f>
        <v>0</v>
      </c>
      <c r="H116" s="290">
        <f>SUMIF('Pre- and Production'!$T$4:$T$532, CONCATENATE(LEFT('WBS Summary by Year'!H$6,1),'WBS Summary by Year'!$C116,'WBS Summary by Year'!$B$83),'Pre- and Production'!AE$4:AE$532)</f>
        <v>0</v>
      </c>
      <c r="I116" s="286">
        <f>SUMIF('Pre- and Production'!$T$4:$T$532, CONCATENATE(LEFT('WBS Summary by Year'!I$6,1),'WBS Summary by Year'!$C116,'WBS Summary by Year'!$B$83),'Pre- and Production'!AO$4:AO$532)</f>
        <v>0</v>
      </c>
      <c r="J116" s="26">
        <f>SUMIF('Pre- and Production'!$T$4:$T$532, CONCATENATE(LEFT('WBS Summary by Year'!J$6,1),'WBS Summary by Year'!$C116,'WBS Summary by Year'!$B$83),'Pre- and Production'!AF$4:AFI$532)</f>
        <v>0</v>
      </c>
      <c r="K116" s="279">
        <f>SUMIF('Pre- and Production'!$T$4:$T$532, CONCATENATE(LEFT('WBS Summary by Year'!K$6,1),'WBS Summary by Year'!$C116,'WBS Summary by Year'!$B$83),'Pre- and Production'!AP$4:AP$532)</f>
        <v>0</v>
      </c>
      <c r="L116" s="290">
        <f>SUMIF('Pre- and Production'!$T$4:$T$532, CONCATENATE(LEFT('WBS Summary by Year'!L$6,1),'WBS Summary by Year'!$C116,'WBS Summary by Year'!$B$83),'Pre- and Production'!AG$4:AG$532)</f>
        <v>0</v>
      </c>
      <c r="M116" s="286">
        <f>SUMIF('Pre- and Production'!$T$4:$T$532, CONCATENATE(LEFT('WBS Summary by Year'!M$6,1),'WBS Summary by Year'!$C116,'WBS Summary by Year'!$B$83),'Pre- and Production'!AQ$4:AQ$532)</f>
        <v>0</v>
      </c>
      <c r="N116" s="298">
        <f>SUMIF('Pre- and Production'!$T$4:$T$532, CONCATENATE(LEFT('WBS Summary by Year'!N$6,1),'WBS Summary by Year'!$C116,'WBS Summary by Year'!$B$83),'Pre- and Production'!AH$4:AH$532)</f>
        <v>0</v>
      </c>
      <c r="O116" s="299">
        <f>SUMIF('Pre- and Production'!$T$4:$T$532, CONCATENATE(LEFT('WBS Summary by Year'!O$6,1),'WBS Summary by Year'!$C116,'WBS Summary by Year'!$B$83),'Pre- and Production'!AR$4:AR$532)</f>
        <v>0</v>
      </c>
    </row>
    <row r="117" spans="2:15">
      <c r="C117" s="9" t="s">
        <v>237</v>
      </c>
      <c r="D117" s="26">
        <f>SUMIF('Pre- and Production'!$T$4:$T$532, CONCATENATE(LEFT('WBS Summary by Year'!D$6,1),'WBS Summary by Year'!$C117,'WBS Summary by Year'!$B$83),'Pre- and Production'!AC$4:AC$532)</f>
        <v>0</v>
      </c>
      <c r="E117" s="286">
        <f>SUMIF('Pre- and Production'!$T$4:$T$532, CONCATENATE(LEFT('WBS Summary by Year'!E$6,1),'WBS Summary by Year'!$C117,'WBS Summary by Year'!$B$83),'Pre- and Production'!AM$4:AM$532)</f>
        <v>0</v>
      </c>
      <c r="F117" s="26">
        <f>SUMIF('Pre- and Production'!$T$4:$T$532, CONCATENATE(LEFT('WBS Summary by Year'!F$6,1),'WBS Summary by Year'!$C117,'WBS Summary by Year'!$B$83),'Pre- and Production'!AD$4:AD$532)</f>
        <v>0</v>
      </c>
      <c r="G117" s="279">
        <f>SUMIF('Pre- and Production'!$T$4:$T$532, CONCATENATE(LEFT('WBS Summary by Year'!G$6,1),'WBS Summary by Year'!$C117,'WBS Summary by Year'!$B$83),'Pre- and Production'!AN$4:AN$532)</f>
        <v>0</v>
      </c>
      <c r="H117" s="290">
        <f>SUMIF('Pre- and Production'!$T$4:$T$532, CONCATENATE(LEFT('WBS Summary by Year'!H$6,1),'WBS Summary by Year'!$C117,'WBS Summary by Year'!$B$83),'Pre- and Production'!AE$4:AE$532)</f>
        <v>0</v>
      </c>
      <c r="I117" s="286">
        <f>SUMIF('Pre- and Production'!$T$4:$T$532, CONCATENATE(LEFT('WBS Summary by Year'!I$6,1),'WBS Summary by Year'!$C117,'WBS Summary by Year'!$B$83),'Pre- and Production'!AO$4:AO$532)</f>
        <v>0</v>
      </c>
      <c r="J117" s="26">
        <f>SUMIF('Pre- and Production'!$T$4:$T$532, CONCATENATE(LEFT('WBS Summary by Year'!J$6,1),'WBS Summary by Year'!$C117,'WBS Summary by Year'!$B$83),'Pre- and Production'!AF$4:AFI$532)</f>
        <v>0</v>
      </c>
      <c r="K117" s="279">
        <f>SUMIF('Pre- and Production'!$T$4:$T$532, CONCATENATE(LEFT('WBS Summary by Year'!K$6,1),'WBS Summary by Year'!$C117,'WBS Summary by Year'!$B$83),'Pre- and Production'!AP$4:AP$532)</f>
        <v>0</v>
      </c>
      <c r="L117" s="290">
        <f>SUMIF('Pre- and Production'!$T$4:$T$532, CONCATENATE(LEFT('WBS Summary by Year'!L$6,1),'WBS Summary by Year'!$C117,'WBS Summary by Year'!$B$83),'Pre- and Production'!AG$4:AG$532)</f>
        <v>0</v>
      </c>
      <c r="M117" s="286">
        <f>SUMIF('Pre- and Production'!$T$4:$T$532, CONCATENATE(LEFT('WBS Summary by Year'!M$6,1),'WBS Summary by Year'!$C117,'WBS Summary by Year'!$B$83),'Pre- and Production'!AQ$4:AQ$532)</f>
        <v>0</v>
      </c>
      <c r="N117" s="298">
        <f>SUMIF('Pre- and Production'!$T$4:$T$532, CONCATENATE(LEFT('WBS Summary by Year'!N$6,1),'WBS Summary by Year'!$C117,'WBS Summary by Year'!$B$83),'Pre- and Production'!AH$4:AH$532)</f>
        <v>0</v>
      </c>
      <c r="O117" s="299">
        <f>SUMIF('Pre- and Production'!$T$4:$T$532, CONCATENATE(LEFT('WBS Summary by Year'!O$6,1),'WBS Summary by Year'!$C117,'WBS Summary by Year'!$B$83),'Pre- and Production'!AR$4:AR$532)</f>
        <v>0</v>
      </c>
    </row>
    <row r="118" spans="2:15" ht="13.5" thickBot="1">
      <c r="C118" s="9" t="s">
        <v>238</v>
      </c>
      <c r="D118" s="280">
        <f>SUMIF('Pre- and Production'!$T$4:$T$532, CONCATENATE(LEFT('WBS Summary by Year'!D$6,1),'WBS Summary by Year'!$C118,'WBS Summary by Year'!$B$83),'Pre- and Production'!AC$4:AC$532)</f>
        <v>0</v>
      </c>
      <c r="E118" s="287">
        <f>SUMIF('Pre- and Production'!$T$4:$T$532, CONCATENATE(LEFT('WBS Summary by Year'!E$6,1),'WBS Summary by Year'!$C118,'WBS Summary by Year'!$B$83),'Pre- and Production'!AM$4:AM$532)</f>
        <v>0</v>
      </c>
      <c r="F118" s="280">
        <f>SUMIF('Pre- and Production'!$T$4:$T$532, CONCATENATE(LEFT('WBS Summary by Year'!F$6,1),'WBS Summary by Year'!$C118,'WBS Summary by Year'!$B$83),'Pre- and Production'!AD$4:AD$532)</f>
        <v>0</v>
      </c>
      <c r="G118" s="281">
        <f>SUMIF('Pre- and Production'!$T$4:$T$532, CONCATENATE(LEFT('WBS Summary by Year'!G$6,1),'WBS Summary by Year'!$C118,'WBS Summary by Year'!$B$83),'Pre- and Production'!AN$4:AN$532)</f>
        <v>0</v>
      </c>
      <c r="H118" s="291">
        <f>SUMIF('Pre- and Production'!$T$4:$T$532, CONCATENATE(LEFT('WBS Summary by Year'!H$6,1),'WBS Summary by Year'!$C118,'WBS Summary by Year'!$B$83),'Pre- and Production'!AE$4:AE$532)</f>
        <v>0</v>
      </c>
      <c r="I118" s="287">
        <f>SUMIF('Pre- and Production'!$T$4:$T$532, CONCATENATE(LEFT('WBS Summary by Year'!I$6,1),'WBS Summary by Year'!$C118,'WBS Summary by Year'!$B$83),'Pre- and Production'!AO$4:AO$532)</f>
        <v>0</v>
      </c>
      <c r="J118" s="280">
        <f>SUMIF('Pre- and Production'!$T$4:$T$532, CONCATENATE(LEFT('WBS Summary by Year'!J$6,1),'WBS Summary by Year'!$C118,'WBS Summary by Year'!$B$83),'Pre- and Production'!AF$4:AFI$532)</f>
        <v>0</v>
      </c>
      <c r="K118" s="281">
        <f>SUMIF('Pre- and Production'!$T$4:$T$532, CONCATENATE(LEFT('WBS Summary by Year'!K$6,1),'WBS Summary by Year'!$C118,'WBS Summary by Year'!$B$83),'Pre- and Production'!AP$4:AP$532)</f>
        <v>0</v>
      </c>
      <c r="L118" s="291">
        <f>SUMIF('Pre- and Production'!$T$4:$T$532, CONCATENATE(LEFT('WBS Summary by Year'!L$6,1),'WBS Summary by Year'!$C118,'WBS Summary by Year'!$B$83),'Pre- and Production'!AG$4:AG$532)</f>
        <v>0</v>
      </c>
      <c r="M118" s="287">
        <f>SUMIF('Pre- and Production'!$T$4:$T$532, CONCATENATE(LEFT('WBS Summary by Year'!M$6,1),'WBS Summary by Year'!$C118,'WBS Summary by Year'!$B$83),'Pre- and Production'!AQ$4:AQ$532)</f>
        <v>0</v>
      </c>
      <c r="N118" s="300">
        <f>SUMIF('Pre- and Production'!$T$4:$T$532, CONCATENATE(LEFT('WBS Summary by Year'!N$6,1),'WBS Summary by Year'!$C118,'WBS Summary by Year'!$B$83),'Pre- and Production'!AH$4:AH$532)</f>
        <v>0</v>
      </c>
      <c r="O118" s="301">
        <f>SUMIF('Pre- and Production'!$T$4:$T$532, CONCATENATE(LEFT('WBS Summary by Year'!O$6,1),'WBS Summary by Year'!$C118,'WBS Summary by Year'!$B$83),'Pre- and Production'!AR$4:AR$532)</f>
        <v>0</v>
      </c>
    </row>
    <row r="119" spans="2:15" ht="13.5" thickTop="1"/>
    <row r="120" spans="2:15">
      <c r="D120">
        <f t="shared" ref="D120:O120" si="2">SUM(D86:D118)</f>
        <v>552</v>
      </c>
      <c r="E120">
        <f t="shared" si="2"/>
        <v>220</v>
      </c>
      <c r="F120">
        <f t="shared" si="2"/>
        <v>1599</v>
      </c>
      <c r="G120">
        <f t="shared" si="2"/>
        <v>762</v>
      </c>
      <c r="H120">
        <f t="shared" si="2"/>
        <v>40</v>
      </c>
      <c r="I120">
        <f t="shared" si="2"/>
        <v>8</v>
      </c>
      <c r="J120">
        <f t="shared" si="2"/>
        <v>1434</v>
      </c>
      <c r="K120">
        <f t="shared" si="2"/>
        <v>408</v>
      </c>
      <c r="L120">
        <f t="shared" si="2"/>
        <v>0</v>
      </c>
      <c r="M120">
        <f t="shared" si="2"/>
        <v>0</v>
      </c>
      <c r="N120" s="293">
        <f t="shared" si="2"/>
        <v>64360</v>
      </c>
      <c r="O120" s="293">
        <f t="shared" si="2"/>
        <v>14800</v>
      </c>
    </row>
    <row r="124" spans="2:15" ht="18.75" thickBot="1">
      <c r="B124" s="292">
        <v>2012</v>
      </c>
    </row>
    <row r="125" spans="2:15" ht="13.5" thickTop="1">
      <c r="D125" s="441" t="s">
        <v>42</v>
      </c>
      <c r="E125" s="442"/>
      <c r="F125" s="441" t="s">
        <v>191</v>
      </c>
      <c r="G125" s="443"/>
      <c r="H125" s="444" t="s">
        <v>38</v>
      </c>
      <c r="I125" s="442"/>
      <c r="J125" s="441" t="s">
        <v>192</v>
      </c>
      <c r="K125" s="443"/>
      <c r="L125" s="444" t="s">
        <v>32</v>
      </c>
      <c r="M125" s="442"/>
      <c r="N125" s="439" t="s">
        <v>193</v>
      </c>
      <c r="O125" s="440"/>
    </row>
    <row r="126" spans="2:15" ht="13.5" thickBot="1">
      <c r="D126" s="282" t="s">
        <v>70</v>
      </c>
      <c r="E126" s="284" t="s">
        <v>194</v>
      </c>
      <c r="F126" s="282" t="s">
        <v>70</v>
      </c>
      <c r="G126" s="283" t="s">
        <v>194</v>
      </c>
      <c r="H126" s="288" t="s">
        <v>70</v>
      </c>
      <c r="I126" s="284" t="s">
        <v>194</v>
      </c>
      <c r="J126" s="282" t="s">
        <v>70</v>
      </c>
      <c r="K126" s="283" t="s">
        <v>194</v>
      </c>
      <c r="L126" s="288" t="s">
        <v>70</v>
      </c>
      <c r="M126" s="284" t="s">
        <v>194</v>
      </c>
      <c r="N126" s="294" t="s">
        <v>70</v>
      </c>
      <c r="O126" s="295" t="s">
        <v>194</v>
      </c>
    </row>
    <row r="127" spans="2:15" ht="13.5" thickTop="1">
      <c r="C127" s="223">
        <v>1.5</v>
      </c>
      <c r="D127" s="277">
        <f>SUMIF('Pre- and Production'!$T$4:$T$532, CONCATENATE(LEFT('WBS Summary by Year'!D$6,1),'WBS Summary by Year'!$C127,'WBS Summary by Year'!$B$124),'Pre- and Production'!AC$4:AC$532)</f>
        <v>0</v>
      </c>
      <c r="E127" s="285">
        <f>SUMIF('Pre- and Production'!$T$4:$T$532, CONCATENATE(LEFT('WBS Summary by Year'!E$6,1),'WBS Summary by Year'!$C127,'WBS Summary by Year'!$B$124),'Pre- and Production'!AM$4:AM$532)</f>
        <v>0</v>
      </c>
      <c r="F127" s="277">
        <f>SUMIF('Pre- and Production'!$T$4:$T$532, CONCATENATE(LEFT('WBS Summary by Year'!F$6,1),'WBS Summary by Year'!$C127,'WBS Summary by Year'!$B$124),'Pre- and Production'!AD$4:AD$532)</f>
        <v>0</v>
      </c>
      <c r="G127" s="278">
        <f>SUMIF('Pre- and Production'!$T$4:$T$532, CONCATENATE(LEFT('WBS Summary by Year'!G$6,1),'WBS Summary by Year'!$C127,'WBS Summary by Year'!$B$124),'Pre- and Production'!AN$4:AN$532)</f>
        <v>0</v>
      </c>
      <c r="H127" s="289">
        <f>SUMIF('Pre- and Production'!$T$4:$T$532, CONCATENATE(LEFT('WBS Summary by Year'!H$6,1),'WBS Summary by Year'!$C127,'WBS Summary by Year'!$B$124),'Pre- and Production'!AE$4:AE$532)</f>
        <v>0</v>
      </c>
      <c r="I127" s="285">
        <f>SUMIF('Pre- and Production'!$T$4:$T$532, CONCATENATE(LEFT('WBS Summary by Year'!I$6,1),'WBS Summary by Year'!$C127,'WBS Summary by Year'!$B$124),'Pre- and Production'!AO$4:AO$532)</f>
        <v>0</v>
      </c>
      <c r="J127" s="277">
        <f>SUMIF('Pre- and Production'!$T$4:$T$532, CONCATENATE(LEFT('WBS Summary by Year'!J$6,1),'WBS Summary by Year'!$C127,'WBS Summary by Year'!$B$124),'Pre- and Production'!AF$4:AFI$532)</f>
        <v>0</v>
      </c>
      <c r="K127" s="278">
        <f>SUMIF('Pre- and Production'!$T$4:$T$532, CONCATENATE(LEFT('WBS Summary by Year'!K$6,1),'WBS Summary by Year'!$C127,'WBS Summary by Year'!$B$124),'Pre- and Production'!AP$4:AP$532)</f>
        <v>0</v>
      </c>
      <c r="L127" s="289">
        <f>SUMIF('Pre- and Production'!$T$4:$T$532, CONCATENATE(LEFT('WBS Summary by Year'!L$6,1),'WBS Summary by Year'!$C127,'WBS Summary by Year'!$B$124),'Pre- and Production'!AG$4:AG$532)</f>
        <v>0</v>
      </c>
      <c r="M127" s="285">
        <f>SUMIF('Pre- and Production'!$T$4:$T$532, CONCATENATE(LEFT('WBS Summary by Year'!M$6,1),'WBS Summary by Year'!$C127,'WBS Summary by Year'!$B$124),'Pre- and Production'!AQ$4:AQ$532)</f>
        <v>0</v>
      </c>
      <c r="N127" s="296">
        <f>SUMIF('Pre- and Production'!$T$4:$T$532, CONCATENATE(LEFT('WBS Summary by Year'!N$6,1),'WBS Summary by Year'!$C127,'WBS Summary by Year'!$B$124),'Pre- and Production'!AH$4:AH$532)</f>
        <v>0</v>
      </c>
      <c r="O127" s="297">
        <f>SUMIF('Pre- and Production'!$T$4:$T$532, CONCATENATE(LEFT('WBS Summary by Year'!O$6,1),'WBS Summary by Year'!$C127,'WBS Summary by Year'!$B$124),'Pre- and Production'!AR$4:AR$532)</f>
        <v>0</v>
      </c>
    </row>
    <row r="128" spans="2:15" s="302" customFormat="1">
      <c r="C128" s="9" t="s">
        <v>195</v>
      </c>
      <c r="D128" s="26">
        <f>SUMIF('Pre- and Production'!$T$4:$T$532, CONCATENATE(LEFT('WBS Summary by Year'!D$6,1),'WBS Summary by Year'!$C128,'WBS Summary by Year'!$B$124),'Pre- and Production'!AC$4:AC$532)</f>
        <v>0</v>
      </c>
      <c r="E128" s="286">
        <f>SUMIF('Pre- and Production'!$T$4:$T$532, CONCATENATE(LEFT('WBS Summary by Year'!E$6,1),'WBS Summary by Year'!$C128,'WBS Summary by Year'!$B$124),'Pre- and Production'!AM$4:AM$532)</f>
        <v>0</v>
      </c>
      <c r="F128" s="26">
        <f>SUMIF('Pre- and Production'!$T$4:$T$532, CONCATENATE(LEFT('WBS Summary by Year'!F$6,1),'WBS Summary by Year'!$C128,'WBS Summary by Year'!$B$124),'Pre- and Production'!AD$4:AD$532)</f>
        <v>0</v>
      </c>
      <c r="G128" s="279">
        <f>SUMIF('Pre- and Production'!$T$4:$T$532, CONCATENATE(LEFT('WBS Summary by Year'!G$6,1),'WBS Summary by Year'!$C128,'WBS Summary by Year'!$B$124),'Pre- and Production'!AN$4:AN$532)</f>
        <v>0</v>
      </c>
      <c r="H128" s="290">
        <f>SUMIF('Pre- and Production'!$T$4:$T$532, CONCATENATE(LEFT('WBS Summary by Year'!H$6,1),'WBS Summary by Year'!$C128,'WBS Summary by Year'!$B$124),'Pre- and Production'!AE$4:AE$532)</f>
        <v>0</v>
      </c>
      <c r="I128" s="286">
        <f>SUMIF('Pre- and Production'!$T$4:$T$532, CONCATENATE(LEFT('WBS Summary by Year'!I$6,1),'WBS Summary by Year'!$C128,'WBS Summary by Year'!$B$124),'Pre- and Production'!AO$4:AO$532)</f>
        <v>0</v>
      </c>
      <c r="J128" s="26">
        <f>SUMIF('Pre- and Production'!$T$4:$T$532, CONCATENATE(LEFT('WBS Summary by Year'!J$6,1),'WBS Summary by Year'!$C128,'WBS Summary by Year'!$B$124),'Pre- and Production'!AF$4:AFI$532)</f>
        <v>0</v>
      </c>
      <c r="K128" s="279">
        <f>SUMIF('Pre- and Production'!$T$4:$T$532, CONCATENATE(LEFT('WBS Summary by Year'!K$6,1),'WBS Summary by Year'!$C128,'WBS Summary by Year'!$B$124),'Pre- and Production'!AP$4:AP$532)</f>
        <v>0</v>
      </c>
      <c r="L128" s="290">
        <f>SUMIF('Pre- and Production'!$T$4:$T$532, CONCATENATE(LEFT('WBS Summary by Year'!L$6,1),'WBS Summary by Year'!$C128,'WBS Summary by Year'!$B$124),'Pre- and Production'!AG$4:AG$532)</f>
        <v>0</v>
      </c>
      <c r="M128" s="286">
        <f>SUMIF('Pre- and Production'!$T$4:$T$532, CONCATENATE(LEFT('WBS Summary by Year'!M$6,1),'WBS Summary by Year'!$C128,'WBS Summary by Year'!$B$124),'Pre- and Production'!AQ$4:AQ$532)</f>
        <v>0</v>
      </c>
      <c r="N128" s="298">
        <f>SUMIF('Pre- and Production'!$T$4:$T$532, CONCATENATE(LEFT('WBS Summary by Year'!N$6,1),'WBS Summary by Year'!$C128,'WBS Summary by Year'!$B$124),'Pre- and Production'!AH$4:AH$532)</f>
        <v>0</v>
      </c>
      <c r="O128" s="299">
        <f>SUMIF('Pre- and Production'!$T$4:$T$532, CONCATENATE(LEFT('WBS Summary by Year'!O$6,1),'WBS Summary by Year'!$C128,'WBS Summary by Year'!$B$124),'Pre- and Production'!AR$4:AR$532)</f>
        <v>0</v>
      </c>
    </row>
    <row r="129" spans="3:15" s="302" customFormat="1">
      <c r="C129" s="9" t="s">
        <v>198</v>
      </c>
      <c r="D129" s="26">
        <f>SUMIF('Pre- and Production'!$T$4:$T$532, CONCATENATE(LEFT('WBS Summary by Year'!D$6,1),'WBS Summary by Year'!$C129,'WBS Summary by Year'!$B$124),'Pre- and Production'!AC$4:AC$532)</f>
        <v>0</v>
      </c>
      <c r="E129" s="286">
        <f>SUMIF('Pre- and Production'!$T$4:$T$532, CONCATENATE(LEFT('WBS Summary by Year'!E$6,1),'WBS Summary by Year'!$C129,'WBS Summary by Year'!$B$124),'Pre- and Production'!AM$4:AM$532)</f>
        <v>0</v>
      </c>
      <c r="F129" s="26">
        <f>SUMIF('Pre- and Production'!$T$4:$T$532, CONCATENATE(LEFT('WBS Summary by Year'!F$6,1),'WBS Summary by Year'!$C129,'WBS Summary by Year'!$B$124),'Pre- and Production'!AD$4:AD$532)</f>
        <v>0</v>
      </c>
      <c r="G129" s="279">
        <f>SUMIF('Pre- and Production'!$T$4:$T$532, CONCATENATE(LEFT('WBS Summary by Year'!G$6,1),'WBS Summary by Year'!$C129,'WBS Summary by Year'!$B$124),'Pre- and Production'!AN$4:AN$532)</f>
        <v>0</v>
      </c>
      <c r="H129" s="290">
        <f>SUMIF('Pre- and Production'!$T$4:$T$532, CONCATENATE(LEFT('WBS Summary by Year'!H$6,1),'WBS Summary by Year'!$C129,'WBS Summary by Year'!$B$124),'Pre- and Production'!AE$4:AE$532)</f>
        <v>0</v>
      </c>
      <c r="I129" s="286">
        <f>SUMIF('Pre- and Production'!$T$4:$T$532, CONCATENATE(LEFT('WBS Summary by Year'!I$6,1),'WBS Summary by Year'!$C129,'WBS Summary by Year'!$B$124),'Pre- and Production'!AO$4:AO$532)</f>
        <v>0</v>
      </c>
      <c r="J129" s="26">
        <f>SUMIF('Pre- and Production'!$T$4:$T$532, CONCATENATE(LEFT('WBS Summary by Year'!J$6,1),'WBS Summary by Year'!$C129,'WBS Summary by Year'!$B$124),'Pre- and Production'!AF$4:AFI$532)</f>
        <v>0</v>
      </c>
      <c r="K129" s="279">
        <f>SUMIF('Pre- and Production'!$T$4:$T$532, CONCATENATE(LEFT('WBS Summary by Year'!K$6,1),'WBS Summary by Year'!$C129,'WBS Summary by Year'!$B$124),'Pre- and Production'!AP$4:AP$532)</f>
        <v>0</v>
      </c>
      <c r="L129" s="290">
        <f>SUMIF('Pre- and Production'!$T$4:$T$532, CONCATENATE(LEFT('WBS Summary by Year'!L$6,1),'WBS Summary by Year'!$C129,'WBS Summary by Year'!$B$124),'Pre- and Production'!AG$4:AG$532)</f>
        <v>0</v>
      </c>
      <c r="M129" s="286">
        <f>SUMIF('Pre- and Production'!$T$4:$T$532, CONCATENATE(LEFT('WBS Summary by Year'!M$6,1),'WBS Summary by Year'!$C129,'WBS Summary by Year'!$B$124),'Pre- and Production'!AQ$4:AQ$532)</f>
        <v>0</v>
      </c>
      <c r="N129" s="298">
        <f>SUMIF('Pre- and Production'!$T$4:$T$532, CONCATENATE(LEFT('WBS Summary by Year'!N$6,1),'WBS Summary by Year'!$C129,'WBS Summary by Year'!$B$124),'Pre- and Production'!AH$4:AH$532)</f>
        <v>0</v>
      </c>
      <c r="O129" s="299">
        <f>SUMIF('Pre- and Production'!$T$4:$T$532, CONCATENATE(LEFT('WBS Summary by Year'!O$6,1),'WBS Summary by Year'!$C129,'WBS Summary by Year'!$B$124),'Pre- and Production'!AR$4:AR$532)</f>
        <v>0</v>
      </c>
    </row>
    <row r="130" spans="3:15" s="302" customFormat="1">
      <c r="C130" s="9" t="s">
        <v>200</v>
      </c>
      <c r="D130" s="26">
        <f>SUMIF('Pre- and Production'!$T$4:$T$532, CONCATENATE(LEFT('WBS Summary by Year'!D$6,1),'WBS Summary by Year'!$C130,'WBS Summary by Year'!$B$124),'Pre- and Production'!AC$4:AC$532)</f>
        <v>0</v>
      </c>
      <c r="E130" s="286">
        <f>SUMIF('Pre- and Production'!$T$4:$T$532, CONCATENATE(LEFT('WBS Summary by Year'!E$6,1),'WBS Summary by Year'!$C130,'WBS Summary by Year'!$B$124),'Pre- and Production'!AM$4:AM$532)</f>
        <v>0</v>
      </c>
      <c r="F130" s="26">
        <f>SUMIF('Pre- and Production'!$T$4:$T$532, CONCATENATE(LEFT('WBS Summary by Year'!F$6,1),'WBS Summary by Year'!$C130,'WBS Summary by Year'!$B$124),'Pre- and Production'!AD$4:AD$532)</f>
        <v>0</v>
      </c>
      <c r="G130" s="279">
        <f>SUMIF('Pre- and Production'!$T$4:$T$532, CONCATENATE(LEFT('WBS Summary by Year'!G$6,1),'WBS Summary by Year'!$C130,'WBS Summary by Year'!$B$124),'Pre- and Production'!AN$4:AN$532)</f>
        <v>0</v>
      </c>
      <c r="H130" s="290">
        <f>SUMIF('Pre- and Production'!$T$4:$T$532, CONCATENATE(LEFT('WBS Summary by Year'!H$6,1),'WBS Summary by Year'!$C130,'WBS Summary by Year'!$B$124),'Pre- and Production'!AE$4:AE$532)</f>
        <v>0</v>
      </c>
      <c r="I130" s="286">
        <f>SUMIF('Pre- and Production'!$T$4:$T$532, CONCATENATE(LEFT('WBS Summary by Year'!I$6,1),'WBS Summary by Year'!$C130,'WBS Summary by Year'!$B$124),'Pre- and Production'!AO$4:AO$532)</f>
        <v>0</v>
      </c>
      <c r="J130" s="26">
        <f>SUMIF('Pre- and Production'!$T$4:$T$532, CONCATENATE(LEFT('WBS Summary by Year'!J$6,1),'WBS Summary by Year'!$C130,'WBS Summary by Year'!$B$124),'Pre- and Production'!AF$4:AFI$532)</f>
        <v>0</v>
      </c>
      <c r="K130" s="279">
        <f>SUMIF('Pre- and Production'!$T$4:$T$532, CONCATENATE(LEFT('WBS Summary by Year'!K$6,1),'WBS Summary by Year'!$C130,'WBS Summary by Year'!$B$124),'Pre- and Production'!AP$4:AP$532)</f>
        <v>0</v>
      </c>
      <c r="L130" s="290">
        <f>SUMIF('Pre- and Production'!$T$4:$T$532, CONCATENATE(LEFT('WBS Summary by Year'!L$6,1),'WBS Summary by Year'!$C130,'WBS Summary by Year'!$B$124),'Pre- and Production'!AG$4:AG$532)</f>
        <v>0</v>
      </c>
      <c r="M130" s="286">
        <f>SUMIF('Pre- and Production'!$T$4:$T$532, CONCATENATE(LEFT('WBS Summary by Year'!M$6,1),'WBS Summary by Year'!$C130,'WBS Summary by Year'!$B$124),'Pre- and Production'!AQ$4:AQ$532)</f>
        <v>0</v>
      </c>
      <c r="N130" s="298">
        <f>SUMIF('Pre- and Production'!$T$4:$T$532, CONCATENATE(LEFT('WBS Summary by Year'!N$6,1),'WBS Summary by Year'!$C130,'WBS Summary by Year'!$B$124),'Pre- and Production'!AH$4:AH$532)</f>
        <v>0</v>
      </c>
      <c r="O130" s="299">
        <f>SUMIF('Pre- and Production'!$T$4:$T$532, CONCATENATE(LEFT('WBS Summary by Year'!O$6,1),'WBS Summary by Year'!$C130,'WBS Summary by Year'!$B$124),'Pre- and Production'!AR$4:AR$532)</f>
        <v>0</v>
      </c>
    </row>
    <row r="131" spans="3:15" s="302" customFormat="1">
      <c r="C131" s="9" t="s">
        <v>202</v>
      </c>
      <c r="D131" s="26">
        <f>SUMIF('Pre- and Production'!$T$4:$T$532, CONCATENATE(LEFT('WBS Summary by Year'!D$6,1),'WBS Summary by Year'!$C131,'WBS Summary by Year'!$B$124),'Pre- and Production'!AC$4:AC$532)</f>
        <v>4</v>
      </c>
      <c r="E131" s="286">
        <f>SUMIF('Pre- and Production'!$T$4:$T$532, CONCATENATE(LEFT('WBS Summary by Year'!E$6,1),'WBS Summary by Year'!$C131,'WBS Summary by Year'!$B$124),'Pre- and Production'!AM$4:AM$532)</f>
        <v>0</v>
      </c>
      <c r="F131" s="26">
        <f>SUMIF('Pre- and Production'!$T$4:$T$532, CONCATENATE(LEFT('WBS Summary by Year'!F$6,1),'WBS Summary by Year'!$C131,'WBS Summary by Year'!$B$124),'Pre- and Production'!AD$4:AD$532)</f>
        <v>13</v>
      </c>
      <c r="G131" s="279">
        <f>SUMIF('Pre- and Production'!$T$4:$T$532, CONCATENATE(LEFT('WBS Summary by Year'!G$6,1),'WBS Summary by Year'!$C131,'WBS Summary by Year'!$B$124),'Pre- and Production'!AN$4:AN$532)</f>
        <v>0</v>
      </c>
      <c r="H131" s="290">
        <f>SUMIF('Pre- and Production'!$T$4:$T$532, CONCATENATE(LEFT('WBS Summary by Year'!H$6,1),'WBS Summary by Year'!$C131,'WBS Summary by Year'!$B$124),'Pre- and Production'!AE$4:AE$532)</f>
        <v>0</v>
      </c>
      <c r="I131" s="286">
        <f>SUMIF('Pre- and Production'!$T$4:$T$532, CONCATENATE(LEFT('WBS Summary by Year'!I$6,1),'WBS Summary by Year'!$C131,'WBS Summary by Year'!$B$124),'Pre- and Production'!AO$4:AO$532)</f>
        <v>0</v>
      </c>
      <c r="J131" s="26">
        <f>SUMIF('Pre- and Production'!$T$4:$T$532, CONCATENATE(LEFT('WBS Summary by Year'!J$6,1),'WBS Summary by Year'!$C131,'WBS Summary by Year'!$B$124),'Pre- and Production'!AF$4:AFI$532)</f>
        <v>0</v>
      </c>
      <c r="K131" s="279">
        <f>SUMIF('Pre- and Production'!$T$4:$T$532, CONCATENATE(LEFT('WBS Summary by Year'!K$6,1),'WBS Summary by Year'!$C131,'WBS Summary by Year'!$B$124),'Pre- and Production'!AP$4:AP$532)</f>
        <v>0</v>
      </c>
      <c r="L131" s="290">
        <f>SUMIF('Pre- and Production'!$T$4:$T$532, CONCATENATE(LEFT('WBS Summary by Year'!L$6,1),'WBS Summary by Year'!$C131,'WBS Summary by Year'!$B$124),'Pre- and Production'!AG$4:AG$532)</f>
        <v>0</v>
      </c>
      <c r="M131" s="286">
        <f>SUMIF('Pre- and Production'!$T$4:$T$532, CONCATENATE(LEFT('WBS Summary by Year'!M$6,1),'WBS Summary by Year'!$C131,'WBS Summary by Year'!$B$124),'Pre- and Production'!AQ$4:AQ$532)</f>
        <v>0</v>
      </c>
      <c r="N131" s="298">
        <f>SUMIF('Pre- and Production'!$T$4:$T$532, CONCATENATE(LEFT('WBS Summary by Year'!N$6,1),'WBS Summary by Year'!$C131,'WBS Summary by Year'!$B$124),'Pre- and Production'!AH$4:AH$532)</f>
        <v>1855</v>
      </c>
      <c r="O131" s="299">
        <f>SUMIF('Pre- and Production'!$T$4:$T$532, CONCATENATE(LEFT('WBS Summary by Year'!O$6,1),'WBS Summary by Year'!$C131,'WBS Summary by Year'!$B$124),'Pre- and Production'!AR$4:AR$532)</f>
        <v>0</v>
      </c>
    </row>
    <row r="132" spans="3:15" s="302" customFormat="1">
      <c r="C132" s="9" t="s">
        <v>204</v>
      </c>
      <c r="D132" s="26">
        <f>SUMIF('Pre- and Production'!$T$4:$T$532, CONCATENATE(LEFT('WBS Summary by Year'!D$6,1),'WBS Summary by Year'!$C132,'WBS Summary by Year'!$B$124),'Pre- and Production'!AC$4:AC$532)</f>
        <v>10</v>
      </c>
      <c r="E132" s="286">
        <f>SUMIF('Pre- and Production'!$T$4:$T$532, CONCATENATE(LEFT('WBS Summary by Year'!E$6,1),'WBS Summary by Year'!$C132,'WBS Summary by Year'!$B$124),'Pre- and Production'!AM$4:AM$532)</f>
        <v>4</v>
      </c>
      <c r="F132" s="26">
        <f>SUMIF('Pre- and Production'!$T$4:$T$532, CONCATENATE(LEFT('WBS Summary by Year'!F$6,1),'WBS Summary by Year'!$C132,'WBS Summary by Year'!$B$124),'Pre- and Production'!AD$4:AD$532)</f>
        <v>244</v>
      </c>
      <c r="G132" s="279">
        <f>SUMIF('Pre- and Production'!$T$4:$T$532, CONCATENATE(LEFT('WBS Summary by Year'!G$6,1),'WBS Summary by Year'!$C132,'WBS Summary by Year'!$B$124),'Pre- and Production'!AN$4:AN$532)</f>
        <v>108</v>
      </c>
      <c r="H132" s="290">
        <f>SUMIF('Pre- and Production'!$T$4:$T$532, CONCATENATE(LEFT('WBS Summary by Year'!H$6,1),'WBS Summary by Year'!$C132,'WBS Summary by Year'!$B$124),'Pre- and Production'!AE$4:AE$532)</f>
        <v>24</v>
      </c>
      <c r="I132" s="286">
        <f>SUMIF('Pre- and Production'!$T$4:$T$532, CONCATENATE(LEFT('WBS Summary by Year'!I$6,1),'WBS Summary by Year'!$C132,'WBS Summary by Year'!$B$124),'Pre- and Production'!AO$4:AO$532)</f>
        <v>0</v>
      </c>
      <c r="J132" s="26">
        <f>SUMIF('Pre- and Production'!$T$4:$T$532, CONCATENATE(LEFT('WBS Summary by Year'!J$6,1),'WBS Summary by Year'!$C132,'WBS Summary by Year'!$B$124),'Pre- and Production'!AF$4:AFI$532)</f>
        <v>64</v>
      </c>
      <c r="K132" s="279">
        <f>SUMIF('Pre- and Production'!$T$4:$T$532, CONCATENATE(LEFT('WBS Summary by Year'!K$6,1),'WBS Summary by Year'!$C132,'WBS Summary by Year'!$B$124),'Pre- and Production'!AP$4:AP$532)</f>
        <v>28</v>
      </c>
      <c r="L132" s="290">
        <f>SUMIF('Pre- and Production'!$T$4:$T$532, CONCATENATE(LEFT('WBS Summary by Year'!L$6,1),'WBS Summary by Year'!$C132,'WBS Summary by Year'!$B$124),'Pre- and Production'!AG$4:AG$532)</f>
        <v>0</v>
      </c>
      <c r="M132" s="286">
        <f>SUMIF('Pre- and Production'!$T$4:$T$532, CONCATENATE(LEFT('WBS Summary by Year'!M$6,1),'WBS Summary by Year'!$C132,'WBS Summary by Year'!$B$124),'Pre- and Production'!AQ$4:AQ$532)</f>
        <v>0</v>
      </c>
      <c r="N132" s="298">
        <f>SUMIF('Pre- and Production'!$T$4:$T$532, CONCATENATE(LEFT('WBS Summary by Year'!N$6,1),'WBS Summary by Year'!$C132,'WBS Summary by Year'!$B$124),'Pre- and Production'!AH$4:AH$532)</f>
        <v>3850</v>
      </c>
      <c r="O132" s="299">
        <f>SUMIF('Pre- and Production'!$T$4:$T$532, CONCATENATE(LEFT('WBS Summary by Year'!O$6,1),'WBS Summary by Year'!$C132,'WBS Summary by Year'!$B$124),'Pre- and Production'!AR$4:AR$532)</f>
        <v>420</v>
      </c>
    </row>
    <row r="133" spans="3:15" s="302" customFormat="1">
      <c r="C133" s="9" t="s">
        <v>206</v>
      </c>
      <c r="D133" s="26">
        <f>SUMIF('Pre- and Production'!$T$4:$T$532, CONCATENATE(LEFT('WBS Summary by Year'!D$6,1),'WBS Summary by Year'!$C133,'WBS Summary by Year'!$B$124),'Pre- and Production'!AC$4:AC$532)</f>
        <v>0</v>
      </c>
      <c r="E133" s="286">
        <f>SUMIF('Pre- and Production'!$T$4:$T$532, CONCATENATE(LEFT('WBS Summary by Year'!E$6,1),'WBS Summary by Year'!$C133,'WBS Summary by Year'!$B$124),'Pre- and Production'!AM$4:AM$532)</f>
        <v>0</v>
      </c>
      <c r="F133" s="26">
        <f>SUMIF('Pre- and Production'!$T$4:$T$532, CONCATENATE(LEFT('WBS Summary by Year'!F$6,1),'WBS Summary by Year'!$C133,'WBS Summary by Year'!$B$124),'Pre- and Production'!AD$4:AD$532)</f>
        <v>0</v>
      </c>
      <c r="G133" s="279">
        <f>SUMIF('Pre- and Production'!$T$4:$T$532, CONCATENATE(LEFT('WBS Summary by Year'!G$6,1),'WBS Summary by Year'!$C133,'WBS Summary by Year'!$B$124),'Pre- and Production'!AN$4:AN$532)</f>
        <v>0</v>
      </c>
      <c r="H133" s="290">
        <f>SUMIF('Pre- and Production'!$T$4:$T$532, CONCATENATE(LEFT('WBS Summary by Year'!H$6,1),'WBS Summary by Year'!$C133,'WBS Summary by Year'!$B$124),'Pre- and Production'!AE$4:AE$532)</f>
        <v>0</v>
      </c>
      <c r="I133" s="286">
        <f>SUMIF('Pre- and Production'!$T$4:$T$532, CONCATENATE(LEFT('WBS Summary by Year'!I$6,1),'WBS Summary by Year'!$C133,'WBS Summary by Year'!$B$124),'Pre- and Production'!AO$4:AO$532)</f>
        <v>0</v>
      </c>
      <c r="J133" s="26">
        <f>SUMIF('Pre- and Production'!$T$4:$T$532, CONCATENATE(LEFT('WBS Summary by Year'!J$6,1),'WBS Summary by Year'!$C133,'WBS Summary by Year'!$B$124),'Pre- and Production'!AF$4:AFI$532)</f>
        <v>0</v>
      </c>
      <c r="K133" s="279">
        <f>SUMIF('Pre- and Production'!$T$4:$T$532, CONCATENATE(LEFT('WBS Summary by Year'!K$6,1),'WBS Summary by Year'!$C133,'WBS Summary by Year'!$B$124),'Pre- and Production'!AP$4:AP$532)</f>
        <v>0</v>
      </c>
      <c r="L133" s="290">
        <f>SUMIF('Pre- and Production'!$T$4:$T$532, CONCATENATE(LEFT('WBS Summary by Year'!L$6,1),'WBS Summary by Year'!$C133,'WBS Summary by Year'!$B$124),'Pre- and Production'!AG$4:AG$532)</f>
        <v>0</v>
      </c>
      <c r="M133" s="286">
        <f>SUMIF('Pre- and Production'!$T$4:$T$532, CONCATENATE(LEFT('WBS Summary by Year'!M$6,1),'WBS Summary by Year'!$C133,'WBS Summary by Year'!$B$124),'Pre- and Production'!AQ$4:AQ$532)</f>
        <v>0</v>
      </c>
      <c r="N133" s="298">
        <f>SUMIF('Pre- and Production'!$T$4:$T$532, CONCATENATE(LEFT('WBS Summary by Year'!N$6,1),'WBS Summary by Year'!$C133,'WBS Summary by Year'!$B$124),'Pre- and Production'!AH$4:AH$532)</f>
        <v>0</v>
      </c>
      <c r="O133" s="299">
        <f>SUMIF('Pre- and Production'!$T$4:$T$532, CONCATENATE(LEFT('WBS Summary by Year'!O$6,1),'WBS Summary by Year'!$C133,'WBS Summary by Year'!$B$124),'Pre- and Production'!AR$4:AR$532)</f>
        <v>0</v>
      </c>
    </row>
    <row r="134" spans="3:15" s="302" customFormat="1">
      <c r="C134" s="9" t="s">
        <v>208</v>
      </c>
      <c r="D134" s="26">
        <f>SUMIF('Pre- and Production'!$T$4:$T$532, CONCATENATE(LEFT('WBS Summary by Year'!D$6,1),'WBS Summary by Year'!$C134,'WBS Summary by Year'!$B$124),'Pre- and Production'!AC$4:AC$532)</f>
        <v>8</v>
      </c>
      <c r="E134" s="286">
        <f>SUMIF('Pre- and Production'!$T$4:$T$532, CONCATENATE(LEFT('WBS Summary by Year'!E$6,1),'WBS Summary by Year'!$C134,'WBS Summary by Year'!$B$124),'Pre- and Production'!AM$4:AM$532)</f>
        <v>0</v>
      </c>
      <c r="F134" s="26">
        <f>SUMIF('Pre- and Production'!$T$4:$T$532, CONCATENATE(LEFT('WBS Summary by Year'!F$6,1),'WBS Summary by Year'!$C134,'WBS Summary by Year'!$B$124),'Pre- and Production'!AD$4:AD$532)</f>
        <v>61</v>
      </c>
      <c r="G134" s="279">
        <f>SUMIF('Pre- and Production'!$T$4:$T$532, CONCATENATE(LEFT('WBS Summary by Year'!G$6,1),'WBS Summary by Year'!$C134,'WBS Summary by Year'!$B$124),'Pre- and Production'!AN$4:AN$532)</f>
        <v>46</v>
      </c>
      <c r="H134" s="290">
        <f>SUMIF('Pre- and Production'!$T$4:$T$532, CONCATENATE(LEFT('WBS Summary by Year'!H$6,1),'WBS Summary by Year'!$C134,'WBS Summary by Year'!$B$124),'Pre- and Production'!AE$4:AE$532)</f>
        <v>0</v>
      </c>
      <c r="I134" s="286">
        <f>SUMIF('Pre- and Production'!$T$4:$T$532, CONCATENATE(LEFT('WBS Summary by Year'!I$6,1),'WBS Summary by Year'!$C134,'WBS Summary by Year'!$B$124),'Pre- and Production'!AO$4:AO$532)</f>
        <v>0</v>
      </c>
      <c r="J134" s="26">
        <f>SUMIF('Pre- and Production'!$T$4:$T$532, CONCATENATE(LEFT('WBS Summary by Year'!J$6,1),'WBS Summary by Year'!$C134,'WBS Summary by Year'!$B$124),'Pre- and Production'!AF$4:AFI$532)</f>
        <v>20</v>
      </c>
      <c r="K134" s="279">
        <f>SUMIF('Pre- and Production'!$T$4:$T$532, CONCATENATE(LEFT('WBS Summary by Year'!K$6,1),'WBS Summary by Year'!$C134,'WBS Summary by Year'!$B$124),'Pre- and Production'!AP$4:AP$532)</f>
        <v>31</v>
      </c>
      <c r="L134" s="290">
        <f>SUMIF('Pre- and Production'!$T$4:$T$532, CONCATENATE(LEFT('WBS Summary by Year'!L$6,1),'WBS Summary by Year'!$C134,'WBS Summary by Year'!$B$124),'Pre- and Production'!AG$4:AG$532)</f>
        <v>0</v>
      </c>
      <c r="M134" s="286">
        <f>SUMIF('Pre- and Production'!$T$4:$T$532, CONCATENATE(LEFT('WBS Summary by Year'!M$6,1),'WBS Summary by Year'!$C134,'WBS Summary by Year'!$B$124),'Pre- and Production'!AQ$4:AQ$532)</f>
        <v>0</v>
      </c>
      <c r="N134" s="298">
        <f>SUMIF('Pre- and Production'!$T$4:$T$532, CONCATENATE(LEFT('WBS Summary by Year'!N$6,1),'WBS Summary by Year'!$C134,'WBS Summary by Year'!$B$124),'Pre- and Production'!AH$4:AH$532)</f>
        <v>74345</v>
      </c>
      <c r="O134" s="299">
        <f>SUMIF('Pre- and Production'!$T$4:$T$532, CONCATENATE(LEFT('WBS Summary by Year'!O$6,1),'WBS Summary by Year'!$C134,'WBS Summary by Year'!$B$124),'Pre- and Production'!AR$4:AR$532)</f>
        <v>109937.5</v>
      </c>
    </row>
    <row r="135" spans="3:15" s="302" customFormat="1">
      <c r="C135" s="9" t="s">
        <v>214</v>
      </c>
      <c r="D135" s="26">
        <f>SUMIF('Pre- and Production'!$T$4:$T$532, CONCATENATE(LEFT('WBS Summary by Year'!D$6,1),'WBS Summary by Year'!$C135,'WBS Summary by Year'!$B$124),'Pre- and Production'!AC$4:AC$532)</f>
        <v>178</v>
      </c>
      <c r="E135" s="286">
        <f>SUMIF('Pre- and Production'!$T$4:$T$532, CONCATENATE(LEFT('WBS Summary by Year'!E$6,1),'WBS Summary by Year'!$C135,'WBS Summary by Year'!$B$124),'Pre- and Production'!AM$4:AM$532)</f>
        <v>62</v>
      </c>
      <c r="F135" s="26">
        <f>SUMIF('Pre- and Production'!$T$4:$T$532, CONCATENATE(LEFT('WBS Summary by Year'!F$6,1),'WBS Summary by Year'!$C135,'WBS Summary by Year'!$B$124),'Pre- and Production'!AD$4:AD$532)</f>
        <v>364</v>
      </c>
      <c r="G135" s="279">
        <f>SUMIF('Pre- and Production'!$T$4:$T$532, CONCATENATE(LEFT('WBS Summary by Year'!G$6,1),'WBS Summary by Year'!$C135,'WBS Summary by Year'!$B$124),'Pre- and Production'!AN$4:AN$532)</f>
        <v>246</v>
      </c>
      <c r="H135" s="290">
        <f>SUMIF('Pre- and Production'!$T$4:$T$532, CONCATENATE(LEFT('WBS Summary by Year'!H$6,1),'WBS Summary by Year'!$C135,'WBS Summary by Year'!$B$124),'Pre- and Production'!AE$4:AE$532)</f>
        <v>16</v>
      </c>
      <c r="I135" s="286">
        <f>SUMIF('Pre- and Production'!$T$4:$T$532, CONCATENATE(LEFT('WBS Summary by Year'!I$6,1),'WBS Summary by Year'!$C135,'WBS Summary by Year'!$B$124),'Pre- and Production'!AO$4:AO$532)</f>
        <v>8</v>
      </c>
      <c r="J135" s="26">
        <f>SUMIF('Pre- and Production'!$T$4:$T$532, CONCATENATE(LEFT('WBS Summary by Year'!J$6,1),'WBS Summary by Year'!$C135,'WBS Summary by Year'!$B$124),'Pre- and Production'!AF$4:AFI$532)</f>
        <v>116</v>
      </c>
      <c r="K135" s="279">
        <f>SUMIF('Pre- and Production'!$T$4:$T$532, CONCATENATE(LEFT('WBS Summary by Year'!K$6,1),'WBS Summary by Year'!$C135,'WBS Summary by Year'!$B$124),'Pre- and Production'!AP$4:AP$532)</f>
        <v>74</v>
      </c>
      <c r="L135" s="290">
        <f>SUMIF('Pre- and Production'!$T$4:$T$532, CONCATENATE(LEFT('WBS Summary by Year'!L$6,1),'WBS Summary by Year'!$C135,'WBS Summary by Year'!$B$124),'Pre- and Production'!AG$4:AG$532)</f>
        <v>0</v>
      </c>
      <c r="M135" s="286">
        <f>SUMIF('Pre- and Production'!$T$4:$T$532, CONCATENATE(LEFT('WBS Summary by Year'!M$6,1),'WBS Summary by Year'!$C135,'WBS Summary by Year'!$B$124),'Pre- and Production'!AQ$4:AQ$532)</f>
        <v>0</v>
      </c>
      <c r="N135" s="298">
        <f>SUMIF('Pre- and Production'!$T$4:$T$532, CONCATENATE(LEFT('WBS Summary by Year'!N$6,1),'WBS Summary by Year'!$C135,'WBS Summary by Year'!$B$124),'Pre- and Production'!AH$4:AH$532)</f>
        <v>7690</v>
      </c>
      <c r="O135" s="299">
        <f>SUMIF('Pre- and Production'!$T$4:$T$532, CONCATENATE(LEFT('WBS Summary by Year'!O$6,1),'WBS Summary by Year'!$C135,'WBS Summary by Year'!$B$124),'Pre- and Production'!AR$4:AR$532)</f>
        <v>4120</v>
      </c>
    </row>
    <row r="136" spans="3:15" s="302" customFormat="1">
      <c r="C136" s="9" t="s">
        <v>215</v>
      </c>
      <c r="D136" s="26">
        <f>SUMIF('Pre- and Production'!$T$4:$T$532, CONCATENATE(LEFT('WBS Summary by Year'!D$6,1),'WBS Summary by Year'!$C136,'WBS Summary by Year'!$B$124),'Pre- and Production'!AC$4:AC$532)</f>
        <v>0</v>
      </c>
      <c r="E136" s="286">
        <f>SUMIF('Pre- and Production'!$T$4:$T$532, CONCATENATE(LEFT('WBS Summary by Year'!E$6,1),'WBS Summary by Year'!$C136,'WBS Summary by Year'!$B$124),'Pre- and Production'!AM$4:AM$532)</f>
        <v>0</v>
      </c>
      <c r="F136" s="26">
        <f>SUMIF('Pre- and Production'!$T$4:$T$532, CONCATENATE(LEFT('WBS Summary by Year'!F$6,1),'WBS Summary by Year'!$C136,'WBS Summary by Year'!$B$124),'Pre- and Production'!AD$4:AD$532)</f>
        <v>0</v>
      </c>
      <c r="G136" s="279">
        <f>SUMIF('Pre- and Production'!$T$4:$T$532, CONCATENATE(LEFT('WBS Summary by Year'!G$6,1),'WBS Summary by Year'!$C136,'WBS Summary by Year'!$B$124),'Pre- and Production'!AN$4:AN$532)</f>
        <v>0</v>
      </c>
      <c r="H136" s="290">
        <f>SUMIF('Pre- and Production'!$T$4:$T$532, CONCATENATE(LEFT('WBS Summary by Year'!H$6,1),'WBS Summary by Year'!$C136,'WBS Summary by Year'!$B$124),'Pre- and Production'!AE$4:AE$532)</f>
        <v>0</v>
      </c>
      <c r="I136" s="286">
        <f>SUMIF('Pre- and Production'!$T$4:$T$532, CONCATENATE(LEFT('WBS Summary by Year'!I$6,1),'WBS Summary by Year'!$C136,'WBS Summary by Year'!$B$124),'Pre- and Production'!AO$4:AO$532)</f>
        <v>0</v>
      </c>
      <c r="J136" s="26">
        <f>SUMIF('Pre- and Production'!$T$4:$T$532, CONCATENATE(LEFT('WBS Summary by Year'!J$6,1),'WBS Summary by Year'!$C136,'WBS Summary by Year'!$B$124),'Pre- and Production'!AF$4:AFI$532)</f>
        <v>0</v>
      </c>
      <c r="K136" s="279">
        <f>SUMIF('Pre- and Production'!$T$4:$T$532, CONCATENATE(LEFT('WBS Summary by Year'!K$6,1),'WBS Summary by Year'!$C136,'WBS Summary by Year'!$B$124),'Pre- and Production'!AP$4:AP$532)</f>
        <v>0</v>
      </c>
      <c r="L136" s="290">
        <f>SUMIF('Pre- and Production'!$T$4:$T$532, CONCATENATE(LEFT('WBS Summary by Year'!L$6,1),'WBS Summary by Year'!$C136,'WBS Summary by Year'!$B$124),'Pre- and Production'!AG$4:AG$532)</f>
        <v>0</v>
      </c>
      <c r="M136" s="286">
        <f>SUMIF('Pre- and Production'!$T$4:$T$532, CONCATENATE(LEFT('WBS Summary by Year'!M$6,1),'WBS Summary by Year'!$C136,'WBS Summary by Year'!$B$124),'Pre- and Production'!AQ$4:AQ$532)</f>
        <v>0</v>
      </c>
      <c r="N136" s="298">
        <f>SUMIF('Pre- and Production'!$T$4:$T$532, CONCATENATE(LEFT('WBS Summary by Year'!N$6,1),'WBS Summary by Year'!$C136,'WBS Summary by Year'!$B$124),'Pre- and Production'!AH$4:AH$532)</f>
        <v>0</v>
      </c>
      <c r="O136" s="299">
        <f>SUMIF('Pre- and Production'!$T$4:$T$532, CONCATENATE(LEFT('WBS Summary by Year'!O$6,1),'WBS Summary by Year'!$C136,'WBS Summary by Year'!$B$124),'Pre- and Production'!AR$4:AR$532)</f>
        <v>0</v>
      </c>
    </row>
    <row r="137" spans="3:15" s="302" customFormat="1">
      <c r="C137" s="9" t="s">
        <v>216</v>
      </c>
      <c r="D137" s="26">
        <f>SUMIF('Pre- and Production'!$T$4:$T$532, CONCATENATE(LEFT('WBS Summary by Year'!D$6,1),'WBS Summary by Year'!$C137,'WBS Summary by Year'!$B$124),'Pre- and Production'!AC$4:AC$532)</f>
        <v>0</v>
      </c>
      <c r="E137" s="286">
        <f>SUMIF('Pre- and Production'!$T$4:$T$532, CONCATENATE(LEFT('WBS Summary by Year'!E$6,1),'WBS Summary by Year'!$C137,'WBS Summary by Year'!$B$124),'Pre- and Production'!AM$4:AM$532)</f>
        <v>0</v>
      </c>
      <c r="F137" s="26">
        <f>SUMIF('Pre- and Production'!$T$4:$T$532, CONCATENATE(LEFT('WBS Summary by Year'!F$6,1),'WBS Summary by Year'!$C137,'WBS Summary by Year'!$B$124),'Pre- and Production'!AD$4:AD$532)</f>
        <v>0</v>
      </c>
      <c r="G137" s="279">
        <f>SUMIF('Pre- and Production'!$T$4:$T$532, CONCATENATE(LEFT('WBS Summary by Year'!G$6,1),'WBS Summary by Year'!$C137,'WBS Summary by Year'!$B$124),'Pre- and Production'!AN$4:AN$532)</f>
        <v>0</v>
      </c>
      <c r="H137" s="290">
        <f>SUMIF('Pre- and Production'!$T$4:$T$532, CONCATENATE(LEFT('WBS Summary by Year'!H$6,1),'WBS Summary by Year'!$C137,'WBS Summary by Year'!$B$124),'Pre- and Production'!AE$4:AE$532)</f>
        <v>0</v>
      </c>
      <c r="I137" s="286">
        <f>SUMIF('Pre- and Production'!$T$4:$T$532, CONCATENATE(LEFT('WBS Summary by Year'!I$6,1),'WBS Summary by Year'!$C137,'WBS Summary by Year'!$B$124),'Pre- and Production'!AO$4:AO$532)</f>
        <v>0</v>
      </c>
      <c r="J137" s="26">
        <f>SUMIF('Pre- and Production'!$T$4:$T$532, CONCATENATE(LEFT('WBS Summary by Year'!J$6,1),'WBS Summary by Year'!$C137,'WBS Summary by Year'!$B$124),'Pre- and Production'!AF$4:AFI$532)</f>
        <v>0</v>
      </c>
      <c r="K137" s="279">
        <f>SUMIF('Pre- and Production'!$T$4:$T$532, CONCATENATE(LEFT('WBS Summary by Year'!K$6,1),'WBS Summary by Year'!$C137,'WBS Summary by Year'!$B$124),'Pre- and Production'!AP$4:AP$532)</f>
        <v>0</v>
      </c>
      <c r="L137" s="290">
        <f>SUMIF('Pre- and Production'!$T$4:$T$532, CONCATENATE(LEFT('WBS Summary by Year'!L$6,1),'WBS Summary by Year'!$C137,'WBS Summary by Year'!$B$124),'Pre- and Production'!AG$4:AG$532)</f>
        <v>0</v>
      </c>
      <c r="M137" s="286">
        <f>SUMIF('Pre- and Production'!$T$4:$T$532, CONCATENATE(LEFT('WBS Summary by Year'!M$6,1),'WBS Summary by Year'!$C137,'WBS Summary by Year'!$B$124),'Pre- and Production'!AQ$4:AQ$532)</f>
        <v>0</v>
      </c>
      <c r="N137" s="298">
        <f>SUMIF('Pre- and Production'!$T$4:$T$532, CONCATENATE(LEFT('WBS Summary by Year'!N$6,1),'WBS Summary by Year'!$C137,'WBS Summary by Year'!$B$124),'Pre- and Production'!AH$4:AH$532)</f>
        <v>0</v>
      </c>
      <c r="O137" s="299">
        <f>SUMIF('Pre- and Production'!$T$4:$T$532, CONCATENATE(LEFT('WBS Summary by Year'!O$6,1),'WBS Summary by Year'!$C137,'WBS Summary by Year'!$B$124),'Pre- and Production'!AR$4:AR$532)</f>
        <v>0</v>
      </c>
    </row>
    <row r="138" spans="3:15" s="302" customFormat="1">
      <c r="C138" s="9" t="s">
        <v>217</v>
      </c>
      <c r="D138" s="26">
        <f>SUMIF('Pre- and Production'!$T$4:$T$532, CONCATENATE(LEFT('WBS Summary by Year'!D$6,1),'WBS Summary by Year'!$C138,'WBS Summary by Year'!$B$124),'Pre- and Production'!AC$4:AC$532)</f>
        <v>52</v>
      </c>
      <c r="E138" s="286">
        <f>SUMIF('Pre- and Production'!$T$4:$T$532, CONCATENATE(LEFT('WBS Summary by Year'!E$6,1),'WBS Summary by Year'!$C138,'WBS Summary by Year'!$B$124),'Pre- and Production'!AM$4:AM$532)</f>
        <v>22</v>
      </c>
      <c r="F138" s="26">
        <f>SUMIF('Pre- and Production'!$T$4:$T$532, CONCATENATE(LEFT('WBS Summary by Year'!F$6,1),'WBS Summary by Year'!$C138,'WBS Summary by Year'!$B$124),'Pre- and Production'!AD$4:AD$532)</f>
        <v>224</v>
      </c>
      <c r="G138" s="279">
        <f>SUMIF('Pre- and Production'!$T$4:$T$532, CONCATENATE(LEFT('WBS Summary by Year'!G$6,1),'WBS Summary by Year'!$C138,'WBS Summary by Year'!$B$124),'Pre- and Production'!AN$4:AN$532)</f>
        <v>158</v>
      </c>
      <c r="H138" s="290">
        <f>SUMIF('Pre- and Production'!$T$4:$T$532, CONCATENATE(LEFT('WBS Summary by Year'!H$6,1),'WBS Summary by Year'!$C138,'WBS Summary by Year'!$B$124),'Pre- and Production'!AE$4:AE$532)</f>
        <v>0</v>
      </c>
      <c r="I138" s="286">
        <f>SUMIF('Pre- and Production'!$T$4:$T$532, CONCATENATE(LEFT('WBS Summary by Year'!I$6,1),'WBS Summary by Year'!$C138,'WBS Summary by Year'!$B$124),'Pre- and Production'!AO$4:AO$532)</f>
        <v>0</v>
      </c>
      <c r="J138" s="26">
        <f>SUMIF('Pre- and Production'!$T$4:$T$532, CONCATENATE(LEFT('WBS Summary by Year'!J$6,1),'WBS Summary by Year'!$C138,'WBS Summary by Year'!$B$124),'Pre- and Production'!AF$4:AFI$532)</f>
        <v>76</v>
      </c>
      <c r="K138" s="279">
        <f>SUMIF('Pre- and Production'!$T$4:$T$532, CONCATENATE(LEFT('WBS Summary by Year'!K$6,1),'WBS Summary by Year'!$C138,'WBS Summary by Year'!$B$124),'Pre- and Production'!AP$4:AP$532)</f>
        <v>26</v>
      </c>
      <c r="L138" s="290">
        <f>SUMIF('Pre- and Production'!$T$4:$T$532, CONCATENATE(LEFT('WBS Summary by Year'!L$6,1),'WBS Summary by Year'!$C138,'WBS Summary by Year'!$B$124),'Pre- and Production'!AG$4:AG$532)</f>
        <v>0</v>
      </c>
      <c r="M138" s="286">
        <f>SUMIF('Pre- and Production'!$T$4:$T$532, CONCATENATE(LEFT('WBS Summary by Year'!M$6,1),'WBS Summary by Year'!$C138,'WBS Summary by Year'!$B$124),'Pre- and Production'!AQ$4:AQ$532)</f>
        <v>0</v>
      </c>
      <c r="N138" s="298">
        <f>SUMIF('Pre- and Production'!$T$4:$T$532, CONCATENATE(LEFT('WBS Summary by Year'!N$6,1),'WBS Summary by Year'!$C138,'WBS Summary by Year'!$B$124),'Pre- and Production'!AH$4:AH$532)</f>
        <v>4350</v>
      </c>
      <c r="O138" s="299">
        <f>SUMIF('Pre- and Production'!$T$4:$T$532, CONCATENATE(LEFT('WBS Summary by Year'!O$6,1),'WBS Summary by Year'!$C138,'WBS Summary by Year'!$B$124),'Pre- and Production'!AR$4:AR$532)</f>
        <v>3720</v>
      </c>
    </row>
    <row r="139" spans="3:15" s="302" customFormat="1">
      <c r="C139" s="9" t="s">
        <v>218</v>
      </c>
      <c r="D139" s="26">
        <f>SUMIF('Pre- and Production'!$T$4:$T$532, CONCATENATE(LEFT('WBS Summary by Year'!D$6,1),'WBS Summary by Year'!$C139,'WBS Summary by Year'!$B$124),'Pre- and Production'!AC$4:AC$532)</f>
        <v>0</v>
      </c>
      <c r="E139" s="286">
        <f>SUMIF('Pre- and Production'!$T$4:$T$532, CONCATENATE(LEFT('WBS Summary by Year'!E$6,1),'WBS Summary by Year'!$C139,'WBS Summary by Year'!$B$124),'Pre- and Production'!AM$4:AM$532)</f>
        <v>0</v>
      </c>
      <c r="F139" s="26">
        <f>SUMIF('Pre- and Production'!$T$4:$T$532, CONCATENATE(LEFT('WBS Summary by Year'!F$6,1),'WBS Summary by Year'!$C139,'WBS Summary by Year'!$B$124),'Pre- and Production'!AD$4:AD$532)</f>
        <v>0</v>
      </c>
      <c r="G139" s="279">
        <f>SUMIF('Pre- and Production'!$T$4:$T$532, CONCATENATE(LEFT('WBS Summary by Year'!G$6,1),'WBS Summary by Year'!$C139,'WBS Summary by Year'!$B$124),'Pre- and Production'!AN$4:AN$532)</f>
        <v>0</v>
      </c>
      <c r="H139" s="290">
        <f>SUMIF('Pre- and Production'!$T$4:$T$532, CONCATENATE(LEFT('WBS Summary by Year'!H$6,1),'WBS Summary by Year'!$C139,'WBS Summary by Year'!$B$124),'Pre- and Production'!AE$4:AE$532)</f>
        <v>0</v>
      </c>
      <c r="I139" s="286">
        <f>SUMIF('Pre- and Production'!$T$4:$T$532, CONCATENATE(LEFT('WBS Summary by Year'!I$6,1),'WBS Summary by Year'!$C139,'WBS Summary by Year'!$B$124),'Pre- and Production'!AO$4:AO$532)</f>
        <v>0</v>
      </c>
      <c r="J139" s="26">
        <f>SUMIF('Pre- and Production'!$T$4:$T$532, CONCATENATE(LEFT('WBS Summary by Year'!J$6,1),'WBS Summary by Year'!$C139,'WBS Summary by Year'!$B$124),'Pre- and Production'!AF$4:AFI$532)</f>
        <v>0</v>
      </c>
      <c r="K139" s="279">
        <f>SUMIF('Pre- and Production'!$T$4:$T$532, CONCATENATE(LEFT('WBS Summary by Year'!K$6,1),'WBS Summary by Year'!$C139,'WBS Summary by Year'!$B$124),'Pre- and Production'!AP$4:AP$532)</f>
        <v>0</v>
      </c>
      <c r="L139" s="290">
        <f>SUMIF('Pre- and Production'!$T$4:$T$532, CONCATENATE(LEFT('WBS Summary by Year'!L$6,1),'WBS Summary by Year'!$C139,'WBS Summary by Year'!$B$124),'Pre- and Production'!AG$4:AG$532)</f>
        <v>0</v>
      </c>
      <c r="M139" s="286">
        <f>SUMIF('Pre- and Production'!$T$4:$T$532, CONCATENATE(LEFT('WBS Summary by Year'!M$6,1),'WBS Summary by Year'!$C139,'WBS Summary by Year'!$B$124),'Pre- and Production'!AQ$4:AQ$532)</f>
        <v>0</v>
      </c>
      <c r="N139" s="298">
        <f>SUMIF('Pre- and Production'!$T$4:$T$532, CONCATENATE(LEFT('WBS Summary by Year'!N$6,1),'WBS Summary by Year'!$C139,'WBS Summary by Year'!$B$124),'Pre- and Production'!AH$4:AH$532)</f>
        <v>0</v>
      </c>
      <c r="O139" s="299">
        <f>SUMIF('Pre- and Production'!$T$4:$T$532, CONCATENATE(LEFT('WBS Summary by Year'!O$6,1),'WBS Summary by Year'!$C139,'WBS Summary by Year'!$B$124),'Pre- and Production'!AR$4:AR$532)</f>
        <v>0</v>
      </c>
    </row>
    <row r="140" spans="3:15" s="302" customFormat="1">
      <c r="C140" s="9" t="s">
        <v>219</v>
      </c>
      <c r="D140" s="26">
        <f>SUMIF('Pre- and Production'!$T$4:$T$532, CONCATENATE(LEFT('WBS Summary by Year'!D$6,1),'WBS Summary by Year'!$C140,'WBS Summary by Year'!$B$124),'Pre- and Production'!AC$4:AC$532)</f>
        <v>0</v>
      </c>
      <c r="E140" s="286">
        <f>SUMIF('Pre- and Production'!$T$4:$T$532, CONCATENATE(LEFT('WBS Summary by Year'!E$6,1),'WBS Summary by Year'!$C140,'WBS Summary by Year'!$B$124),'Pre- and Production'!AM$4:AM$532)</f>
        <v>0</v>
      </c>
      <c r="F140" s="26">
        <f>SUMIF('Pre- and Production'!$T$4:$T$532, CONCATENATE(LEFT('WBS Summary by Year'!F$6,1),'WBS Summary by Year'!$C140,'WBS Summary by Year'!$B$124),'Pre- and Production'!AD$4:AD$532)</f>
        <v>0</v>
      </c>
      <c r="G140" s="279">
        <f>SUMIF('Pre- and Production'!$T$4:$T$532, CONCATENATE(LEFT('WBS Summary by Year'!G$6,1),'WBS Summary by Year'!$C140,'WBS Summary by Year'!$B$124),'Pre- and Production'!AN$4:AN$532)</f>
        <v>0</v>
      </c>
      <c r="H140" s="290">
        <f>SUMIF('Pre- and Production'!$T$4:$T$532, CONCATENATE(LEFT('WBS Summary by Year'!H$6,1),'WBS Summary by Year'!$C140,'WBS Summary by Year'!$B$124),'Pre- and Production'!AE$4:AE$532)</f>
        <v>0</v>
      </c>
      <c r="I140" s="286">
        <f>SUMIF('Pre- and Production'!$T$4:$T$532, CONCATENATE(LEFT('WBS Summary by Year'!I$6,1),'WBS Summary by Year'!$C140,'WBS Summary by Year'!$B$124),'Pre- and Production'!AO$4:AO$532)</f>
        <v>0</v>
      </c>
      <c r="J140" s="26">
        <f>SUMIF('Pre- and Production'!$T$4:$T$532, CONCATENATE(LEFT('WBS Summary by Year'!J$6,1),'WBS Summary by Year'!$C140,'WBS Summary by Year'!$B$124),'Pre- and Production'!AF$4:AFI$532)</f>
        <v>0</v>
      </c>
      <c r="K140" s="279">
        <f>SUMIF('Pre- and Production'!$T$4:$T$532, CONCATENATE(LEFT('WBS Summary by Year'!K$6,1),'WBS Summary by Year'!$C140,'WBS Summary by Year'!$B$124),'Pre- and Production'!AP$4:AP$532)</f>
        <v>0</v>
      </c>
      <c r="L140" s="290">
        <f>SUMIF('Pre- and Production'!$T$4:$T$532, CONCATENATE(LEFT('WBS Summary by Year'!L$6,1),'WBS Summary by Year'!$C140,'WBS Summary by Year'!$B$124),'Pre- and Production'!AG$4:AG$532)</f>
        <v>0</v>
      </c>
      <c r="M140" s="286">
        <f>SUMIF('Pre- and Production'!$T$4:$T$532, CONCATENATE(LEFT('WBS Summary by Year'!M$6,1),'WBS Summary by Year'!$C140,'WBS Summary by Year'!$B$124),'Pre- and Production'!AQ$4:AQ$532)</f>
        <v>0</v>
      </c>
      <c r="N140" s="298">
        <f>SUMIF('Pre- and Production'!$T$4:$T$532, CONCATENATE(LEFT('WBS Summary by Year'!N$6,1),'WBS Summary by Year'!$C140,'WBS Summary by Year'!$B$124),'Pre- and Production'!AH$4:AH$532)</f>
        <v>0</v>
      </c>
      <c r="O140" s="299">
        <f>SUMIF('Pre- and Production'!$T$4:$T$532, CONCATENATE(LEFT('WBS Summary by Year'!O$6,1),'WBS Summary by Year'!$C140,'WBS Summary by Year'!$B$124),'Pre- and Production'!AR$4:AR$532)</f>
        <v>0</v>
      </c>
    </row>
    <row r="141" spans="3:15" s="302" customFormat="1">
      <c r="C141" s="9" t="s">
        <v>220</v>
      </c>
      <c r="D141" s="26">
        <f>SUMIF('Pre- and Production'!$T$4:$T$532, CONCATENATE(LEFT('WBS Summary by Year'!D$6,1),'WBS Summary by Year'!$C141,'WBS Summary by Year'!$B$124),'Pre- and Production'!AC$4:AC$532)</f>
        <v>0</v>
      </c>
      <c r="E141" s="286">
        <f>SUMIF('Pre- and Production'!$T$4:$T$532, CONCATENATE(LEFT('WBS Summary by Year'!E$6,1),'WBS Summary by Year'!$C141,'WBS Summary by Year'!$B$124),'Pre- and Production'!AM$4:AM$532)</f>
        <v>0</v>
      </c>
      <c r="F141" s="26">
        <f>SUMIF('Pre- and Production'!$T$4:$T$532, CONCATENATE(LEFT('WBS Summary by Year'!F$6,1),'WBS Summary by Year'!$C141,'WBS Summary by Year'!$B$124),'Pre- and Production'!AD$4:AD$532)</f>
        <v>32</v>
      </c>
      <c r="G141" s="279">
        <f>SUMIF('Pre- and Production'!$T$4:$T$532, CONCATENATE(LEFT('WBS Summary by Year'!G$6,1),'WBS Summary by Year'!$C141,'WBS Summary by Year'!$B$124),'Pre- and Production'!AN$4:AN$532)</f>
        <v>0</v>
      </c>
      <c r="H141" s="290">
        <f>SUMIF('Pre- and Production'!$T$4:$T$532, CONCATENATE(LEFT('WBS Summary by Year'!H$6,1),'WBS Summary by Year'!$C141,'WBS Summary by Year'!$B$124),'Pre- and Production'!AE$4:AE$532)</f>
        <v>0</v>
      </c>
      <c r="I141" s="286">
        <f>SUMIF('Pre- and Production'!$T$4:$T$532, CONCATENATE(LEFT('WBS Summary by Year'!I$6,1),'WBS Summary by Year'!$C141,'WBS Summary by Year'!$B$124),'Pre- and Production'!AO$4:AO$532)</f>
        <v>0</v>
      </c>
      <c r="J141" s="26">
        <f>SUMIF('Pre- and Production'!$T$4:$T$532, CONCATENATE(LEFT('WBS Summary by Year'!J$6,1),'WBS Summary by Year'!$C141,'WBS Summary by Year'!$B$124),'Pre- and Production'!AF$4:AFI$532)</f>
        <v>0</v>
      </c>
      <c r="K141" s="279">
        <f>SUMIF('Pre- and Production'!$T$4:$T$532, CONCATENATE(LEFT('WBS Summary by Year'!K$6,1),'WBS Summary by Year'!$C141,'WBS Summary by Year'!$B$124),'Pre- and Production'!AP$4:AP$532)</f>
        <v>0</v>
      </c>
      <c r="L141" s="290">
        <f>SUMIF('Pre- and Production'!$T$4:$T$532, CONCATENATE(LEFT('WBS Summary by Year'!L$6,1),'WBS Summary by Year'!$C141,'WBS Summary by Year'!$B$124),'Pre- and Production'!AG$4:AG$532)</f>
        <v>0</v>
      </c>
      <c r="M141" s="286">
        <f>SUMIF('Pre- and Production'!$T$4:$T$532, CONCATENATE(LEFT('WBS Summary by Year'!M$6,1),'WBS Summary by Year'!$C141,'WBS Summary by Year'!$B$124),'Pre- and Production'!AQ$4:AQ$532)</f>
        <v>0</v>
      </c>
      <c r="N141" s="298">
        <f>SUMIF('Pre- and Production'!$T$4:$T$532, CONCATENATE(LEFT('WBS Summary by Year'!N$6,1),'WBS Summary by Year'!$C141,'WBS Summary by Year'!$B$124),'Pre- and Production'!AH$4:AH$532)</f>
        <v>0</v>
      </c>
      <c r="O141" s="299">
        <f>SUMIF('Pre- and Production'!$T$4:$T$532, CONCATENATE(LEFT('WBS Summary by Year'!O$6,1),'WBS Summary by Year'!$C141,'WBS Summary by Year'!$B$124),'Pre- and Production'!AR$4:AR$532)</f>
        <v>0</v>
      </c>
    </row>
    <row r="142" spans="3:15" s="302" customFormat="1">
      <c r="C142" s="9" t="s">
        <v>221</v>
      </c>
      <c r="D142" s="26">
        <f>SUMIF('Pre- and Production'!$T$4:$T$532, CONCATENATE(LEFT('WBS Summary by Year'!D$6,1),'WBS Summary by Year'!$C142,'WBS Summary by Year'!$B$124),'Pre- and Production'!AC$4:AC$532)</f>
        <v>0</v>
      </c>
      <c r="E142" s="286">
        <f>SUMIF('Pre- and Production'!$T$4:$T$532, CONCATENATE(LEFT('WBS Summary by Year'!E$6,1),'WBS Summary by Year'!$C142,'WBS Summary by Year'!$B$124),'Pre- and Production'!AM$4:AM$532)</f>
        <v>0</v>
      </c>
      <c r="F142" s="26">
        <f>SUMIF('Pre- and Production'!$T$4:$T$532, CONCATENATE(LEFT('WBS Summary by Year'!F$6,1),'WBS Summary by Year'!$C142,'WBS Summary by Year'!$B$124),'Pre- and Production'!AD$4:AD$532)</f>
        <v>0</v>
      </c>
      <c r="G142" s="279">
        <f>SUMIF('Pre- and Production'!$T$4:$T$532, CONCATENATE(LEFT('WBS Summary by Year'!G$6,1),'WBS Summary by Year'!$C142,'WBS Summary by Year'!$B$124),'Pre- and Production'!AN$4:AN$532)</f>
        <v>0</v>
      </c>
      <c r="H142" s="290">
        <f>SUMIF('Pre- and Production'!$T$4:$T$532, CONCATENATE(LEFT('WBS Summary by Year'!H$6,1),'WBS Summary by Year'!$C142,'WBS Summary by Year'!$B$124),'Pre- and Production'!AE$4:AE$532)</f>
        <v>0</v>
      </c>
      <c r="I142" s="286">
        <f>SUMIF('Pre- and Production'!$T$4:$T$532, CONCATENATE(LEFT('WBS Summary by Year'!I$6,1),'WBS Summary by Year'!$C142,'WBS Summary by Year'!$B$124),'Pre- and Production'!AO$4:AO$532)</f>
        <v>0</v>
      </c>
      <c r="J142" s="26">
        <f>SUMIF('Pre- and Production'!$T$4:$T$532, CONCATENATE(LEFT('WBS Summary by Year'!J$6,1),'WBS Summary by Year'!$C142,'WBS Summary by Year'!$B$124),'Pre- and Production'!AF$4:AFI$532)</f>
        <v>0</v>
      </c>
      <c r="K142" s="279">
        <f>SUMIF('Pre- and Production'!$T$4:$T$532, CONCATENATE(LEFT('WBS Summary by Year'!K$6,1),'WBS Summary by Year'!$C142,'WBS Summary by Year'!$B$124),'Pre- and Production'!AP$4:AP$532)</f>
        <v>0</v>
      </c>
      <c r="L142" s="290">
        <f>SUMIF('Pre- and Production'!$T$4:$T$532, CONCATENATE(LEFT('WBS Summary by Year'!L$6,1),'WBS Summary by Year'!$C142,'WBS Summary by Year'!$B$124),'Pre- and Production'!AG$4:AG$532)</f>
        <v>0</v>
      </c>
      <c r="M142" s="286">
        <f>SUMIF('Pre- and Production'!$T$4:$T$532, CONCATENATE(LEFT('WBS Summary by Year'!M$6,1),'WBS Summary by Year'!$C142,'WBS Summary by Year'!$B$124),'Pre- and Production'!AQ$4:AQ$532)</f>
        <v>0</v>
      </c>
      <c r="N142" s="298">
        <f>SUMIF('Pre- and Production'!$T$4:$T$532, CONCATENATE(LEFT('WBS Summary by Year'!N$6,1),'WBS Summary by Year'!$C142,'WBS Summary by Year'!$B$124),'Pre- and Production'!AH$4:AH$532)</f>
        <v>0</v>
      </c>
      <c r="O142" s="299">
        <f>SUMIF('Pre- and Production'!$T$4:$T$532, CONCATENATE(LEFT('WBS Summary by Year'!O$6,1),'WBS Summary by Year'!$C142,'WBS Summary by Year'!$B$124),'Pre- and Production'!AR$4:AR$532)</f>
        <v>0</v>
      </c>
    </row>
    <row r="143" spans="3:15" s="302" customFormat="1">
      <c r="C143" s="9" t="s">
        <v>222</v>
      </c>
      <c r="D143" s="26">
        <f>SUMIF('Pre- and Production'!$T$4:$T$532, CONCATENATE(LEFT('WBS Summary by Year'!D$6,1),'WBS Summary by Year'!$C143,'WBS Summary by Year'!$B$124),'Pre- and Production'!AC$4:AC$532)</f>
        <v>0</v>
      </c>
      <c r="E143" s="286">
        <f>SUMIF('Pre- and Production'!$T$4:$T$532, CONCATENATE(LEFT('WBS Summary by Year'!E$6,1),'WBS Summary by Year'!$C143,'WBS Summary by Year'!$B$124),'Pre- and Production'!AM$4:AM$532)</f>
        <v>0</v>
      </c>
      <c r="F143" s="26">
        <f>SUMIF('Pre- and Production'!$T$4:$T$532, CONCATENATE(LEFT('WBS Summary by Year'!F$6,1),'WBS Summary by Year'!$C143,'WBS Summary by Year'!$B$124),'Pre- and Production'!AD$4:AD$532)</f>
        <v>0</v>
      </c>
      <c r="G143" s="279">
        <f>SUMIF('Pre- and Production'!$T$4:$T$532, CONCATENATE(LEFT('WBS Summary by Year'!G$6,1),'WBS Summary by Year'!$C143,'WBS Summary by Year'!$B$124),'Pre- and Production'!AN$4:AN$532)</f>
        <v>0</v>
      </c>
      <c r="H143" s="290">
        <f>SUMIF('Pre- and Production'!$T$4:$T$532, CONCATENATE(LEFT('WBS Summary by Year'!H$6,1),'WBS Summary by Year'!$C143,'WBS Summary by Year'!$B$124),'Pre- and Production'!AE$4:AE$532)</f>
        <v>0</v>
      </c>
      <c r="I143" s="286">
        <f>SUMIF('Pre- and Production'!$T$4:$T$532, CONCATENATE(LEFT('WBS Summary by Year'!I$6,1),'WBS Summary by Year'!$C143,'WBS Summary by Year'!$B$124),'Pre- and Production'!AO$4:AO$532)</f>
        <v>0</v>
      </c>
      <c r="J143" s="26">
        <f>SUMIF('Pre- and Production'!$T$4:$T$532, CONCATENATE(LEFT('WBS Summary by Year'!J$6,1),'WBS Summary by Year'!$C143,'WBS Summary by Year'!$B$124),'Pre- and Production'!AF$4:AFI$532)</f>
        <v>0</v>
      </c>
      <c r="K143" s="279">
        <f>SUMIF('Pre- and Production'!$T$4:$T$532, CONCATENATE(LEFT('WBS Summary by Year'!K$6,1),'WBS Summary by Year'!$C143,'WBS Summary by Year'!$B$124),'Pre- and Production'!AP$4:AP$532)</f>
        <v>0</v>
      </c>
      <c r="L143" s="290">
        <f>SUMIF('Pre- and Production'!$T$4:$T$532, CONCATENATE(LEFT('WBS Summary by Year'!L$6,1),'WBS Summary by Year'!$C143,'WBS Summary by Year'!$B$124),'Pre- and Production'!AG$4:AG$532)</f>
        <v>0</v>
      </c>
      <c r="M143" s="286">
        <f>SUMIF('Pre- and Production'!$T$4:$T$532, CONCATENATE(LEFT('WBS Summary by Year'!M$6,1),'WBS Summary by Year'!$C143,'WBS Summary by Year'!$B$124),'Pre- and Production'!AQ$4:AQ$532)</f>
        <v>0</v>
      </c>
      <c r="N143" s="298">
        <f>SUMIF('Pre- and Production'!$T$4:$T$532, CONCATENATE(LEFT('WBS Summary by Year'!N$6,1),'WBS Summary by Year'!$C143,'WBS Summary by Year'!$B$124),'Pre- and Production'!AH$4:AH$532)</f>
        <v>0</v>
      </c>
      <c r="O143" s="299">
        <f>SUMIF('Pre- and Production'!$T$4:$T$532, CONCATENATE(LEFT('WBS Summary by Year'!O$6,1),'WBS Summary by Year'!$C143,'WBS Summary by Year'!$B$124),'Pre- and Production'!AR$4:AR$532)</f>
        <v>0</v>
      </c>
    </row>
    <row r="144" spans="3:15" s="302" customFormat="1">
      <c r="C144" s="9" t="s">
        <v>223</v>
      </c>
      <c r="D144" s="26">
        <f>SUMIF('Pre- and Production'!$T$4:$T$532, CONCATENATE(LEFT('WBS Summary by Year'!D$6,1),'WBS Summary by Year'!$C144,'WBS Summary by Year'!$B$124),'Pre- and Production'!AC$4:AC$532)</f>
        <v>0</v>
      </c>
      <c r="E144" s="286">
        <f>SUMIF('Pre- and Production'!$T$4:$T$532, CONCATENATE(LEFT('WBS Summary by Year'!E$6,1),'WBS Summary by Year'!$C144,'WBS Summary by Year'!$B$124),'Pre- and Production'!AM$4:AM$532)</f>
        <v>0</v>
      </c>
      <c r="F144" s="26">
        <f>SUMIF('Pre- and Production'!$T$4:$T$532, CONCATENATE(LEFT('WBS Summary by Year'!F$6,1),'WBS Summary by Year'!$C144,'WBS Summary by Year'!$B$124),'Pre- and Production'!AD$4:AD$532)</f>
        <v>0</v>
      </c>
      <c r="G144" s="279">
        <f>SUMIF('Pre- and Production'!$T$4:$T$532, CONCATENATE(LEFT('WBS Summary by Year'!G$6,1),'WBS Summary by Year'!$C144,'WBS Summary by Year'!$B$124),'Pre- and Production'!AN$4:AN$532)</f>
        <v>0</v>
      </c>
      <c r="H144" s="290">
        <f>SUMIF('Pre- and Production'!$T$4:$T$532, CONCATENATE(LEFT('WBS Summary by Year'!H$6,1),'WBS Summary by Year'!$C144,'WBS Summary by Year'!$B$124),'Pre- and Production'!AE$4:AE$532)</f>
        <v>0</v>
      </c>
      <c r="I144" s="286">
        <f>SUMIF('Pre- and Production'!$T$4:$T$532, CONCATENATE(LEFT('WBS Summary by Year'!I$6,1),'WBS Summary by Year'!$C144,'WBS Summary by Year'!$B$124),'Pre- and Production'!AO$4:AO$532)</f>
        <v>0</v>
      </c>
      <c r="J144" s="26">
        <f>SUMIF('Pre- and Production'!$T$4:$T$532, CONCATENATE(LEFT('WBS Summary by Year'!J$6,1),'WBS Summary by Year'!$C144,'WBS Summary by Year'!$B$124),'Pre- and Production'!AF$4:AFI$532)</f>
        <v>0</v>
      </c>
      <c r="K144" s="279">
        <f>SUMIF('Pre- and Production'!$T$4:$T$532, CONCATENATE(LEFT('WBS Summary by Year'!K$6,1),'WBS Summary by Year'!$C144,'WBS Summary by Year'!$B$124),'Pre- and Production'!AP$4:AP$532)</f>
        <v>0</v>
      </c>
      <c r="L144" s="290">
        <f>SUMIF('Pre- and Production'!$T$4:$T$532, CONCATENATE(LEFT('WBS Summary by Year'!L$6,1),'WBS Summary by Year'!$C144,'WBS Summary by Year'!$B$124),'Pre- and Production'!AG$4:AG$532)</f>
        <v>0</v>
      </c>
      <c r="M144" s="286">
        <f>SUMIF('Pre- and Production'!$T$4:$T$532, CONCATENATE(LEFT('WBS Summary by Year'!M$6,1),'WBS Summary by Year'!$C144,'WBS Summary by Year'!$B$124),'Pre- and Production'!AQ$4:AQ$532)</f>
        <v>0</v>
      </c>
      <c r="N144" s="298">
        <f>SUMIF('Pre- and Production'!$T$4:$T$532, CONCATENATE(LEFT('WBS Summary by Year'!N$6,1),'WBS Summary by Year'!$C144,'WBS Summary by Year'!$B$124),'Pre- and Production'!AH$4:AH$532)</f>
        <v>0</v>
      </c>
      <c r="O144" s="299">
        <f>SUMIF('Pre- and Production'!$T$4:$T$532, CONCATENATE(LEFT('WBS Summary by Year'!O$6,1),'WBS Summary by Year'!$C144,'WBS Summary by Year'!$B$124),'Pre- and Production'!AR$4:AR$532)</f>
        <v>0</v>
      </c>
    </row>
    <row r="145" spans="3:15" s="302" customFormat="1">
      <c r="C145" s="9" t="s">
        <v>224</v>
      </c>
      <c r="D145" s="26">
        <f>SUMIF('Pre- and Production'!$T$4:$T$532, CONCATENATE(LEFT('WBS Summary by Year'!D$6,1),'WBS Summary by Year'!$C145,'WBS Summary by Year'!$B$124),'Pre- and Production'!AC$4:AC$532)</f>
        <v>0</v>
      </c>
      <c r="E145" s="286">
        <f>SUMIF('Pre- and Production'!$T$4:$T$532, CONCATENATE(LEFT('WBS Summary by Year'!E$6,1),'WBS Summary by Year'!$C145,'WBS Summary by Year'!$B$124),'Pre- and Production'!AM$4:AM$532)</f>
        <v>0</v>
      </c>
      <c r="F145" s="26">
        <f>SUMIF('Pre- and Production'!$T$4:$T$532, CONCATENATE(LEFT('WBS Summary by Year'!F$6,1),'WBS Summary by Year'!$C145,'WBS Summary by Year'!$B$124),'Pre- and Production'!AD$4:AD$532)</f>
        <v>0</v>
      </c>
      <c r="G145" s="279">
        <f>SUMIF('Pre- and Production'!$T$4:$T$532, CONCATENATE(LEFT('WBS Summary by Year'!G$6,1),'WBS Summary by Year'!$C145,'WBS Summary by Year'!$B$124),'Pre- and Production'!AN$4:AN$532)</f>
        <v>0</v>
      </c>
      <c r="H145" s="290">
        <f>SUMIF('Pre- and Production'!$T$4:$T$532, CONCATENATE(LEFT('WBS Summary by Year'!H$6,1),'WBS Summary by Year'!$C145,'WBS Summary by Year'!$B$124),'Pre- and Production'!AE$4:AE$532)</f>
        <v>0</v>
      </c>
      <c r="I145" s="286">
        <f>SUMIF('Pre- and Production'!$T$4:$T$532, CONCATENATE(LEFT('WBS Summary by Year'!I$6,1),'WBS Summary by Year'!$C145,'WBS Summary by Year'!$B$124),'Pre- and Production'!AO$4:AO$532)</f>
        <v>0</v>
      </c>
      <c r="J145" s="26">
        <f>SUMIF('Pre- and Production'!$T$4:$T$532, CONCATENATE(LEFT('WBS Summary by Year'!J$6,1),'WBS Summary by Year'!$C145,'WBS Summary by Year'!$B$124),'Pre- and Production'!AF$4:AFI$532)</f>
        <v>0</v>
      </c>
      <c r="K145" s="279">
        <f>SUMIF('Pre- and Production'!$T$4:$T$532, CONCATENATE(LEFT('WBS Summary by Year'!K$6,1),'WBS Summary by Year'!$C145,'WBS Summary by Year'!$B$124),'Pre- and Production'!AP$4:AP$532)</f>
        <v>0</v>
      </c>
      <c r="L145" s="290">
        <f>SUMIF('Pre- and Production'!$T$4:$T$532, CONCATENATE(LEFT('WBS Summary by Year'!L$6,1),'WBS Summary by Year'!$C145,'WBS Summary by Year'!$B$124),'Pre- and Production'!AG$4:AG$532)</f>
        <v>0</v>
      </c>
      <c r="M145" s="286">
        <f>SUMIF('Pre- and Production'!$T$4:$T$532, CONCATENATE(LEFT('WBS Summary by Year'!M$6,1),'WBS Summary by Year'!$C145,'WBS Summary by Year'!$B$124),'Pre- and Production'!AQ$4:AQ$532)</f>
        <v>0</v>
      </c>
      <c r="N145" s="298">
        <f>SUMIF('Pre- and Production'!$T$4:$T$532, CONCATENATE(LEFT('WBS Summary by Year'!N$6,1),'WBS Summary by Year'!$C145,'WBS Summary by Year'!$B$124),'Pre- and Production'!AH$4:AH$532)</f>
        <v>0</v>
      </c>
      <c r="O145" s="299">
        <f>SUMIF('Pre- and Production'!$T$4:$T$532, CONCATENATE(LEFT('WBS Summary by Year'!O$6,1),'WBS Summary by Year'!$C145,'WBS Summary by Year'!$B$124),'Pre- and Production'!AR$4:AR$532)</f>
        <v>0</v>
      </c>
    </row>
    <row r="146" spans="3:15" s="302" customFormat="1">
      <c r="C146" s="9" t="s">
        <v>225</v>
      </c>
      <c r="D146" s="26">
        <f>SUMIF('Pre- and Production'!$T$4:$T$532, CONCATENATE(LEFT('WBS Summary by Year'!D$6,1),'WBS Summary by Year'!$C146,'WBS Summary by Year'!$B$124),'Pre- and Production'!AC$4:AC$532)</f>
        <v>0</v>
      </c>
      <c r="E146" s="286">
        <f>SUMIF('Pre- and Production'!$T$4:$T$532, CONCATENATE(LEFT('WBS Summary by Year'!E$6,1),'WBS Summary by Year'!$C146,'WBS Summary by Year'!$B$124),'Pre- and Production'!AM$4:AM$532)</f>
        <v>0</v>
      </c>
      <c r="F146" s="26">
        <f>SUMIF('Pre- and Production'!$T$4:$T$532, CONCATENATE(LEFT('WBS Summary by Year'!F$6,1),'WBS Summary by Year'!$C146,'WBS Summary by Year'!$B$124),'Pre- and Production'!AD$4:AD$532)</f>
        <v>0</v>
      </c>
      <c r="G146" s="279">
        <f>SUMIF('Pre- and Production'!$T$4:$T$532, CONCATENATE(LEFT('WBS Summary by Year'!G$6,1),'WBS Summary by Year'!$C146,'WBS Summary by Year'!$B$124),'Pre- and Production'!AN$4:AN$532)</f>
        <v>0</v>
      </c>
      <c r="H146" s="290">
        <f>SUMIF('Pre- and Production'!$T$4:$T$532, CONCATENATE(LEFT('WBS Summary by Year'!H$6,1),'WBS Summary by Year'!$C146,'WBS Summary by Year'!$B$124),'Pre- and Production'!AE$4:AE$532)</f>
        <v>0</v>
      </c>
      <c r="I146" s="286">
        <f>SUMIF('Pre- and Production'!$T$4:$T$532, CONCATENATE(LEFT('WBS Summary by Year'!I$6,1),'WBS Summary by Year'!$C146,'WBS Summary by Year'!$B$124),'Pre- and Production'!AO$4:AO$532)</f>
        <v>0</v>
      </c>
      <c r="J146" s="26">
        <f>SUMIF('Pre- and Production'!$T$4:$T$532, CONCATENATE(LEFT('WBS Summary by Year'!J$6,1),'WBS Summary by Year'!$C146,'WBS Summary by Year'!$B$124),'Pre- and Production'!AF$4:AFI$532)</f>
        <v>0</v>
      </c>
      <c r="K146" s="279">
        <f>SUMIF('Pre- and Production'!$T$4:$T$532, CONCATENATE(LEFT('WBS Summary by Year'!K$6,1),'WBS Summary by Year'!$C146,'WBS Summary by Year'!$B$124),'Pre- and Production'!AP$4:AP$532)</f>
        <v>0</v>
      </c>
      <c r="L146" s="290">
        <f>SUMIF('Pre- and Production'!$T$4:$T$532, CONCATENATE(LEFT('WBS Summary by Year'!L$6,1),'WBS Summary by Year'!$C146,'WBS Summary by Year'!$B$124),'Pre- and Production'!AG$4:AG$532)</f>
        <v>0</v>
      </c>
      <c r="M146" s="286">
        <f>SUMIF('Pre- and Production'!$T$4:$T$532, CONCATENATE(LEFT('WBS Summary by Year'!M$6,1),'WBS Summary by Year'!$C146,'WBS Summary by Year'!$B$124),'Pre- and Production'!AQ$4:AQ$532)</f>
        <v>0</v>
      </c>
      <c r="N146" s="298">
        <f>SUMIF('Pre- and Production'!$T$4:$T$532, CONCATENATE(LEFT('WBS Summary by Year'!N$6,1),'WBS Summary by Year'!$C146,'WBS Summary by Year'!$B$124),'Pre- and Production'!AH$4:AH$532)</f>
        <v>0</v>
      </c>
      <c r="O146" s="299">
        <f>SUMIF('Pre- and Production'!$T$4:$T$532, CONCATENATE(LEFT('WBS Summary by Year'!O$6,1),'WBS Summary by Year'!$C146,'WBS Summary by Year'!$B$124),'Pre- and Production'!AR$4:AR$532)</f>
        <v>0</v>
      </c>
    </row>
    <row r="147" spans="3:15">
      <c r="C147" s="9" t="s">
        <v>226</v>
      </c>
      <c r="D147" s="26">
        <f>SUMIF('Pre- and Production'!$T$4:$T$532, CONCATENATE(LEFT('WBS Summary by Year'!D$6,1),'WBS Summary by Year'!$C147,'WBS Summary by Year'!$B$124),'Pre- and Production'!AC$4:AC$532)</f>
        <v>0</v>
      </c>
      <c r="E147" s="286">
        <f>SUMIF('Pre- and Production'!$T$4:$T$532, CONCATENATE(LEFT('WBS Summary by Year'!E$6,1),'WBS Summary by Year'!$C147,'WBS Summary by Year'!$B$124),'Pre- and Production'!AM$4:AM$532)</f>
        <v>0</v>
      </c>
      <c r="F147" s="26">
        <f>SUMIF('Pre- and Production'!$T$4:$T$532, CONCATENATE(LEFT('WBS Summary by Year'!F$6,1),'WBS Summary by Year'!$C147,'WBS Summary by Year'!$B$124),'Pre- and Production'!AD$4:AD$532)</f>
        <v>0</v>
      </c>
      <c r="G147" s="279">
        <f>SUMIF('Pre- and Production'!$T$4:$T$532, CONCATENATE(LEFT('WBS Summary by Year'!G$6,1),'WBS Summary by Year'!$C147,'WBS Summary by Year'!$B$124),'Pre- and Production'!AN$4:AN$532)</f>
        <v>0</v>
      </c>
      <c r="H147" s="290">
        <f>SUMIF('Pre- and Production'!$T$4:$T$532, CONCATENATE(LEFT('WBS Summary by Year'!H$6,1),'WBS Summary by Year'!$C147,'WBS Summary by Year'!$B$124),'Pre- and Production'!AE$4:AE$532)</f>
        <v>0</v>
      </c>
      <c r="I147" s="286">
        <f>SUMIF('Pre- and Production'!$T$4:$T$532, CONCATENATE(LEFT('WBS Summary by Year'!I$6,1),'WBS Summary by Year'!$C147,'WBS Summary by Year'!$B$124),'Pre- and Production'!AO$4:AO$532)</f>
        <v>0</v>
      </c>
      <c r="J147" s="26">
        <f>SUMIF('Pre- and Production'!$T$4:$T$532, CONCATENATE(LEFT('WBS Summary by Year'!J$6,1),'WBS Summary by Year'!$C147,'WBS Summary by Year'!$B$124),'Pre- and Production'!AF$4:AFI$532)</f>
        <v>0</v>
      </c>
      <c r="K147" s="279">
        <f>SUMIF('Pre- and Production'!$T$4:$T$532, CONCATENATE(LEFT('WBS Summary by Year'!K$6,1),'WBS Summary by Year'!$C147,'WBS Summary by Year'!$B$124),'Pre- and Production'!AP$4:AP$532)</f>
        <v>0</v>
      </c>
      <c r="L147" s="290">
        <f>SUMIF('Pre- and Production'!$T$4:$T$532, CONCATENATE(LEFT('WBS Summary by Year'!L$6,1),'WBS Summary by Year'!$C147,'WBS Summary by Year'!$B$124),'Pre- and Production'!AG$4:AG$532)</f>
        <v>0</v>
      </c>
      <c r="M147" s="286">
        <f>SUMIF('Pre- and Production'!$T$4:$T$532, CONCATENATE(LEFT('WBS Summary by Year'!M$6,1),'WBS Summary by Year'!$C147,'WBS Summary by Year'!$B$124),'Pre- and Production'!AQ$4:AQ$532)</f>
        <v>0</v>
      </c>
      <c r="N147" s="298">
        <f>SUMIF('Pre- and Production'!$T$4:$T$532, CONCATENATE(LEFT('WBS Summary by Year'!N$6,1),'WBS Summary by Year'!$C147,'WBS Summary by Year'!$B$124),'Pre- and Production'!AH$4:AH$532)</f>
        <v>0</v>
      </c>
      <c r="O147" s="299">
        <f>SUMIF('Pre- and Production'!$T$4:$T$532, CONCATENATE(LEFT('WBS Summary by Year'!O$6,1),'WBS Summary by Year'!$C147,'WBS Summary by Year'!$B$124),'Pre- and Production'!AR$4:AR$532)</f>
        <v>0</v>
      </c>
    </row>
    <row r="148" spans="3:15">
      <c r="C148" s="9" t="s">
        <v>227</v>
      </c>
      <c r="D148" s="26">
        <f>SUMIF('Pre- and Production'!$T$4:$T$532, CONCATENATE(LEFT('WBS Summary by Year'!D$6,1),'WBS Summary by Year'!$C148,'WBS Summary by Year'!$B$124),'Pre- and Production'!AC$4:AC$532)</f>
        <v>0</v>
      </c>
      <c r="E148" s="286">
        <f>SUMIF('Pre- and Production'!$T$4:$T$532, CONCATENATE(LEFT('WBS Summary by Year'!E$6,1),'WBS Summary by Year'!$C148,'WBS Summary by Year'!$B$124),'Pre- and Production'!AM$4:AM$532)</f>
        <v>0</v>
      </c>
      <c r="F148" s="26">
        <f>SUMIF('Pre- and Production'!$T$4:$T$532, CONCATENATE(LEFT('WBS Summary by Year'!F$6,1),'WBS Summary by Year'!$C148,'WBS Summary by Year'!$B$124),'Pre- and Production'!AD$4:AD$532)</f>
        <v>0</v>
      </c>
      <c r="G148" s="279">
        <f>SUMIF('Pre- and Production'!$T$4:$T$532, CONCATENATE(LEFT('WBS Summary by Year'!G$6,1),'WBS Summary by Year'!$C148,'WBS Summary by Year'!$B$124),'Pre- and Production'!AN$4:AN$532)</f>
        <v>0</v>
      </c>
      <c r="H148" s="290">
        <f>SUMIF('Pre- and Production'!$T$4:$T$532, CONCATENATE(LEFT('WBS Summary by Year'!H$6,1),'WBS Summary by Year'!$C148,'WBS Summary by Year'!$B$124),'Pre- and Production'!AE$4:AE$532)</f>
        <v>0</v>
      </c>
      <c r="I148" s="286">
        <f>SUMIF('Pre- and Production'!$T$4:$T$532, CONCATENATE(LEFT('WBS Summary by Year'!I$6,1),'WBS Summary by Year'!$C148,'WBS Summary by Year'!$B$124),'Pre- and Production'!AO$4:AO$532)</f>
        <v>0</v>
      </c>
      <c r="J148" s="26">
        <f>SUMIF('Pre- and Production'!$T$4:$T$532, CONCATENATE(LEFT('WBS Summary by Year'!J$6,1),'WBS Summary by Year'!$C148,'WBS Summary by Year'!$B$124),'Pre- and Production'!AF$4:AFI$532)</f>
        <v>0</v>
      </c>
      <c r="K148" s="279">
        <f>SUMIF('Pre- and Production'!$T$4:$T$532, CONCATENATE(LEFT('WBS Summary by Year'!K$6,1),'WBS Summary by Year'!$C148,'WBS Summary by Year'!$B$124),'Pre- and Production'!AP$4:AP$532)</f>
        <v>0</v>
      </c>
      <c r="L148" s="290">
        <f>SUMIF('Pre- and Production'!$T$4:$T$532, CONCATENATE(LEFT('WBS Summary by Year'!L$6,1),'WBS Summary by Year'!$C148,'WBS Summary by Year'!$B$124),'Pre- and Production'!AG$4:AG$532)</f>
        <v>0</v>
      </c>
      <c r="M148" s="286">
        <f>SUMIF('Pre- and Production'!$T$4:$T$532, CONCATENATE(LEFT('WBS Summary by Year'!M$6,1),'WBS Summary by Year'!$C148,'WBS Summary by Year'!$B$124),'Pre- and Production'!AQ$4:AQ$532)</f>
        <v>0</v>
      </c>
      <c r="N148" s="298">
        <f>SUMIF('Pre- and Production'!$T$4:$T$532, CONCATENATE(LEFT('WBS Summary by Year'!N$6,1),'WBS Summary by Year'!$C148,'WBS Summary by Year'!$B$124),'Pre- and Production'!AH$4:AH$532)</f>
        <v>0</v>
      </c>
      <c r="O148" s="299">
        <f>SUMIF('Pre- and Production'!$T$4:$T$532, CONCATENATE(LEFT('WBS Summary by Year'!O$6,1),'WBS Summary by Year'!$C148,'WBS Summary by Year'!$B$124),'Pre- and Production'!AR$4:AR$532)</f>
        <v>0</v>
      </c>
    </row>
    <row r="149" spans="3:15">
      <c r="C149" s="9" t="s">
        <v>228</v>
      </c>
      <c r="D149" s="26">
        <f>SUMIF('Pre- and Production'!$T$4:$T$532, CONCATENATE(LEFT('WBS Summary by Year'!D$6,1),'WBS Summary by Year'!$C149,'WBS Summary by Year'!$B$124),'Pre- and Production'!AC$4:AC$532)</f>
        <v>0</v>
      </c>
      <c r="E149" s="286">
        <f>SUMIF('Pre- and Production'!$T$4:$T$532, CONCATENATE(LEFT('WBS Summary by Year'!E$6,1),'WBS Summary by Year'!$C149,'WBS Summary by Year'!$B$124),'Pre- and Production'!AM$4:AM$532)</f>
        <v>0</v>
      </c>
      <c r="F149" s="26">
        <f>SUMIF('Pre- and Production'!$T$4:$T$532, CONCATENATE(LEFT('WBS Summary by Year'!F$6,1),'WBS Summary by Year'!$C149,'WBS Summary by Year'!$B$124),'Pre- and Production'!AD$4:AD$532)</f>
        <v>0</v>
      </c>
      <c r="G149" s="279">
        <f>SUMIF('Pre- and Production'!$T$4:$T$532, CONCATENATE(LEFT('WBS Summary by Year'!G$6,1),'WBS Summary by Year'!$C149,'WBS Summary by Year'!$B$124),'Pre- and Production'!AN$4:AN$532)</f>
        <v>0</v>
      </c>
      <c r="H149" s="290">
        <f>SUMIF('Pre- and Production'!$T$4:$T$532, CONCATENATE(LEFT('WBS Summary by Year'!H$6,1),'WBS Summary by Year'!$C149,'WBS Summary by Year'!$B$124),'Pre- and Production'!AE$4:AE$532)</f>
        <v>0</v>
      </c>
      <c r="I149" s="286">
        <f>SUMIF('Pre- and Production'!$T$4:$T$532, CONCATENATE(LEFT('WBS Summary by Year'!I$6,1),'WBS Summary by Year'!$C149,'WBS Summary by Year'!$B$124),'Pre- and Production'!AO$4:AO$532)</f>
        <v>0</v>
      </c>
      <c r="J149" s="26">
        <f>SUMIF('Pre- and Production'!$T$4:$T$532, CONCATENATE(LEFT('WBS Summary by Year'!J$6,1),'WBS Summary by Year'!$C149,'WBS Summary by Year'!$B$124),'Pre- and Production'!AF$4:AFI$532)</f>
        <v>0</v>
      </c>
      <c r="K149" s="279">
        <f>SUMIF('Pre- and Production'!$T$4:$T$532, CONCATENATE(LEFT('WBS Summary by Year'!K$6,1),'WBS Summary by Year'!$C149,'WBS Summary by Year'!$B$124),'Pre- and Production'!AP$4:AP$532)</f>
        <v>0</v>
      </c>
      <c r="L149" s="290">
        <f>SUMIF('Pre- and Production'!$T$4:$T$532, CONCATENATE(LEFT('WBS Summary by Year'!L$6,1),'WBS Summary by Year'!$C149,'WBS Summary by Year'!$B$124),'Pre- and Production'!AG$4:AG$532)</f>
        <v>0</v>
      </c>
      <c r="M149" s="286">
        <f>SUMIF('Pre- and Production'!$T$4:$T$532, CONCATENATE(LEFT('WBS Summary by Year'!M$6,1),'WBS Summary by Year'!$C149,'WBS Summary by Year'!$B$124),'Pre- and Production'!AQ$4:AQ$532)</f>
        <v>0</v>
      </c>
      <c r="N149" s="298">
        <f>SUMIF('Pre- and Production'!$T$4:$T$532, CONCATENATE(LEFT('WBS Summary by Year'!N$6,1),'WBS Summary by Year'!$C149,'WBS Summary by Year'!$B$124),'Pre- and Production'!AH$4:AH$532)</f>
        <v>0</v>
      </c>
      <c r="O149" s="299">
        <f>SUMIF('Pre- and Production'!$T$4:$T$532, CONCATENATE(LEFT('WBS Summary by Year'!O$6,1),'WBS Summary by Year'!$C149,'WBS Summary by Year'!$B$124),'Pre- and Production'!AR$4:AR$532)</f>
        <v>0</v>
      </c>
    </row>
    <row r="150" spans="3:15">
      <c r="C150" s="9" t="s">
        <v>229</v>
      </c>
      <c r="D150" s="26">
        <f>SUMIF('Pre- and Production'!$T$4:$T$532, CONCATENATE(LEFT('WBS Summary by Year'!D$6,1),'WBS Summary by Year'!$C150,'WBS Summary by Year'!$B$124),'Pre- and Production'!AC$4:AC$532)</f>
        <v>32</v>
      </c>
      <c r="E150" s="286">
        <f>SUMIF('Pre- and Production'!$T$4:$T$532, CONCATENATE(LEFT('WBS Summary by Year'!E$6,1),'WBS Summary by Year'!$C150,'WBS Summary by Year'!$B$124),'Pre- and Production'!AM$4:AM$532)</f>
        <v>40</v>
      </c>
      <c r="F150" s="26">
        <f>SUMIF('Pre- and Production'!$T$4:$T$532, CONCATENATE(LEFT('WBS Summary by Year'!F$6,1),'WBS Summary by Year'!$C150,'WBS Summary by Year'!$B$124),'Pre- and Production'!AD$4:AD$532)</f>
        <v>350</v>
      </c>
      <c r="G150" s="279">
        <f>SUMIF('Pre- and Production'!$T$4:$T$532, CONCATENATE(LEFT('WBS Summary by Year'!G$6,1),'WBS Summary by Year'!$C150,'WBS Summary by Year'!$B$124),'Pre- and Production'!AN$4:AN$532)</f>
        <v>20</v>
      </c>
      <c r="H150" s="290">
        <f>SUMIF('Pre- and Production'!$T$4:$T$532, CONCATENATE(LEFT('WBS Summary by Year'!H$6,1),'WBS Summary by Year'!$C150,'WBS Summary by Year'!$B$124),'Pre- and Production'!AE$4:AE$532)</f>
        <v>0</v>
      </c>
      <c r="I150" s="286">
        <f>SUMIF('Pre- and Production'!$T$4:$T$532, CONCATENATE(LEFT('WBS Summary by Year'!I$6,1),'WBS Summary by Year'!$C150,'WBS Summary by Year'!$B$124),'Pre- and Production'!AO$4:AO$532)</f>
        <v>0</v>
      </c>
      <c r="J150" s="26">
        <f>SUMIF('Pre- and Production'!$T$4:$T$532, CONCATENATE(LEFT('WBS Summary by Year'!J$6,1),'WBS Summary by Year'!$C150,'WBS Summary by Year'!$B$124),'Pre- and Production'!AF$4:AFI$532)</f>
        <v>124</v>
      </c>
      <c r="K150" s="279">
        <f>SUMIF('Pre- and Production'!$T$4:$T$532, CONCATENATE(LEFT('WBS Summary by Year'!K$6,1),'WBS Summary by Year'!$C150,'WBS Summary by Year'!$B$124),'Pre- and Production'!AP$4:AP$532)</f>
        <v>40</v>
      </c>
      <c r="L150" s="290">
        <f>SUMIF('Pre- and Production'!$T$4:$T$532, CONCATENATE(LEFT('WBS Summary by Year'!L$6,1),'WBS Summary by Year'!$C150,'WBS Summary by Year'!$B$124),'Pre- and Production'!AG$4:AG$532)</f>
        <v>0</v>
      </c>
      <c r="M150" s="286">
        <f>SUMIF('Pre- and Production'!$T$4:$T$532, CONCATENATE(LEFT('WBS Summary by Year'!M$6,1),'WBS Summary by Year'!$C150,'WBS Summary by Year'!$B$124),'Pre- and Production'!AQ$4:AQ$532)</f>
        <v>0</v>
      </c>
      <c r="N150" s="298">
        <f>SUMIF('Pre- and Production'!$T$4:$T$532, CONCATENATE(LEFT('WBS Summary by Year'!N$6,1),'WBS Summary by Year'!$C150,'WBS Summary by Year'!$B$124),'Pre- and Production'!AH$4:AH$532)</f>
        <v>16110</v>
      </c>
      <c r="O150" s="299">
        <f>SUMIF('Pre- and Production'!$T$4:$T$532, CONCATENATE(LEFT('WBS Summary by Year'!O$6,1),'WBS Summary by Year'!$C150,'WBS Summary by Year'!$B$124),'Pre- and Production'!AR$4:AR$532)</f>
        <v>1600</v>
      </c>
    </row>
    <row r="151" spans="3:15">
      <c r="C151" s="9" t="s">
        <v>230</v>
      </c>
      <c r="D151" s="26">
        <f>SUMIF('Pre- and Production'!$T$4:$T$532, CONCATENATE(LEFT('WBS Summary by Year'!D$6,1),'WBS Summary by Year'!$C151,'WBS Summary by Year'!$B$124),'Pre- and Production'!AC$4:AC$532)</f>
        <v>44</v>
      </c>
      <c r="E151" s="286">
        <f>SUMIF('Pre- and Production'!$T$4:$T$532, CONCATENATE(LEFT('WBS Summary by Year'!E$6,1),'WBS Summary by Year'!$C151,'WBS Summary by Year'!$B$124),'Pre- and Production'!AM$4:AM$532)</f>
        <v>60</v>
      </c>
      <c r="F151" s="26">
        <f>SUMIF('Pre- and Production'!$T$4:$T$532, CONCATENATE(LEFT('WBS Summary by Year'!F$6,1),'WBS Summary by Year'!$C151,'WBS Summary by Year'!$B$124),'Pre- and Production'!AD$4:AD$532)</f>
        <v>447</v>
      </c>
      <c r="G151" s="279">
        <f>SUMIF('Pre- and Production'!$T$4:$T$532, CONCATENATE(LEFT('WBS Summary by Year'!G$6,1),'WBS Summary by Year'!$C151,'WBS Summary by Year'!$B$124),'Pre- and Production'!AN$4:AN$532)</f>
        <v>20</v>
      </c>
      <c r="H151" s="290">
        <f>SUMIF('Pre- and Production'!$T$4:$T$532, CONCATENATE(LEFT('WBS Summary by Year'!H$6,1),'WBS Summary by Year'!$C151,'WBS Summary by Year'!$B$124),'Pre- and Production'!AE$4:AE$532)</f>
        <v>0</v>
      </c>
      <c r="I151" s="286">
        <f>SUMIF('Pre- and Production'!$T$4:$T$532, CONCATENATE(LEFT('WBS Summary by Year'!I$6,1),'WBS Summary by Year'!$C151,'WBS Summary by Year'!$B$124),'Pre- and Production'!AO$4:AO$532)</f>
        <v>0</v>
      </c>
      <c r="J151" s="26">
        <f>SUMIF('Pre- and Production'!$T$4:$T$532, CONCATENATE(LEFT('WBS Summary by Year'!J$6,1),'WBS Summary by Year'!$C151,'WBS Summary by Year'!$B$124),'Pre- and Production'!AF$4:AFI$532)</f>
        <v>128</v>
      </c>
      <c r="K151" s="279">
        <f>SUMIF('Pre- and Production'!$T$4:$T$532, CONCATENATE(LEFT('WBS Summary by Year'!K$6,1),'WBS Summary by Year'!$C151,'WBS Summary by Year'!$B$124),'Pre- and Production'!AP$4:AP$532)</f>
        <v>0</v>
      </c>
      <c r="L151" s="290">
        <f>SUMIF('Pre- and Production'!$T$4:$T$532, CONCATENATE(LEFT('WBS Summary by Year'!L$6,1),'WBS Summary by Year'!$C151,'WBS Summary by Year'!$B$124),'Pre- and Production'!AG$4:AG$532)</f>
        <v>0</v>
      </c>
      <c r="M151" s="286">
        <f>SUMIF('Pre- and Production'!$T$4:$T$532, CONCATENATE(LEFT('WBS Summary by Year'!M$6,1),'WBS Summary by Year'!$C151,'WBS Summary by Year'!$B$124),'Pre- and Production'!AQ$4:AQ$532)</f>
        <v>0</v>
      </c>
      <c r="N151" s="298">
        <f>SUMIF('Pre- and Production'!$T$4:$T$532, CONCATENATE(LEFT('WBS Summary by Year'!N$6,1),'WBS Summary by Year'!$C151,'WBS Summary by Year'!$B$124),'Pre- and Production'!AH$4:AH$532)</f>
        <v>24565</v>
      </c>
      <c r="O151" s="299">
        <f>SUMIF('Pre- and Production'!$T$4:$T$532, CONCATENATE(LEFT('WBS Summary by Year'!O$6,1),'WBS Summary by Year'!$C151,'WBS Summary by Year'!$B$124),'Pre- and Production'!AR$4:AR$532)</f>
        <v>1600</v>
      </c>
    </row>
    <row r="152" spans="3:15">
      <c r="C152" s="9" t="s">
        <v>231</v>
      </c>
      <c r="D152" s="26">
        <f>SUMIF('Pre- and Production'!$T$4:$T$532, CONCATENATE(LEFT('WBS Summary by Year'!D$6,1),'WBS Summary by Year'!$C152,'WBS Summary by Year'!$B$124),'Pre- and Production'!AC$4:AC$532)</f>
        <v>0</v>
      </c>
      <c r="E152" s="286">
        <f>SUMIF('Pre- and Production'!$T$4:$T$532, CONCATENATE(LEFT('WBS Summary by Year'!E$6,1),'WBS Summary by Year'!$C152,'WBS Summary by Year'!$B$124),'Pre- and Production'!AM$4:AM$532)</f>
        <v>0</v>
      </c>
      <c r="F152" s="26">
        <f>SUMIF('Pre- and Production'!$T$4:$T$532, CONCATENATE(LEFT('WBS Summary by Year'!F$6,1),'WBS Summary by Year'!$C152,'WBS Summary by Year'!$B$124),'Pre- and Production'!AD$4:AD$532)</f>
        <v>0</v>
      </c>
      <c r="G152" s="279">
        <f>SUMIF('Pre- and Production'!$T$4:$T$532, CONCATENATE(LEFT('WBS Summary by Year'!G$6,1),'WBS Summary by Year'!$C152,'WBS Summary by Year'!$B$124),'Pre- and Production'!AN$4:AN$532)</f>
        <v>0</v>
      </c>
      <c r="H152" s="290">
        <f>SUMIF('Pre- and Production'!$T$4:$T$532, CONCATENATE(LEFT('WBS Summary by Year'!H$6,1),'WBS Summary by Year'!$C152,'WBS Summary by Year'!$B$124),'Pre- and Production'!AE$4:AE$532)</f>
        <v>0</v>
      </c>
      <c r="I152" s="286">
        <f>SUMIF('Pre- and Production'!$T$4:$T$532, CONCATENATE(LEFT('WBS Summary by Year'!I$6,1),'WBS Summary by Year'!$C152,'WBS Summary by Year'!$B$124),'Pre- and Production'!AO$4:AO$532)</f>
        <v>0</v>
      </c>
      <c r="J152" s="26">
        <f>SUMIF('Pre- and Production'!$T$4:$T$532, CONCATENATE(LEFT('WBS Summary by Year'!J$6,1),'WBS Summary by Year'!$C152,'WBS Summary by Year'!$B$124),'Pre- and Production'!AF$4:AFI$532)</f>
        <v>0</v>
      </c>
      <c r="K152" s="279">
        <f>SUMIF('Pre- and Production'!$T$4:$T$532, CONCATENATE(LEFT('WBS Summary by Year'!K$6,1),'WBS Summary by Year'!$C152,'WBS Summary by Year'!$B$124),'Pre- and Production'!AP$4:AP$532)</f>
        <v>0</v>
      </c>
      <c r="L152" s="290">
        <f>SUMIF('Pre- and Production'!$T$4:$T$532, CONCATENATE(LEFT('WBS Summary by Year'!L$6,1),'WBS Summary by Year'!$C152,'WBS Summary by Year'!$B$124),'Pre- and Production'!AG$4:AG$532)</f>
        <v>0</v>
      </c>
      <c r="M152" s="286">
        <f>SUMIF('Pre- and Production'!$T$4:$T$532, CONCATENATE(LEFT('WBS Summary by Year'!M$6,1),'WBS Summary by Year'!$C152,'WBS Summary by Year'!$B$124),'Pre- and Production'!AQ$4:AQ$532)</f>
        <v>0</v>
      </c>
      <c r="N152" s="298">
        <f>SUMIF('Pre- and Production'!$T$4:$T$532, CONCATENATE(LEFT('WBS Summary by Year'!N$6,1),'WBS Summary by Year'!$C152,'WBS Summary by Year'!$B$124),'Pre- and Production'!AH$4:AH$532)</f>
        <v>0</v>
      </c>
      <c r="O152" s="299">
        <f>SUMIF('Pre- and Production'!$T$4:$T$532, CONCATENATE(LEFT('WBS Summary by Year'!O$6,1),'WBS Summary by Year'!$C152,'WBS Summary by Year'!$B$124),'Pre- and Production'!AR$4:AR$532)</f>
        <v>0</v>
      </c>
    </row>
    <row r="153" spans="3:15">
      <c r="C153" s="9" t="s">
        <v>232</v>
      </c>
      <c r="D153" s="26">
        <f>SUMIF('Pre- and Production'!$T$4:$T$532, CONCATENATE(LEFT('WBS Summary by Year'!D$6,1),'WBS Summary by Year'!$C153,'WBS Summary by Year'!$B$124),'Pre- and Production'!AC$4:AC$532)</f>
        <v>0</v>
      </c>
      <c r="E153" s="286">
        <f>SUMIF('Pre- and Production'!$T$4:$T$532, CONCATENATE(LEFT('WBS Summary by Year'!E$6,1),'WBS Summary by Year'!$C153,'WBS Summary by Year'!$B$124),'Pre- and Production'!AM$4:AM$532)</f>
        <v>0</v>
      </c>
      <c r="F153" s="26">
        <f>SUMIF('Pre- and Production'!$T$4:$T$532, CONCATENATE(LEFT('WBS Summary by Year'!F$6,1),'WBS Summary by Year'!$C153,'WBS Summary by Year'!$B$124),'Pre- and Production'!AD$4:AD$532)</f>
        <v>0</v>
      </c>
      <c r="G153" s="279">
        <f>SUMIF('Pre- and Production'!$T$4:$T$532, CONCATENATE(LEFT('WBS Summary by Year'!G$6,1),'WBS Summary by Year'!$C153,'WBS Summary by Year'!$B$124),'Pre- and Production'!AN$4:AN$532)</f>
        <v>0</v>
      </c>
      <c r="H153" s="290">
        <f>SUMIF('Pre- and Production'!$T$4:$T$532, CONCATENATE(LEFT('WBS Summary by Year'!H$6,1),'WBS Summary by Year'!$C153,'WBS Summary by Year'!$B$124),'Pre- and Production'!AE$4:AE$532)</f>
        <v>0</v>
      </c>
      <c r="I153" s="286">
        <f>SUMIF('Pre- and Production'!$T$4:$T$532, CONCATENATE(LEFT('WBS Summary by Year'!I$6,1),'WBS Summary by Year'!$C153,'WBS Summary by Year'!$B$124),'Pre- and Production'!AO$4:AO$532)</f>
        <v>0</v>
      </c>
      <c r="J153" s="26">
        <f>SUMIF('Pre- and Production'!$T$4:$T$532, CONCATENATE(LEFT('WBS Summary by Year'!J$6,1),'WBS Summary by Year'!$C153,'WBS Summary by Year'!$B$124),'Pre- and Production'!AF$4:AFI$532)</f>
        <v>0</v>
      </c>
      <c r="K153" s="279">
        <f>SUMIF('Pre- and Production'!$T$4:$T$532, CONCATENATE(LEFT('WBS Summary by Year'!K$6,1),'WBS Summary by Year'!$C153,'WBS Summary by Year'!$B$124),'Pre- and Production'!AP$4:AP$532)</f>
        <v>0</v>
      </c>
      <c r="L153" s="290">
        <f>SUMIF('Pre- and Production'!$T$4:$T$532, CONCATENATE(LEFT('WBS Summary by Year'!L$6,1),'WBS Summary by Year'!$C153,'WBS Summary by Year'!$B$124),'Pre- and Production'!AG$4:AG$532)</f>
        <v>0</v>
      </c>
      <c r="M153" s="286">
        <f>SUMIF('Pre- and Production'!$T$4:$T$532, CONCATENATE(LEFT('WBS Summary by Year'!M$6,1),'WBS Summary by Year'!$C153,'WBS Summary by Year'!$B$124),'Pre- and Production'!AQ$4:AQ$532)</f>
        <v>0</v>
      </c>
      <c r="N153" s="298">
        <f>SUMIF('Pre- and Production'!$T$4:$T$532, CONCATENATE(LEFT('WBS Summary by Year'!N$6,1),'WBS Summary by Year'!$C153,'WBS Summary by Year'!$B$124),'Pre- and Production'!AH$4:AH$532)</f>
        <v>0</v>
      </c>
      <c r="O153" s="299">
        <f>SUMIF('Pre- and Production'!$T$4:$T$532, CONCATENATE(LEFT('WBS Summary by Year'!O$6,1),'WBS Summary by Year'!$C153,'WBS Summary by Year'!$B$124),'Pre- and Production'!AR$4:AR$532)</f>
        <v>0</v>
      </c>
    </row>
    <row r="154" spans="3:15">
      <c r="C154" s="9" t="s">
        <v>233</v>
      </c>
      <c r="D154" s="26">
        <f>SUMIF('Pre- and Production'!$T$4:$T$532, CONCATENATE(LEFT('WBS Summary by Year'!D$6,1),'WBS Summary by Year'!$C154,'WBS Summary by Year'!$B$124),'Pre- and Production'!AC$4:AC$532)</f>
        <v>0</v>
      </c>
      <c r="E154" s="286">
        <f>SUMIF('Pre- and Production'!$T$4:$T$532, CONCATENATE(LEFT('WBS Summary by Year'!E$6,1),'WBS Summary by Year'!$C154,'WBS Summary by Year'!$B$124),'Pre- and Production'!AM$4:AM$532)</f>
        <v>0</v>
      </c>
      <c r="F154" s="26">
        <f>SUMIF('Pre- and Production'!$T$4:$T$532, CONCATENATE(LEFT('WBS Summary by Year'!F$6,1),'WBS Summary by Year'!$C154,'WBS Summary by Year'!$B$124),'Pre- and Production'!AD$4:AD$532)</f>
        <v>0</v>
      </c>
      <c r="G154" s="279">
        <f>SUMIF('Pre- and Production'!$T$4:$T$532, CONCATENATE(LEFT('WBS Summary by Year'!G$6,1),'WBS Summary by Year'!$C154,'WBS Summary by Year'!$B$124),'Pre- and Production'!AN$4:AN$532)</f>
        <v>0</v>
      </c>
      <c r="H154" s="290">
        <f>SUMIF('Pre- and Production'!$T$4:$T$532, CONCATENATE(LEFT('WBS Summary by Year'!H$6,1),'WBS Summary by Year'!$C154,'WBS Summary by Year'!$B$124),'Pre- and Production'!AE$4:AE$532)</f>
        <v>0</v>
      </c>
      <c r="I154" s="286">
        <f>SUMIF('Pre- and Production'!$T$4:$T$532, CONCATENATE(LEFT('WBS Summary by Year'!I$6,1),'WBS Summary by Year'!$C154,'WBS Summary by Year'!$B$124),'Pre- and Production'!AO$4:AO$532)</f>
        <v>0</v>
      </c>
      <c r="J154" s="26">
        <f>SUMIF('Pre- and Production'!$T$4:$T$532, CONCATENATE(LEFT('WBS Summary by Year'!J$6,1),'WBS Summary by Year'!$C154,'WBS Summary by Year'!$B$124),'Pre- and Production'!AF$4:AFI$532)</f>
        <v>0</v>
      </c>
      <c r="K154" s="279">
        <f>SUMIF('Pre- and Production'!$T$4:$T$532, CONCATENATE(LEFT('WBS Summary by Year'!K$6,1),'WBS Summary by Year'!$C154,'WBS Summary by Year'!$B$124),'Pre- and Production'!AP$4:AP$532)</f>
        <v>0</v>
      </c>
      <c r="L154" s="290">
        <f>SUMIF('Pre- and Production'!$T$4:$T$532, CONCATENATE(LEFT('WBS Summary by Year'!L$6,1),'WBS Summary by Year'!$C154,'WBS Summary by Year'!$B$124),'Pre- and Production'!AG$4:AG$532)</f>
        <v>0</v>
      </c>
      <c r="M154" s="286">
        <f>SUMIF('Pre- and Production'!$T$4:$T$532, CONCATENATE(LEFT('WBS Summary by Year'!M$6,1),'WBS Summary by Year'!$C154,'WBS Summary by Year'!$B$124),'Pre- and Production'!AQ$4:AQ$532)</f>
        <v>0</v>
      </c>
      <c r="N154" s="298">
        <f>SUMIF('Pre- and Production'!$T$4:$T$532, CONCATENATE(LEFT('WBS Summary by Year'!N$6,1),'WBS Summary by Year'!$C154,'WBS Summary by Year'!$B$124),'Pre- and Production'!AH$4:AH$532)</f>
        <v>0</v>
      </c>
      <c r="O154" s="299">
        <f>SUMIF('Pre- and Production'!$T$4:$T$532, CONCATENATE(LEFT('WBS Summary by Year'!O$6,1),'WBS Summary by Year'!$C154,'WBS Summary by Year'!$B$124),'Pre- and Production'!AR$4:AR$532)</f>
        <v>0</v>
      </c>
    </row>
    <row r="155" spans="3:15">
      <c r="C155" s="9" t="s">
        <v>234</v>
      </c>
      <c r="D155" s="26">
        <f>SUMIF('Pre- and Production'!$T$4:$T$532, CONCATENATE(LEFT('WBS Summary by Year'!D$6,1),'WBS Summary by Year'!$C155,'WBS Summary by Year'!$B$124),'Pre- and Production'!AC$4:AC$532)</f>
        <v>0</v>
      </c>
      <c r="E155" s="286">
        <f>SUMIF('Pre- and Production'!$T$4:$T$532, CONCATENATE(LEFT('WBS Summary by Year'!E$6,1),'WBS Summary by Year'!$C155,'WBS Summary by Year'!$B$124),'Pre- and Production'!AM$4:AM$532)</f>
        <v>0</v>
      </c>
      <c r="F155" s="26">
        <f>SUMIF('Pre- and Production'!$T$4:$T$532, CONCATENATE(LEFT('WBS Summary by Year'!F$6,1),'WBS Summary by Year'!$C155,'WBS Summary by Year'!$B$124),'Pre- and Production'!AD$4:AD$532)</f>
        <v>0</v>
      </c>
      <c r="G155" s="279">
        <f>SUMIF('Pre- and Production'!$T$4:$T$532, CONCATENATE(LEFT('WBS Summary by Year'!G$6,1),'WBS Summary by Year'!$C155,'WBS Summary by Year'!$B$124),'Pre- and Production'!AN$4:AN$532)</f>
        <v>0</v>
      </c>
      <c r="H155" s="290">
        <f>SUMIF('Pre- and Production'!$T$4:$T$532, CONCATENATE(LEFT('WBS Summary by Year'!H$6,1),'WBS Summary by Year'!$C155,'WBS Summary by Year'!$B$124),'Pre- and Production'!AE$4:AE$532)</f>
        <v>0</v>
      </c>
      <c r="I155" s="286">
        <f>SUMIF('Pre- and Production'!$T$4:$T$532, CONCATENATE(LEFT('WBS Summary by Year'!I$6,1),'WBS Summary by Year'!$C155,'WBS Summary by Year'!$B$124),'Pre- and Production'!AO$4:AO$532)</f>
        <v>0</v>
      </c>
      <c r="J155" s="26">
        <f>SUMIF('Pre- and Production'!$T$4:$T$532, CONCATENATE(LEFT('WBS Summary by Year'!J$6,1),'WBS Summary by Year'!$C155,'WBS Summary by Year'!$B$124),'Pre- and Production'!AF$4:AFI$532)</f>
        <v>0</v>
      </c>
      <c r="K155" s="279">
        <f>SUMIF('Pre- and Production'!$T$4:$T$532, CONCATENATE(LEFT('WBS Summary by Year'!K$6,1),'WBS Summary by Year'!$C155,'WBS Summary by Year'!$B$124),'Pre- and Production'!AP$4:AP$532)</f>
        <v>0</v>
      </c>
      <c r="L155" s="290">
        <f>SUMIF('Pre- and Production'!$T$4:$T$532, CONCATENATE(LEFT('WBS Summary by Year'!L$6,1),'WBS Summary by Year'!$C155,'WBS Summary by Year'!$B$124),'Pre- and Production'!AG$4:AG$532)</f>
        <v>0</v>
      </c>
      <c r="M155" s="286">
        <f>SUMIF('Pre- and Production'!$T$4:$T$532, CONCATENATE(LEFT('WBS Summary by Year'!M$6,1),'WBS Summary by Year'!$C155,'WBS Summary by Year'!$B$124),'Pre- and Production'!AQ$4:AQ$532)</f>
        <v>0</v>
      </c>
      <c r="N155" s="298">
        <f>SUMIF('Pre- and Production'!$T$4:$T$532, CONCATENATE(LEFT('WBS Summary by Year'!N$6,1),'WBS Summary by Year'!$C155,'WBS Summary by Year'!$B$124),'Pre- and Production'!AH$4:AH$532)</f>
        <v>0</v>
      </c>
      <c r="O155" s="299">
        <f>SUMIF('Pre- and Production'!$T$4:$T$532, CONCATENATE(LEFT('WBS Summary by Year'!O$6,1),'WBS Summary by Year'!$C155,'WBS Summary by Year'!$B$124),'Pre- and Production'!AR$4:AR$532)</f>
        <v>0</v>
      </c>
    </row>
    <row r="156" spans="3:15">
      <c r="C156" s="9" t="s">
        <v>235</v>
      </c>
      <c r="D156" s="26">
        <f>SUMIF('Pre- and Production'!$T$4:$T$532, CONCATENATE(LEFT('WBS Summary by Year'!D$6,1),'WBS Summary by Year'!$C156,'WBS Summary by Year'!$B$124),'Pre- and Production'!AC$4:AC$532)</f>
        <v>0</v>
      </c>
      <c r="E156" s="286">
        <f>SUMIF('Pre- and Production'!$T$4:$T$532, CONCATENATE(LEFT('WBS Summary by Year'!E$6,1),'WBS Summary by Year'!$C156,'WBS Summary by Year'!$B$124),'Pre- and Production'!AM$4:AM$532)</f>
        <v>0</v>
      </c>
      <c r="F156" s="26">
        <f>SUMIF('Pre- and Production'!$T$4:$T$532, CONCATENATE(LEFT('WBS Summary by Year'!F$6,1),'WBS Summary by Year'!$C156,'WBS Summary by Year'!$B$124),'Pre- and Production'!AD$4:AD$532)</f>
        <v>0</v>
      </c>
      <c r="G156" s="279">
        <f>SUMIF('Pre- and Production'!$T$4:$T$532, CONCATENATE(LEFT('WBS Summary by Year'!G$6,1),'WBS Summary by Year'!$C156,'WBS Summary by Year'!$B$124),'Pre- and Production'!AN$4:AN$532)</f>
        <v>0</v>
      </c>
      <c r="H156" s="290">
        <f>SUMIF('Pre- and Production'!$T$4:$T$532, CONCATENATE(LEFT('WBS Summary by Year'!H$6,1),'WBS Summary by Year'!$C156,'WBS Summary by Year'!$B$124),'Pre- and Production'!AE$4:AE$532)</f>
        <v>0</v>
      </c>
      <c r="I156" s="286">
        <f>SUMIF('Pre- and Production'!$T$4:$T$532, CONCATENATE(LEFT('WBS Summary by Year'!I$6,1),'WBS Summary by Year'!$C156,'WBS Summary by Year'!$B$124),'Pre- and Production'!AO$4:AO$532)</f>
        <v>0</v>
      </c>
      <c r="J156" s="26">
        <f>SUMIF('Pre- and Production'!$T$4:$T$532, CONCATENATE(LEFT('WBS Summary by Year'!J$6,1),'WBS Summary by Year'!$C156,'WBS Summary by Year'!$B$124),'Pre- and Production'!AF$4:AFI$532)</f>
        <v>0</v>
      </c>
      <c r="K156" s="279">
        <f>SUMIF('Pre- and Production'!$T$4:$T$532, CONCATENATE(LEFT('WBS Summary by Year'!K$6,1),'WBS Summary by Year'!$C156,'WBS Summary by Year'!$B$124),'Pre- and Production'!AP$4:AP$532)</f>
        <v>0</v>
      </c>
      <c r="L156" s="290">
        <f>SUMIF('Pre- and Production'!$T$4:$T$532, CONCATENATE(LEFT('WBS Summary by Year'!L$6,1),'WBS Summary by Year'!$C156,'WBS Summary by Year'!$B$124),'Pre- and Production'!AG$4:AG$532)</f>
        <v>0</v>
      </c>
      <c r="M156" s="286">
        <f>SUMIF('Pre- and Production'!$T$4:$T$532, CONCATENATE(LEFT('WBS Summary by Year'!M$6,1),'WBS Summary by Year'!$C156,'WBS Summary by Year'!$B$124),'Pre- and Production'!AQ$4:AQ$532)</f>
        <v>0</v>
      </c>
      <c r="N156" s="298">
        <f>SUMIF('Pre- and Production'!$T$4:$T$532, CONCATENATE(LEFT('WBS Summary by Year'!N$6,1),'WBS Summary by Year'!$C156,'WBS Summary by Year'!$B$124),'Pre- and Production'!AH$4:AH$532)</f>
        <v>0</v>
      </c>
      <c r="O156" s="299">
        <f>SUMIF('Pre- and Production'!$T$4:$T$532, CONCATENATE(LEFT('WBS Summary by Year'!O$6,1),'WBS Summary by Year'!$C156,'WBS Summary by Year'!$B$124),'Pre- and Production'!AR$4:AR$532)</f>
        <v>0</v>
      </c>
    </row>
    <row r="157" spans="3:15">
      <c r="C157" s="9" t="s">
        <v>236</v>
      </c>
      <c r="D157" s="26">
        <f>SUMIF('Pre- and Production'!$T$4:$T$532, CONCATENATE(LEFT('WBS Summary by Year'!D$6,1),'WBS Summary by Year'!$C157,'WBS Summary by Year'!$B$124),'Pre- and Production'!AC$4:AC$532)</f>
        <v>0</v>
      </c>
      <c r="E157" s="286">
        <f>SUMIF('Pre- and Production'!$T$4:$T$532, CONCATENATE(LEFT('WBS Summary by Year'!E$6,1),'WBS Summary by Year'!$C157,'WBS Summary by Year'!$B$124),'Pre- and Production'!AM$4:AM$532)</f>
        <v>0</v>
      </c>
      <c r="F157" s="26">
        <f>SUMIF('Pre- and Production'!$T$4:$T$532, CONCATENATE(LEFT('WBS Summary by Year'!F$6,1),'WBS Summary by Year'!$C157,'WBS Summary by Year'!$B$124),'Pre- and Production'!AD$4:AD$532)</f>
        <v>0</v>
      </c>
      <c r="G157" s="279">
        <f>SUMIF('Pre- and Production'!$T$4:$T$532, CONCATENATE(LEFT('WBS Summary by Year'!G$6,1),'WBS Summary by Year'!$C157,'WBS Summary by Year'!$B$124),'Pre- and Production'!AN$4:AN$532)</f>
        <v>0</v>
      </c>
      <c r="H157" s="290">
        <f>SUMIF('Pre- and Production'!$T$4:$T$532, CONCATENATE(LEFT('WBS Summary by Year'!H$6,1),'WBS Summary by Year'!$C157,'WBS Summary by Year'!$B$124),'Pre- and Production'!AE$4:AE$532)</f>
        <v>0</v>
      </c>
      <c r="I157" s="286">
        <f>SUMIF('Pre- and Production'!$T$4:$T$532, CONCATENATE(LEFT('WBS Summary by Year'!I$6,1),'WBS Summary by Year'!$C157,'WBS Summary by Year'!$B$124),'Pre- and Production'!AO$4:AO$532)</f>
        <v>0</v>
      </c>
      <c r="J157" s="26">
        <f>SUMIF('Pre- and Production'!$T$4:$T$532, CONCATENATE(LEFT('WBS Summary by Year'!J$6,1),'WBS Summary by Year'!$C157,'WBS Summary by Year'!$B$124),'Pre- and Production'!AF$4:AFI$532)</f>
        <v>0</v>
      </c>
      <c r="K157" s="279">
        <f>SUMIF('Pre- and Production'!$T$4:$T$532, CONCATENATE(LEFT('WBS Summary by Year'!K$6,1),'WBS Summary by Year'!$C157,'WBS Summary by Year'!$B$124),'Pre- and Production'!AP$4:AP$532)</f>
        <v>0</v>
      </c>
      <c r="L157" s="290">
        <f>SUMIF('Pre- and Production'!$T$4:$T$532, CONCATENATE(LEFT('WBS Summary by Year'!L$6,1),'WBS Summary by Year'!$C157,'WBS Summary by Year'!$B$124),'Pre- and Production'!AG$4:AG$532)</f>
        <v>0</v>
      </c>
      <c r="M157" s="286">
        <f>SUMIF('Pre- and Production'!$T$4:$T$532, CONCATENATE(LEFT('WBS Summary by Year'!M$6,1),'WBS Summary by Year'!$C157,'WBS Summary by Year'!$B$124),'Pre- and Production'!AQ$4:AQ$532)</f>
        <v>0</v>
      </c>
      <c r="N157" s="298">
        <f>SUMIF('Pre- and Production'!$T$4:$T$532, CONCATENATE(LEFT('WBS Summary by Year'!N$6,1),'WBS Summary by Year'!$C157,'WBS Summary by Year'!$B$124),'Pre- and Production'!AH$4:AH$532)</f>
        <v>0</v>
      </c>
      <c r="O157" s="299">
        <f>SUMIF('Pre- and Production'!$T$4:$T$532, CONCATENATE(LEFT('WBS Summary by Year'!O$6,1),'WBS Summary by Year'!$C157,'WBS Summary by Year'!$B$124),'Pre- and Production'!AR$4:AR$532)</f>
        <v>0</v>
      </c>
    </row>
    <row r="158" spans="3:15">
      <c r="C158" s="9" t="s">
        <v>237</v>
      </c>
      <c r="D158" s="26">
        <f>SUMIF('Pre- and Production'!$T$4:$T$532, CONCATENATE(LEFT('WBS Summary by Year'!D$6,1),'WBS Summary by Year'!$C158,'WBS Summary by Year'!$B$124),'Pre- and Production'!AC$4:AC$532)</f>
        <v>0</v>
      </c>
      <c r="E158" s="286">
        <f>SUMIF('Pre- and Production'!$T$4:$T$532, CONCATENATE(LEFT('WBS Summary by Year'!E$6,1),'WBS Summary by Year'!$C158,'WBS Summary by Year'!$B$124),'Pre- and Production'!AM$4:AM$532)</f>
        <v>0</v>
      </c>
      <c r="F158" s="26">
        <f>SUMIF('Pre- and Production'!$T$4:$T$532, CONCATENATE(LEFT('WBS Summary by Year'!F$6,1),'WBS Summary by Year'!$C158,'WBS Summary by Year'!$B$124),'Pre- and Production'!AD$4:AD$532)</f>
        <v>0</v>
      </c>
      <c r="G158" s="279">
        <f>SUMIF('Pre- and Production'!$T$4:$T$532, CONCATENATE(LEFT('WBS Summary by Year'!G$6,1),'WBS Summary by Year'!$C158,'WBS Summary by Year'!$B$124),'Pre- and Production'!AN$4:AN$532)</f>
        <v>0</v>
      </c>
      <c r="H158" s="290">
        <f>SUMIF('Pre- and Production'!$T$4:$T$532, CONCATENATE(LEFT('WBS Summary by Year'!H$6,1),'WBS Summary by Year'!$C158,'WBS Summary by Year'!$B$124),'Pre- and Production'!AE$4:AE$532)</f>
        <v>0</v>
      </c>
      <c r="I158" s="286">
        <f>SUMIF('Pre- and Production'!$T$4:$T$532, CONCATENATE(LEFT('WBS Summary by Year'!I$6,1),'WBS Summary by Year'!$C158,'WBS Summary by Year'!$B$124),'Pre- and Production'!AO$4:AO$532)</f>
        <v>0</v>
      </c>
      <c r="J158" s="26">
        <f>SUMIF('Pre- and Production'!$T$4:$T$532, CONCATENATE(LEFT('WBS Summary by Year'!J$6,1),'WBS Summary by Year'!$C158,'WBS Summary by Year'!$B$124),'Pre- and Production'!AF$4:AFI$532)</f>
        <v>0</v>
      </c>
      <c r="K158" s="279">
        <f>SUMIF('Pre- and Production'!$T$4:$T$532, CONCATENATE(LEFT('WBS Summary by Year'!K$6,1),'WBS Summary by Year'!$C158,'WBS Summary by Year'!$B$124),'Pre- and Production'!AP$4:AP$532)</f>
        <v>0</v>
      </c>
      <c r="L158" s="290">
        <f>SUMIF('Pre- and Production'!$T$4:$T$532, CONCATENATE(LEFT('WBS Summary by Year'!L$6,1),'WBS Summary by Year'!$C158,'WBS Summary by Year'!$B$124),'Pre- and Production'!AG$4:AG$532)</f>
        <v>0</v>
      </c>
      <c r="M158" s="286">
        <f>SUMIF('Pre- and Production'!$T$4:$T$532, CONCATENATE(LEFT('WBS Summary by Year'!M$6,1),'WBS Summary by Year'!$C158,'WBS Summary by Year'!$B$124),'Pre- and Production'!AQ$4:AQ$532)</f>
        <v>0</v>
      </c>
      <c r="N158" s="298">
        <f>SUMIF('Pre- and Production'!$T$4:$T$532, CONCATENATE(LEFT('WBS Summary by Year'!N$6,1),'WBS Summary by Year'!$C158,'WBS Summary by Year'!$B$124),'Pre- and Production'!AH$4:AH$532)</f>
        <v>0</v>
      </c>
      <c r="O158" s="299">
        <f>SUMIF('Pre- and Production'!$T$4:$T$532, CONCATENATE(LEFT('WBS Summary by Year'!O$6,1),'WBS Summary by Year'!$C158,'WBS Summary by Year'!$B$124),'Pre- and Production'!AR$4:AR$532)</f>
        <v>0</v>
      </c>
    </row>
    <row r="159" spans="3:15" ht="13.5" thickBot="1">
      <c r="C159" s="9" t="s">
        <v>238</v>
      </c>
      <c r="D159" s="280">
        <f>SUMIF('Pre- and Production'!$T$4:$T$532, CONCATENATE(LEFT('WBS Summary by Year'!D$6,1),'WBS Summary by Year'!$C159,'WBS Summary by Year'!$B$124),'Pre- and Production'!AC$4:AC$532)</f>
        <v>0</v>
      </c>
      <c r="E159" s="287">
        <f>SUMIF('Pre- and Production'!$T$4:$T$532, CONCATENATE(LEFT('WBS Summary by Year'!E$6,1),'WBS Summary by Year'!$C159,'WBS Summary by Year'!$B$124),'Pre- and Production'!AM$4:AM$532)</f>
        <v>80</v>
      </c>
      <c r="F159" s="280">
        <f>SUMIF('Pre- and Production'!$T$4:$T$532, CONCATENATE(LEFT('WBS Summary by Year'!F$6,1),'WBS Summary by Year'!$C159,'WBS Summary by Year'!$B$124),'Pre- and Production'!AD$4:AD$532)</f>
        <v>80</v>
      </c>
      <c r="G159" s="281">
        <f>SUMIF('Pre- and Production'!$T$4:$T$532, CONCATENATE(LEFT('WBS Summary by Year'!G$6,1),'WBS Summary by Year'!$C159,'WBS Summary by Year'!$B$124),'Pre- and Production'!AN$4:AN$532)</f>
        <v>0</v>
      </c>
      <c r="H159" s="291">
        <f>SUMIF('Pre- and Production'!$T$4:$T$532, CONCATENATE(LEFT('WBS Summary by Year'!H$6,1),'WBS Summary by Year'!$C159,'WBS Summary by Year'!$B$124),'Pre- and Production'!AE$4:AE$532)</f>
        <v>0</v>
      </c>
      <c r="I159" s="287">
        <f>SUMIF('Pre- and Production'!$T$4:$T$532, CONCATENATE(LEFT('WBS Summary by Year'!I$6,1),'WBS Summary by Year'!$C159,'WBS Summary by Year'!$B$124),'Pre- and Production'!AO$4:AO$532)</f>
        <v>0</v>
      </c>
      <c r="J159" s="280">
        <f>SUMIF('Pre- and Production'!$T$4:$T$532, CONCATENATE(LEFT('WBS Summary by Year'!J$6,1),'WBS Summary by Year'!$C159,'WBS Summary by Year'!$B$124),'Pre- and Production'!AF$4:AFI$532)</f>
        <v>40</v>
      </c>
      <c r="K159" s="281">
        <f>SUMIF('Pre- and Production'!$T$4:$T$532, CONCATENATE(LEFT('WBS Summary by Year'!K$6,1),'WBS Summary by Year'!$C159,'WBS Summary by Year'!$B$124),'Pre- and Production'!AP$4:AP$532)</f>
        <v>48</v>
      </c>
      <c r="L159" s="291">
        <f>SUMIF('Pre- and Production'!$T$4:$T$532, CONCATENATE(LEFT('WBS Summary by Year'!L$6,1),'WBS Summary by Year'!$C159,'WBS Summary by Year'!$B$124),'Pre- and Production'!AG$4:AG$532)</f>
        <v>0</v>
      </c>
      <c r="M159" s="287">
        <f>SUMIF('Pre- and Production'!$T$4:$T$532, CONCATENATE(LEFT('WBS Summary by Year'!M$6,1),'WBS Summary by Year'!$C159,'WBS Summary by Year'!$B$124),'Pre- and Production'!AQ$4:AQ$532)</f>
        <v>0</v>
      </c>
      <c r="N159" s="300">
        <f>SUMIF('Pre- and Production'!$T$4:$T$532, CONCATENATE(LEFT('WBS Summary by Year'!N$6,1),'WBS Summary by Year'!$C159,'WBS Summary by Year'!$B$124),'Pre- and Production'!AH$4:AH$532)</f>
        <v>0</v>
      </c>
      <c r="O159" s="301">
        <f>SUMIF('Pre- and Production'!$T$4:$T$532, CONCATENATE(LEFT('WBS Summary by Year'!O$6,1),'WBS Summary by Year'!$C159,'WBS Summary by Year'!$B$124),'Pre- and Production'!AR$4:AR$532)</f>
        <v>1600</v>
      </c>
    </row>
    <row r="160" spans="3:15" ht="13.5" thickTop="1"/>
    <row r="161" spans="2:15">
      <c r="D161">
        <f t="shared" ref="D161:O161" si="3">SUM(D127:D159)</f>
        <v>328</v>
      </c>
      <c r="E161">
        <f t="shared" si="3"/>
        <v>268</v>
      </c>
      <c r="F161">
        <f t="shared" si="3"/>
        <v>1815</v>
      </c>
      <c r="G161">
        <f t="shared" si="3"/>
        <v>598</v>
      </c>
      <c r="H161">
        <f t="shared" si="3"/>
        <v>40</v>
      </c>
      <c r="I161">
        <f t="shared" si="3"/>
        <v>8</v>
      </c>
      <c r="J161">
        <f t="shared" si="3"/>
        <v>568</v>
      </c>
      <c r="K161">
        <f t="shared" si="3"/>
        <v>247</v>
      </c>
      <c r="L161">
        <f t="shared" si="3"/>
        <v>0</v>
      </c>
      <c r="M161">
        <f t="shared" si="3"/>
        <v>0</v>
      </c>
      <c r="N161" s="293">
        <f t="shared" si="3"/>
        <v>132765</v>
      </c>
      <c r="O161" s="293">
        <f t="shared" si="3"/>
        <v>122997.5</v>
      </c>
    </row>
    <row r="164" spans="2:15" ht="18.75" thickBot="1">
      <c r="B164" s="292">
        <v>2013</v>
      </c>
    </row>
    <row r="165" spans="2:15" ht="13.5" thickTop="1">
      <c r="D165" s="441" t="s">
        <v>42</v>
      </c>
      <c r="E165" s="442"/>
      <c r="F165" s="441" t="s">
        <v>191</v>
      </c>
      <c r="G165" s="443"/>
      <c r="H165" s="444" t="s">
        <v>38</v>
      </c>
      <c r="I165" s="442"/>
      <c r="J165" s="441" t="s">
        <v>192</v>
      </c>
      <c r="K165" s="443"/>
      <c r="L165" s="444" t="s">
        <v>32</v>
      </c>
      <c r="M165" s="442"/>
      <c r="N165" s="439" t="s">
        <v>193</v>
      </c>
      <c r="O165" s="440"/>
    </row>
    <row r="166" spans="2:15" ht="13.5" thickBot="1">
      <c r="D166" s="282" t="s">
        <v>70</v>
      </c>
      <c r="E166" s="284" t="s">
        <v>194</v>
      </c>
      <c r="F166" s="282" t="s">
        <v>70</v>
      </c>
      <c r="G166" s="283" t="s">
        <v>194</v>
      </c>
      <c r="H166" s="288" t="s">
        <v>70</v>
      </c>
      <c r="I166" s="284" t="s">
        <v>194</v>
      </c>
      <c r="J166" s="282" t="s">
        <v>70</v>
      </c>
      <c r="K166" s="283" t="s">
        <v>194</v>
      </c>
      <c r="L166" s="288" t="s">
        <v>70</v>
      </c>
      <c r="M166" s="284" t="s">
        <v>194</v>
      </c>
      <c r="N166" s="294" t="s">
        <v>70</v>
      </c>
      <c r="O166" s="295" t="s">
        <v>194</v>
      </c>
    </row>
    <row r="167" spans="2:15" ht="13.5" thickTop="1">
      <c r="C167" s="223">
        <v>1.5</v>
      </c>
      <c r="D167" s="277">
        <f>SUMIF('Pre- and Production'!$T$4:$T$532, CONCATENATE(LEFT('WBS Summary by Year'!D$6,1),'WBS Summary by Year'!$C167,'WBS Summary by Year'!$B$164),'Pre- and Production'!AC$4:AC$532)</f>
        <v>0</v>
      </c>
      <c r="E167" s="285">
        <f>SUMIF('Pre- and Production'!$T$4:$T$532, CONCATENATE(LEFT('WBS Summary by Year'!E$6,1),'WBS Summary by Year'!$C167,'WBS Summary by Year'!$B$164),'Pre- and Production'!AM$4:AM$532)</f>
        <v>0</v>
      </c>
      <c r="F167" s="277">
        <f>SUMIF('Pre- and Production'!$T$4:$T$532, CONCATENATE(LEFT('WBS Summary by Year'!F$6,1),'WBS Summary by Year'!$C167,'WBS Summary by Year'!$B$164),'Pre- and Production'!AD$4:AD$532)</f>
        <v>0</v>
      </c>
      <c r="G167" s="278">
        <f>SUMIF('Pre- and Production'!$T$4:$T$532, CONCATENATE(LEFT('WBS Summary by Year'!G$6,1),'WBS Summary by Year'!$C167,'WBS Summary by Year'!$B$164),'Pre- and Production'!AN$4:AN$532)</f>
        <v>0</v>
      </c>
      <c r="H167" s="289">
        <f>SUMIF('Pre- and Production'!$T$4:$T$532, CONCATENATE(LEFT('WBS Summary by Year'!H$6,1),'WBS Summary by Year'!$C167,'WBS Summary by Year'!$B$164),'Pre- and Production'!AE$4:AE$532)</f>
        <v>0</v>
      </c>
      <c r="I167" s="285">
        <f>SUMIF('Pre- and Production'!$T$4:$T$532, CONCATENATE(LEFT('WBS Summary by Year'!I$6,1),'WBS Summary by Year'!$C167,'WBS Summary by Year'!$B$164),'Pre- and Production'!AO$4:AO$532)</f>
        <v>0</v>
      </c>
      <c r="J167" s="277">
        <f>SUMIF('Pre- and Production'!$T$4:$T$532, CONCATENATE(LEFT('WBS Summary by Year'!J$6,1),'WBS Summary by Year'!$C167,'WBS Summary by Year'!$B$164),'Pre- and Production'!AF$4:AFI$532)</f>
        <v>0</v>
      </c>
      <c r="K167" s="278">
        <f>SUMIF('Pre- and Production'!$T$4:$T$532, CONCATENATE(LEFT('WBS Summary by Year'!K$6,1),'WBS Summary by Year'!$C167,'WBS Summary by Year'!$B$164),'Pre- and Production'!AP$4:AP$532)</f>
        <v>0</v>
      </c>
      <c r="L167" s="289">
        <f>SUMIF('Pre- and Production'!$T$4:$T$532, CONCATENATE(LEFT('WBS Summary by Year'!L$6,1),'WBS Summary by Year'!$C167,'WBS Summary by Year'!$B$164),'Pre- and Production'!AG$4:AG$532)</f>
        <v>0</v>
      </c>
      <c r="M167" s="285">
        <f>SUMIF('Pre- and Production'!$T$4:$T$532, CONCATENATE(LEFT('WBS Summary by Year'!M$6,1),'WBS Summary by Year'!$C167,'WBS Summary by Year'!$B$164),'Pre- and Production'!AQ$4:AQ$532)</f>
        <v>0</v>
      </c>
      <c r="N167" s="296">
        <f>SUMIF('Pre- and Production'!$T$4:$T$532, CONCATENATE(LEFT('WBS Summary by Year'!N$6,1),'WBS Summary by Year'!$C167,'WBS Summary by Year'!$B$164),'Pre- and Production'!AH$4:AH$532)</f>
        <v>0</v>
      </c>
      <c r="O167" s="297">
        <f>SUMIF('Pre- and Production'!$T$4:$T$532, CONCATENATE(LEFT('WBS Summary by Year'!O$6,1),'WBS Summary by Year'!$C167,'WBS Summary by Year'!$B$164),'Pre- and Production'!AR$4:AR$532)</f>
        <v>0</v>
      </c>
    </row>
    <row r="168" spans="2:15">
      <c r="C168" s="9" t="s">
        <v>195</v>
      </c>
      <c r="D168" s="26">
        <f>SUMIF('Pre- and Production'!$T$4:$T$532, CONCATENATE(LEFT('WBS Summary by Year'!D$6,1),'WBS Summary by Year'!$C168,'WBS Summary by Year'!$B$164),'Pre- and Production'!AC$4:AC$532)</f>
        <v>0</v>
      </c>
      <c r="E168" s="286">
        <f>SUMIF('Pre- and Production'!$T$4:$T$532, CONCATENATE(LEFT('WBS Summary by Year'!E$6,1),'WBS Summary by Year'!$C168,'WBS Summary by Year'!$B$164),'Pre- and Production'!AM$4:AM$532)</f>
        <v>0</v>
      </c>
      <c r="F168" s="26">
        <f>SUMIF('Pre- and Production'!$T$4:$T$532, CONCATENATE(LEFT('WBS Summary by Year'!F$6,1),'WBS Summary by Year'!$C168,'WBS Summary by Year'!$B$164),'Pre- and Production'!AD$4:AD$532)</f>
        <v>0</v>
      </c>
      <c r="G168" s="279">
        <f>SUMIF('Pre- and Production'!$T$4:$T$532, CONCATENATE(LEFT('WBS Summary by Year'!G$6,1),'WBS Summary by Year'!$C168,'WBS Summary by Year'!$B$164),'Pre- and Production'!AN$4:AN$532)</f>
        <v>0</v>
      </c>
      <c r="H168" s="290">
        <f>SUMIF('Pre- and Production'!$T$4:$T$532, CONCATENATE(LEFT('WBS Summary by Year'!H$6,1),'WBS Summary by Year'!$C168,'WBS Summary by Year'!$B$164),'Pre- and Production'!AE$4:AE$532)</f>
        <v>0</v>
      </c>
      <c r="I168" s="286">
        <f>SUMIF('Pre- and Production'!$T$4:$T$532, CONCATENATE(LEFT('WBS Summary by Year'!I$6,1),'WBS Summary by Year'!$C168,'WBS Summary by Year'!$B$164),'Pre- and Production'!AO$4:AO$532)</f>
        <v>0</v>
      </c>
      <c r="J168" s="26">
        <f>SUMIF('Pre- and Production'!$T$4:$T$532, CONCATENATE(LEFT('WBS Summary by Year'!J$6,1),'WBS Summary by Year'!$C168,'WBS Summary by Year'!$B$164),'Pre- and Production'!AF$4:AFI$532)</f>
        <v>0</v>
      </c>
      <c r="K168" s="279">
        <f>SUMIF('Pre- and Production'!$T$4:$T$532, CONCATENATE(LEFT('WBS Summary by Year'!K$6,1),'WBS Summary by Year'!$C168,'WBS Summary by Year'!$B$164),'Pre- and Production'!AP$4:AP$532)</f>
        <v>0</v>
      </c>
      <c r="L168" s="290">
        <f>SUMIF('Pre- and Production'!$T$4:$T$532, CONCATENATE(LEFT('WBS Summary by Year'!L$6,1),'WBS Summary by Year'!$C168,'WBS Summary by Year'!$B$164),'Pre- and Production'!AG$4:AG$532)</f>
        <v>0</v>
      </c>
      <c r="M168" s="286">
        <f>SUMIF('Pre- and Production'!$T$4:$T$532, CONCATENATE(LEFT('WBS Summary by Year'!M$6,1),'WBS Summary by Year'!$C168,'WBS Summary by Year'!$B$164),'Pre- and Production'!AQ$4:AQ$532)</f>
        <v>0</v>
      </c>
      <c r="N168" s="298">
        <f>SUMIF('Pre- and Production'!$T$4:$T$532, CONCATENATE(LEFT('WBS Summary by Year'!N$6,1),'WBS Summary by Year'!$C168,'WBS Summary by Year'!$B$164),'Pre- and Production'!AH$4:AH$532)</f>
        <v>0</v>
      </c>
      <c r="O168" s="299">
        <f>SUMIF('Pre- and Production'!$T$4:$T$532, CONCATENATE(LEFT('WBS Summary by Year'!O$6,1),'WBS Summary by Year'!$C168,'WBS Summary by Year'!$B$164),'Pre- and Production'!AR$4:AR$532)</f>
        <v>0</v>
      </c>
    </row>
    <row r="169" spans="2:15" s="302" customFormat="1">
      <c r="C169" s="9" t="s">
        <v>198</v>
      </c>
      <c r="D169" s="26">
        <f>SUMIF('Pre- and Production'!$T$4:$T$532, CONCATENATE(LEFT('WBS Summary by Year'!D$6,1),'WBS Summary by Year'!$C169,'WBS Summary by Year'!$B$164),'Pre- and Production'!AC$4:AC$532)</f>
        <v>0</v>
      </c>
      <c r="E169" s="286">
        <f>SUMIF('Pre- and Production'!$T$4:$T$532, CONCATENATE(LEFT('WBS Summary by Year'!E$6,1),'WBS Summary by Year'!$C169,'WBS Summary by Year'!$B$164),'Pre- and Production'!AM$4:AM$532)</f>
        <v>0</v>
      </c>
      <c r="F169" s="26">
        <f>SUMIF('Pre- and Production'!$T$4:$T$532, CONCATENATE(LEFT('WBS Summary by Year'!F$6,1),'WBS Summary by Year'!$C169,'WBS Summary by Year'!$B$164),'Pre- and Production'!AD$4:AD$532)</f>
        <v>0</v>
      </c>
      <c r="G169" s="279">
        <f>SUMIF('Pre- and Production'!$T$4:$T$532, CONCATENATE(LEFT('WBS Summary by Year'!G$6,1),'WBS Summary by Year'!$C169,'WBS Summary by Year'!$B$164),'Pre- and Production'!AN$4:AN$532)</f>
        <v>0</v>
      </c>
      <c r="H169" s="290">
        <f>SUMIF('Pre- and Production'!$T$4:$T$532, CONCATENATE(LEFT('WBS Summary by Year'!H$6,1),'WBS Summary by Year'!$C169,'WBS Summary by Year'!$B$164),'Pre- and Production'!AE$4:AE$532)</f>
        <v>0</v>
      </c>
      <c r="I169" s="286">
        <f>SUMIF('Pre- and Production'!$T$4:$T$532, CONCATENATE(LEFT('WBS Summary by Year'!I$6,1),'WBS Summary by Year'!$C169,'WBS Summary by Year'!$B$164),'Pre- and Production'!AO$4:AO$532)</f>
        <v>0</v>
      </c>
      <c r="J169" s="26">
        <f>SUMIF('Pre- and Production'!$T$4:$T$532, CONCATENATE(LEFT('WBS Summary by Year'!J$6,1),'WBS Summary by Year'!$C169,'WBS Summary by Year'!$B$164),'Pre- and Production'!AF$4:AFI$532)</f>
        <v>0</v>
      </c>
      <c r="K169" s="279">
        <f>SUMIF('Pre- and Production'!$T$4:$T$532, CONCATENATE(LEFT('WBS Summary by Year'!K$6,1),'WBS Summary by Year'!$C169,'WBS Summary by Year'!$B$164),'Pre- and Production'!AP$4:AP$532)</f>
        <v>0</v>
      </c>
      <c r="L169" s="290">
        <f>SUMIF('Pre- and Production'!$T$4:$T$532, CONCATENATE(LEFT('WBS Summary by Year'!L$6,1),'WBS Summary by Year'!$C169,'WBS Summary by Year'!$B$164),'Pre- and Production'!AG$4:AG$532)</f>
        <v>0</v>
      </c>
      <c r="M169" s="286">
        <f>SUMIF('Pre- and Production'!$T$4:$T$532, CONCATENATE(LEFT('WBS Summary by Year'!M$6,1),'WBS Summary by Year'!$C169,'WBS Summary by Year'!$B$164),'Pre- and Production'!AQ$4:AQ$532)</f>
        <v>0</v>
      </c>
      <c r="N169" s="298">
        <f>SUMIF('Pre- and Production'!$T$4:$T$532, CONCATENATE(LEFT('WBS Summary by Year'!N$6,1),'WBS Summary by Year'!$C169,'WBS Summary by Year'!$B$164),'Pre- and Production'!AH$4:AH$532)</f>
        <v>0</v>
      </c>
      <c r="O169" s="299">
        <f>SUMIF('Pre- and Production'!$T$4:$T$532, CONCATENATE(LEFT('WBS Summary by Year'!O$6,1),'WBS Summary by Year'!$C169,'WBS Summary by Year'!$B$164),'Pre- and Production'!AR$4:AR$532)</f>
        <v>0</v>
      </c>
    </row>
    <row r="170" spans="2:15" s="302" customFormat="1">
      <c r="C170" s="9" t="s">
        <v>200</v>
      </c>
      <c r="D170" s="26">
        <f>SUMIF('Pre- and Production'!$T$4:$T$532, CONCATENATE(LEFT('WBS Summary by Year'!D$6,1),'WBS Summary by Year'!$C170,'WBS Summary by Year'!$B$164),'Pre- and Production'!AC$4:AC$532)</f>
        <v>0</v>
      </c>
      <c r="E170" s="286">
        <f>SUMIF('Pre- and Production'!$T$4:$T$532, CONCATENATE(LEFT('WBS Summary by Year'!E$6,1),'WBS Summary by Year'!$C170,'WBS Summary by Year'!$B$164),'Pre- and Production'!AM$4:AM$532)</f>
        <v>0</v>
      </c>
      <c r="F170" s="26">
        <f>SUMIF('Pre- and Production'!$T$4:$T$532, CONCATENATE(LEFT('WBS Summary by Year'!F$6,1),'WBS Summary by Year'!$C170,'WBS Summary by Year'!$B$164),'Pre- and Production'!AD$4:AD$532)</f>
        <v>0</v>
      </c>
      <c r="G170" s="279">
        <f>SUMIF('Pre- and Production'!$T$4:$T$532, CONCATENATE(LEFT('WBS Summary by Year'!G$6,1),'WBS Summary by Year'!$C170,'WBS Summary by Year'!$B$164),'Pre- and Production'!AN$4:AN$532)</f>
        <v>0</v>
      </c>
      <c r="H170" s="290">
        <f>SUMIF('Pre- and Production'!$T$4:$T$532, CONCATENATE(LEFT('WBS Summary by Year'!H$6,1),'WBS Summary by Year'!$C170,'WBS Summary by Year'!$B$164),'Pre- and Production'!AE$4:AE$532)</f>
        <v>0</v>
      </c>
      <c r="I170" s="286">
        <f>SUMIF('Pre- and Production'!$T$4:$T$532, CONCATENATE(LEFT('WBS Summary by Year'!I$6,1),'WBS Summary by Year'!$C170,'WBS Summary by Year'!$B$164),'Pre- and Production'!AO$4:AO$532)</f>
        <v>0</v>
      </c>
      <c r="J170" s="26">
        <f>SUMIF('Pre- and Production'!$T$4:$T$532, CONCATENATE(LEFT('WBS Summary by Year'!J$6,1),'WBS Summary by Year'!$C170,'WBS Summary by Year'!$B$164),'Pre- and Production'!AF$4:AFI$532)</f>
        <v>0</v>
      </c>
      <c r="K170" s="279">
        <f>SUMIF('Pre- and Production'!$T$4:$T$532, CONCATENATE(LEFT('WBS Summary by Year'!K$6,1),'WBS Summary by Year'!$C170,'WBS Summary by Year'!$B$164),'Pre- and Production'!AP$4:AP$532)</f>
        <v>0</v>
      </c>
      <c r="L170" s="290">
        <f>SUMIF('Pre- and Production'!$T$4:$T$532, CONCATENATE(LEFT('WBS Summary by Year'!L$6,1),'WBS Summary by Year'!$C170,'WBS Summary by Year'!$B$164),'Pre- and Production'!AG$4:AG$532)</f>
        <v>0</v>
      </c>
      <c r="M170" s="286">
        <f>SUMIF('Pre- and Production'!$T$4:$T$532, CONCATENATE(LEFT('WBS Summary by Year'!M$6,1),'WBS Summary by Year'!$C170,'WBS Summary by Year'!$B$164),'Pre- and Production'!AQ$4:AQ$532)</f>
        <v>0</v>
      </c>
      <c r="N170" s="298">
        <f>SUMIF('Pre- and Production'!$T$4:$T$532, CONCATENATE(LEFT('WBS Summary by Year'!N$6,1),'WBS Summary by Year'!$C170,'WBS Summary by Year'!$B$164),'Pre- and Production'!AH$4:AH$532)</f>
        <v>0</v>
      </c>
      <c r="O170" s="299">
        <f>SUMIF('Pre- and Production'!$T$4:$T$532, CONCATENATE(LEFT('WBS Summary by Year'!O$6,1),'WBS Summary by Year'!$C170,'WBS Summary by Year'!$B$164),'Pre- and Production'!AR$4:AR$532)</f>
        <v>0</v>
      </c>
    </row>
    <row r="171" spans="2:15" s="302" customFormat="1">
      <c r="C171" s="9" t="s">
        <v>202</v>
      </c>
      <c r="D171" s="26">
        <f>SUMIF('Pre- and Production'!$T$4:$T$532, CONCATENATE(LEFT('WBS Summary by Year'!D$6,1),'WBS Summary by Year'!$C171,'WBS Summary by Year'!$B$164),'Pre- and Production'!AC$4:AC$532)</f>
        <v>0</v>
      </c>
      <c r="E171" s="286">
        <f>SUMIF('Pre- and Production'!$T$4:$T$532, CONCATENATE(LEFT('WBS Summary by Year'!E$6,1),'WBS Summary by Year'!$C171,'WBS Summary by Year'!$B$164),'Pre- and Production'!AM$4:AM$532)</f>
        <v>0</v>
      </c>
      <c r="F171" s="26">
        <f>SUMIF('Pre- and Production'!$T$4:$T$532, CONCATENATE(LEFT('WBS Summary by Year'!F$6,1),'WBS Summary by Year'!$C171,'WBS Summary by Year'!$B$164),'Pre- and Production'!AD$4:AD$532)</f>
        <v>0</v>
      </c>
      <c r="G171" s="279">
        <f>SUMIF('Pre- and Production'!$T$4:$T$532, CONCATENATE(LEFT('WBS Summary by Year'!G$6,1),'WBS Summary by Year'!$C171,'WBS Summary by Year'!$B$164),'Pre- and Production'!AN$4:AN$532)</f>
        <v>0</v>
      </c>
      <c r="H171" s="290">
        <f>SUMIF('Pre- and Production'!$T$4:$T$532, CONCATENATE(LEFT('WBS Summary by Year'!H$6,1),'WBS Summary by Year'!$C171,'WBS Summary by Year'!$B$164),'Pre- and Production'!AE$4:AE$532)</f>
        <v>0</v>
      </c>
      <c r="I171" s="286">
        <f>SUMIF('Pre- and Production'!$T$4:$T$532, CONCATENATE(LEFT('WBS Summary by Year'!I$6,1),'WBS Summary by Year'!$C171,'WBS Summary by Year'!$B$164),'Pre- and Production'!AO$4:AO$532)</f>
        <v>0</v>
      </c>
      <c r="J171" s="26">
        <f>SUMIF('Pre- and Production'!$T$4:$T$532, CONCATENATE(LEFT('WBS Summary by Year'!J$6,1),'WBS Summary by Year'!$C171,'WBS Summary by Year'!$B$164),'Pre- and Production'!AF$4:AFI$532)</f>
        <v>0</v>
      </c>
      <c r="K171" s="279">
        <f>SUMIF('Pre- and Production'!$T$4:$T$532, CONCATENATE(LEFT('WBS Summary by Year'!K$6,1),'WBS Summary by Year'!$C171,'WBS Summary by Year'!$B$164),'Pre- and Production'!AP$4:AP$532)</f>
        <v>0</v>
      </c>
      <c r="L171" s="290">
        <f>SUMIF('Pre- and Production'!$T$4:$T$532, CONCATENATE(LEFT('WBS Summary by Year'!L$6,1),'WBS Summary by Year'!$C171,'WBS Summary by Year'!$B$164),'Pre- and Production'!AG$4:AG$532)</f>
        <v>0</v>
      </c>
      <c r="M171" s="286">
        <f>SUMIF('Pre- and Production'!$T$4:$T$532, CONCATENATE(LEFT('WBS Summary by Year'!M$6,1),'WBS Summary by Year'!$C171,'WBS Summary by Year'!$B$164),'Pre- and Production'!AQ$4:AQ$532)</f>
        <v>0</v>
      </c>
      <c r="N171" s="298">
        <f>SUMIF('Pre- and Production'!$T$4:$T$532, CONCATENATE(LEFT('WBS Summary by Year'!N$6,1),'WBS Summary by Year'!$C171,'WBS Summary by Year'!$B$164),'Pre- and Production'!AH$4:AH$532)</f>
        <v>0</v>
      </c>
      <c r="O171" s="299">
        <f>SUMIF('Pre- and Production'!$T$4:$T$532, CONCATENATE(LEFT('WBS Summary by Year'!O$6,1),'WBS Summary by Year'!$C171,'WBS Summary by Year'!$B$164),'Pre- and Production'!AR$4:AR$532)</f>
        <v>0</v>
      </c>
    </row>
    <row r="172" spans="2:15" s="302" customFormat="1">
      <c r="C172" s="9" t="s">
        <v>204</v>
      </c>
      <c r="D172" s="26">
        <f>SUMIF('Pre- and Production'!$T$4:$T$532, CONCATENATE(LEFT('WBS Summary by Year'!D$6,1),'WBS Summary by Year'!$C172,'WBS Summary by Year'!$B$164),'Pre- and Production'!AC$4:AC$532)</f>
        <v>0</v>
      </c>
      <c r="E172" s="286">
        <f>SUMIF('Pre- and Production'!$T$4:$T$532, CONCATENATE(LEFT('WBS Summary by Year'!E$6,1),'WBS Summary by Year'!$C172,'WBS Summary by Year'!$B$164),'Pre- and Production'!AM$4:AM$532)</f>
        <v>0</v>
      </c>
      <c r="F172" s="26">
        <f>SUMIF('Pre- and Production'!$T$4:$T$532, CONCATENATE(LEFT('WBS Summary by Year'!F$6,1),'WBS Summary by Year'!$C172,'WBS Summary by Year'!$B$164),'Pre- and Production'!AD$4:AD$532)</f>
        <v>208</v>
      </c>
      <c r="G172" s="279">
        <f>SUMIF('Pre- and Production'!$T$4:$T$532, CONCATENATE(LEFT('WBS Summary by Year'!G$6,1),'WBS Summary by Year'!$C172,'WBS Summary by Year'!$B$164),'Pre- and Production'!AN$4:AN$532)</f>
        <v>296</v>
      </c>
      <c r="H172" s="290">
        <f>SUMIF('Pre- and Production'!$T$4:$T$532, CONCATENATE(LEFT('WBS Summary by Year'!H$6,1),'WBS Summary by Year'!$C172,'WBS Summary by Year'!$B$164),'Pre- and Production'!AE$4:AE$532)</f>
        <v>48</v>
      </c>
      <c r="I172" s="286">
        <f>SUMIF('Pre- and Production'!$T$4:$T$532, CONCATENATE(LEFT('WBS Summary by Year'!I$6,1),'WBS Summary by Year'!$C172,'WBS Summary by Year'!$B$164),'Pre- and Production'!AO$4:AO$532)</f>
        <v>24</v>
      </c>
      <c r="J172" s="26">
        <f>SUMIF('Pre- and Production'!$T$4:$T$532, CONCATENATE(LEFT('WBS Summary by Year'!J$6,1),'WBS Summary by Year'!$C172,'WBS Summary by Year'!$B$164),'Pre- and Production'!AF$4:AFI$532)</f>
        <v>64</v>
      </c>
      <c r="K172" s="279">
        <f>SUMIF('Pre- and Production'!$T$4:$T$532, CONCATENATE(LEFT('WBS Summary by Year'!K$6,1),'WBS Summary by Year'!$C172,'WBS Summary by Year'!$B$164),'Pre- and Production'!AP$4:AP$532)</f>
        <v>80</v>
      </c>
      <c r="L172" s="290">
        <f>SUMIF('Pre- and Production'!$T$4:$T$532, CONCATENATE(LEFT('WBS Summary by Year'!L$6,1),'WBS Summary by Year'!$C172,'WBS Summary by Year'!$B$164),'Pre- and Production'!AG$4:AG$532)</f>
        <v>0</v>
      </c>
      <c r="M172" s="286">
        <f>SUMIF('Pre- and Production'!$T$4:$T$532, CONCATENATE(LEFT('WBS Summary by Year'!M$6,1),'WBS Summary by Year'!$C172,'WBS Summary by Year'!$B$164),'Pre- and Production'!AQ$4:AQ$532)</f>
        <v>0</v>
      </c>
      <c r="N172" s="298">
        <f>SUMIF('Pre- and Production'!$T$4:$T$532, CONCATENATE(LEFT('WBS Summary by Year'!N$6,1),'WBS Summary by Year'!$C172,'WBS Summary by Year'!$B$164),'Pre- and Production'!AH$4:AH$532)</f>
        <v>0</v>
      </c>
      <c r="O172" s="299">
        <f>SUMIF('Pre- and Production'!$T$4:$T$532, CONCATENATE(LEFT('WBS Summary by Year'!O$6,1),'WBS Summary by Year'!$C172,'WBS Summary by Year'!$B$164),'Pre- and Production'!AR$4:AR$532)</f>
        <v>2310</v>
      </c>
    </row>
    <row r="173" spans="2:15" s="302" customFormat="1">
      <c r="C173" s="9" t="s">
        <v>206</v>
      </c>
      <c r="D173" s="26">
        <f>SUMIF('Pre- and Production'!$T$4:$T$532, CONCATENATE(LEFT('WBS Summary by Year'!D$6,1),'WBS Summary by Year'!$C173,'WBS Summary by Year'!$B$164),'Pre- and Production'!AC$4:AC$532)</f>
        <v>0</v>
      </c>
      <c r="E173" s="286">
        <f>SUMIF('Pre- and Production'!$T$4:$T$532, CONCATENATE(LEFT('WBS Summary by Year'!E$6,1),'WBS Summary by Year'!$C173,'WBS Summary by Year'!$B$164),'Pre- and Production'!AM$4:AM$532)</f>
        <v>0</v>
      </c>
      <c r="F173" s="26">
        <f>SUMIF('Pre- and Production'!$T$4:$T$532, CONCATENATE(LEFT('WBS Summary by Year'!F$6,1),'WBS Summary by Year'!$C173,'WBS Summary by Year'!$B$164),'Pre- and Production'!AD$4:AD$532)</f>
        <v>0</v>
      </c>
      <c r="G173" s="279">
        <f>SUMIF('Pre- and Production'!$T$4:$T$532, CONCATENATE(LEFT('WBS Summary by Year'!G$6,1),'WBS Summary by Year'!$C173,'WBS Summary by Year'!$B$164),'Pre- and Production'!AN$4:AN$532)</f>
        <v>0</v>
      </c>
      <c r="H173" s="290">
        <f>SUMIF('Pre- and Production'!$T$4:$T$532, CONCATENATE(LEFT('WBS Summary by Year'!H$6,1),'WBS Summary by Year'!$C173,'WBS Summary by Year'!$B$164),'Pre- and Production'!AE$4:AE$532)</f>
        <v>0</v>
      </c>
      <c r="I173" s="286">
        <f>SUMIF('Pre- and Production'!$T$4:$T$532, CONCATENATE(LEFT('WBS Summary by Year'!I$6,1),'WBS Summary by Year'!$C173,'WBS Summary by Year'!$B$164),'Pre- and Production'!AO$4:AO$532)</f>
        <v>0</v>
      </c>
      <c r="J173" s="26">
        <f>SUMIF('Pre- and Production'!$T$4:$T$532, CONCATENATE(LEFT('WBS Summary by Year'!J$6,1),'WBS Summary by Year'!$C173,'WBS Summary by Year'!$B$164),'Pre- and Production'!AF$4:AFI$532)</f>
        <v>0</v>
      </c>
      <c r="K173" s="279">
        <f>SUMIF('Pre- and Production'!$T$4:$T$532, CONCATENATE(LEFT('WBS Summary by Year'!K$6,1),'WBS Summary by Year'!$C173,'WBS Summary by Year'!$B$164),'Pre- and Production'!AP$4:AP$532)</f>
        <v>0</v>
      </c>
      <c r="L173" s="290">
        <f>SUMIF('Pre- and Production'!$T$4:$T$532, CONCATENATE(LEFT('WBS Summary by Year'!L$6,1),'WBS Summary by Year'!$C173,'WBS Summary by Year'!$B$164),'Pre- and Production'!AG$4:AG$532)</f>
        <v>0</v>
      </c>
      <c r="M173" s="286">
        <f>SUMIF('Pre- and Production'!$T$4:$T$532, CONCATENATE(LEFT('WBS Summary by Year'!M$6,1),'WBS Summary by Year'!$C173,'WBS Summary by Year'!$B$164),'Pre- and Production'!AQ$4:AQ$532)</f>
        <v>0</v>
      </c>
      <c r="N173" s="298">
        <f>SUMIF('Pre- and Production'!$T$4:$T$532, CONCATENATE(LEFT('WBS Summary by Year'!N$6,1),'WBS Summary by Year'!$C173,'WBS Summary by Year'!$B$164),'Pre- and Production'!AH$4:AH$532)</f>
        <v>0</v>
      </c>
      <c r="O173" s="299">
        <f>SUMIF('Pre- and Production'!$T$4:$T$532, CONCATENATE(LEFT('WBS Summary by Year'!O$6,1),'WBS Summary by Year'!$C173,'WBS Summary by Year'!$B$164),'Pre- and Production'!AR$4:AR$532)</f>
        <v>0</v>
      </c>
    </row>
    <row r="174" spans="2:15" s="302" customFormat="1">
      <c r="C174" s="9" t="s">
        <v>208</v>
      </c>
      <c r="D174" s="26">
        <f>SUMIF('Pre- and Production'!$T$4:$T$532, CONCATENATE(LEFT('WBS Summary by Year'!D$6,1),'WBS Summary by Year'!$C174,'WBS Summary by Year'!$B$164),'Pre- and Production'!AC$4:AC$532)</f>
        <v>8</v>
      </c>
      <c r="E174" s="286">
        <f>SUMIF('Pre- and Production'!$T$4:$T$532, CONCATENATE(LEFT('WBS Summary by Year'!E$6,1),'WBS Summary by Year'!$C174,'WBS Summary by Year'!$B$164),'Pre- and Production'!AM$4:AM$532)</f>
        <v>4</v>
      </c>
      <c r="F174" s="26">
        <f>SUMIF('Pre- and Production'!$T$4:$T$532, CONCATENATE(LEFT('WBS Summary by Year'!F$6,1),'WBS Summary by Year'!$C174,'WBS Summary by Year'!$B$164),'Pre- and Production'!AD$4:AD$532)</f>
        <v>26</v>
      </c>
      <c r="G174" s="279">
        <f>SUMIF('Pre- and Production'!$T$4:$T$532, CONCATENATE(LEFT('WBS Summary by Year'!G$6,1),'WBS Summary by Year'!$C174,'WBS Summary by Year'!$B$164),'Pre- and Production'!AN$4:AN$532)</f>
        <v>13</v>
      </c>
      <c r="H174" s="290">
        <f>SUMIF('Pre- and Production'!$T$4:$T$532, CONCATENATE(LEFT('WBS Summary by Year'!H$6,1),'WBS Summary by Year'!$C174,'WBS Summary by Year'!$B$164),'Pre- and Production'!AE$4:AE$532)</f>
        <v>0</v>
      </c>
      <c r="I174" s="286">
        <f>SUMIF('Pre- and Production'!$T$4:$T$532, CONCATENATE(LEFT('WBS Summary by Year'!I$6,1),'WBS Summary by Year'!$C174,'WBS Summary by Year'!$B$164),'Pre- and Production'!AO$4:AO$532)</f>
        <v>0</v>
      </c>
      <c r="J174" s="26">
        <f>SUMIF('Pre- and Production'!$T$4:$T$532, CONCATENATE(LEFT('WBS Summary by Year'!J$6,1),'WBS Summary by Year'!$C174,'WBS Summary by Year'!$B$164),'Pre- and Production'!AF$4:AFI$532)</f>
        <v>0</v>
      </c>
      <c r="K174" s="279">
        <f>SUMIF('Pre- and Production'!$T$4:$T$532, CONCATENATE(LEFT('WBS Summary by Year'!K$6,1),'WBS Summary by Year'!$C174,'WBS Summary by Year'!$B$164),'Pre- and Production'!AP$4:AP$532)</f>
        <v>0</v>
      </c>
      <c r="L174" s="290">
        <f>SUMIF('Pre- and Production'!$T$4:$T$532, CONCATENATE(LEFT('WBS Summary by Year'!L$6,1),'WBS Summary by Year'!$C174,'WBS Summary by Year'!$B$164),'Pre- and Production'!AG$4:AG$532)</f>
        <v>0</v>
      </c>
      <c r="M174" s="286">
        <f>SUMIF('Pre- and Production'!$T$4:$T$532, CONCATENATE(LEFT('WBS Summary by Year'!M$6,1),'WBS Summary by Year'!$C174,'WBS Summary by Year'!$B$164),'Pre- and Production'!AQ$4:AQ$532)</f>
        <v>0</v>
      </c>
      <c r="N174" s="298">
        <f>SUMIF('Pre- and Production'!$T$4:$T$532, CONCATENATE(LEFT('WBS Summary by Year'!N$6,1),'WBS Summary by Year'!$C174,'WBS Summary by Year'!$B$164),'Pre- and Production'!AH$4:AH$532)</f>
        <v>3710</v>
      </c>
      <c r="O174" s="299">
        <f>SUMIF('Pre- and Production'!$T$4:$T$532, CONCATENATE(LEFT('WBS Summary by Year'!O$6,1),'WBS Summary by Year'!$C174,'WBS Summary by Year'!$B$164),'Pre- and Production'!AR$4:AR$532)</f>
        <v>1855</v>
      </c>
    </row>
    <row r="175" spans="2:15" s="302" customFormat="1">
      <c r="C175" s="9" t="s">
        <v>214</v>
      </c>
      <c r="D175" s="26">
        <f>SUMIF('Pre- and Production'!$T$4:$T$532, CONCATENATE(LEFT('WBS Summary by Year'!D$6,1),'WBS Summary by Year'!$C175,'WBS Summary by Year'!$B$164),'Pre- and Production'!AC$4:AC$532)</f>
        <v>10</v>
      </c>
      <c r="E175" s="286">
        <f>SUMIF('Pre- and Production'!$T$4:$T$532, CONCATENATE(LEFT('WBS Summary by Year'!E$6,1),'WBS Summary by Year'!$C175,'WBS Summary by Year'!$B$164),'Pre- and Production'!AM$4:AM$532)</f>
        <v>2</v>
      </c>
      <c r="F175" s="26">
        <f>SUMIF('Pre- and Production'!$T$4:$T$532, CONCATENATE(LEFT('WBS Summary by Year'!F$6,1),'WBS Summary by Year'!$C175,'WBS Summary by Year'!$B$164),'Pre- and Production'!AD$4:AD$532)</f>
        <v>216</v>
      </c>
      <c r="G175" s="279">
        <f>SUMIF('Pre- and Production'!$T$4:$T$532, CONCATENATE(LEFT('WBS Summary by Year'!G$6,1),'WBS Summary by Year'!$C175,'WBS Summary by Year'!$B$164),'Pre- and Production'!AN$4:AN$532)</f>
        <v>230</v>
      </c>
      <c r="H175" s="290">
        <f>SUMIF('Pre- and Production'!$T$4:$T$532, CONCATENATE(LEFT('WBS Summary by Year'!H$6,1),'WBS Summary by Year'!$C175,'WBS Summary by Year'!$B$164),'Pre- and Production'!AE$4:AE$532)</f>
        <v>8</v>
      </c>
      <c r="I175" s="286">
        <f>SUMIF('Pre- and Production'!$T$4:$T$532, CONCATENATE(LEFT('WBS Summary by Year'!I$6,1),'WBS Summary by Year'!$C175,'WBS Summary by Year'!$B$164),'Pre- and Production'!AO$4:AO$532)</f>
        <v>8</v>
      </c>
      <c r="J175" s="26">
        <f>SUMIF('Pre- and Production'!$T$4:$T$532, CONCATENATE(LEFT('WBS Summary by Year'!J$6,1),'WBS Summary by Year'!$C175,'WBS Summary by Year'!$B$164),'Pre- and Production'!AF$4:AFI$532)</f>
        <v>32</v>
      </c>
      <c r="K175" s="279">
        <f>SUMIF('Pre- and Production'!$T$4:$T$532, CONCATENATE(LEFT('WBS Summary by Year'!K$6,1),'WBS Summary by Year'!$C175,'WBS Summary by Year'!$B$164),'Pre- and Production'!AP$4:AP$532)</f>
        <v>34</v>
      </c>
      <c r="L175" s="290">
        <f>SUMIF('Pre- and Production'!$T$4:$T$532, CONCATENATE(LEFT('WBS Summary by Year'!L$6,1),'WBS Summary by Year'!$C175,'WBS Summary by Year'!$B$164),'Pre- and Production'!AG$4:AG$532)</f>
        <v>0</v>
      </c>
      <c r="M175" s="286">
        <f>SUMIF('Pre- and Production'!$T$4:$T$532, CONCATENATE(LEFT('WBS Summary by Year'!M$6,1),'WBS Summary by Year'!$C175,'WBS Summary by Year'!$B$164),'Pre- and Production'!AQ$4:AQ$532)</f>
        <v>0</v>
      </c>
      <c r="N175" s="298">
        <f>SUMIF('Pre- and Production'!$T$4:$T$532, CONCATENATE(LEFT('WBS Summary by Year'!N$6,1),'WBS Summary by Year'!$C175,'WBS Summary by Year'!$B$164),'Pre- and Production'!AH$4:AH$532)</f>
        <v>3350</v>
      </c>
      <c r="O175" s="299">
        <f>SUMIF('Pre- and Production'!$T$4:$T$532, CONCATENATE(LEFT('WBS Summary by Year'!O$6,1),'WBS Summary by Year'!$C175,'WBS Summary by Year'!$B$164),'Pre- and Production'!AR$4:AR$532)</f>
        <v>2520</v>
      </c>
    </row>
    <row r="176" spans="2:15" s="302" customFormat="1">
      <c r="C176" s="9" t="s">
        <v>215</v>
      </c>
      <c r="D176" s="26">
        <f>SUMIF('Pre- and Production'!$T$4:$T$532, CONCATENATE(LEFT('WBS Summary by Year'!D$6,1),'WBS Summary by Year'!$C176,'WBS Summary by Year'!$B$164),'Pre- and Production'!AC$4:AC$532)</f>
        <v>0</v>
      </c>
      <c r="E176" s="286">
        <f>SUMIF('Pre- and Production'!$T$4:$T$532, CONCATENATE(LEFT('WBS Summary by Year'!E$6,1),'WBS Summary by Year'!$C176,'WBS Summary by Year'!$B$164),'Pre- and Production'!AM$4:AM$532)</f>
        <v>0</v>
      </c>
      <c r="F176" s="26">
        <f>SUMIF('Pre- and Production'!$T$4:$T$532, CONCATENATE(LEFT('WBS Summary by Year'!F$6,1),'WBS Summary by Year'!$C176,'WBS Summary by Year'!$B$164),'Pre- and Production'!AD$4:AD$532)</f>
        <v>0</v>
      </c>
      <c r="G176" s="279">
        <f>SUMIF('Pre- and Production'!$T$4:$T$532, CONCATENATE(LEFT('WBS Summary by Year'!G$6,1),'WBS Summary by Year'!$C176,'WBS Summary by Year'!$B$164),'Pre- and Production'!AN$4:AN$532)</f>
        <v>0</v>
      </c>
      <c r="H176" s="290">
        <f>SUMIF('Pre- and Production'!$T$4:$T$532, CONCATENATE(LEFT('WBS Summary by Year'!H$6,1),'WBS Summary by Year'!$C176,'WBS Summary by Year'!$B$164),'Pre- and Production'!AE$4:AE$532)</f>
        <v>0</v>
      </c>
      <c r="I176" s="286">
        <f>SUMIF('Pre- and Production'!$T$4:$T$532, CONCATENATE(LEFT('WBS Summary by Year'!I$6,1),'WBS Summary by Year'!$C176,'WBS Summary by Year'!$B$164),'Pre- and Production'!AO$4:AO$532)</f>
        <v>0</v>
      </c>
      <c r="J176" s="26">
        <f>SUMIF('Pre- and Production'!$T$4:$T$532, CONCATENATE(LEFT('WBS Summary by Year'!J$6,1),'WBS Summary by Year'!$C176,'WBS Summary by Year'!$B$164),'Pre- and Production'!AF$4:AFI$532)</f>
        <v>0</v>
      </c>
      <c r="K176" s="279">
        <f>SUMIF('Pre- and Production'!$T$4:$T$532, CONCATENATE(LEFT('WBS Summary by Year'!K$6,1),'WBS Summary by Year'!$C176,'WBS Summary by Year'!$B$164),'Pre- and Production'!AP$4:AP$532)</f>
        <v>0</v>
      </c>
      <c r="L176" s="290">
        <f>SUMIF('Pre- and Production'!$T$4:$T$532, CONCATENATE(LEFT('WBS Summary by Year'!L$6,1),'WBS Summary by Year'!$C176,'WBS Summary by Year'!$B$164),'Pre- and Production'!AG$4:AG$532)</f>
        <v>0</v>
      </c>
      <c r="M176" s="286">
        <f>SUMIF('Pre- and Production'!$T$4:$T$532, CONCATENATE(LEFT('WBS Summary by Year'!M$6,1),'WBS Summary by Year'!$C176,'WBS Summary by Year'!$B$164),'Pre- and Production'!AQ$4:AQ$532)</f>
        <v>0</v>
      </c>
      <c r="N176" s="298">
        <f>SUMIF('Pre- and Production'!$T$4:$T$532, CONCATENATE(LEFT('WBS Summary by Year'!N$6,1),'WBS Summary by Year'!$C176,'WBS Summary by Year'!$B$164),'Pre- and Production'!AH$4:AH$532)</f>
        <v>0</v>
      </c>
      <c r="O176" s="299">
        <f>SUMIF('Pre- and Production'!$T$4:$T$532, CONCATENATE(LEFT('WBS Summary by Year'!O$6,1),'WBS Summary by Year'!$C176,'WBS Summary by Year'!$B$164),'Pre- and Production'!AR$4:AR$532)</f>
        <v>0</v>
      </c>
    </row>
    <row r="177" spans="3:15" s="302" customFormat="1">
      <c r="C177" s="9" t="s">
        <v>216</v>
      </c>
      <c r="D177" s="26">
        <f>SUMIF('Pre- and Production'!$T$4:$T$532, CONCATENATE(LEFT('WBS Summary by Year'!D$6,1),'WBS Summary by Year'!$C177,'WBS Summary by Year'!$B$164),'Pre- and Production'!AC$4:AC$532)</f>
        <v>0</v>
      </c>
      <c r="E177" s="286">
        <f>SUMIF('Pre- and Production'!$T$4:$T$532, CONCATENATE(LEFT('WBS Summary by Year'!E$6,1),'WBS Summary by Year'!$C177,'WBS Summary by Year'!$B$164),'Pre- and Production'!AM$4:AM$532)</f>
        <v>0</v>
      </c>
      <c r="F177" s="26">
        <f>SUMIF('Pre- and Production'!$T$4:$T$532, CONCATENATE(LEFT('WBS Summary by Year'!F$6,1),'WBS Summary by Year'!$C177,'WBS Summary by Year'!$B$164),'Pre- and Production'!AD$4:AD$532)</f>
        <v>0</v>
      </c>
      <c r="G177" s="279">
        <f>SUMIF('Pre- and Production'!$T$4:$T$532, CONCATENATE(LEFT('WBS Summary by Year'!G$6,1),'WBS Summary by Year'!$C177,'WBS Summary by Year'!$B$164),'Pre- and Production'!AN$4:AN$532)</f>
        <v>0</v>
      </c>
      <c r="H177" s="290">
        <f>SUMIF('Pre- and Production'!$T$4:$T$532, CONCATENATE(LEFT('WBS Summary by Year'!H$6,1),'WBS Summary by Year'!$C177,'WBS Summary by Year'!$B$164),'Pre- and Production'!AE$4:AE$532)</f>
        <v>0</v>
      </c>
      <c r="I177" s="286">
        <f>SUMIF('Pre- and Production'!$T$4:$T$532, CONCATENATE(LEFT('WBS Summary by Year'!I$6,1),'WBS Summary by Year'!$C177,'WBS Summary by Year'!$B$164),'Pre- and Production'!AO$4:AO$532)</f>
        <v>0</v>
      </c>
      <c r="J177" s="26">
        <f>SUMIF('Pre- and Production'!$T$4:$T$532, CONCATENATE(LEFT('WBS Summary by Year'!J$6,1),'WBS Summary by Year'!$C177,'WBS Summary by Year'!$B$164),'Pre- and Production'!AF$4:AFI$532)</f>
        <v>0</v>
      </c>
      <c r="K177" s="279">
        <f>SUMIF('Pre- and Production'!$T$4:$T$532, CONCATENATE(LEFT('WBS Summary by Year'!K$6,1),'WBS Summary by Year'!$C177,'WBS Summary by Year'!$B$164),'Pre- and Production'!AP$4:AP$532)</f>
        <v>0</v>
      </c>
      <c r="L177" s="290">
        <f>SUMIF('Pre- and Production'!$T$4:$T$532, CONCATENATE(LEFT('WBS Summary by Year'!L$6,1),'WBS Summary by Year'!$C177,'WBS Summary by Year'!$B$164),'Pre- and Production'!AG$4:AG$532)</f>
        <v>0</v>
      </c>
      <c r="M177" s="286">
        <f>SUMIF('Pre- and Production'!$T$4:$T$532, CONCATENATE(LEFT('WBS Summary by Year'!M$6,1),'WBS Summary by Year'!$C177,'WBS Summary by Year'!$B$164),'Pre- and Production'!AQ$4:AQ$532)</f>
        <v>0</v>
      </c>
      <c r="N177" s="298">
        <f>SUMIF('Pre- and Production'!$T$4:$T$532, CONCATENATE(LEFT('WBS Summary by Year'!N$6,1),'WBS Summary by Year'!$C177,'WBS Summary by Year'!$B$164),'Pre- and Production'!AH$4:AH$532)</f>
        <v>0</v>
      </c>
      <c r="O177" s="299">
        <f>SUMIF('Pre- and Production'!$T$4:$T$532, CONCATENATE(LEFT('WBS Summary by Year'!O$6,1),'WBS Summary by Year'!$C177,'WBS Summary by Year'!$B$164),'Pre- and Production'!AR$4:AR$532)</f>
        <v>0</v>
      </c>
    </row>
    <row r="178" spans="3:15" s="302" customFormat="1">
      <c r="C178" s="9" t="s">
        <v>217</v>
      </c>
      <c r="D178" s="26">
        <f>SUMIF('Pre- and Production'!$T$4:$T$532, CONCATENATE(LEFT('WBS Summary by Year'!D$6,1),'WBS Summary by Year'!$C178,'WBS Summary by Year'!$B$164),'Pre- and Production'!AC$4:AC$532)</f>
        <v>0</v>
      </c>
      <c r="E178" s="286">
        <f>SUMIF('Pre- and Production'!$T$4:$T$532, CONCATENATE(LEFT('WBS Summary by Year'!E$6,1),'WBS Summary by Year'!$C178,'WBS Summary by Year'!$B$164),'Pre- and Production'!AM$4:AM$532)</f>
        <v>2</v>
      </c>
      <c r="F178" s="26">
        <f>SUMIF('Pre- and Production'!$T$4:$T$532, CONCATENATE(LEFT('WBS Summary by Year'!F$6,1),'WBS Summary by Year'!$C178,'WBS Summary by Year'!$B$164),'Pre- and Production'!AD$4:AD$532)</f>
        <v>136</v>
      </c>
      <c r="G178" s="279">
        <f>SUMIF('Pre- and Production'!$T$4:$T$532, CONCATENATE(LEFT('WBS Summary by Year'!G$6,1),'WBS Summary by Year'!$C178,'WBS Summary by Year'!$B$164),'Pre- and Production'!AN$4:AN$532)</f>
        <v>158</v>
      </c>
      <c r="H178" s="290">
        <f>SUMIF('Pre- and Production'!$T$4:$T$532, CONCATENATE(LEFT('WBS Summary by Year'!H$6,1),'WBS Summary by Year'!$C178,'WBS Summary by Year'!$B$164),'Pre- and Production'!AE$4:AE$532)</f>
        <v>0</v>
      </c>
      <c r="I178" s="286">
        <f>SUMIF('Pre- and Production'!$T$4:$T$532, CONCATENATE(LEFT('WBS Summary by Year'!I$6,1),'WBS Summary by Year'!$C178,'WBS Summary by Year'!$B$164),'Pre- and Production'!AO$4:AO$532)</f>
        <v>0</v>
      </c>
      <c r="J178" s="26">
        <f>SUMIF('Pre- and Production'!$T$4:$T$532, CONCATENATE(LEFT('WBS Summary by Year'!J$6,1),'WBS Summary by Year'!$C178,'WBS Summary by Year'!$B$164),'Pre- and Production'!AF$4:AFI$532)</f>
        <v>24</v>
      </c>
      <c r="K178" s="279">
        <f>SUMIF('Pre- and Production'!$T$4:$T$532, CONCATENATE(LEFT('WBS Summary by Year'!K$6,1),'WBS Summary by Year'!$C178,'WBS Summary by Year'!$B$164),'Pre- and Production'!AP$4:AP$532)</f>
        <v>26</v>
      </c>
      <c r="L178" s="290">
        <f>SUMIF('Pre- and Production'!$T$4:$T$532, CONCATENATE(LEFT('WBS Summary by Year'!L$6,1),'WBS Summary by Year'!$C178,'WBS Summary by Year'!$B$164),'Pre- and Production'!AG$4:AG$532)</f>
        <v>0</v>
      </c>
      <c r="M178" s="286">
        <f>SUMIF('Pre- and Production'!$T$4:$T$532, CONCATENATE(LEFT('WBS Summary by Year'!M$6,1),'WBS Summary by Year'!$C178,'WBS Summary by Year'!$B$164),'Pre- and Production'!AQ$4:AQ$532)</f>
        <v>0</v>
      </c>
      <c r="N178" s="298">
        <f>SUMIF('Pre- and Production'!$T$4:$T$532, CONCATENATE(LEFT('WBS Summary by Year'!N$6,1),'WBS Summary by Year'!$C178,'WBS Summary by Year'!$B$164),'Pre- and Production'!AH$4:AH$532)</f>
        <v>2310</v>
      </c>
      <c r="O178" s="299">
        <f>SUMIF('Pre- and Production'!$T$4:$T$532, CONCATENATE(LEFT('WBS Summary by Year'!O$6,1),'WBS Summary by Year'!$C178,'WBS Summary by Year'!$B$164),'Pre- and Production'!AR$4:AR$532)</f>
        <v>2520</v>
      </c>
    </row>
    <row r="179" spans="3:15" s="302" customFormat="1">
      <c r="C179" s="9" t="s">
        <v>218</v>
      </c>
      <c r="D179" s="26">
        <f>SUMIF('Pre- and Production'!$T$4:$T$532, CONCATENATE(LEFT('WBS Summary by Year'!D$6,1),'WBS Summary by Year'!$C179,'WBS Summary by Year'!$B$164),'Pre- and Production'!AC$4:AC$532)</f>
        <v>0</v>
      </c>
      <c r="E179" s="286">
        <f>SUMIF('Pre- and Production'!$T$4:$T$532, CONCATENATE(LEFT('WBS Summary by Year'!E$6,1),'WBS Summary by Year'!$C179,'WBS Summary by Year'!$B$164),'Pre- and Production'!AM$4:AM$532)</f>
        <v>0</v>
      </c>
      <c r="F179" s="26">
        <f>SUMIF('Pre- and Production'!$T$4:$T$532, CONCATENATE(LEFT('WBS Summary by Year'!F$6,1),'WBS Summary by Year'!$C179,'WBS Summary by Year'!$B$164),'Pre- and Production'!AD$4:AD$532)</f>
        <v>0</v>
      </c>
      <c r="G179" s="279">
        <f>SUMIF('Pre- and Production'!$T$4:$T$532, CONCATENATE(LEFT('WBS Summary by Year'!G$6,1),'WBS Summary by Year'!$C179,'WBS Summary by Year'!$B$164),'Pre- and Production'!AN$4:AN$532)</f>
        <v>0</v>
      </c>
      <c r="H179" s="290">
        <f>SUMIF('Pre- and Production'!$T$4:$T$532, CONCATENATE(LEFT('WBS Summary by Year'!H$6,1),'WBS Summary by Year'!$C179,'WBS Summary by Year'!$B$164),'Pre- and Production'!AE$4:AE$532)</f>
        <v>0</v>
      </c>
      <c r="I179" s="286">
        <f>SUMIF('Pre- and Production'!$T$4:$T$532, CONCATENATE(LEFT('WBS Summary by Year'!I$6,1),'WBS Summary by Year'!$C179,'WBS Summary by Year'!$B$164),'Pre- and Production'!AO$4:AO$532)</f>
        <v>0</v>
      </c>
      <c r="J179" s="26">
        <f>SUMIF('Pre- and Production'!$T$4:$T$532, CONCATENATE(LEFT('WBS Summary by Year'!J$6,1),'WBS Summary by Year'!$C179,'WBS Summary by Year'!$B$164),'Pre- and Production'!AF$4:AFI$532)</f>
        <v>0</v>
      </c>
      <c r="K179" s="279">
        <f>SUMIF('Pre- and Production'!$T$4:$T$532, CONCATENATE(LEFT('WBS Summary by Year'!K$6,1),'WBS Summary by Year'!$C179,'WBS Summary by Year'!$B$164),'Pre- and Production'!AP$4:AP$532)</f>
        <v>0</v>
      </c>
      <c r="L179" s="290">
        <f>SUMIF('Pre- and Production'!$T$4:$T$532, CONCATENATE(LEFT('WBS Summary by Year'!L$6,1),'WBS Summary by Year'!$C179,'WBS Summary by Year'!$B$164),'Pre- and Production'!AG$4:AG$532)</f>
        <v>0</v>
      </c>
      <c r="M179" s="286">
        <f>SUMIF('Pre- and Production'!$T$4:$T$532, CONCATENATE(LEFT('WBS Summary by Year'!M$6,1),'WBS Summary by Year'!$C179,'WBS Summary by Year'!$B$164),'Pre- and Production'!AQ$4:AQ$532)</f>
        <v>0</v>
      </c>
      <c r="N179" s="298">
        <f>SUMIF('Pre- and Production'!$T$4:$T$532, CONCATENATE(LEFT('WBS Summary by Year'!N$6,1),'WBS Summary by Year'!$C179,'WBS Summary by Year'!$B$164),'Pre- and Production'!AH$4:AH$532)</f>
        <v>0</v>
      </c>
      <c r="O179" s="299">
        <f>SUMIF('Pre- and Production'!$T$4:$T$532, CONCATENATE(LEFT('WBS Summary by Year'!O$6,1),'WBS Summary by Year'!$C179,'WBS Summary by Year'!$B$164),'Pre- and Production'!AR$4:AR$532)</f>
        <v>0</v>
      </c>
    </row>
    <row r="180" spans="3:15" s="302" customFormat="1">
      <c r="C180" s="9" t="s">
        <v>219</v>
      </c>
      <c r="D180" s="26">
        <f>SUMIF('Pre- and Production'!$T$4:$T$532, CONCATENATE(LEFT('WBS Summary by Year'!D$6,1),'WBS Summary by Year'!$C180,'WBS Summary by Year'!$B$164),'Pre- and Production'!AC$4:AC$532)</f>
        <v>0</v>
      </c>
      <c r="E180" s="286">
        <f>SUMIF('Pre- and Production'!$T$4:$T$532, CONCATENATE(LEFT('WBS Summary by Year'!E$6,1),'WBS Summary by Year'!$C180,'WBS Summary by Year'!$B$164),'Pre- and Production'!AM$4:AM$532)</f>
        <v>0</v>
      </c>
      <c r="F180" s="26">
        <f>SUMIF('Pre- and Production'!$T$4:$T$532, CONCATENATE(LEFT('WBS Summary by Year'!F$6,1),'WBS Summary by Year'!$C180,'WBS Summary by Year'!$B$164),'Pre- and Production'!AD$4:AD$532)</f>
        <v>0</v>
      </c>
      <c r="G180" s="279">
        <f>SUMIF('Pre- and Production'!$T$4:$T$532, CONCATENATE(LEFT('WBS Summary by Year'!G$6,1),'WBS Summary by Year'!$C180,'WBS Summary by Year'!$B$164),'Pre- and Production'!AN$4:AN$532)</f>
        <v>0</v>
      </c>
      <c r="H180" s="290">
        <f>SUMIF('Pre- and Production'!$T$4:$T$532, CONCATENATE(LEFT('WBS Summary by Year'!H$6,1),'WBS Summary by Year'!$C180,'WBS Summary by Year'!$B$164),'Pre- and Production'!AE$4:AE$532)</f>
        <v>0</v>
      </c>
      <c r="I180" s="286">
        <f>SUMIF('Pre- and Production'!$T$4:$T$532, CONCATENATE(LEFT('WBS Summary by Year'!I$6,1),'WBS Summary by Year'!$C180,'WBS Summary by Year'!$B$164),'Pre- and Production'!AO$4:AO$532)</f>
        <v>0</v>
      </c>
      <c r="J180" s="26">
        <f>SUMIF('Pre- and Production'!$T$4:$T$532, CONCATENATE(LEFT('WBS Summary by Year'!J$6,1),'WBS Summary by Year'!$C180,'WBS Summary by Year'!$B$164),'Pre- and Production'!AF$4:AFI$532)</f>
        <v>0</v>
      </c>
      <c r="K180" s="279">
        <f>SUMIF('Pre- and Production'!$T$4:$T$532, CONCATENATE(LEFT('WBS Summary by Year'!K$6,1),'WBS Summary by Year'!$C180,'WBS Summary by Year'!$B$164),'Pre- and Production'!AP$4:AP$532)</f>
        <v>0</v>
      </c>
      <c r="L180" s="290">
        <f>SUMIF('Pre- and Production'!$T$4:$T$532, CONCATENATE(LEFT('WBS Summary by Year'!L$6,1),'WBS Summary by Year'!$C180,'WBS Summary by Year'!$B$164),'Pre- and Production'!AG$4:AG$532)</f>
        <v>0</v>
      </c>
      <c r="M180" s="286">
        <f>SUMIF('Pre- and Production'!$T$4:$T$532, CONCATENATE(LEFT('WBS Summary by Year'!M$6,1),'WBS Summary by Year'!$C180,'WBS Summary by Year'!$B$164),'Pre- and Production'!AQ$4:AQ$532)</f>
        <v>0</v>
      </c>
      <c r="N180" s="298">
        <f>SUMIF('Pre- and Production'!$T$4:$T$532, CONCATENATE(LEFT('WBS Summary by Year'!N$6,1),'WBS Summary by Year'!$C180,'WBS Summary by Year'!$B$164),'Pre- and Production'!AH$4:AH$532)</f>
        <v>0</v>
      </c>
      <c r="O180" s="299">
        <f>SUMIF('Pre- and Production'!$T$4:$T$532, CONCATENATE(LEFT('WBS Summary by Year'!O$6,1),'WBS Summary by Year'!$C180,'WBS Summary by Year'!$B$164),'Pre- and Production'!AR$4:AR$532)</f>
        <v>0</v>
      </c>
    </row>
    <row r="181" spans="3:15" s="302" customFormat="1">
      <c r="C181" s="9" t="s">
        <v>220</v>
      </c>
      <c r="D181" s="26">
        <f>SUMIF('Pre- and Production'!$T$4:$T$532, CONCATENATE(LEFT('WBS Summary by Year'!D$6,1),'WBS Summary by Year'!$C181,'WBS Summary by Year'!$B$164),'Pre- and Production'!AC$4:AC$532)</f>
        <v>0</v>
      </c>
      <c r="E181" s="286">
        <f>SUMIF('Pre- and Production'!$T$4:$T$532, CONCATENATE(LEFT('WBS Summary by Year'!E$6,1),'WBS Summary by Year'!$C181,'WBS Summary by Year'!$B$164),'Pre- and Production'!AM$4:AM$532)</f>
        <v>0</v>
      </c>
      <c r="F181" s="26">
        <f>SUMIF('Pre- and Production'!$T$4:$T$532, CONCATENATE(LEFT('WBS Summary by Year'!F$6,1),'WBS Summary by Year'!$C181,'WBS Summary by Year'!$B$164),'Pre- and Production'!AD$4:AD$532)</f>
        <v>4</v>
      </c>
      <c r="G181" s="279">
        <f>SUMIF('Pre- and Production'!$T$4:$T$532, CONCATENATE(LEFT('WBS Summary by Year'!G$6,1),'WBS Summary by Year'!$C181,'WBS Summary by Year'!$B$164),'Pre- and Production'!AN$4:AN$532)</f>
        <v>0</v>
      </c>
      <c r="H181" s="290">
        <f>SUMIF('Pre- and Production'!$T$4:$T$532, CONCATENATE(LEFT('WBS Summary by Year'!H$6,1),'WBS Summary by Year'!$C181,'WBS Summary by Year'!$B$164),'Pre- and Production'!AE$4:AE$532)</f>
        <v>0</v>
      </c>
      <c r="I181" s="286">
        <f>SUMIF('Pre- and Production'!$T$4:$T$532, CONCATENATE(LEFT('WBS Summary by Year'!I$6,1),'WBS Summary by Year'!$C181,'WBS Summary by Year'!$B$164),'Pre- and Production'!AO$4:AO$532)</f>
        <v>0</v>
      </c>
      <c r="J181" s="26">
        <f>SUMIF('Pre- and Production'!$T$4:$T$532, CONCATENATE(LEFT('WBS Summary by Year'!J$6,1),'WBS Summary by Year'!$C181,'WBS Summary by Year'!$B$164),'Pre- and Production'!AF$4:AFI$532)</f>
        <v>0</v>
      </c>
      <c r="K181" s="279">
        <f>SUMIF('Pre- and Production'!$T$4:$T$532, CONCATENATE(LEFT('WBS Summary by Year'!K$6,1),'WBS Summary by Year'!$C181,'WBS Summary by Year'!$B$164),'Pre- and Production'!AP$4:AP$532)</f>
        <v>0</v>
      </c>
      <c r="L181" s="290">
        <f>SUMIF('Pre- and Production'!$T$4:$T$532, CONCATENATE(LEFT('WBS Summary by Year'!L$6,1),'WBS Summary by Year'!$C181,'WBS Summary by Year'!$B$164),'Pre- and Production'!AG$4:AG$532)</f>
        <v>0</v>
      </c>
      <c r="M181" s="286">
        <f>SUMIF('Pre- and Production'!$T$4:$T$532, CONCATENATE(LEFT('WBS Summary by Year'!M$6,1),'WBS Summary by Year'!$C181,'WBS Summary by Year'!$B$164),'Pre- and Production'!AQ$4:AQ$532)</f>
        <v>0</v>
      </c>
      <c r="N181" s="298">
        <f>SUMIF('Pre- and Production'!$T$4:$T$532, CONCATENATE(LEFT('WBS Summary by Year'!N$6,1),'WBS Summary by Year'!$C181,'WBS Summary by Year'!$B$164),'Pre- and Production'!AH$4:AH$532)</f>
        <v>500</v>
      </c>
      <c r="O181" s="299">
        <f>SUMIF('Pre- and Production'!$T$4:$T$532, CONCATENATE(LEFT('WBS Summary by Year'!O$6,1),'WBS Summary by Year'!$C181,'WBS Summary by Year'!$B$164),'Pre- and Production'!AR$4:AR$532)</f>
        <v>0</v>
      </c>
    </row>
    <row r="182" spans="3:15" s="302" customFormat="1">
      <c r="C182" s="9" t="s">
        <v>221</v>
      </c>
      <c r="D182" s="26">
        <f>SUMIF('Pre- and Production'!$T$4:$T$532, CONCATENATE(LEFT('WBS Summary by Year'!D$6,1),'WBS Summary by Year'!$C182,'WBS Summary by Year'!$B$164),'Pre- and Production'!AC$4:AC$532)</f>
        <v>0</v>
      </c>
      <c r="E182" s="286">
        <f>SUMIF('Pre- and Production'!$T$4:$T$532, CONCATENATE(LEFT('WBS Summary by Year'!E$6,1),'WBS Summary by Year'!$C182,'WBS Summary by Year'!$B$164),'Pre- and Production'!AM$4:AM$532)</f>
        <v>0</v>
      </c>
      <c r="F182" s="26">
        <f>SUMIF('Pre- and Production'!$T$4:$T$532, CONCATENATE(LEFT('WBS Summary by Year'!F$6,1),'WBS Summary by Year'!$C182,'WBS Summary by Year'!$B$164),'Pre- and Production'!AD$4:AD$532)</f>
        <v>0</v>
      </c>
      <c r="G182" s="279">
        <f>SUMIF('Pre- and Production'!$T$4:$T$532, CONCATENATE(LEFT('WBS Summary by Year'!G$6,1),'WBS Summary by Year'!$C182,'WBS Summary by Year'!$B$164),'Pre- and Production'!AN$4:AN$532)</f>
        <v>0</v>
      </c>
      <c r="H182" s="290">
        <f>SUMIF('Pre- and Production'!$T$4:$T$532, CONCATENATE(LEFT('WBS Summary by Year'!H$6,1),'WBS Summary by Year'!$C182,'WBS Summary by Year'!$B$164),'Pre- and Production'!AE$4:AE$532)</f>
        <v>0</v>
      </c>
      <c r="I182" s="286">
        <f>SUMIF('Pre- and Production'!$T$4:$T$532, CONCATENATE(LEFT('WBS Summary by Year'!I$6,1),'WBS Summary by Year'!$C182,'WBS Summary by Year'!$B$164),'Pre- and Production'!AO$4:AO$532)</f>
        <v>0</v>
      </c>
      <c r="J182" s="26">
        <f>SUMIF('Pre- and Production'!$T$4:$T$532, CONCATENATE(LEFT('WBS Summary by Year'!J$6,1),'WBS Summary by Year'!$C182,'WBS Summary by Year'!$B$164),'Pre- and Production'!AF$4:AFI$532)</f>
        <v>0</v>
      </c>
      <c r="K182" s="279">
        <f>SUMIF('Pre- and Production'!$T$4:$T$532, CONCATENATE(LEFT('WBS Summary by Year'!K$6,1),'WBS Summary by Year'!$C182,'WBS Summary by Year'!$B$164),'Pre- and Production'!AP$4:AP$532)</f>
        <v>0</v>
      </c>
      <c r="L182" s="290">
        <f>SUMIF('Pre- and Production'!$T$4:$T$532, CONCATENATE(LEFT('WBS Summary by Year'!L$6,1),'WBS Summary by Year'!$C182,'WBS Summary by Year'!$B$164),'Pre- and Production'!AG$4:AG$532)</f>
        <v>0</v>
      </c>
      <c r="M182" s="286">
        <f>SUMIF('Pre- and Production'!$T$4:$T$532, CONCATENATE(LEFT('WBS Summary by Year'!M$6,1),'WBS Summary by Year'!$C182,'WBS Summary by Year'!$B$164),'Pre- and Production'!AQ$4:AQ$532)</f>
        <v>0</v>
      </c>
      <c r="N182" s="298">
        <f>SUMIF('Pre- and Production'!$T$4:$T$532, CONCATENATE(LEFT('WBS Summary by Year'!N$6,1),'WBS Summary by Year'!$C182,'WBS Summary by Year'!$B$164),'Pre- and Production'!AH$4:AH$532)</f>
        <v>0</v>
      </c>
      <c r="O182" s="299">
        <f>SUMIF('Pre- and Production'!$T$4:$T$532, CONCATENATE(LEFT('WBS Summary by Year'!O$6,1),'WBS Summary by Year'!$C182,'WBS Summary by Year'!$B$164),'Pre- and Production'!AR$4:AR$532)</f>
        <v>0</v>
      </c>
    </row>
    <row r="183" spans="3:15" s="302" customFormat="1">
      <c r="C183" s="9" t="s">
        <v>222</v>
      </c>
      <c r="D183" s="26">
        <f>SUMIF('Pre- and Production'!$T$4:$T$532, CONCATENATE(LEFT('WBS Summary by Year'!D$6,1),'WBS Summary by Year'!$C183,'WBS Summary by Year'!$B$164),'Pre- and Production'!AC$4:AC$532)</f>
        <v>0</v>
      </c>
      <c r="E183" s="286">
        <f>SUMIF('Pre- and Production'!$T$4:$T$532, CONCATENATE(LEFT('WBS Summary by Year'!E$6,1),'WBS Summary by Year'!$C183,'WBS Summary by Year'!$B$164),'Pre- and Production'!AM$4:AM$532)</f>
        <v>0</v>
      </c>
      <c r="F183" s="26">
        <f>SUMIF('Pre- and Production'!$T$4:$T$532, CONCATENATE(LEFT('WBS Summary by Year'!F$6,1),'WBS Summary by Year'!$C183,'WBS Summary by Year'!$B$164),'Pre- and Production'!AD$4:AD$532)</f>
        <v>0</v>
      </c>
      <c r="G183" s="279">
        <f>SUMIF('Pre- and Production'!$T$4:$T$532, CONCATENATE(LEFT('WBS Summary by Year'!G$6,1),'WBS Summary by Year'!$C183,'WBS Summary by Year'!$B$164),'Pre- and Production'!AN$4:AN$532)</f>
        <v>0</v>
      </c>
      <c r="H183" s="290">
        <f>SUMIF('Pre- and Production'!$T$4:$T$532, CONCATENATE(LEFT('WBS Summary by Year'!H$6,1),'WBS Summary by Year'!$C183,'WBS Summary by Year'!$B$164),'Pre- and Production'!AE$4:AE$532)</f>
        <v>0</v>
      </c>
      <c r="I183" s="286">
        <f>SUMIF('Pre- and Production'!$T$4:$T$532, CONCATENATE(LEFT('WBS Summary by Year'!I$6,1),'WBS Summary by Year'!$C183,'WBS Summary by Year'!$B$164),'Pre- and Production'!AO$4:AO$532)</f>
        <v>0</v>
      </c>
      <c r="J183" s="26">
        <f>SUMIF('Pre- and Production'!$T$4:$T$532, CONCATENATE(LEFT('WBS Summary by Year'!J$6,1),'WBS Summary by Year'!$C183,'WBS Summary by Year'!$B$164),'Pre- and Production'!AF$4:AFI$532)</f>
        <v>0</v>
      </c>
      <c r="K183" s="279">
        <f>SUMIF('Pre- and Production'!$T$4:$T$532, CONCATENATE(LEFT('WBS Summary by Year'!K$6,1),'WBS Summary by Year'!$C183,'WBS Summary by Year'!$B$164),'Pre- and Production'!AP$4:AP$532)</f>
        <v>0</v>
      </c>
      <c r="L183" s="290">
        <f>SUMIF('Pre- and Production'!$T$4:$T$532, CONCATENATE(LEFT('WBS Summary by Year'!L$6,1),'WBS Summary by Year'!$C183,'WBS Summary by Year'!$B$164),'Pre- and Production'!AG$4:AG$532)</f>
        <v>0</v>
      </c>
      <c r="M183" s="286">
        <f>SUMIF('Pre- and Production'!$T$4:$T$532, CONCATENATE(LEFT('WBS Summary by Year'!M$6,1),'WBS Summary by Year'!$C183,'WBS Summary by Year'!$B$164),'Pre- and Production'!AQ$4:AQ$532)</f>
        <v>0</v>
      </c>
      <c r="N183" s="298">
        <f>SUMIF('Pre- and Production'!$T$4:$T$532, CONCATENATE(LEFT('WBS Summary by Year'!N$6,1),'WBS Summary by Year'!$C183,'WBS Summary by Year'!$B$164),'Pre- and Production'!AH$4:AH$532)</f>
        <v>0</v>
      </c>
      <c r="O183" s="299">
        <f>SUMIF('Pre- and Production'!$T$4:$T$532, CONCATENATE(LEFT('WBS Summary by Year'!O$6,1),'WBS Summary by Year'!$C183,'WBS Summary by Year'!$B$164),'Pre- and Production'!AR$4:AR$532)</f>
        <v>0</v>
      </c>
    </row>
    <row r="184" spans="3:15" s="302" customFormat="1">
      <c r="C184" s="9" t="s">
        <v>223</v>
      </c>
      <c r="D184" s="26">
        <f>SUMIF('Pre- and Production'!$T$4:$T$532, CONCATENATE(LEFT('WBS Summary by Year'!D$6,1),'WBS Summary by Year'!$C184,'WBS Summary by Year'!$B$164),'Pre- and Production'!AC$4:AC$532)</f>
        <v>0</v>
      </c>
      <c r="E184" s="286">
        <f>SUMIF('Pre- and Production'!$T$4:$T$532, CONCATENATE(LEFT('WBS Summary by Year'!E$6,1),'WBS Summary by Year'!$C184,'WBS Summary by Year'!$B$164),'Pre- and Production'!AM$4:AM$532)</f>
        <v>0</v>
      </c>
      <c r="F184" s="26">
        <f>SUMIF('Pre- and Production'!$T$4:$T$532, CONCATENATE(LEFT('WBS Summary by Year'!F$6,1),'WBS Summary by Year'!$C184,'WBS Summary by Year'!$B$164),'Pre- and Production'!AD$4:AD$532)</f>
        <v>0</v>
      </c>
      <c r="G184" s="279">
        <f>SUMIF('Pre- and Production'!$T$4:$T$532, CONCATENATE(LEFT('WBS Summary by Year'!G$6,1),'WBS Summary by Year'!$C184,'WBS Summary by Year'!$B$164),'Pre- and Production'!AN$4:AN$532)</f>
        <v>0</v>
      </c>
      <c r="H184" s="290">
        <f>SUMIF('Pre- and Production'!$T$4:$T$532, CONCATENATE(LEFT('WBS Summary by Year'!H$6,1),'WBS Summary by Year'!$C184,'WBS Summary by Year'!$B$164),'Pre- and Production'!AE$4:AE$532)</f>
        <v>0</v>
      </c>
      <c r="I184" s="286">
        <f>SUMIF('Pre- and Production'!$T$4:$T$532, CONCATENATE(LEFT('WBS Summary by Year'!I$6,1),'WBS Summary by Year'!$C184,'WBS Summary by Year'!$B$164),'Pre- and Production'!AO$4:AO$532)</f>
        <v>0</v>
      </c>
      <c r="J184" s="26">
        <f>SUMIF('Pre- and Production'!$T$4:$T$532, CONCATENATE(LEFT('WBS Summary by Year'!J$6,1),'WBS Summary by Year'!$C184,'WBS Summary by Year'!$B$164),'Pre- and Production'!AF$4:AFI$532)</f>
        <v>0</v>
      </c>
      <c r="K184" s="279">
        <f>SUMIF('Pre- and Production'!$T$4:$T$532, CONCATENATE(LEFT('WBS Summary by Year'!K$6,1),'WBS Summary by Year'!$C184,'WBS Summary by Year'!$B$164),'Pre- and Production'!AP$4:AP$532)</f>
        <v>0</v>
      </c>
      <c r="L184" s="290">
        <f>SUMIF('Pre- and Production'!$T$4:$T$532, CONCATENATE(LEFT('WBS Summary by Year'!L$6,1),'WBS Summary by Year'!$C184,'WBS Summary by Year'!$B$164),'Pre- and Production'!AG$4:AG$532)</f>
        <v>0</v>
      </c>
      <c r="M184" s="286">
        <f>SUMIF('Pre- and Production'!$T$4:$T$532, CONCATENATE(LEFT('WBS Summary by Year'!M$6,1),'WBS Summary by Year'!$C184,'WBS Summary by Year'!$B$164),'Pre- and Production'!AQ$4:AQ$532)</f>
        <v>0</v>
      </c>
      <c r="N184" s="298">
        <f>SUMIF('Pre- and Production'!$T$4:$T$532, CONCATENATE(LEFT('WBS Summary by Year'!N$6,1),'WBS Summary by Year'!$C184,'WBS Summary by Year'!$B$164),'Pre- and Production'!AH$4:AH$532)</f>
        <v>0</v>
      </c>
      <c r="O184" s="299">
        <f>SUMIF('Pre- and Production'!$T$4:$T$532, CONCATENATE(LEFT('WBS Summary by Year'!O$6,1),'WBS Summary by Year'!$C184,'WBS Summary by Year'!$B$164),'Pre- and Production'!AR$4:AR$532)</f>
        <v>0</v>
      </c>
    </row>
    <row r="185" spans="3:15" s="302" customFormat="1">
      <c r="C185" s="9" t="s">
        <v>224</v>
      </c>
      <c r="D185" s="26">
        <f>SUMIF('Pre- and Production'!$T$4:$T$532, CONCATENATE(LEFT('WBS Summary by Year'!D$6,1),'WBS Summary by Year'!$C185,'WBS Summary by Year'!$B$164),'Pre- and Production'!AC$4:AC$532)</f>
        <v>0</v>
      </c>
      <c r="E185" s="286">
        <f>SUMIF('Pre- and Production'!$T$4:$T$532, CONCATENATE(LEFT('WBS Summary by Year'!E$6,1),'WBS Summary by Year'!$C185,'WBS Summary by Year'!$B$164),'Pre- and Production'!AM$4:AM$532)</f>
        <v>0</v>
      </c>
      <c r="F185" s="26">
        <f>SUMIF('Pre- and Production'!$T$4:$T$532, CONCATENATE(LEFT('WBS Summary by Year'!F$6,1),'WBS Summary by Year'!$C185,'WBS Summary by Year'!$B$164),'Pre- and Production'!AD$4:AD$532)</f>
        <v>0</v>
      </c>
      <c r="G185" s="279">
        <f>SUMIF('Pre- and Production'!$T$4:$T$532, CONCATENATE(LEFT('WBS Summary by Year'!G$6,1),'WBS Summary by Year'!$C185,'WBS Summary by Year'!$B$164),'Pre- and Production'!AN$4:AN$532)</f>
        <v>0</v>
      </c>
      <c r="H185" s="290">
        <f>SUMIF('Pre- and Production'!$T$4:$T$532, CONCATENATE(LEFT('WBS Summary by Year'!H$6,1),'WBS Summary by Year'!$C185,'WBS Summary by Year'!$B$164),'Pre- and Production'!AE$4:AE$532)</f>
        <v>0</v>
      </c>
      <c r="I185" s="286">
        <f>SUMIF('Pre- and Production'!$T$4:$T$532, CONCATENATE(LEFT('WBS Summary by Year'!I$6,1),'WBS Summary by Year'!$C185,'WBS Summary by Year'!$B$164),'Pre- and Production'!AO$4:AO$532)</f>
        <v>0</v>
      </c>
      <c r="J185" s="26">
        <f>SUMIF('Pre- and Production'!$T$4:$T$532, CONCATENATE(LEFT('WBS Summary by Year'!J$6,1),'WBS Summary by Year'!$C185,'WBS Summary by Year'!$B$164),'Pre- and Production'!AF$4:AFI$532)</f>
        <v>0</v>
      </c>
      <c r="K185" s="279">
        <f>SUMIF('Pre- and Production'!$T$4:$T$532, CONCATENATE(LEFT('WBS Summary by Year'!K$6,1),'WBS Summary by Year'!$C185,'WBS Summary by Year'!$B$164),'Pre- and Production'!AP$4:AP$532)</f>
        <v>0</v>
      </c>
      <c r="L185" s="290">
        <f>SUMIF('Pre- and Production'!$T$4:$T$532, CONCATENATE(LEFT('WBS Summary by Year'!L$6,1),'WBS Summary by Year'!$C185,'WBS Summary by Year'!$B$164),'Pre- and Production'!AG$4:AG$532)</f>
        <v>0</v>
      </c>
      <c r="M185" s="286">
        <f>SUMIF('Pre- and Production'!$T$4:$T$532, CONCATENATE(LEFT('WBS Summary by Year'!M$6,1),'WBS Summary by Year'!$C185,'WBS Summary by Year'!$B$164),'Pre- and Production'!AQ$4:AQ$532)</f>
        <v>0</v>
      </c>
      <c r="N185" s="298">
        <f>SUMIF('Pre- and Production'!$T$4:$T$532, CONCATENATE(LEFT('WBS Summary by Year'!N$6,1),'WBS Summary by Year'!$C185,'WBS Summary by Year'!$B$164),'Pre- and Production'!AH$4:AH$532)</f>
        <v>0</v>
      </c>
      <c r="O185" s="299">
        <f>SUMIF('Pre- and Production'!$T$4:$T$532, CONCATENATE(LEFT('WBS Summary by Year'!O$6,1),'WBS Summary by Year'!$C185,'WBS Summary by Year'!$B$164),'Pre- and Production'!AR$4:AR$532)</f>
        <v>0</v>
      </c>
    </row>
    <row r="186" spans="3:15" s="302" customFormat="1">
      <c r="C186" s="9" t="s">
        <v>225</v>
      </c>
      <c r="D186" s="26">
        <f>SUMIF('Pre- and Production'!$T$4:$T$532, CONCATENATE(LEFT('WBS Summary by Year'!D$6,1),'WBS Summary by Year'!$C186,'WBS Summary by Year'!$B$164),'Pre- and Production'!AC$4:AC$532)</f>
        <v>0</v>
      </c>
      <c r="E186" s="286">
        <f>SUMIF('Pre- and Production'!$T$4:$T$532, CONCATENATE(LEFT('WBS Summary by Year'!E$6,1),'WBS Summary by Year'!$C186,'WBS Summary by Year'!$B$164),'Pre- and Production'!AM$4:AM$532)</f>
        <v>0</v>
      </c>
      <c r="F186" s="26">
        <f>SUMIF('Pre- and Production'!$T$4:$T$532, CONCATENATE(LEFT('WBS Summary by Year'!F$6,1),'WBS Summary by Year'!$C186,'WBS Summary by Year'!$B$164),'Pre- and Production'!AD$4:AD$532)</f>
        <v>0</v>
      </c>
      <c r="G186" s="279">
        <f>SUMIF('Pre- and Production'!$T$4:$T$532, CONCATENATE(LEFT('WBS Summary by Year'!G$6,1),'WBS Summary by Year'!$C186,'WBS Summary by Year'!$B$164),'Pre- and Production'!AN$4:AN$532)</f>
        <v>0</v>
      </c>
      <c r="H186" s="290">
        <f>SUMIF('Pre- and Production'!$T$4:$T$532, CONCATENATE(LEFT('WBS Summary by Year'!H$6,1),'WBS Summary by Year'!$C186,'WBS Summary by Year'!$B$164),'Pre- and Production'!AE$4:AE$532)</f>
        <v>0</v>
      </c>
      <c r="I186" s="286">
        <f>SUMIF('Pre- and Production'!$T$4:$T$532, CONCATENATE(LEFT('WBS Summary by Year'!I$6,1),'WBS Summary by Year'!$C186,'WBS Summary by Year'!$B$164),'Pre- and Production'!AO$4:AO$532)</f>
        <v>0</v>
      </c>
      <c r="J186" s="26">
        <f>SUMIF('Pre- and Production'!$T$4:$T$532, CONCATENATE(LEFT('WBS Summary by Year'!J$6,1),'WBS Summary by Year'!$C186,'WBS Summary by Year'!$B$164),'Pre- and Production'!AF$4:AFI$532)</f>
        <v>0</v>
      </c>
      <c r="K186" s="279">
        <f>SUMIF('Pre- and Production'!$T$4:$T$532, CONCATENATE(LEFT('WBS Summary by Year'!K$6,1),'WBS Summary by Year'!$C186,'WBS Summary by Year'!$B$164),'Pre- and Production'!AP$4:AP$532)</f>
        <v>0</v>
      </c>
      <c r="L186" s="290">
        <f>SUMIF('Pre- and Production'!$T$4:$T$532, CONCATENATE(LEFT('WBS Summary by Year'!L$6,1),'WBS Summary by Year'!$C186,'WBS Summary by Year'!$B$164),'Pre- and Production'!AG$4:AG$532)</f>
        <v>0</v>
      </c>
      <c r="M186" s="286">
        <f>SUMIF('Pre- and Production'!$T$4:$T$532, CONCATENATE(LEFT('WBS Summary by Year'!M$6,1),'WBS Summary by Year'!$C186,'WBS Summary by Year'!$B$164),'Pre- and Production'!AQ$4:AQ$532)</f>
        <v>0</v>
      </c>
      <c r="N186" s="298">
        <f>SUMIF('Pre- and Production'!$T$4:$T$532, CONCATENATE(LEFT('WBS Summary by Year'!N$6,1),'WBS Summary by Year'!$C186,'WBS Summary by Year'!$B$164),'Pre- and Production'!AH$4:AH$532)</f>
        <v>0</v>
      </c>
      <c r="O186" s="299">
        <f>SUMIF('Pre- and Production'!$T$4:$T$532, CONCATENATE(LEFT('WBS Summary by Year'!O$6,1),'WBS Summary by Year'!$C186,'WBS Summary by Year'!$B$164),'Pre- and Production'!AR$4:AR$532)</f>
        <v>0</v>
      </c>
    </row>
    <row r="187" spans="3:15" s="302" customFormat="1">
      <c r="C187" s="9" t="s">
        <v>226</v>
      </c>
      <c r="D187" s="26">
        <f>SUMIF('Pre- and Production'!$T$4:$T$532, CONCATENATE(LEFT('WBS Summary by Year'!D$6,1),'WBS Summary by Year'!$C187,'WBS Summary by Year'!$B$164),'Pre- and Production'!AC$4:AC$532)</f>
        <v>0</v>
      </c>
      <c r="E187" s="286">
        <f>SUMIF('Pre- and Production'!$T$4:$T$532, CONCATENATE(LEFT('WBS Summary by Year'!E$6,1),'WBS Summary by Year'!$C187,'WBS Summary by Year'!$B$164),'Pre- and Production'!AM$4:AM$532)</f>
        <v>0</v>
      </c>
      <c r="F187" s="26">
        <f>SUMIF('Pre- and Production'!$T$4:$T$532, CONCATENATE(LEFT('WBS Summary by Year'!F$6,1),'WBS Summary by Year'!$C187,'WBS Summary by Year'!$B$164),'Pre- and Production'!AD$4:AD$532)</f>
        <v>0</v>
      </c>
      <c r="G187" s="279">
        <f>SUMIF('Pre- and Production'!$T$4:$T$532, CONCATENATE(LEFT('WBS Summary by Year'!G$6,1),'WBS Summary by Year'!$C187,'WBS Summary by Year'!$B$164),'Pre- and Production'!AN$4:AN$532)</f>
        <v>0</v>
      </c>
      <c r="H187" s="290">
        <f>SUMIF('Pre- and Production'!$T$4:$T$532, CONCATENATE(LEFT('WBS Summary by Year'!H$6,1),'WBS Summary by Year'!$C187,'WBS Summary by Year'!$B$164),'Pre- and Production'!AE$4:AE$532)</f>
        <v>0</v>
      </c>
      <c r="I187" s="286">
        <f>SUMIF('Pre- and Production'!$T$4:$T$532, CONCATENATE(LEFT('WBS Summary by Year'!I$6,1),'WBS Summary by Year'!$C187,'WBS Summary by Year'!$B$164),'Pre- and Production'!AO$4:AO$532)</f>
        <v>0</v>
      </c>
      <c r="J187" s="26">
        <f>SUMIF('Pre- and Production'!$T$4:$T$532, CONCATENATE(LEFT('WBS Summary by Year'!J$6,1),'WBS Summary by Year'!$C187,'WBS Summary by Year'!$B$164),'Pre- and Production'!AF$4:AFI$532)</f>
        <v>0</v>
      </c>
      <c r="K187" s="279">
        <f>SUMIF('Pre- and Production'!$T$4:$T$532, CONCATENATE(LEFT('WBS Summary by Year'!K$6,1),'WBS Summary by Year'!$C187,'WBS Summary by Year'!$B$164),'Pre- and Production'!AP$4:AP$532)</f>
        <v>0</v>
      </c>
      <c r="L187" s="290">
        <f>SUMIF('Pre- and Production'!$T$4:$T$532, CONCATENATE(LEFT('WBS Summary by Year'!L$6,1),'WBS Summary by Year'!$C187,'WBS Summary by Year'!$B$164),'Pre- and Production'!AG$4:AG$532)</f>
        <v>0</v>
      </c>
      <c r="M187" s="286">
        <f>SUMIF('Pre- and Production'!$T$4:$T$532, CONCATENATE(LEFT('WBS Summary by Year'!M$6,1),'WBS Summary by Year'!$C187,'WBS Summary by Year'!$B$164),'Pre- and Production'!AQ$4:AQ$532)</f>
        <v>0</v>
      </c>
      <c r="N187" s="298">
        <f>SUMIF('Pre- and Production'!$T$4:$T$532, CONCATENATE(LEFT('WBS Summary by Year'!N$6,1),'WBS Summary by Year'!$C187,'WBS Summary by Year'!$B$164),'Pre- and Production'!AH$4:AH$532)</f>
        <v>0</v>
      </c>
      <c r="O187" s="299">
        <f>SUMIF('Pre- and Production'!$T$4:$T$532, CONCATENATE(LEFT('WBS Summary by Year'!O$6,1),'WBS Summary by Year'!$C187,'WBS Summary by Year'!$B$164),'Pre- and Production'!AR$4:AR$532)</f>
        <v>0</v>
      </c>
    </row>
    <row r="188" spans="3:15">
      <c r="C188" s="9" t="s">
        <v>227</v>
      </c>
      <c r="D188" s="26">
        <f>SUMIF('Pre- and Production'!$T$4:$T$532, CONCATENATE(LEFT('WBS Summary by Year'!D$6,1),'WBS Summary by Year'!$C188,'WBS Summary by Year'!$B$164),'Pre- and Production'!AC$4:AC$532)</f>
        <v>0</v>
      </c>
      <c r="E188" s="286">
        <f>SUMIF('Pre- and Production'!$T$4:$T$532, CONCATENATE(LEFT('WBS Summary by Year'!E$6,1),'WBS Summary by Year'!$C188,'WBS Summary by Year'!$B$164),'Pre- and Production'!AM$4:AM$532)</f>
        <v>0</v>
      </c>
      <c r="F188" s="26">
        <f>SUMIF('Pre- and Production'!$T$4:$T$532, CONCATENATE(LEFT('WBS Summary by Year'!F$6,1),'WBS Summary by Year'!$C188,'WBS Summary by Year'!$B$164),'Pre- and Production'!AD$4:AD$532)</f>
        <v>0</v>
      </c>
      <c r="G188" s="279">
        <f>SUMIF('Pre- and Production'!$T$4:$T$532, CONCATENATE(LEFT('WBS Summary by Year'!G$6,1),'WBS Summary by Year'!$C188,'WBS Summary by Year'!$B$164),'Pre- and Production'!AN$4:AN$532)</f>
        <v>0</v>
      </c>
      <c r="H188" s="290">
        <f>SUMIF('Pre- and Production'!$T$4:$T$532, CONCATENATE(LEFT('WBS Summary by Year'!H$6,1),'WBS Summary by Year'!$C188,'WBS Summary by Year'!$B$164),'Pre- and Production'!AE$4:AE$532)</f>
        <v>0</v>
      </c>
      <c r="I188" s="286">
        <f>SUMIF('Pre- and Production'!$T$4:$T$532, CONCATENATE(LEFT('WBS Summary by Year'!I$6,1),'WBS Summary by Year'!$C188,'WBS Summary by Year'!$B$164),'Pre- and Production'!AO$4:AO$532)</f>
        <v>0</v>
      </c>
      <c r="J188" s="26">
        <f>SUMIF('Pre- and Production'!$T$4:$T$532, CONCATENATE(LEFT('WBS Summary by Year'!J$6,1),'WBS Summary by Year'!$C188,'WBS Summary by Year'!$B$164),'Pre- and Production'!AF$4:AFI$532)</f>
        <v>0</v>
      </c>
      <c r="K188" s="279">
        <f>SUMIF('Pre- and Production'!$T$4:$T$532, CONCATENATE(LEFT('WBS Summary by Year'!K$6,1),'WBS Summary by Year'!$C188,'WBS Summary by Year'!$B$164),'Pre- and Production'!AP$4:AP$532)</f>
        <v>0</v>
      </c>
      <c r="L188" s="290">
        <f>SUMIF('Pre- and Production'!$T$4:$T$532, CONCATENATE(LEFT('WBS Summary by Year'!L$6,1),'WBS Summary by Year'!$C188,'WBS Summary by Year'!$B$164),'Pre- and Production'!AG$4:AG$532)</f>
        <v>0</v>
      </c>
      <c r="M188" s="286">
        <f>SUMIF('Pre- and Production'!$T$4:$T$532, CONCATENATE(LEFT('WBS Summary by Year'!M$6,1),'WBS Summary by Year'!$C188,'WBS Summary by Year'!$B$164),'Pre- and Production'!AQ$4:AQ$532)</f>
        <v>0</v>
      </c>
      <c r="N188" s="298">
        <f>SUMIF('Pre- and Production'!$T$4:$T$532, CONCATENATE(LEFT('WBS Summary by Year'!N$6,1),'WBS Summary by Year'!$C188,'WBS Summary by Year'!$B$164),'Pre- and Production'!AH$4:AH$532)</f>
        <v>0</v>
      </c>
      <c r="O188" s="299">
        <f>SUMIF('Pre- and Production'!$T$4:$T$532, CONCATENATE(LEFT('WBS Summary by Year'!O$6,1),'WBS Summary by Year'!$C188,'WBS Summary by Year'!$B$164),'Pre- and Production'!AR$4:AR$532)</f>
        <v>0</v>
      </c>
    </row>
    <row r="189" spans="3:15">
      <c r="C189" s="9" t="s">
        <v>228</v>
      </c>
      <c r="D189" s="26">
        <f>SUMIF('Pre- and Production'!$T$4:$T$532, CONCATENATE(LEFT('WBS Summary by Year'!D$6,1),'WBS Summary by Year'!$C189,'WBS Summary by Year'!$B$164),'Pre- and Production'!AC$4:AC$532)</f>
        <v>0</v>
      </c>
      <c r="E189" s="286">
        <f>SUMIF('Pre- and Production'!$T$4:$T$532, CONCATENATE(LEFT('WBS Summary by Year'!E$6,1),'WBS Summary by Year'!$C189,'WBS Summary by Year'!$B$164),'Pre- and Production'!AM$4:AM$532)</f>
        <v>0</v>
      </c>
      <c r="F189" s="26">
        <f>SUMIF('Pre- and Production'!$T$4:$T$532, CONCATENATE(LEFT('WBS Summary by Year'!F$6,1),'WBS Summary by Year'!$C189,'WBS Summary by Year'!$B$164),'Pre- and Production'!AD$4:AD$532)</f>
        <v>0</v>
      </c>
      <c r="G189" s="279">
        <f>SUMIF('Pre- and Production'!$T$4:$T$532, CONCATENATE(LEFT('WBS Summary by Year'!G$6,1),'WBS Summary by Year'!$C189,'WBS Summary by Year'!$B$164),'Pre- and Production'!AN$4:AN$532)</f>
        <v>0</v>
      </c>
      <c r="H189" s="290">
        <f>SUMIF('Pre- and Production'!$T$4:$T$532, CONCATENATE(LEFT('WBS Summary by Year'!H$6,1),'WBS Summary by Year'!$C189,'WBS Summary by Year'!$B$164),'Pre- and Production'!AE$4:AE$532)</f>
        <v>0</v>
      </c>
      <c r="I189" s="286">
        <f>SUMIF('Pre- and Production'!$T$4:$T$532, CONCATENATE(LEFT('WBS Summary by Year'!I$6,1),'WBS Summary by Year'!$C189,'WBS Summary by Year'!$B$164),'Pre- and Production'!AO$4:AO$532)</f>
        <v>0</v>
      </c>
      <c r="J189" s="26">
        <f>SUMIF('Pre- and Production'!$T$4:$T$532, CONCATENATE(LEFT('WBS Summary by Year'!J$6,1),'WBS Summary by Year'!$C189,'WBS Summary by Year'!$B$164),'Pre- and Production'!AF$4:AFI$532)</f>
        <v>0</v>
      </c>
      <c r="K189" s="279">
        <f>SUMIF('Pre- and Production'!$T$4:$T$532, CONCATENATE(LEFT('WBS Summary by Year'!K$6,1),'WBS Summary by Year'!$C189,'WBS Summary by Year'!$B$164),'Pre- and Production'!AP$4:AP$532)</f>
        <v>0</v>
      </c>
      <c r="L189" s="290">
        <f>SUMIF('Pre- and Production'!$T$4:$T$532, CONCATENATE(LEFT('WBS Summary by Year'!L$6,1),'WBS Summary by Year'!$C189,'WBS Summary by Year'!$B$164),'Pre- and Production'!AG$4:AG$532)</f>
        <v>0</v>
      </c>
      <c r="M189" s="286">
        <f>SUMIF('Pre- and Production'!$T$4:$T$532, CONCATENATE(LEFT('WBS Summary by Year'!M$6,1),'WBS Summary by Year'!$C189,'WBS Summary by Year'!$B$164),'Pre- and Production'!AQ$4:AQ$532)</f>
        <v>0</v>
      </c>
      <c r="N189" s="298">
        <f>SUMIF('Pre- and Production'!$T$4:$T$532, CONCATENATE(LEFT('WBS Summary by Year'!N$6,1),'WBS Summary by Year'!$C189,'WBS Summary by Year'!$B$164),'Pre- and Production'!AH$4:AH$532)</f>
        <v>0</v>
      </c>
      <c r="O189" s="299">
        <f>SUMIF('Pre- and Production'!$T$4:$T$532, CONCATENATE(LEFT('WBS Summary by Year'!O$6,1),'WBS Summary by Year'!$C189,'WBS Summary by Year'!$B$164),'Pre- and Production'!AR$4:AR$532)</f>
        <v>0</v>
      </c>
    </row>
    <row r="190" spans="3:15">
      <c r="C190" s="9" t="s">
        <v>229</v>
      </c>
      <c r="D190" s="26">
        <f>SUMIF('Pre- and Production'!$T$4:$T$532, CONCATENATE(LEFT('WBS Summary by Year'!D$6,1),'WBS Summary by Year'!$C190,'WBS Summary by Year'!$B$164),'Pre- and Production'!AC$4:AC$532)</f>
        <v>0</v>
      </c>
      <c r="E190" s="286">
        <f>SUMIF('Pre- and Production'!$T$4:$T$532, CONCATENATE(LEFT('WBS Summary by Year'!E$6,1),'WBS Summary by Year'!$C190,'WBS Summary by Year'!$B$164),'Pre- and Production'!AM$4:AM$532)</f>
        <v>0</v>
      </c>
      <c r="F190" s="26">
        <f>SUMIF('Pre- and Production'!$T$4:$T$532, CONCATENATE(LEFT('WBS Summary by Year'!F$6,1),'WBS Summary by Year'!$C190,'WBS Summary by Year'!$B$164),'Pre- and Production'!AD$4:AD$532)</f>
        <v>0</v>
      </c>
      <c r="G190" s="279">
        <f>SUMIF('Pre- and Production'!$T$4:$T$532, CONCATENATE(LEFT('WBS Summary by Year'!G$6,1),'WBS Summary by Year'!$C190,'WBS Summary by Year'!$B$164),'Pre- and Production'!AN$4:AN$532)</f>
        <v>0</v>
      </c>
      <c r="H190" s="290">
        <f>SUMIF('Pre- and Production'!$T$4:$T$532, CONCATENATE(LEFT('WBS Summary by Year'!H$6,1),'WBS Summary by Year'!$C190,'WBS Summary by Year'!$B$164),'Pre- and Production'!AE$4:AE$532)</f>
        <v>0</v>
      </c>
      <c r="I190" s="286">
        <f>SUMIF('Pre- and Production'!$T$4:$T$532, CONCATENATE(LEFT('WBS Summary by Year'!I$6,1),'WBS Summary by Year'!$C190,'WBS Summary by Year'!$B$164),'Pre- and Production'!AO$4:AO$532)</f>
        <v>0</v>
      </c>
      <c r="J190" s="26">
        <f>SUMIF('Pre- and Production'!$T$4:$T$532, CONCATENATE(LEFT('WBS Summary by Year'!J$6,1),'WBS Summary by Year'!$C190,'WBS Summary by Year'!$B$164),'Pre- and Production'!AF$4:AFI$532)</f>
        <v>0</v>
      </c>
      <c r="K190" s="279">
        <f>SUMIF('Pre- and Production'!$T$4:$T$532, CONCATENATE(LEFT('WBS Summary by Year'!K$6,1),'WBS Summary by Year'!$C190,'WBS Summary by Year'!$B$164),'Pre- and Production'!AP$4:AP$532)</f>
        <v>0</v>
      </c>
      <c r="L190" s="290">
        <f>SUMIF('Pre- and Production'!$T$4:$T$532, CONCATENATE(LEFT('WBS Summary by Year'!L$6,1),'WBS Summary by Year'!$C190,'WBS Summary by Year'!$B$164),'Pre- and Production'!AG$4:AG$532)</f>
        <v>0</v>
      </c>
      <c r="M190" s="286">
        <f>SUMIF('Pre- and Production'!$T$4:$T$532, CONCATENATE(LEFT('WBS Summary by Year'!M$6,1),'WBS Summary by Year'!$C190,'WBS Summary by Year'!$B$164),'Pre- and Production'!AQ$4:AQ$532)</f>
        <v>0</v>
      </c>
      <c r="N190" s="298">
        <f>SUMIF('Pre- and Production'!$T$4:$T$532, CONCATENATE(LEFT('WBS Summary by Year'!N$6,1),'WBS Summary by Year'!$C190,'WBS Summary by Year'!$B$164),'Pre- and Production'!AH$4:AH$532)</f>
        <v>0</v>
      </c>
      <c r="O190" s="299">
        <f>SUMIF('Pre- and Production'!$T$4:$T$532, CONCATENATE(LEFT('WBS Summary by Year'!O$6,1),'WBS Summary by Year'!$C190,'WBS Summary by Year'!$B$164),'Pre- and Production'!AR$4:AR$532)</f>
        <v>0</v>
      </c>
    </row>
    <row r="191" spans="3:15">
      <c r="C191" s="9" t="s">
        <v>230</v>
      </c>
      <c r="D191" s="26">
        <f>SUMIF('Pre- and Production'!$T$4:$T$532, CONCATENATE(LEFT('WBS Summary by Year'!D$6,1),'WBS Summary by Year'!$C191,'WBS Summary by Year'!$B$164),'Pre- and Production'!AC$4:AC$532)</f>
        <v>0</v>
      </c>
      <c r="E191" s="286">
        <f>SUMIF('Pre- and Production'!$T$4:$T$532, CONCATENATE(LEFT('WBS Summary by Year'!E$6,1),'WBS Summary by Year'!$C191,'WBS Summary by Year'!$B$164),'Pre- and Production'!AM$4:AM$532)</f>
        <v>0</v>
      </c>
      <c r="F191" s="26">
        <f>SUMIF('Pre- and Production'!$T$4:$T$532, CONCATENATE(LEFT('WBS Summary by Year'!F$6,1),'WBS Summary by Year'!$C191,'WBS Summary by Year'!$B$164),'Pre- and Production'!AD$4:AD$532)</f>
        <v>160</v>
      </c>
      <c r="G191" s="279">
        <f>SUMIF('Pre- and Production'!$T$4:$T$532, CONCATENATE(LEFT('WBS Summary by Year'!G$6,1),'WBS Summary by Year'!$C191,'WBS Summary by Year'!$B$164),'Pre- and Production'!AN$4:AN$532)</f>
        <v>0</v>
      </c>
      <c r="H191" s="290">
        <f>SUMIF('Pre- and Production'!$T$4:$T$532, CONCATENATE(LEFT('WBS Summary by Year'!H$6,1),'WBS Summary by Year'!$C191,'WBS Summary by Year'!$B$164),'Pre- and Production'!AE$4:AE$532)</f>
        <v>0</v>
      </c>
      <c r="I191" s="286">
        <f>SUMIF('Pre- and Production'!$T$4:$T$532, CONCATENATE(LEFT('WBS Summary by Year'!I$6,1),'WBS Summary by Year'!$C191,'WBS Summary by Year'!$B$164),'Pre- and Production'!AO$4:AO$532)</f>
        <v>0</v>
      </c>
      <c r="J191" s="26">
        <f>SUMIF('Pre- and Production'!$T$4:$T$532, CONCATENATE(LEFT('WBS Summary by Year'!J$6,1),'WBS Summary by Year'!$C191,'WBS Summary by Year'!$B$164),'Pre- and Production'!AF$4:AFI$532)</f>
        <v>48</v>
      </c>
      <c r="K191" s="279">
        <f>SUMIF('Pre- and Production'!$T$4:$T$532, CONCATENATE(LEFT('WBS Summary by Year'!K$6,1),'WBS Summary by Year'!$C191,'WBS Summary by Year'!$B$164),'Pre- and Production'!AP$4:AP$532)</f>
        <v>0</v>
      </c>
      <c r="L191" s="290">
        <f>SUMIF('Pre- and Production'!$T$4:$T$532, CONCATENATE(LEFT('WBS Summary by Year'!L$6,1),'WBS Summary by Year'!$C191,'WBS Summary by Year'!$B$164),'Pre- and Production'!AG$4:AG$532)</f>
        <v>0</v>
      </c>
      <c r="M191" s="286">
        <f>SUMIF('Pre- and Production'!$T$4:$T$532, CONCATENATE(LEFT('WBS Summary by Year'!M$6,1),'WBS Summary by Year'!$C191,'WBS Summary by Year'!$B$164),'Pre- and Production'!AQ$4:AQ$532)</f>
        <v>0</v>
      </c>
      <c r="N191" s="298">
        <f>SUMIF('Pre- and Production'!$T$4:$T$532, CONCATENATE(LEFT('WBS Summary by Year'!N$6,1),'WBS Summary by Year'!$C191,'WBS Summary by Year'!$B$164),'Pre- and Production'!AH$4:AH$532)</f>
        <v>0</v>
      </c>
      <c r="O191" s="299">
        <f>SUMIF('Pre- and Production'!$T$4:$T$532, CONCATENATE(LEFT('WBS Summary by Year'!O$6,1),'WBS Summary by Year'!$C191,'WBS Summary by Year'!$B$164),'Pre- and Production'!AR$4:AR$532)</f>
        <v>0</v>
      </c>
    </row>
    <row r="192" spans="3:15">
      <c r="C192" s="9" t="s">
        <v>231</v>
      </c>
      <c r="D192" s="26">
        <f>SUMIF('Pre- and Production'!$T$4:$T$532, CONCATENATE(LEFT('WBS Summary by Year'!D$6,1),'WBS Summary by Year'!$C192,'WBS Summary by Year'!$B$164),'Pre- and Production'!AC$4:AC$532)</f>
        <v>0</v>
      </c>
      <c r="E192" s="286">
        <f>SUMIF('Pre- and Production'!$T$4:$T$532, CONCATENATE(LEFT('WBS Summary by Year'!E$6,1),'WBS Summary by Year'!$C192,'WBS Summary by Year'!$B$164),'Pre- and Production'!AM$4:AM$532)</f>
        <v>0</v>
      </c>
      <c r="F192" s="26">
        <f>SUMIF('Pre- and Production'!$T$4:$T$532, CONCATENATE(LEFT('WBS Summary by Year'!F$6,1),'WBS Summary by Year'!$C192,'WBS Summary by Year'!$B$164),'Pre- and Production'!AD$4:AD$532)</f>
        <v>0</v>
      </c>
      <c r="G192" s="279">
        <f>SUMIF('Pre- and Production'!$T$4:$T$532, CONCATENATE(LEFT('WBS Summary by Year'!G$6,1),'WBS Summary by Year'!$C192,'WBS Summary by Year'!$B$164),'Pre- and Production'!AN$4:AN$532)</f>
        <v>0</v>
      </c>
      <c r="H192" s="290">
        <f>SUMIF('Pre- and Production'!$T$4:$T$532, CONCATENATE(LEFT('WBS Summary by Year'!H$6,1),'WBS Summary by Year'!$C192,'WBS Summary by Year'!$B$164),'Pre- and Production'!AE$4:AE$532)</f>
        <v>0</v>
      </c>
      <c r="I192" s="286">
        <f>SUMIF('Pre- and Production'!$T$4:$T$532, CONCATENATE(LEFT('WBS Summary by Year'!I$6,1),'WBS Summary by Year'!$C192,'WBS Summary by Year'!$B$164),'Pre- and Production'!AO$4:AO$532)</f>
        <v>0</v>
      </c>
      <c r="J192" s="26">
        <f>SUMIF('Pre- and Production'!$T$4:$T$532, CONCATENATE(LEFT('WBS Summary by Year'!J$6,1),'WBS Summary by Year'!$C192,'WBS Summary by Year'!$B$164),'Pre- and Production'!AF$4:AFI$532)</f>
        <v>0</v>
      </c>
      <c r="K192" s="279">
        <f>SUMIF('Pre- and Production'!$T$4:$T$532, CONCATENATE(LEFT('WBS Summary by Year'!K$6,1),'WBS Summary by Year'!$C192,'WBS Summary by Year'!$B$164),'Pre- and Production'!AP$4:AP$532)</f>
        <v>0</v>
      </c>
      <c r="L192" s="290">
        <f>SUMIF('Pre- and Production'!$T$4:$T$532, CONCATENATE(LEFT('WBS Summary by Year'!L$6,1),'WBS Summary by Year'!$C192,'WBS Summary by Year'!$B$164),'Pre- and Production'!AG$4:AG$532)</f>
        <v>0</v>
      </c>
      <c r="M192" s="286">
        <f>SUMIF('Pre- and Production'!$T$4:$T$532, CONCATENATE(LEFT('WBS Summary by Year'!M$6,1),'WBS Summary by Year'!$C192,'WBS Summary by Year'!$B$164),'Pre- and Production'!AQ$4:AQ$532)</f>
        <v>0</v>
      </c>
      <c r="N192" s="298">
        <f>SUMIF('Pre- and Production'!$T$4:$T$532, CONCATENATE(LEFT('WBS Summary by Year'!N$6,1),'WBS Summary by Year'!$C192,'WBS Summary by Year'!$B$164),'Pre- and Production'!AH$4:AH$532)</f>
        <v>0</v>
      </c>
      <c r="O192" s="299">
        <f>SUMIF('Pre- and Production'!$T$4:$T$532, CONCATENATE(LEFT('WBS Summary by Year'!O$6,1),'WBS Summary by Year'!$C192,'WBS Summary by Year'!$B$164),'Pre- and Production'!AR$4:AR$532)</f>
        <v>0</v>
      </c>
    </row>
    <row r="193" spans="2:15">
      <c r="C193" s="9" t="s">
        <v>232</v>
      </c>
      <c r="D193" s="26">
        <f>SUMIF('Pre- and Production'!$T$4:$T$532, CONCATENATE(LEFT('WBS Summary by Year'!D$6,1),'WBS Summary by Year'!$C193,'WBS Summary by Year'!$B$164),'Pre- and Production'!AC$4:AC$532)</f>
        <v>0</v>
      </c>
      <c r="E193" s="286">
        <f>SUMIF('Pre- and Production'!$T$4:$T$532, CONCATENATE(LEFT('WBS Summary by Year'!E$6,1),'WBS Summary by Year'!$C193,'WBS Summary by Year'!$B$164),'Pre- and Production'!AM$4:AM$532)</f>
        <v>0</v>
      </c>
      <c r="F193" s="26">
        <f>SUMIF('Pre- and Production'!$T$4:$T$532, CONCATENATE(LEFT('WBS Summary by Year'!F$6,1),'WBS Summary by Year'!$C193,'WBS Summary by Year'!$B$164),'Pre- and Production'!AD$4:AD$532)</f>
        <v>0</v>
      </c>
      <c r="G193" s="279">
        <f>SUMIF('Pre- and Production'!$T$4:$T$532, CONCATENATE(LEFT('WBS Summary by Year'!G$6,1),'WBS Summary by Year'!$C193,'WBS Summary by Year'!$B$164),'Pre- and Production'!AN$4:AN$532)</f>
        <v>0</v>
      </c>
      <c r="H193" s="290">
        <f>SUMIF('Pre- and Production'!$T$4:$T$532, CONCATENATE(LEFT('WBS Summary by Year'!H$6,1),'WBS Summary by Year'!$C193,'WBS Summary by Year'!$B$164),'Pre- and Production'!AE$4:AE$532)</f>
        <v>0</v>
      </c>
      <c r="I193" s="286">
        <f>SUMIF('Pre- and Production'!$T$4:$T$532, CONCATENATE(LEFT('WBS Summary by Year'!I$6,1),'WBS Summary by Year'!$C193,'WBS Summary by Year'!$B$164),'Pre- and Production'!AO$4:AO$532)</f>
        <v>0</v>
      </c>
      <c r="J193" s="26">
        <f>SUMIF('Pre- and Production'!$T$4:$T$532, CONCATENATE(LEFT('WBS Summary by Year'!J$6,1),'WBS Summary by Year'!$C193,'WBS Summary by Year'!$B$164),'Pre- and Production'!AF$4:AFI$532)</f>
        <v>0</v>
      </c>
      <c r="K193" s="279">
        <f>SUMIF('Pre- and Production'!$T$4:$T$532, CONCATENATE(LEFT('WBS Summary by Year'!K$6,1),'WBS Summary by Year'!$C193,'WBS Summary by Year'!$B$164),'Pre- and Production'!AP$4:AP$532)</f>
        <v>0</v>
      </c>
      <c r="L193" s="290">
        <f>SUMIF('Pre- and Production'!$T$4:$T$532, CONCATENATE(LEFT('WBS Summary by Year'!L$6,1),'WBS Summary by Year'!$C193,'WBS Summary by Year'!$B$164),'Pre- and Production'!AG$4:AG$532)</f>
        <v>0</v>
      </c>
      <c r="M193" s="286">
        <f>SUMIF('Pre- and Production'!$T$4:$T$532, CONCATENATE(LEFT('WBS Summary by Year'!M$6,1),'WBS Summary by Year'!$C193,'WBS Summary by Year'!$B$164),'Pre- and Production'!AQ$4:AQ$532)</f>
        <v>0</v>
      </c>
      <c r="N193" s="298">
        <f>SUMIF('Pre- and Production'!$T$4:$T$532, CONCATENATE(LEFT('WBS Summary by Year'!N$6,1),'WBS Summary by Year'!$C193,'WBS Summary by Year'!$B$164),'Pre- and Production'!AH$4:AH$532)</f>
        <v>0</v>
      </c>
      <c r="O193" s="299">
        <f>SUMIF('Pre- and Production'!$T$4:$T$532, CONCATENATE(LEFT('WBS Summary by Year'!O$6,1),'WBS Summary by Year'!$C193,'WBS Summary by Year'!$B$164),'Pre- and Production'!AR$4:AR$532)</f>
        <v>0</v>
      </c>
    </row>
    <row r="194" spans="2:15">
      <c r="C194" s="9" t="s">
        <v>233</v>
      </c>
      <c r="D194" s="26">
        <f>SUMIF('Pre- and Production'!$T$4:$T$532, CONCATENATE(LEFT('WBS Summary by Year'!D$6,1),'WBS Summary by Year'!$C194,'WBS Summary by Year'!$B$164),'Pre- and Production'!AC$4:AC$532)</f>
        <v>0</v>
      </c>
      <c r="E194" s="286">
        <f>SUMIF('Pre- and Production'!$T$4:$T$532, CONCATENATE(LEFT('WBS Summary by Year'!E$6,1),'WBS Summary by Year'!$C194,'WBS Summary by Year'!$B$164),'Pre- and Production'!AM$4:AM$532)</f>
        <v>0</v>
      </c>
      <c r="F194" s="26">
        <f>SUMIF('Pre- and Production'!$T$4:$T$532, CONCATENATE(LEFT('WBS Summary by Year'!F$6,1),'WBS Summary by Year'!$C194,'WBS Summary by Year'!$B$164),'Pre- and Production'!AD$4:AD$532)</f>
        <v>0</v>
      </c>
      <c r="G194" s="279">
        <f>SUMIF('Pre- and Production'!$T$4:$T$532, CONCATENATE(LEFT('WBS Summary by Year'!G$6,1),'WBS Summary by Year'!$C194,'WBS Summary by Year'!$B$164),'Pre- and Production'!AN$4:AN$532)</f>
        <v>0</v>
      </c>
      <c r="H194" s="290">
        <f>SUMIF('Pre- and Production'!$T$4:$T$532, CONCATENATE(LEFT('WBS Summary by Year'!H$6,1),'WBS Summary by Year'!$C194,'WBS Summary by Year'!$B$164),'Pre- and Production'!AE$4:AE$532)</f>
        <v>0</v>
      </c>
      <c r="I194" s="286">
        <f>SUMIF('Pre- and Production'!$T$4:$T$532, CONCATENATE(LEFT('WBS Summary by Year'!I$6,1),'WBS Summary by Year'!$C194,'WBS Summary by Year'!$B$164),'Pre- and Production'!AO$4:AO$532)</f>
        <v>0</v>
      </c>
      <c r="J194" s="26">
        <f>SUMIF('Pre- and Production'!$T$4:$T$532, CONCATENATE(LEFT('WBS Summary by Year'!J$6,1),'WBS Summary by Year'!$C194,'WBS Summary by Year'!$B$164),'Pre- and Production'!AF$4:AFI$532)</f>
        <v>0</v>
      </c>
      <c r="K194" s="279">
        <f>SUMIF('Pre- and Production'!$T$4:$T$532, CONCATENATE(LEFT('WBS Summary by Year'!K$6,1),'WBS Summary by Year'!$C194,'WBS Summary by Year'!$B$164),'Pre- and Production'!AP$4:AP$532)</f>
        <v>0</v>
      </c>
      <c r="L194" s="290">
        <f>SUMIF('Pre- and Production'!$T$4:$T$532, CONCATENATE(LEFT('WBS Summary by Year'!L$6,1),'WBS Summary by Year'!$C194,'WBS Summary by Year'!$B$164),'Pre- and Production'!AG$4:AG$532)</f>
        <v>0</v>
      </c>
      <c r="M194" s="286">
        <f>SUMIF('Pre- and Production'!$T$4:$T$532, CONCATENATE(LEFT('WBS Summary by Year'!M$6,1),'WBS Summary by Year'!$C194,'WBS Summary by Year'!$B$164),'Pre- and Production'!AQ$4:AQ$532)</f>
        <v>0</v>
      </c>
      <c r="N194" s="298">
        <f>SUMIF('Pre- and Production'!$T$4:$T$532, CONCATENATE(LEFT('WBS Summary by Year'!N$6,1),'WBS Summary by Year'!$C194,'WBS Summary by Year'!$B$164),'Pre- and Production'!AH$4:AH$532)</f>
        <v>0</v>
      </c>
      <c r="O194" s="299">
        <f>SUMIF('Pre- and Production'!$T$4:$T$532, CONCATENATE(LEFT('WBS Summary by Year'!O$6,1),'WBS Summary by Year'!$C194,'WBS Summary by Year'!$B$164),'Pre- and Production'!AR$4:AR$532)</f>
        <v>0</v>
      </c>
    </row>
    <row r="195" spans="2:15">
      <c r="C195" s="9" t="s">
        <v>234</v>
      </c>
      <c r="D195" s="26">
        <f>SUMIF('Pre- and Production'!$T$4:$T$532, CONCATENATE(LEFT('WBS Summary by Year'!D$6,1),'WBS Summary by Year'!$C195,'WBS Summary by Year'!$B$164),'Pre- and Production'!AC$4:AC$532)</f>
        <v>0</v>
      </c>
      <c r="E195" s="286">
        <f>SUMIF('Pre- and Production'!$T$4:$T$532, CONCATENATE(LEFT('WBS Summary by Year'!E$6,1),'WBS Summary by Year'!$C195,'WBS Summary by Year'!$B$164),'Pre- and Production'!AM$4:AM$532)</f>
        <v>0</v>
      </c>
      <c r="F195" s="26">
        <f>SUMIF('Pre- and Production'!$T$4:$T$532, CONCATENATE(LEFT('WBS Summary by Year'!F$6,1),'WBS Summary by Year'!$C195,'WBS Summary by Year'!$B$164),'Pre- and Production'!AD$4:AD$532)</f>
        <v>0</v>
      </c>
      <c r="G195" s="279">
        <f>SUMIF('Pre- and Production'!$T$4:$T$532, CONCATENATE(LEFT('WBS Summary by Year'!G$6,1),'WBS Summary by Year'!$C195,'WBS Summary by Year'!$B$164),'Pre- and Production'!AN$4:AN$532)</f>
        <v>0</v>
      </c>
      <c r="H195" s="290">
        <f>SUMIF('Pre- and Production'!$T$4:$T$532, CONCATENATE(LEFT('WBS Summary by Year'!H$6,1),'WBS Summary by Year'!$C195,'WBS Summary by Year'!$B$164),'Pre- and Production'!AE$4:AE$532)</f>
        <v>0</v>
      </c>
      <c r="I195" s="286">
        <f>SUMIF('Pre- and Production'!$T$4:$T$532, CONCATENATE(LEFT('WBS Summary by Year'!I$6,1),'WBS Summary by Year'!$C195,'WBS Summary by Year'!$B$164),'Pre- and Production'!AO$4:AO$532)</f>
        <v>0</v>
      </c>
      <c r="J195" s="26">
        <f>SUMIF('Pre- and Production'!$T$4:$T$532, CONCATENATE(LEFT('WBS Summary by Year'!J$6,1),'WBS Summary by Year'!$C195,'WBS Summary by Year'!$B$164),'Pre- and Production'!AF$4:AFI$532)</f>
        <v>0</v>
      </c>
      <c r="K195" s="279">
        <f>SUMIF('Pre- and Production'!$T$4:$T$532, CONCATENATE(LEFT('WBS Summary by Year'!K$6,1),'WBS Summary by Year'!$C195,'WBS Summary by Year'!$B$164),'Pre- and Production'!AP$4:AP$532)</f>
        <v>0</v>
      </c>
      <c r="L195" s="290">
        <f>SUMIF('Pre- and Production'!$T$4:$T$532, CONCATENATE(LEFT('WBS Summary by Year'!L$6,1),'WBS Summary by Year'!$C195,'WBS Summary by Year'!$B$164),'Pre- and Production'!AG$4:AG$532)</f>
        <v>0</v>
      </c>
      <c r="M195" s="286">
        <f>SUMIF('Pre- and Production'!$T$4:$T$532, CONCATENATE(LEFT('WBS Summary by Year'!M$6,1),'WBS Summary by Year'!$C195,'WBS Summary by Year'!$B$164),'Pre- and Production'!AQ$4:AQ$532)</f>
        <v>0</v>
      </c>
      <c r="N195" s="298">
        <f>SUMIF('Pre- and Production'!$T$4:$T$532, CONCATENATE(LEFT('WBS Summary by Year'!N$6,1),'WBS Summary by Year'!$C195,'WBS Summary by Year'!$B$164),'Pre- and Production'!AH$4:AH$532)</f>
        <v>0</v>
      </c>
      <c r="O195" s="299">
        <f>SUMIF('Pre- and Production'!$T$4:$T$532, CONCATENATE(LEFT('WBS Summary by Year'!O$6,1),'WBS Summary by Year'!$C195,'WBS Summary by Year'!$B$164),'Pre- and Production'!AR$4:AR$532)</f>
        <v>0</v>
      </c>
    </row>
    <row r="196" spans="2:15">
      <c r="C196" s="9" t="s">
        <v>235</v>
      </c>
      <c r="D196" s="26">
        <f>SUMIF('Pre- and Production'!$T$4:$T$532, CONCATENATE(LEFT('WBS Summary by Year'!D$6,1),'WBS Summary by Year'!$C196,'WBS Summary by Year'!$B$164),'Pre- and Production'!AC$4:AC$532)</f>
        <v>0</v>
      </c>
      <c r="E196" s="286">
        <f>SUMIF('Pre- and Production'!$T$4:$T$532, CONCATENATE(LEFT('WBS Summary by Year'!E$6,1),'WBS Summary by Year'!$C196,'WBS Summary by Year'!$B$164),'Pre- and Production'!AM$4:AM$532)</f>
        <v>0</v>
      </c>
      <c r="F196" s="26">
        <f>SUMIF('Pre- and Production'!$T$4:$T$532, CONCATENATE(LEFT('WBS Summary by Year'!F$6,1),'WBS Summary by Year'!$C196,'WBS Summary by Year'!$B$164),'Pre- and Production'!AD$4:AD$532)</f>
        <v>0</v>
      </c>
      <c r="G196" s="279">
        <f>SUMIF('Pre- and Production'!$T$4:$T$532, CONCATENATE(LEFT('WBS Summary by Year'!G$6,1),'WBS Summary by Year'!$C196,'WBS Summary by Year'!$B$164),'Pre- and Production'!AN$4:AN$532)</f>
        <v>0</v>
      </c>
      <c r="H196" s="290">
        <f>SUMIF('Pre- and Production'!$T$4:$T$532, CONCATENATE(LEFT('WBS Summary by Year'!H$6,1),'WBS Summary by Year'!$C196,'WBS Summary by Year'!$B$164),'Pre- and Production'!AE$4:AE$532)</f>
        <v>0</v>
      </c>
      <c r="I196" s="286">
        <f>SUMIF('Pre- and Production'!$T$4:$T$532, CONCATENATE(LEFT('WBS Summary by Year'!I$6,1),'WBS Summary by Year'!$C196,'WBS Summary by Year'!$B$164),'Pre- and Production'!AO$4:AO$532)</f>
        <v>0</v>
      </c>
      <c r="J196" s="26">
        <f>SUMIF('Pre- and Production'!$T$4:$T$532, CONCATENATE(LEFT('WBS Summary by Year'!J$6,1),'WBS Summary by Year'!$C196,'WBS Summary by Year'!$B$164),'Pre- and Production'!AF$4:AFI$532)</f>
        <v>0</v>
      </c>
      <c r="K196" s="279">
        <f>SUMIF('Pre- and Production'!$T$4:$T$532, CONCATENATE(LEFT('WBS Summary by Year'!K$6,1),'WBS Summary by Year'!$C196,'WBS Summary by Year'!$B$164),'Pre- and Production'!AP$4:AP$532)</f>
        <v>0</v>
      </c>
      <c r="L196" s="290">
        <f>SUMIF('Pre- and Production'!$T$4:$T$532, CONCATENATE(LEFT('WBS Summary by Year'!L$6,1),'WBS Summary by Year'!$C196,'WBS Summary by Year'!$B$164),'Pre- and Production'!AG$4:AG$532)</f>
        <v>0</v>
      </c>
      <c r="M196" s="286">
        <f>SUMIF('Pre- and Production'!$T$4:$T$532, CONCATENATE(LEFT('WBS Summary by Year'!M$6,1),'WBS Summary by Year'!$C196,'WBS Summary by Year'!$B$164),'Pre- and Production'!AQ$4:AQ$532)</f>
        <v>0</v>
      </c>
      <c r="N196" s="298">
        <f>SUMIF('Pre- and Production'!$T$4:$T$532, CONCATENATE(LEFT('WBS Summary by Year'!N$6,1),'WBS Summary by Year'!$C196,'WBS Summary by Year'!$B$164),'Pre- and Production'!AH$4:AH$532)</f>
        <v>0</v>
      </c>
      <c r="O196" s="299">
        <f>SUMIF('Pre- and Production'!$T$4:$T$532, CONCATENATE(LEFT('WBS Summary by Year'!O$6,1),'WBS Summary by Year'!$C196,'WBS Summary by Year'!$B$164),'Pre- and Production'!AR$4:AR$532)</f>
        <v>0</v>
      </c>
    </row>
    <row r="197" spans="2:15">
      <c r="C197" s="9" t="s">
        <v>236</v>
      </c>
      <c r="D197" s="26">
        <f>SUMIF('Pre- and Production'!$T$4:$T$532, CONCATENATE(LEFT('WBS Summary by Year'!D$6,1),'WBS Summary by Year'!$C197,'WBS Summary by Year'!$B$164),'Pre- and Production'!AC$4:AC$532)</f>
        <v>0</v>
      </c>
      <c r="E197" s="286">
        <f>SUMIF('Pre- and Production'!$T$4:$T$532, CONCATENATE(LEFT('WBS Summary by Year'!E$6,1),'WBS Summary by Year'!$C197,'WBS Summary by Year'!$B$164),'Pre- and Production'!AM$4:AM$532)</f>
        <v>0</v>
      </c>
      <c r="F197" s="26">
        <f>SUMIF('Pre- and Production'!$T$4:$T$532, CONCATENATE(LEFT('WBS Summary by Year'!F$6,1),'WBS Summary by Year'!$C197,'WBS Summary by Year'!$B$164),'Pre- and Production'!AD$4:AD$532)</f>
        <v>0</v>
      </c>
      <c r="G197" s="279">
        <f>SUMIF('Pre- and Production'!$T$4:$T$532, CONCATENATE(LEFT('WBS Summary by Year'!G$6,1),'WBS Summary by Year'!$C197,'WBS Summary by Year'!$B$164),'Pre- and Production'!AN$4:AN$532)</f>
        <v>0</v>
      </c>
      <c r="H197" s="290">
        <f>SUMIF('Pre- and Production'!$T$4:$T$532, CONCATENATE(LEFT('WBS Summary by Year'!H$6,1),'WBS Summary by Year'!$C197,'WBS Summary by Year'!$B$164),'Pre- and Production'!AE$4:AE$532)</f>
        <v>0</v>
      </c>
      <c r="I197" s="286">
        <f>SUMIF('Pre- and Production'!$T$4:$T$532, CONCATENATE(LEFT('WBS Summary by Year'!I$6,1),'WBS Summary by Year'!$C197,'WBS Summary by Year'!$B$164),'Pre- and Production'!AO$4:AO$532)</f>
        <v>0</v>
      </c>
      <c r="J197" s="26">
        <f>SUMIF('Pre- and Production'!$T$4:$T$532, CONCATENATE(LEFT('WBS Summary by Year'!J$6,1),'WBS Summary by Year'!$C197,'WBS Summary by Year'!$B$164),'Pre- and Production'!AF$4:AFI$532)</f>
        <v>0</v>
      </c>
      <c r="K197" s="279">
        <f>SUMIF('Pre- and Production'!$T$4:$T$532, CONCATENATE(LEFT('WBS Summary by Year'!K$6,1),'WBS Summary by Year'!$C197,'WBS Summary by Year'!$B$164),'Pre- and Production'!AP$4:AP$532)</f>
        <v>0</v>
      </c>
      <c r="L197" s="290">
        <f>SUMIF('Pre- and Production'!$T$4:$T$532, CONCATENATE(LEFT('WBS Summary by Year'!L$6,1),'WBS Summary by Year'!$C197,'WBS Summary by Year'!$B$164),'Pre- and Production'!AG$4:AG$532)</f>
        <v>0</v>
      </c>
      <c r="M197" s="286">
        <f>SUMIF('Pre- and Production'!$T$4:$T$532, CONCATENATE(LEFT('WBS Summary by Year'!M$6,1),'WBS Summary by Year'!$C197,'WBS Summary by Year'!$B$164),'Pre- and Production'!AQ$4:AQ$532)</f>
        <v>0</v>
      </c>
      <c r="N197" s="298">
        <f>SUMIF('Pre- and Production'!$T$4:$T$532, CONCATENATE(LEFT('WBS Summary by Year'!N$6,1),'WBS Summary by Year'!$C197,'WBS Summary by Year'!$B$164),'Pre- and Production'!AH$4:AH$532)</f>
        <v>0</v>
      </c>
      <c r="O197" s="299">
        <f>SUMIF('Pre- and Production'!$T$4:$T$532, CONCATENATE(LEFT('WBS Summary by Year'!O$6,1),'WBS Summary by Year'!$C197,'WBS Summary by Year'!$B$164),'Pre- and Production'!AR$4:AR$532)</f>
        <v>0</v>
      </c>
    </row>
    <row r="198" spans="2:15">
      <c r="C198" s="9" t="s">
        <v>237</v>
      </c>
      <c r="D198" s="26">
        <f>SUMIF('Pre- and Production'!$T$4:$T$532, CONCATENATE(LEFT('WBS Summary by Year'!D$6,1),'WBS Summary by Year'!$C198,'WBS Summary by Year'!$B$164),'Pre- and Production'!AC$4:AC$532)</f>
        <v>0</v>
      </c>
      <c r="E198" s="286">
        <f>SUMIF('Pre- and Production'!$T$4:$T$532, CONCATENATE(LEFT('WBS Summary by Year'!E$6,1),'WBS Summary by Year'!$C198,'WBS Summary by Year'!$B$164),'Pre- and Production'!AM$4:AM$532)</f>
        <v>0</v>
      </c>
      <c r="F198" s="26">
        <f>SUMIF('Pre- and Production'!$T$4:$T$532, CONCATENATE(LEFT('WBS Summary by Year'!F$6,1),'WBS Summary by Year'!$C198,'WBS Summary by Year'!$B$164),'Pre- and Production'!AD$4:AD$532)</f>
        <v>0</v>
      </c>
      <c r="G198" s="279">
        <f>SUMIF('Pre- and Production'!$T$4:$T$532, CONCATENATE(LEFT('WBS Summary by Year'!G$6,1),'WBS Summary by Year'!$C198,'WBS Summary by Year'!$B$164),'Pre- and Production'!AN$4:AN$532)</f>
        <v>0</v>
      </c>
      <c r="H198" s="290">
        <f>SUMIF('Pre- and Production'!$T$4:$T$532, CONCATENATE(LEFT('WBS Summary by Year'!H$6,1),'WBS Summary by Year'!$C198,'WBS Summary by Year'!$B$164),'Pre- and Production'!AE$4:AE$532)</f>
        <v>0</v>
      </c>
      <c r="I198" s="286">
        <f>SUMIF('Pre- and Production'!$T$4:$T$532, CONCATENATE(LEFT('WBS Summary by Year'!I$6,1),'WBS Summary by Year'!$C198,'WBS Summary by Year'!$B$164),'Pre- and Production'!AO$4:AO$532)</f>
        <v>0</v>
      </c>
      <c r="J198" s="26">
        <f>SUMIF('Pre- and Production'!$T$4:$T$532, CONCATENATE(LEFT('WBS Summary by Year'!J$6,1),'WBS Summary by Year'!$C198,'WBS Summary by Year'!$B$164),'Pre- and Production'!AF$4:AFI$532)</f>
        <v>0</v>
      </c>
      <c r="K198" s="279">
        <f>SUMIF('Pre- and Production'!$T$4:$T$532, CONCATENATE(LEFT('WBS Summary by Year'!K$6,1),'WBS Summary by Year'!$C198,'WBS Summary by Year'!$B$164),'Pre- and Production'!AP$4:AP$532)</f>
        <v>0</v>
      </c>
      <c r="L198" s="290">
        <f>SUMIF('Pre- and Production'!$T$4:$T$532, CONCATENATE(LEFT('WBS Summary by Year'!L$6,1),'WBS Summary by Year'!$C198,'WBS Summary by Year'!$B$164),'Pre- and Production'!AG$4:AG$532)</f>
        <v>0</v>
      </c>
      <c r="M198" s="286">
        <f>SUMIF('Pre- and Production'!$T$4:$T$532, CONCATENATE(LEFT('WBS Summary by Year'!M$6,1),'WBS Summary by Year'!$C198,'WBS Summary by Year'!$B$164),'Pre- and Production'!AQ$4:AQ$532)</f>
        <v>0</v>
      </c>
      <c r="N198" s="298">
        <f>SUMIF('Pre- and Production'!$T$4:$T$532, CONCATENATE(LEFT('WBS Summary by Year'!N$6,1),'WBS Summary by Year'!$C198,'WBS Summary by Year'!$B$164),'Pre- and Production'!AH$4:AH$532)</f>
        <v>0</v>
      </c>
      <c r="O198" s="299">
        <f>SUMIF('Pre- and Production'!$T$4:$T$532, CONCATENATE(LEFT('WBS Summary by Year'!O$6,1),'WBS Summary by Year'!$C198,'WBS Summary by Year'!$B$164),'Pre- and Production'!AR$4:AR$532)</f>
        <v>0</v>
      </c>
    </row>
    <row r="199" spans="2:15" ht="13.5" thickBot="1">
      <c r="C199" s="9" t="s">
        <v>238</v>
      </c>
      <c r="D199" s="280">
        <f>SUMIF('Pre- and Production'!$T$4:$T$532, CONCATENATE(LEFT('WBS Summary by Year'!D$6,1),'WBS Summary by Year'!$C199,'WBS Summary by Year'!$B$164),'Pre- and Production'!AC$4:AC$532)</f>
        <v>0</v>
      </c>
      <c r="E199" s="287">
        <f>SUMIF('Pre- and Production'!$T$4:$T$532, CONCATENATE(LEFT('WBS Summary by Year'!E$6,1),'WBS Summary by Year'!$C199,'WBS Summary by Year'!$B$164),'Pre- and Production'!AM$4:AM$532)</f>
        <v>0</v>
      </c>
      <c r="F199" s="280">
        <f>SUMIF('Pre- and Production'!$T$4:$T$532, CONCATENATE(LEFT('WBS Summary by Year'!F$6,1),'WBS Summary by Year'!$C199,'WBS Summary by Year'!$B$164),'Pre- and Production'!AD$4:AD$532)</f>
        <v>0</v>
      </c>
      <c r="G199" s="281">
        <f>SUMIF('Pre- and Production'!$T$4:$T$532, CONCATENATE(LEFT('WBS Summary by Year'!G$6,1),'WBS Summary by Year'!$C199,'WBS Summary by Year'!$B$164),'Pre- and Production'!AN$4:AN$532)</f>
        <v>0</v>
      </c>
      <c r="H199" s="291">
        <f>SUMIF('Pre- and Production'!$T$4:$T$532, CONCATENATE(LEFT('WBS Summary by Year'!H$6,1),'WBS Summary by Year'!$C199,'WBS Summary by Year'!$B$164),'Pre- and Production'!AE$4:AE$532)</f>
        <v>0</v>
      </c>
      <c r="I199" s="287">
        <f>SUMIF('Pre- and Production'!$T$4:$T$532, CONCATENATE(LEFT('WBS Summary by Year'!I$6,1),'WBS Summary by Year'!$C199,'WBS Summary by Year'!$B$164),'Pre- and Production'!AO$4:AO$532)</f>
        <v>0</v>
      </c>
      <c r="J199" s="280">
        <f>SUMIF('Pre- and Production'!$T$4:$T$532, CONCATENATE(LEFT('WBS Summary by Year'!J$6,1),'WBS Summary by Year'!$C199,'WBS Summary by Year'!$B$164),'Pre- and Production'!AF$4:AFI$532)</f>
        <v>0</v>
      </c>
      <c r="K199" s="281">
        <f>SUMIF('Pre- and Production'!$T$4:$T$532, CONCATENATE(LEFT('WBS Summary by Year'!K$6,1),'WBS Summary by Year'!$C199,'WBS Summary by Year'!$B$164),'Pre- and Production'!AP$4:AP$532)</f>
        <v>0</v>
      </c>
      <c r="L199" s="291">
        <f>SUMIF('Pre- and Production'!$T$4:$T$532, CONCATENATE(LEFT('WBS Summary by Year'!L$6,1),'WBS Summary by Year'!$C199,'WBS Summary by Year'!$B$164),'Pre- and Production'!AG$4:AG$532)</f>
        <v>0</v>
      </c>
      <c r="M199" s="287">
        <f>SUMIF('Pre- and Production'!$T$4:$T$532, CONCATENATE(LEFT('WBS Summary by Year'!M$6,1),'WBS Summary by Year'!$C199,'WBS Summary by Year'!$B$164),'Pre- and Production'!AQ$4:AQ$532)</f>
        <v>0</v>
      </c>
      <c r="N199" s="300">
        <f>SUMIF('Pre- and Production'!$T$4:$T$532, CONCATENATE(LEFT('WBS Summary by Year'!N$6,1),'WBS Summary by Year'!$C199,'WBS Summary by Year'!$B$164),'Pre- and Production'!AH$4:AH$532)</f>
        <v>0</v>
      </c>
      <c r="O199" s="301">
        <f>SUMIF('Pre- and Production'!$T$4:$T$532, CONCATENATE(LEFT('WBS Summary by Year'!O$6,1),'WBS Summary by Year'!$C199,'WBS Summary by Year'!$B$164),'Pre- and Production'!AR$4:AR$532)</f>
        <v>0</v>
      </c>
    </row>
    <row r="200" spans="2:15" ht="13.5" thickTop="1"/>
    <row r="201" spans="2:15">
      <c r="D201">
        <f t="shared" ref="D201:O201" si="4">SUM(D167:D199)</f>
        <v>18</v>
      </c>
      <c r="E201">
        <f t="shared" si="4"/>
        <v>8</v>
      </c>
      <c r="F201">
        <f t="shared" si="4"/>
        <v>750</v>
      </c>
      <c r="G201">
        <f t="shared" si="4"/>
        <v>697</v>
      </c>
      <c r="H201">
        <f t="shared" si="4"/>
        <v>56</v>
      </c>
      <c r="I201">
        <f t="shared" si="4"/>
        <v>32</v>
      </c>
      <c r="J201">
        <f t="shared" si="4"/>
        <v>168</v>
      </c>
      <c r="K201">
        <f t="shared" si="4"/>
        <v>140</v>
      </c>
      <c r="L201">
        <f t="shared" si="4"/>
        <v>0</v>
      </c>
      <c r="M201">
        <f t="shared" si="4"/>
        <v>0</v>
      </c>
      <c r="N201" s="293">
        <f t="shared" si="4"/>
        <v>9870</v>
      </c>
      <c r="O201" s="293">
        <f t="shared" si="4"/>
        <v>9205</v>
      </c>
    </row>
    <row r="204" spans="2:15" ht="18.75" thickBot="1">
      <c r="B204" s="292" t="s">
        <v>166</v>
      </c>
    </row>
    <row r="205" spans="2:15" ht="13.5" thickTop="1">
      <c r="D205" s="441" t="s">
        <v>42</v>
      </c>
      <c r="E205" s="442"/>
      <c r="F205" s="441" t="s">
        <v>191</v>
      </c>
      <c r="G205" s="443"/>
      <c r="H205" s="444" t="s">
        <v>38</v>
      </c>
      <c r="I205" s="442"/>
      <c r="J205" s="441" t="s">
        <v>192</v>
      </c>
      <c r="K205" s="443"/>
      <c r="L205" s="444" t="s">
        <v>32</v>
      </c>
      <c r="M205" s="442"/>
      <c r="N205" s="439" t="s">
        <v>193</v>
      </c>
      <c r="O205" s="440"/>
    </row>
    <row r="206" spans="2:15" ht="13.5" thickBot="1">
      <c r="D206" s="282" t="s">
        <v>70</v>
      </c>
      <c r="E206" s="284" t="s">
        <v>194</v>
      </c>
      <c r="F206" s="282" t="s">
        <v>70</v>
      </c>
      <c r="G206" s="283" t="s">
        <v>194</v>
      </c>
      <c r="H206" s="288" t="s">
        <v>70</v>
      </c>
      <c r="I206" s="284" t="s">
        <v>194</v>
      </c>
      <c r="J206" s="282" t="s">
        <v>70</v>
      </c>
      <c r="K206" s="283" t="s">
        <v>194</v>
      </c>
      <c r="L206" s="288" t="s">
        <v>70</v>
      </c>
      <c r="M206" s="284" t="s">
        <v>194</v>
      </c>
      <c r="N206" s="294" t="s">
        <v>70</v>
      </c>
      <c r="O206" s="295" t="s">
        <v>194</v>
      </c>
    </row>
    <row r="207" spans="2:15" ht="13.5" thickTop="1">
      <c r="C207" s="223">
        <v>1.5</v>
      </c>
      <c r="D207" s="277">
        <f>SUMIF('Pre- and Production'!$T$4:$T$532, CONCATENATE(LEFT('WBS Summary by Year'!D$6,1),'WBS Summary by Year'!$C207,'WBS Summary by Year'!$B$204),'Pre- and Production'!AC$4:AC$532)</f>
        <v>0</v>
      </c>
      <c r="E207" s="285">
        <f>SUMIF('Pre- and Production'!$T$4:$T$532, CONCATENATE(LEFT('WBS Summary by Year'!E$6,1),'WBS Summary by Year'!$C207,'WBS Summary by Year'!$B$204),'Pre- and Production'!AM$4:AM$532)</f>
        <v>0</v>
      </c>
      <c r="F207" s="277">
        <f>SUMIF('Pre- and Production'!$T$4:$T$532, CONCATENATE(LEFT('WBS Summary by Year'!F$6,1),'WBS Summary by Year'!$C207,'WBS Summary by Year'!$B$204),'Pre- and Production'!AD$4:AD$532)</f>
        <v>0</v>
      </c>
      <c r="G207" s="278">
        <f>SUMIF('Pre- and Production'!$T$4:$T$532, CONCATENATE(LEFT('WBS Summary by Year'!G$6,1),'WBS Summary by Year'!$C207,'WBS Summary by Year'!$B$204),'Pre- and Production'!AN$4:AN$532)</f>
        <v>0</v>
      </c>
      <c r="H207" s="289">
        <f>SUMIF('Pre- and Production'!$T$4:$T$532, CONCATENATE(LEFT('WBS Summary by Year'!H$6,1),'WBS Summary by Year'!$C207,'WBS Summary by Year'!$B$204),'Pre- and Production'!AE$4:AE$532)</f>
        <v>0</v>
      </c>
      <c r="I207" s="285">
        <f>SUMIF('Pre- and Production'!$T$4:$T$532, CONCATENATE(LEFT('WBS Summary by Year'!I$6,1),'WBS Summary by Year'!$C207,'WBS Summary by Year'!$B$204),'Pre- and Production'!AO$4:AO$532)</f>
        <v>0</v>
      </c>
      <c r="J207" s="277">
        <f>SUMIF('Pre- and Production'!$T$4:$T$532, CONCATENATE(LEFT('WBS Summary by Year'!J$6,1),'WBS Summary by Year'!$C207,'WBS Summary by Year'!$B$204),'Pre- and Production'!AF$4:AFI$532)</f>
        <v>0</v>
      </c>
      <c r="K207" s="278">
        <f>SUMIF('Pre- and Production'!$T$4:$T$532, CONCATENATE(LEFT('WBS Summary by Year'!K$6,1),'WBS Summary by Year'!$C207,'WBS Summary by Year'!$B$204),'Pre- and Production'!AP$4:AP$532)</f>
        <v>0</v>
      </c>
      <c r="L207" s="289">
        <f>SUMIF('Pre- and Production'!$T$4:$T$532, CONCATENATE(LEFT('WBS Summary by Year'!L$6,1),'WBS Summary by Year'!$C207,'WBS Summary by Year'!$B$204),'Pre- and Production'!AG$4:AG$532)</f>
        <v>0</v>
      </c>
      <c r="M207" s="285">
        <f>SUMIF('Pre- and Production'!$T$4:$T$532, CONCATENATE(LEFT('WBS Summary by Year'!M$6,1),'WBS Summary by Year'!$C207,'WBS Summary by Year'!$B$204),'Pre- and Production'!AQ$4:AQ$532)</f>
        <v>0</v>
      </c>
      <c r="N207" s="296">
        <f>SUMIF('Pre- and Production'!$T$4:$T$532, CONCATENATE(LEFT('WBS Summary by Year'!N$6,1),'WBS Summary by Year'!$C207,'WBS Summary by Year'!$B$204),'Pre- and Production'!AH$4:AH$532)</f>
        <v>0</v>
      </c>
      <c r="O207" s="297">
        <f>SUMIF('Pre- and Production'!$T$4:$T$532, CONCATENATE(LEFT('WBS Summary by Year'!O$6,1),'WBS Summary by Year'!$C207,'WBS Summary by Year'!$B$204),'Pre- and Production'!AR$4:AR$532)</f>
        <v>0</v>
      </c>
    </row>
    <row r="208" spans="2:15">
      <c r="C208" s="9" t="s">
        <v>195</v>
      </c>
      <c r="D208" s="26">
        <f>SUMIF('Pre- and Production'!$T$4:$T$532, CONCATENATE(LEFT('WBS Summary by Year'!D$6,1),'WBS Summary by Year'!$C208,'WBS Summary by Year'!$B$204),'Pre- and Production'!AC$4:AC$532)</f>
        <v>0</v>
      </c>
      <c r="E208" s="286">
        <f>SUMIF('Pre- and Production'!$T$4:$T$532, CONCATENATE(LEFT('WBS Summary by Year'!E$6,1),'WBS Summary by Year'!$C208,'WBS Summary by Year'!$B$204),'Pre- and Production'!AM$4:AM$532)</f>
        <v>0</v>
      </c>
      <c r="F208" s="26">
        <f>SUMIF('Pre- and Production'!$T$4:$T$532, CONCATENATE(LEFT('WBS Summary by Year'!F$6,1),'WBS Summary by Year'!$C208,'WBS Summary by Year'!$B$204),'Pre- and Production'!AD$4:AD$532)</f>
        <v>0</v>
      </c>
      <c r="G208" s="279">
        <f>SUMIF('Pre- and Production'!$T$4:$T$532, CONCATENATE(LEFT('WBS Summary by Year'!G$6,1),'WBS Summary by Year'!$C208,'WBS Summary by Year'!$B$204),'Pre- and Production'!AN$4:AN$532)</f>
        <v>0</v>
      </c>
      <c r="H208" s="290">
        <f>SUMIF('Pre- and Production'!$T$4:$T$532, CONCATENATE(LEFT('WBS Summary by Year'!H$6,1),'WBS Summary by Year'!$C208,'WBS Summary by Year'!$B$204),'Pre- and Production'!AE$4:AE$532)</f>
        <v>0</v>
      </c>
      <c r="I208" s="286">
        <f>SUMIF('Pre- and Production'!$T$4:$T$532, CONCATENATE(LEFT('WBS Summary by Year'!I$6,1),'WBS Summary by Year'!$C208,'WBS Summary by Year'!$B$204),'Pre- and Production'!AO$4:AO$532)</f>
        <v>0</v>
      </c>
      <c r="J208" s="26">
        <f>SUMIF('Pre- and Production'!$T$4:$T$532, CONCATENATE(LEFT('WBS Summary by Year'!J$6,1),'WBS Summary by Year'!$C208,'WBS Summary by Year'!$B$204),'Pre- and Production'!AF$4:AFI$532)</f>
        <v>0</v>
      </c>
      <c r="K208" s="279">
        <f>SUMIF('Pre- and Production'!$T$4:$T$532, CONCATENATE(LEFT('WBS Summary by Year'!K$6,1),'WBS Summary by Year'!$C208,'WBS Summary by Year'!$B$204),'Pre- and Production'!AP$4:AP$532)</f>
        <v>0</v>
      </c>
      <c r="L208" s="290">
        <f>SUMIF('Pre- and Production'!$T$4:$T$532, CONCATENATE(LEFT('WBS Summary by Year'!L$6,1),'WBS Summary by Year'!$C208,'WBS Summary by Year'!$B$204),'Pre- and Production'!AG$4:AG$532)</f>
        <v>0</v>
      </c>
      <c r="M208" s="286">
        <f>SUMIF('Pre- and Production'!$T$4:$T$532, CONCATENATE(LEFT('WBS Summary by Year'!M$6,1),'WBS Summary by Year'!$C208,'WBS Summary by Year'!$B$204),'Pre- and Production'!AQ$4:AQ$532)</f>
        <v>0</v>
      </c>
      <c r="N208" s="298">
        <f>SUMIF('Pre- and Production'!$T$4:$T$532, CONCATENATE(LEFT('WBS Summary by Year'!N$6,1),'WBS Summary by Year'!$C208,'WBS Summary by Year'!$B$204),'Pre- and Production'!AH$4:AH$532)</f>
        <v>0</v>
      </c>
      <c r="O208" s="299">
        <f>SUMIF('Pre- and Production'!$T$4:$T$532, CONCATENATE(LEFT('WBS Summary by Year'!O$6,1),'WBS Summary by Year'!$C208,'WBS Summary by Year'!$B$204),'Pre- and Production'!AR$4:AR$532)</f>
        <v>0</v>
      </c>
    </row>
    <row r="209" spans="3:15" s="302" customFormat="1">
      <c r="C209" s="9" t="s">
        <v>198</v>
      </c>
      <c r="D209" s="26">
        <f>SUMIF('Pre- and Production'!$T$4:$T$532, CONCATENATE(LEFT('WBS Summary by Year'!D$6,1),'WBS Summary by Year'!$C209,'WBS Summary by Year'!$B$204),'Pre- and Production'!AC$4:AC$532)</f>
        <v>0</v>
      </c>
      <c r="E209" s="286">
        <f>SUMIF('Pre- and Production'!$T$4:$T$532, CONCATENATE(LEFT('WBS Summary by Year'!E$6,1),'WBS Summary by Year'!$C209,'WBS Summary by Year'!$B$204),'Pre- and Production'!AM$4:AM$532)</f>
        <v>0</v>
      </c>
      <c r="F209" s="26">
        <f>SUMIF('Pre- and Production'!$T$4:$T$532, CONCATENATE(LEFT('WBS Summary by Year'!F$6,1),'WBS Summary by Year'!$C209,'WBS Summary by Year'!$B$204),'Pre- and Production'!AD$4:AD$532)</f>
        <v>0</v>
      </c>
      <c r="G209" s="279">
        <f>SUMIF('Pre- and Production'!$T$4:$T$532, CONCATENATE(LEFT('WBS Summary by Year'!G$6,1),'WBS Summary by Year'!$C209,'WBS Summary by Year'!$B$204),'Pre- and Production'!AN$4:AN$532)</f>
        <v>0</v>
      </c>
      <c r="H209" s="290">
        <f>SUMIF('Pre- and Production'!$T$4:$T$532, CONCATENATE(LEFT('WBS Summary by Year'!H$6,1),'WBS Summary by Year'!$C209,'WBS Summary by Year'!$B$204),'Pre- and Production'!AE$4:AE$532)</f>
        <v>0</v>
      </c>
      <c r="I209" s="286">
        <f>SUMIF('Pre- and Production'!$T$4:$T$532, CONCATENATE(LEFT('WBS Summary by Year'!I$6,1),'WBS Summary by Year'!$C209,'WBS Summary by Year'!$B$204),'Pre- and Production'!AO$4:AO$532)</f>
        <v>0</v>
      </c>
      <c r="J209" s="26">
        <f>SUMIF('Pre- and Production'!$T$4:$T$532, CONCATENATE(LEFT('WBS Summary by Year'!J$6,1),'WBS Summary by Year'!$C209,'WBS Summary by Year'!$B$204),'Pre- and Production'!AF$4:AFI$532)</f>
        <v>0</v>
      </c>
      <c r="K209" s="279">
        <f>SUMIF('Pre- and Production'!$T$4:$T$532, CONCATENATE(LEFT('WBS Summary by Year'!K$6,1),'WBS Summary by Year'!$C209,'WBS Summary by Year'!$B$204),'Pre- and Production'!AP$4:AP$532)</f>
        <v>0</v>
      </c>
      <c r="L209" s="290">
        <f>SUMIF('Pre- and Production'!$T$4:$T$532, CONCATENATE(LEFT('WBS Summary by Year'!L$6,1),'WBS Summary by Year'!$C209,'WBS Summary by Year'!$B$204),'Pre- and Production'!AG$4:AG$532)</f>
        <v>0</v>
      </c>
      <c r="M209" s="286">
        <f>SUMIF('Pre- and Production'!$T$4:$T$532, CONCATENATE(LEFT('WBS Summary by Year'!M$6,1),'WBS Summary by Year'!$C209,'WBS Summary by Year'!$B$204),'Pre- and Production'!AQ$4:AQ$532)</f>
        <v>0</v>
      </c>
      <c r="N209" s="298">
        <f>SUMIF('Pre- and Production'!$T$4:$T$532, CONCATENATE(LEFT('WBS Summary by Year'!N$6,1),'WBS Summary by Year'!$C209,'WBS Summary by Year'!$B$204),'Pre- and Production'!AH$4:AH$532)</f>
        <v>0</v>
      </c>
      <c r="O209" s="299">
        <f>SUMIF('Pre- and Production'!$T$4:$T$532, CONCATENATE(LEFT('WBS Summary by Year'!O$6,1),'WBS Summary by Year'!$C209,'WBS Summary by Year'!$B$204),'Pre- and Production'!AR$4:AR$532)</f>
        <v>0</v>
      </c>
    </row>
    <row r="210" spans="3:15" s="302" customFormat="1">
      <c r="C210" s="9" t="s">
        <v>200</v>
      </c>
      <c r="D210" s="26">
        <f>SUMIF('Pre- and Production'!$T$4:$T$532, CONCATENATE(LEFT('WBS Summary by Year'!D$6,1),'WBS Summary by Year'!$C210,'WBS Summary by Year'!$B$204),'Pre- and Production'!AC$4:AC$532)</f>
        <v>0</v>
      </c>
      <c r="E210" s="286">
        <f>SUMIF('Pre- and Production'!$T$4:$T$532, CONCATENATE(LEFT('WBS Summary by Year'!E$6,1),'WBS Summary by Year'!$C210,'WBS Summary by Year'!$B$204),'Pre- and Production'!AM$4:AM$532)</f>
        <v>0</v>
      </c>
      <c r="F210" s="26">
        <f>SUMIF('Pre- and Production'!$T$4:$T$532, CONCATENATE(LEFT('WBS Summary by Year'!F$6,1),'WBS Summary by Year'!$C210,'WBS Summary by Year'!$B$204),'Pre- and Production'!AD$4:AD$532)</f>
        <v>0</v>
      </c>
      <c r="G210" s="279">
        <f>SUMIF('Pre- and Production'!$T$4:$T$532, CONCATENATE(LEFT('WBS Summary by Year'!G$6,1),'WBS Summary by Year'!$C210,'WBS Summary by Year'!$B$204),'Pre- and Production'!AN$4:AN$532)</f>
        <v>0</v>
      </c>
      <c r="H210" s="290">
        <f>SUMIF('Pre- and Production'!$T$4:$T$532, CONCATENATE(LEFT('WBS Summary by Year'!H$6,1),'WBS Summary by Year'!$C210,'WBS Summary by Year'!$B$204),'Pre- and Production'!AE$4:AE$532)</f>
        <v>0</v>
      </c>
      <c r="I210" s="286">
        <f>SUMIF('Pre- and Production'!$T$4:$T$532, CONCATENATE(LEFT('WBS Summary by Year'!I$6,1),'WBS Summary by Year'!$C210,'WBS Summary by Year'!$B$204),'Pre- and Production'!AO$4:AO$532)</f>
        <v>0</v>
      </c>
      <c r="J210" s="26">
        <f>SUMIF('Pre- and Production'!$T$4:$T$532, CONCATENATE(LEFT('WBS Summary by Year'!J$6,1),'WBS Summary by Year'!$C210,'WBS Summary by Year'!$B$204),'Pre- and Production'!AF$4:AFI$532)</f>
        <v>0</v>
      </c>
      <c r="K210" s="279">
        <f>SUMIF('Pre- and Production'!$T$4:$T$532, CONCATENATE(LEFT('WBS Summary by Year'!K$6,1),'WBS Summary by Year'!$C210,'WBS Summary by Year'!$B$204),'Pre- and Production'!AP$4:AP$532)</f>
        <v>0</v>
      </c>
      <c r="L210" s="290">
        <f>SUMIF('Pre- and Production'!$T$4:$T$532, CONCATENATE(LEFT('WBS Summary by Year'!L$6,1),'WBS Summary by Year'!$C210,'WBS Summary by Year'!$B$204),'Pre- and Production'!AG$4:AG$532)</f>
        <v>0</v>
      </c>
      <c r="M210" s="286">
        <f>SUMIF('Pre- and Production'!$T$4:$T$532, CONCATENATE(LEFT('WBS Summary by Year'!M$6,1),'WBS Summary by Year'!$C210,'WBS Summary by Year'!$B$204),'Pre- and Production'!AQ$4:AQ$532)</f>
        <v>0</v>
      </c>
      <c r="N210" s="298">
        <f>SUMIF('Pre- and Production'!$T$4:$T$532, CONCATENATE(LEFT('WBS Summary by Year'!N$6,1),'WBS Summary by Year'!$C210,'WBS Summary by Year'!$B$204),'Pre- and Production'!AH$4:AH$532)</f>
        <v>0</v>
      </c>
      <c r="O210" s="299">
        <f>SUMIF('Pre- and Production'!$T$4:$T$532, CONCATENATE(LEFT('WBS Summary by Year'!O$6,1),'WBS Summary by Year'!$C210,'WBS Summary by Year'!$B$204),'Pre- and Production'!AR$4:AR$532)</f>
        <v>0</v>
      </c>
    </row>
    <row r="211" spans="3:15" s="302" customFormat="1">
      <c r="C211" s="9" t="s">
        <v>202</v>
      </c>
      <c r="D211" s="26">
        <f>SUMIF('Pre- and Production'!$T$4:$T$532, CONCATENATE(LEFT('WBS Summary by Year'!D$6,1),'WBS Summary by Year'!$C211,'WBS Summary by Year'!$B$204),'Pre- and Production'!AC$4:AC$532)</f>
        <v>0</v>
      </c>
      <c r="E211" s="286">
        <f>SUMIF('Pre- and Production'!$T$4:$T$532, CONCATENATE(LEFT('WBS Summary by Year'!E$6,1),'WBS Summary by Year'!$C211,'WBS Summary by Year'!$B$204),'Pre- and Production'!AM$4:AM$532)</f>
        <v>0</v>
      </c>
      <c r="F211" s="26">
        <f>SUMIF('Pre- and Production'!$T$4:$T$532, CONCATENATE(LEFT('WBS Summary by Year'!F$6,1),'WBS Summary by Year'!$C211,'WBS Summary by Year'!$B$204),'Pre- and Production'!AD$4:AD$532)</f>
        <v>0</v>
      </c>
      <c r="G211" s="279">
        <f>SUMIF('Pre- and Production'!$T$4:$T$532, CONCATENATE(LEFT('WBS Summary by Year'!G$6,1),'WBS Summary by Year'!$C211,'WBS Summary by Year'!$B$204),'Pre- and Production'!AN$4:AN$532)</f>
        <v>0</v>
      </c>
      <c r="H211" s="290">
        <f>SUMIF('Pre- and Production'!$T$4:$T$532, CONCATENATE(LEFT('WBS Summary by Year'!H$6,1),'WBS Summary by Year'!$C211,'WBS Summary by Year'!$B$204),'Pre- and Production'!AE$4:AE$532)</f>
        <v>0</v>
      </c>
      <c r="I211" s="286">
        <f>SUMIF('Pre- and Production'!$T$4:$T$532, CONCATENATE(LEFT('WBS Summary by Year'!I$6,1),'WBS Summary by Year'!$C211,'WBS Summary by Year'!$B$204),'Pre- and Production'!AO$4:AO$532)</f>
        <v>0</v>
      </c>
      <c r="J211" s="26">
        <f>SUMIF('Pre- and Production'!$T$4:$T$532, CONCATENATE(LEFT('WBS Summary by Year'!J$6,1),'WBS Summary by Year'!$C211,'WBS Summary by Year'!$B$204),'Pre- and Production'!AF$4:AFI$532)</f>
        <v>0</v>
      </c>
      <c r="K211" s="279">
        <f>SUMIF('Pre- and Production'!$T$4:$T$532, CONCATENATE(LEFT('WBS Summary by Year'!K$6,1),'WBS Summary by Year'!$C211,'WBS Summary by Year'!$B$204),'Pre- and Production'!AP$4:AP$532)</f>
        <v>0</v>
      </c>
      <c r="L211" s="290">
        <f>SUMIF('Pre- and Production'!$T$4:$T$532, CONCATENATE(LEFT('WBS Summary by Year'!L$6,1),'WBS Summary by Year'!$C211,'WBS Summary by Year'!$B$204),'Pre- and Production'!AG$4:AG$532)</f>
        <v>0</v>
      </c>
      <c r="M211" s="286">
        <f>SUMIF('Pre- and Production'!$T$4:$T$532, CONCATENATE(LEFT('WBS Summary by Year'!M$6,1),'WBS Summary by Year'!$C211,'WBS Summary by Year'!$B$204),'Pre- and Production'!AQ$4:AQ$532)</f>
        <v>0</v>
      </c>
      <c r="N211" s="298">
        <f>SUMIF('Pre- and Production'!$T$4:$T$532, CONCATENATE(LEFT('WBS Summary by Year'!N$6,1),'WBS Summary by Year'!$C211,'WBS Summary by Year'!$B$204),'Pre- and Production'!AH$4:AH$532)</f>
        <v>0</v>
      </c>
      <c r="O211" s="299">
        <f>SUMIF('Pre- and Production'!$T$4:$T$532, CONCATENATE(LEFT('WBS Summary by Year'!O$6,1),'WBS Summary by Year'!$C211,'WBS Summary by Year'!$B$204),'Pre- and Production'!AR$4:AR$532)</f>
        <v>0</v>
      </c>
    </row>
    <row r="212" spans="3:15" s="302" customFormat="1">
      <c r="C212" s="9" t="s">
        <v>204</v>
      </c>
      <c r="D212" s="26">
        <f>SUMIF('Pre- and Production'!$T$4:$T$532, CONCATENATE(LEFT('WBS Summary by Year'!D$6,1),'WBS Summary by Year'!$C212,'WBS Summary by Year'!$B$204),'Pre- and Production'!AC$4:AC$532)</f>
        <v>0</v>
      </c>
      <c r="E212" s="286">
        <f>SUMIF('Pre- and Production'!$T$4:$T$532, CONCATENATE(LEFT('WBS Summary by Year'!E$6,1),'WBS Summary by Year'!$C212,'WBS Summary by Year'!$B$204),'Pre- and Production'!AM$4:AM$532)</f>
        <v>0</v>
      </c>
      <c r="F212" s="26">
        <f>SUMIF('Pre- and Production'!$T$4:$T$532, CONCATENATE(LEFT('WBS Summary by Year'!F$6,1),'WBS Summary by Year'!$C212,'WBS Summary by Year'!$B$204),'Pre- and Production'!AD$4:AD$532)</f>
        <v>0</v>
      </c>
      <c r="G212" s="279">
        <f>SUMIF('Pre- and Production'!$T$4:$T$532, CONCATENATE(LEFT('WBS Summary by Year'!G$6,1),'WBS Summary by Year'!$C212,'WBS Summary by Year'!$B$204),'Pre- and Production'!AN$4:AN$532)</f>
        <v>0</v>
      </c>
      <c r="H212" s="290">
        <f>SUMIF('Pre- and Production'!$T$4:$T$532, CONCATENATE(LEFT('WBS Summary by Year'!H$6,1),'WBS Summary by Year'!$C212,'WBS Summary by Year'!$B$204),'Pre- and Production'!AE$4:AE$532)</f>
        <v>0</v>
      </c>
      <c r="I212" s="286">
        <f>SUMIF('Pre- and Production'!$T$4:$T$532, CONCATENATE(LEFT('WBS Summary by Year'!I$6,1),'WBS Summary by Year'!$C212,'WBS Summary by Year'!$B$204),'Pre- and Production'!AO$4:AO$532)</f>
        <v>0</v>
      </c>
      <c r="J212" s="26">
        <f>SUMIF('Pre- and Production'!$T$4:$T$532, CONCATENATE(LEFT('WBS Summary by Year'!J$6,1),'WBS Summary by Year'!$C212,'WBS Summary by Year'!$B$204),'Pre- and Production'!AF$4:AFI$532)</f>
        <v>0</v>
      </c>
      <c r="K212" s="279">
        <f>SUMIF('Pre- and Production'!$T$4:$T$532, CONCATENATE(LEFT('WBS Summary by Year'!K$6,1),'WBS Summary by Year'!$C212,'WBS Summary by Year'!$B$204),'Pre- and Production'!AP$4:AP$532)</f>
        <v>0</v>
      </c>
      <c r="L212" s="290">
        <f>SUMIF('Pre- and Production'!$T$4:$T$532, CONCATENATE(LEFT('WBS Summary by Year'!L$6,1),'WBS Summary by Year'!$C212,'WBS Summary by Year'!$B$204),'Pre- and Production'!AG$4:AG$532)</f>
        <v>0</v>
      </c>
      <c r="M212" s="286">
        <f>SUMIF('Pre- and Production'!$T$4:$T$532, CONCATENATE(LEFT('WBS Summary by Year'!M$6,1),'WBS Summary by Year'!$C212,'WBS Summary by Year'!$B$204),'Pre- and Production'!AQ$4:AQ$532)</f>
        <v>0</v>
      </c>
      <c r="N212" s="298">
        <f>SUMIF('Pre- and Production'!$T$4:$T$532, CONCATENATE(LEFT('WBS Summary by Year'!N$6,1),'WBS Summary by Year'!$C212,'WBS Summary by Year'!$B$204),'Pre- and Production'!AH$4:AH$532)</f>
        <v>0</v>
      </c>
      <c r="O212" s="299">
        <f>SUMIF('Pre- and Production'!$T$4:$T$532, CONCATENATE(LEFT('WBS Summary by Year'!O$6,1),'WBS Summary by Year'!$C212,'WBS Summary by Year'!$B$204),'Pre- and Production'!AR$4:AR$532)</f>
        <v>0</v>
      </c>
    </row>
    <row r="213" spans="3:15" s="302" customFormat="1">
      <c r="C213" s="9" t="s">
        <v>206</v>
      </c>
      <c r="D213" s="26">
        <f>SUMIF('Pre- and Production'!$T$4:$T$532, CONCATENATE(LEFT('WBS Summary by Year'!D$6,1),'WBS Summary by Year'!$C213,'WBS Summary by Year'!$B$204),'Pre- and Production'!AC$4:AC$532)</f>
        <v>0</v>
      </c>
      <c r="E213" s="286">
        <f>SUMIF('Pre- and Production'!$T$4:$T$532, CONCATENATE(LEFT('WBS Summary by Year'!E$6,1),'WBS Summary by Year'!$C213,'WBS Summary by Year'!$B$204),'Pre- and Production'!AM$4:AM$532)</f>
        <v>0</v>
      </c>
      <c r="F213" s="26">
        <f>SUMIF('Pre- and Production'!$T$4:$T$532, CONCATENATE(LEFT('WBS Summary by Year'!F$6,1),'WBS Summary by Year'!$C213,'WBS Summary by Year'!$B$204),'Pre- and Production'!AD$4:AD$532)</f>
        <v>0</v>
      </c>
      <c r="G213" s="279">
        <f>SUMIF('Pre- and Production'!$T$4:$T$532, CONCATENATE(LEFT('WBS Summary by Year'!G$6,1),'WBS Summary by Year'!$C213,'WBS Summary by Year'!$B$204),'Pre- and Production'!AN$4:AN$532)</f>
        <v>0</v>
      </c>
      <c r="H213" s="290">
        <f>SUMIF('Pre- and Production'!$T$4:$T$532, CONCATENATE(LEFT('WBS Summary by Year'!H$6,1),'WBS Summary by Year'!$C213,'WBS Summary by Year'!$B$204),'Pre- and Production'!AE$4:AE$532)</f>
        <v>0</v>
      </c>
      <c r="I213" s="286">
        <f>SUMIF('Pre- and Production'!$T$4:$T$532, CONCATENATE(LEFT('WBS Summary by Year'!I$6,1),'WBS Summary by Year'!$C213,'WBS Summary by Year'!$B$204),'Pre- and Production'!AO$4:AO$532)</f>
        <v>0</v>
      </c>
      <c r="J213" s="26">
        <f>SUMIF('Pre- and Production'!$T$4:$T$532, CONCATENATE(LEFT('WBS Summary by Year'!J$6,1),'WBS Summary by Year'!$C213,'WBS Summary by Year'!$B$204),'Pre- and Production'!AF$4:AFI$532)</f>
        <v>0</v>
      </c>
      <c r="K213" s="279">
        <f>SUMIF('Pre- and Production'!$T$4:$T$532, CONCATENATE(LEFT('WBS Summary by Year'!K$6,1),'WBS Summary by Year'!$C213,'WBS Summary by Year'!$B$204),'Pre- and Production'!AP$4:AP$532)</f>
        <v>0</v>
      </c>
      <c r="L213" s="290">
        <f>SUMIF('Pre- and Production'!$T$4:$T$532, CONCATENATE(LEFT('WBS Summary by Year'!L$6,1),'WBS Summary by Year'!$C213,'WBS Summary by Year'!$B$204),'Pre- and Production'!AG$4:AG$532)</f>
        <v>0</v>
      </c>
      <c r="M213" s="286">
        <f>SUMIF('Pre- and Production'!$T$4:$T$532, CONCATENATE(LEFT('WBS Summary by Year'!M$6,1),'WBS Summary by Year'!$C213,'WBS Summary by Year'!$B$204),'Pre- and Production'!AQ$4:AQ$532)</f>
        <v>0</v>
      </c>
      <c r="N213" s="298">
        <f>SUMIF('Pre- and Production'!$T$4:$T$532, CONCATENATE(LEFT('WBS Summary by Year'!N$6,1),'WBS Summary by Year'!$C213,'WBS Summary by Year'!$B$204),'Pre- and Production'!AH$4:AH$532)</f>
        <v>0</v>
      </c>
      <c r="O213" s="299">
        <f>SUMIF('Pre- and Production'!$T$4:$T$532, CONCATENATE(LEFT('WBS Summary by Year'!O$6,1),'WBS Summary by Year'!$C213,'WBS Summary by Year'!$B$204),'Pre- and Production'!AR$4:AR$532)</f>
        <v>0</v>
      </c>
    </row>
    <row r="214" spans="3:15" s="302" customFormat="1">
      <c r="C214" s="9" t="s">
        <v>208</v>
      </c>
      <c r="D214" s="26">
        <f>SUMIF('Pre- and Production'!$T$4:$T$532, CONCATENATE(LEFT('WBS Summary by Year'!D$6,1),'WBS Summary by Year'!$C214,'WBS Summary by Year'!$B$204),'Pre- and Production'!AC$4:AC$532)</f>
        <v>0</v>
      </c>
      <c r="E214" s="286">
        <f>SUMIF('Pre- and Production'!$T$4:$T$532, CONCATENATE(LEFT('WBS Summary by Year'!E$6,1),'WBS Summary by Year'!$C214,'WBS Summary by Year'!$B$204),'Pre- and Production'!AM$4:AM$532)</f>
        <v>0</v>
      </c>
      <c r="F214" s="26">
        <f>SUMIF('Pre- and Production'!$T$4:$T$532, CONCATENATE(LEFT('WBS Summary by Year'!F$6,1),'WBS Summary by Year'!$C214,'WBS Summary by Year'!$B$204),'Pre- and Production'!AD$4:AD$532)</f>
        <v>0</v>
      </c>
      <c r="G214" s="279">
        <f>SUMIF('Pre- and Production'!$T$4:$T$532, CONCATENATE(LEFT('WBS Summary by Year'!G$6,1),'WBS Summary by Year'!$C214,'WBS Summary by Year'!$B$204),'Pre- and Production'!AN$4:AN$532)</f>
        <v>0</v>
      </c>
      <c r="H214" s="290">
        <f>SUMIF('Pre- and Production'!$T$4:$T$532, CONCATENATE(LEFT('WBS Summary by Year'!H$6,1),'WBS Summary by Year'!$C214,'WBS Summary by Year'!$B$204),'Pre- and Production'!AE$4:AE$532)</f>
        <v>0</v>
      </c>
      <c r="I214" s="286">
        <f>SUMIF('Pre- and Production'!$T$4:$T$532, CONCATENATE(LEFT('WBS Summary by Year'!I$6,1),'WBS Summary by Year'!$C214,'WBS Summary by Year'!$B$204),'Pre- and Production'!AO$4:AO$532)</f>
        <v>0</v>
      </c>
      <c r="J214" s="26">
        <f>SUMIF('Pre- and Production'!$T$4:$T$532, CONCATENATE(LEFT('WBS Summary by Year'!J$6,1),'WBS Summary by Year'!$C214,'WBS Summary by Year'!$B$204),'Pre- and Production'!AF$4:AFI$532)</f>
        <v>0</v>
      </c>
      <c r="K214" s="279">
        <f>SUMIF('Pre- and Production'!$T$4:$T$532, CONCATENATE(LEFT('WBS Summary by Year'!K$6,1),'WBS Summary by Year'!$C214,'WBS Summary by Year'!$B$204),'Pre- and Production'!AP$4:AP$532)</f>
        <v>0</v>
      </c>
      <c r="L214" s="290">
        <f>SUMIF('Pre- and Production'!$T$4:$T$532, CONCATENATE(LEFT('WBS Summary by Year'!L$6,1),'WBS Summary by Year'!$C214,'WBS Summary by Year'!$B$204),'Pre- and Production'!AG$4:AG$532)</f>
        <v>0</v>
      </c>
      <c r="M214" s="286">
        <f>SUMIF('Pre- and Production'!$T$4:$T$532, CONCATENATE(LEFT('WBS Summary by Year'!M$6,1),'WBS Summary by Year'!$C214,'WBS Summary by Year'!$B$204),'Pre- and Production'!AQ$4:AQ$532)</f>
        <v>0</v>
      </c>
      <c r="N214" s="298">
        <f>SUMIF('Pre- and Production'!$T$4:$T$532, CONCATENATE(LEFT('WBS Summary by Year'!N$6,1),'WBS Summary by Year'!$C214,'WBS Summary by Year'!$B$204),'Pre- and Production'!AH$4:AH$532)</f>
        <v>0</v>
      </c>
      <c r="O214" s="299">
        <f>SUMIF('Pre- and Production'!$T$4:$T$532, CONCATENATE(LEFT('WBS Summary by Year'!O$6,1),'WBS Summary by Year'!$C214,'WBS Summary by Year'!$B$204),'Pre- and Production'!AR$4:AR$532)</f>
        <v>0</v>
      </c>
    </row>
    <row r="215" spans="3:15" s="302" customFormat="1">
      <c r="C215" s="9" t="s">
        <v>214</v>
      </c>
      <c r="D215" s="26">
        <f>SUMIF('Pre- and Production'!$T$4:$T$532, CONCATENATE(LEFT('WBS Summary by Year'!D$6,1),'WBS Summary by Year'!$C215,'WBS Summary by Year'!$B$204),'Pre- and Production'!AC$4:AC$532)</f>
        <v>0</v>
      </c>
      <c r="E215" s="286">
        <f>SUMIF('Pre- and Production'!$T$4:$T$532, CONCATENATE(LEFT('WBS Summary by Year'!E$6,1),'WBS Summary by Year'!$C215,'WBS Summary by Year'!$B$204),'Pre- and Production'!AM$4:AM$532)</f>
        <v>0</v>
      </c>
      <c r="F215" s="26">
        <f>SUMIF('Pre- and Production'!$T$4:$T$532, CONCATENATE(LEFT('WBS Summary by Year'!F$6,1),'WBS Summary by Year'!$C215,'WBS Summary by Year'!$B$204),'Pre- and Production'!AD$4:AD$532)</f>
        <v>0</v>
      </c>
      <c r="G215" s="279">
        <f>SUMIF('Pre- and Production'!$T$4:$T$532, CONCATENATE(LEFT('WBS Summary by Year'!G$6,1),'WBS Summary by Year'!$C215,'WBS Summary by Year'!$B$204),'Pre- and Production'!AN$4:AN$532)</f>
        <v>0</v>
      </c>
      <c r="H215" s="290">
        <f>SUMIF('Pre- and Production'!$T$4:$T$532, CONCATENATE(LEFT('WBS Summary by Year'!H$6,1),'WBS Summary by Year'!$C215,'WBS Summary by Year'!$B$204),'Pre- and Production'!AE$4:AE$532)</f>
        <v>0</v>
      </c>
      <c r="I215" s="286">
        <f>SUMIF('Pre- and Production'!$T$4:$T$532, CONCATENATE(LEFT('WBS Summary by Year'!I$6,1),'WBS Summary by Year'!$C215,'WBS Summary by Year'!$B$204),'Pre- and Production'!AO$4:AO$532)</f>
        <v>0</v>
      </c>
      <c r="J215" s="26">
        <f>SUMIF('Pre- and Production'!$T$4:$T$532, CONCATENATE(LEFT('WBS Summary by Year'!J$6,1),'WBS Summary by Year'!$C215,'WBS Summary by Year'!$B$204),'Pre- and Production'!AF$4:AFI$532)</f>
        <v>0</v>
      </c>
      <c r="K215" s="279">
        <f>SUMIF('Pre- and Production'!$T$4:$T$532, CONCATENATE(LEFT('WBS Summary by Year'!K$6,1),'WBS Summary by Year'!$C215,'WBS Summary by Year'!$B$204),'Pre- and Production'!AP$4:AP$532)</f>
        <v>0</v>
      </c>
      <c r="L215" s="290">
        <f>SUMIF('Pre- and Production'!$T$4:$T$532, CONCATENATE(LEFT('WBS Summary by Year'!L$6,1),'WBS Summary by Year'!$C215,'WBS Summary by Year'!$B$204),'Pre- and Production'!AG$4:AG$532)</f>
        <v>0</v>
      </c>
      <c r="M215" s="286">
        <f>SUMIF('Pre- and Production'!$T$4:$T$532, CONCATENATE(LEFT('WBS Summary by Year'!M$6,1),'WBS Summary by Year'!$C215,'WBS Summary by Year'!$B$204),'Pre- and Production'!AQ$4:AQ$532)</f>
        <v>0</v>
      </c>
      <c r="N215" s="298">
        <f>SUMIF('Pre- and Production'!$T$4:$T$532, CONCATENATE(LEFT('WBS Summary by Year'!N$6,1),'WBS Summary by Year'!$C215,'WBS Summary by Year'!$B$204),'Pre- and Production'!AH$4:AH$532)</f>
        <v>0</v>
      </c>
      <c r="O215" s="299">
        <f>SUMIF('Pre- and Production'!$T$4:$T$532, CONCATENATE(LEFT('WBS Summary by Year'!O$6,1),'WBS Summary by Year'!$C215,'WBS Summary by Year'!$B$204),'Pre- and Production'!AR$4:AR$532)</f>
        <v>0</v>
      </c>
    </row>
    <row r="216" spans="3:15" s="302" customFormat="1">
      <c r="C216" s="9" t="s">
        <v>215</v>
      </c>
      <c r="D216" s="26">
        <f>SUMIF('Pre- and Production'!$T$4:$T$532, CONCATENATE(LEFT('WBS Summary by Year'!D$6,1),'WBS Summary by Year'!$C216,'WBS Summary by Year'!$B$204),'Pre- and Production'!AC$4:AC$532)</f>
        <v>0</v>
      </c>
      <c r="E216" s="286">
        <f>SUMIF('Pre- and Production'!$T$4:$T$532, CONCATENATE(LEFT('WBS Summary by Year'!E$6,1),'WBS Summary by Year'!$C216,'WBS Summary by Year'!$B$204),'Pre- and Production'!AM$4:AM$532)</f>
        <v>0</v>
      </c>
      <c r="F216" s="26">
        <f>SUMIF('Pre- and Production'!$T$4:$T$532, CONCATENATE(LEFT('WBS Summary by Year'!F$6,1),'WBS Summary by Year'!$C216,'WBS Summary by Year'!$B$204),'Pre- and Production'!AD$4:AD$532)</f>
        <v>0</v>
      </c>
      <c r="G216" s="279">
        <f>SUMIF('Pre- and Production'!$T$4:$T$532, CONCATENATE(LEFT('WBS Summary by Year'!G$6,1),'WBS Summary by Year'!$C216,'WBS Summary by Year'!$B$204),'Pre- and Production'!AN$4:AN$532)</f>
        <v>0</v>
      </c>
      <c r="H216" s="290">
        <f>SUMIF('Pre- and Production'!$T$4:$T$532, CONCATENATE(LEFT('WBS Summary by Year'!H$6,1),'WBS Summary by Year'!$C216,'WBS Summary by Year'!$B$204),'Pre- and Production'!AE$4:AE$532)</f>
        <v>0</v>
      </c>
      <c r="I216" s="286">
        <f>SUMIF('Pre- and Production'!$T$4:$T$532, CONCATENATE(LEFT('WBS Summary by Year'!I$6,1),'WBS Summary by Year'!$C216,'WBS Summary by Year'!$B$204),'Pre- and Production'!AO$4:AO$532)</f>
        <v>0</v>
      </c>
      <c r="J216" s="26">
        <f>SUMIF('Pre- and Production'!$T$4:$T$532, CONCATENATE(LEFT('WBS Summary by Year'!J$6,1),'WBS Summary by Year'!$C216,'WBS Summary by Year'!$B$204),'Pre- and Production'!AF$4:AFI$532)</f>
        <v>0</v>
      </c>
      <c r="K216" s="279">
        <f>SUMIF('Pre- and Production'!$T$4:$T$532, CONCATENATE(LEFT('WBS Summary by Year'!K$6,1),'WBS Summary by Year'!$C216,'WBS Summary by Year'!$B$204),'Pre- and Production'!AP$4:AP$532)</f>
        <v>0</v>
      </c>
      <c r="L216" s="290">
        <f>SUMIF('Pre- and Production'!$T$4:$T$532, CONCATENATE(LEFT('WBS Summary by Year'!L$6,1),'WBS Summary by Year'!$C216,'WBS Summary by Year'!$B$204),'Pre- and Production'!AG$4:AG$532)</f>
        <v>0</v>
      </c>
      <c r="M216" s="286">
        <f>SUMIF('Pre- and Production'!$T$4:$T$532, CONCATENATE(LEFT('WBS Summary by Year'!M$6,1),'WBS Summary by Year'!$C216,'WBS Summary by Year'!$B$204),'Pre- and Production'!AQ$4:AQ$532)</f>
        <v>0</v>
      </c>
      <c r="N216" s="298">
        <f>SUMIF('Pre- and Production'!$T$4:$T$532, CONCATENATE(LEFT('WBS Summary by Year'!N$6,1),'WBS Summary by Year'!$C216,'WBS Summary by Year'!$B$204),'Pre- and Production'!AH$4:AH$532)</f>
        <v>0</v>
      </c>
      <c r="O216" s="299">
        <f>SUMIF('Pre- and Production'!$T$4:$T$532, CONCATENATE(LEFT('WBS Summary by Year'!O$6,1),'WBS Summary by Year'!$C216,'WBS Summary by Year'!$B$204),'Pre- and Production'!AR$4:AR$532)</f>
        <v>0</v>
      </c>
    </row>
    <row r="217" spans="3:15" s="302" customFormat="1">
      <c r="C217" s="9" t="s">
        <v>216</v>
      </c>
      <c r="D217" s="26">
        <f>SUMIF('Pre- and Production'!$T$4:$T$532, CONCATENATE(LEFT('WBS Summary by Year'!D$6,1),'WBS Summary by Year'!$C217,'WBS Summary by Year'!$B$204),'Pre- and Production'!AC$4:AC$532)</f>
        <v>0</v>
      </c>
      <c r="E217" s="286">
        <f>SUMIF('Pre- and Production'!$T$4:$T$532, CONCATENATE(LEFT('WBS Summary by Year'!E$6,1),'WBS Summary by Year'!$C217,'WBS Summary by Year'!$B$204),'Pre- and Production'!AM$4:AM$532)</f>
        <v>0</v>
      </c>
      <c r="F217" s="26">
        <f>SUMIF('Pre- and Production'!$T$4:$T$532, CONCATENATE(LEFT('WBS Summary by Year'!F$6,1),'WBS Summary by Year'!$C217,'WBS Summary by Year'!$B$204),'Pre- and Production'!AD$4:AD$532)</f>
        <v>0</v>
      </c>
      <c r="G217" s="279">
        <f>SUMIF('Pre- and Production'!$T$4:$T$532, CONCATENATE(LEFT('WBS Summary by Year'!G$6,1),'WBS Summary by Year'!$C217,'WBS Summary by Year'!$B$204),'Pre- and Production'!AN$4:AN$532)</f>
        <v>0</v>
      </c>
      <c r="H217" s="290">
        <f>SUMIF('Pre- and Production'!$T$4:$T$532, CONCATENATE(LEFT('WBS Summary by Year'!H$6,1),'WBS Summary by Year'!$C217,'WBS Summary by Year'!$B$204),'Pre- and Production'!AE$4:AE$532)</f>
        <v>0</v>
      </c>
      <c r="I217" s="286">
        <f>SUMIF('Pre- and Production'!$T$4:$T$532, CONCATENATE(LEFT('WBS Summary by Year'!I$6,1),'WBS Summary by Year'!$C217,'WBS Summary by Year'!$B$204),'Pre- and Production'!AO$4:AO$532)</f>
        <v>0</v>
      </c>
      <c r="J217" s="26">
        <f>SUMIF('Pre- and Production'!$T$4:$T$532, CONCATENATE(LEFT('WBS Summary by Year'!J$6,1),'WBS Summary by Year'!$C217,'WBS Summary by Year'!$B$204),'Pre- and Production'!AF$4:AFI$532)</f>
        <v>0</v>
      </c>
      <c r="K217" s="279">
        <f>SUMIF('Pre- and Production'!$T$4:$T$532, CONCATENATE(LEFT('WBS Summary by Year'!K$6,1),'WBS Summary by Year'!$C217,'WBS Summary by Year'!$B$204),'Pre- and Production'!AP$4:AP$532)</f>
        <v>0</v>
      </c>
      <c r="L217" s="290">
        <f>SUMIF('Pre- and Production'!$T$4:$T$532, CONCATENATE(LEFT('WBS Summary by Year'!L$6,1),'WBS Summary by Year'!$C217,'WBS Summary by Year'!$B$204),'Pre- and Production'!AG$4:AG$532)</f>
        <v>0</v>
      </c>
      <c r="M217" s="286">
        <f>SUMIF('Pre- and Production'!$T$4:$T$532, CONCATENATE(LEFT('WBS Summary by Year'!M$6,1),'WBS Summary by Year'!$C217,'WBS Summary by Year'!$B$204),'Pre- and Production'!AQ$4:AQ$532)</f>
        <v>0</v>
      </c>
      <c r="N217" s="298">
        <f>SUMIF('Pre- and Production'!$T$4:$T$532, CONCATENATE(LEFT('WBS Summary by Year'!N$6,1),'WBS Summary by Year'!$C217,'WBS Summary by Year'!$B$204),'Pre- and Production'!AH$4:AH$532)</f>
        <v>0</v>
      </c>
      <c r="O217" s="299">
        <f>SUMIF('Pre- and Production'!$T$4:$T$532, CONCATENATE(LEFT('WBS Summary by Year'!O$6,1),'WBS Summary by Year'!$C217,'WBS Summary by Year'!$B$204),'Pre- and Production'!AR$4:AR$532)</f>
        <v>0</v>
      </c>
    </row>
    <row r="218" spans="3:15" s="302" customFormat="1">
      <c r="C218" s="9" t="s">
        <v>217</v>
      </c>
      <c r="D218" s="26">
        <f>SUMIF('Pre- and Production'!$T$4:$T$532, CONCATENATE(LEFT('WBS Summary by Year'!D$6,1),'WBS Summary by Year'!$C218,'WBS Summary by Year'!$B$204),'Pre- and Production'!AC$4:AC$532)</f>
        <v>0</v>
      </c>
      <c r="E218" s="286">
        <f>SUMIF('Pre- and Production'!$T$4:$T$532, CONCATENATE(LEFT('WBS Summary by Year'!E$6,1),'WBS Summary by Year'!$C218,'WBS Summary by Year'!$B$204),'Pre- and Production'!AM$4:AM$532)</f>
        <v>0</v>
      </c>
      <c r="F218" s="26">
        <f>SUMIF('Pre- and Production'!$T$4:$T$532, CONCATENATE(LEFT('WBS Summary by Year'!F$6,1),'WBS Summary by Year'!$C218,'WBS Summary by Year'!$B$204),'Pre- and Production'!AD$4:AD$532)</f>
        <v>0</v>
      </c>
      <c r="G218" s="279">
        <f>SUMIF('Pre- and Production'!$T$4:$T$532, CONCATENATE(LEFT('WBS Summary by Year'!G$6,1),'WBS Summary by Year'!$C218,'WBS Summary by Year'!$B$204),'Pre- and Production'!AN$4:AN$532)</f>
        <v>0</v>
      </c>
      <c r="H218" s="290">
        <f>SUMIF('Pre- and Production'!$T$4:$T$532, CONCATENATE(LEFT('WBS Summary by Year'!H$6,1),'WBS Summary by Year'!$C218,'WBS Summary by Year'!$B$204),'Pre- and Production'!AE$4:AE$532)</f>
        <v>0</v>
      </c>
      <c r="I218" s="286">
        <f>SUMIF('Pre- and Production'!$T$4:$T$532, CONCATENATE(LEFT('WBS Summary by Year'!I$6,1),'WBS Summary by Year'!$C218,'WBS Summary by Year'!$B$204),'Pre- and Production'!AO$4:AO$532)</f>
        <v>0</v>
      </c>
      <c r="J218" s="26">
        <f>SUMIF('Pre- and Production'!$T$4:$T$532, CONCATENATE(LEFT('WBS Summary by Year'!J$6,1),'WBS Summary by Year'!$C218,'WBS Summary by Year'!$B$204),'Pre- and Production'!AF$4:AFI$532)</f>
        <v>0</v>
      </c>
      <c r="K218" s="279">
        <f>SUMIF('Pre- and Production'!$T$4:$T$532, CONCATENATE(LEFT('WBS Summary by Year'!K$6,1),'WBS Summary by Year'!$C218,'WBS Summary by Year'!$B$204),'Pre- and Production'!AP$4:AP$532)</f>
        <v>0</v>
      </c>
      <c r="L218" s="290">
        <f>SUMIF('Pre- and Production'!$T$4:$T$532, CONCATENATE(LEFT('WBS Summary by Year'!L$6,1),'WBS Summary by Year'!$C218,'WBS Summary by Year'!$B$204),'Pre- and Production'!AG$4:AG$532)</f>
        <v>0</v>
      </c>
      <c r="M218" s="286">
        <f>SUMIF('Pre- and Production'!$T$4:$T$532, CONCATENATE(LEFT('WBS Summary by Year'!M$6,1),'WBS Summary by Year'!$C218,'WBS Summary by Year'!$B$204),'Pre- and Production'!AQ$4:AQ$532)</f>
        <v>0</v>
      </c>
      <c r="N218" s="298">
        <f>SUMIF('Pre- and Production'!$T$4:$T$532, CONCATENATE(LEFT('WBS Summary by Year'!N$6,1),'WBS Summary by Year'!$C218,'WBS Summary by Year'!$B$204),'Pre- and Production'!AH$4:AH$532)</f>
        <v>0</v>
      </c>
      <c r="O218" s="299">
        <f>SUMIF('Pre- and Production'!$T$4:$T$532, CONCATENATE(LEFT('WBS Summary by Year'!O$6,1),'WBS Summary by Year'!$C218,'WBS Summary by Year'!$B$204),'Pre- and Production'!AR$4:AR$532)</f>
        <v>0</v>
      </c>
    </row>
    <row r="219" spans="3:15" s="302" customFormat="1">
      <c r="C219" s="9" t="s">
        <v>218</v>
      </c>
      <c r="D219" s="26">
        <f>SUMIF('Pre- and Production'!$T$4:$T$532, CONCATENATE(LEFT('WBS Summary by Year'!D$6,1),'WBS Summary by Year'!$C219,'WBS Summary by Year'!$B$204),'Pre- and Production'!AC$4:AC$532)</f>
        <v>0</v>
      </c>
      <c r="E219" s="286">
        <f>SUMIF('Pre- and Production'!$T$4:$T$532, CONCATENATE(LEFT('WBS Summary by Year'!E$6,1),'WBS Summary by Year'!$C219,'WBS Summary by Year'!$B$204),'Pre- and Production'!AM$4:AM$532)</f>
        <v>0</v>
      </c>
      <c r="F219" s="26">
        <f>SUMIF('Pre- and Production'!$T$4:$T$532, CONCATENATE(LEFT('WBS Summary by Year'!F$6,1),'WBS Summary by Year'!$C219,'WBS Summary by Year'!$B$204),'Pre- and Production'!AD$4:AD$532)</f>
        <v>0</v>
      </c>
      <c r="G219" s="279">
        <f>SUMIF('Pre- and Production'!$T$4:$T$532, CONCATENATE(LEFT('WBS Summary by Year'!G$6,1),'WBS Summary by Year'!$C219,'WBS Summary by Year'!$B$204),'Pre- and Production'!AN$4:AN$532)</f>
        <v>0</v>
      </c>
      <c r="H219" s="290">
        <f>SUMIF('Pre- and Production'!$T$4:$T$532, CONCATENATE(LEFT('WBS Summary by Year'!H$6,1),'WBS Summary by Year'!$C219,'WBS Summary by Year'!$B$204),'Pre- and Production'!AE$4:AE$532)</f>
        <v>0</v>
      </c>
      <c r="I219" s="286">
        <f>SUMIF('Pre- and Production'!$T$4:$T$532, CONCATENATE(LEFT('WBS Summary by Year'!I$6,1),'WBS Summary by Year'!$C219,'WBS Summary by Year'!$B$204),'Pre- and Production'!AO$4:AO$532)</f>
        <v>0</v>
      </c>
      <c r="J219" s="26">
        <f>SUMIF('Pre- and Production'!$T$4:$T$532, CONCATENATE(LEFT('WBS Summary by Year'!J$6,1),'WBS Summary by Year'!$C219,'WBS Summary by Year'!$B$204),'Pre- and Production'!AF$4:AFI$532)</f>
        <v>0</v>
      </c>
      <c r="K219" s="279">
        <f>SUMIF('Pre- and Production'!$T$4:$T$532, CONCATENATE(LEFT('WBS Summary by Year'!K$6,1),'WBS Summary by Year'!$C219,'WBS Summary by Year'!$B$204),'Pre- and Production'!AP$4:AP$532)</f>
        <v>0</v>
      </c>
      <c r="L219" s="290">
        <f>SUMIF('Pre- and Production'!$T$4:$T$532, CONCATENATE(LEFT('WBS Summary by Year'!L$6,1),'WBS Summary by Year'!$C219,'WBS Summary by Year'!$B$204),'Pre- and Production'!AG$4:AG$532)</f>
        <v>0</v>
      </c>
      <c r="M219" s="286">
        <f>SUMIF('Pre- and Production'!$T$4:$T$532, CONCATENATE(LEFT('WBS Summary by Year'!M$6,1),'WBS Summary by Year'!$C219,'WBS Summary by Year'!$B$204),'Pre- and Production'!AQ$4:AQ$532)</f>
        <v>0</v>
      </c>
      <c r="N219" s="298">
        <f>SUMIF('Pre- and Production'!$T$4:$T$532, CONCATENATE(LEFT('WBS Summary by Year'!N$6,1),'WBS Summary by Year'!$C219,'WBS Summary by Year'!$B$204),'Pre- and Production'!AH$4:AH$532)</f>
        <v>0</v>
      </c>
      <c r="O219" s="299">
        <f>SUMIF('Pre- and Production'!$T$4:$T$532, CONCATENATE(LEFT('WBS Summary by Year'!O$6,1),'WBS Summary by Year'!$C219,'WBS Summary by Year'!$B$204),'Pre- and Production'!AR$4:AR$532)</f>
        <v>0</v>
      </c>
    </row>
    <row r="220" spans="3:15" s="302" customFormat="1">
      <c r="C220" s="9" t="s">
        <v>219</v>
      </c>
      <c r="D220" s="26">
        <f>SUMIF('Pre- and Production'!$T$4:$T$532, CONCATENATE(LEFT('WBS Summary by Year'!D$6,1),'WBS Summary by Year'!$C220,'WBS Summary by Year'!$B$204),'Pre- and Production'!AC$4:AC$532)</f>
        <v>0</v>
      </c>
      <c r="E220" s="286">
        <f>SUMIF('Pre- and Production'!$T$4:$T$532, CONCATENATE(LEFT('WBS Summary by Year'!E$6,1),'WBS Summary by Year'!$C220,'WBS Summary by Year'!$B$204),'Pre- and Production'!AM$4:AM$532)</f>
        <v>0</v>
      </c>
      <c r="F220" s="26">
        <f>SUMIF('Pre- and Production'!$T$4:$T$532, CONCATENATE(LEFT('WBS Summary by Year'!F$6,1),'WBS Summary by Year'!$C220,'WBS Summary by Year'!$B$204),'Pre- and Production'!AD$4:AD$532)</f>
        <v>0</v>
      </c>
      <c r="G220" s="279">
        <f>SUMIF('Pre- and Production'!$T$4:$T$532, CONCATENATE(LEFT('WBS Summary by Year'!G$6,1),'WBS Summary by Year'!$C220,'WBS Summary by Year'!$B$204),'Pre- and Production'!AN$4:AN$532)</f>
        <v>0</v>
      </c>
      <c r="H220" s="290">
        <f>SUMIF('Pre- and Production'!$T$4:$T$532, CONCATENATE(LEFT('WBS Summary by Year'!H$6,1),'WBS Summary by Year'!$C220,'WBS Summary by Year'!$B$204),'Pre- and Production'!AE$4:AE$532)</f>
        <v>0</v>
      </c>
      <c r="I220" s="286">
        <f>SUMIF('Pre- and Production'!$T$4:$T$532, CONCATENATE(LEFT('WBS Summary by Year'!I$6,1),'WBS Summary by Year'!$C220,'WBS Summary by Year'!$B$204),'Pre- and Production'!AO$4:AO$532)</f>
        <v>0</v>
      </c>
      <c r="J220" s="26">
        <f>SUMIF('Pre- and Production'!$T$4:$T$532, CONCATENATE(LEFT('WBS Summary by Year'!J$6,1),'WBS Summary by Year'!$C220,'WBS Summary by Year'!$B$204),'Pre- and Production'!AF$4:AFI$532)</f>
        <v>0</v>
      </c>
      <c r="K220" s="279">
        <f>SUMIF('Pre- and Production'!$T$4:$T$532, CONCATENATE(LEFT('WBS Summary by Year'!K$6,1),'WBS Summary by Year'!$C220,'WBS Summary by Year'!$B$204),'Pre- and Production'!AP$4:AP$532)</f>
        <v>0</v>
      </c>
      <c r="L220" s="290">
        <f>SUMIF('Pre- and Production'!$T$4:$T$532, CONCATENATE(LEFT('WBS Summary by Year'!L$6,1),'WBS Summary by Year'!$C220,'WBS Summary by Year'!$B$204),'Pre- and Production'!AG$4:AG$532)</f>
        <v>0</v>
      </c>
      <c r="M220" s="286">
        <f>SUMIF('Pre- and Production'!$T$4:$T$532, CONCATENATE(LEFT('WBS Summary by Year'!M$6,1),'WBS Summary by Year'!$C220,'WBS Summary by Year'!$B$204),'Pre- and Production'!AQ$4:AQ$532)</f>
        <v>0</v>
      </c>
      <c r="N220" s="298">
        <f>SUMIF('Pre- and Production'!$T$4:$T$532, CONCATENATE(LEFT('WBS Summary by Year'!N$6,1),'WBS Summary by Year'!$C220,'WBS Summary by Year'!$B$204),'Pre- and Production'!AH$4:AH$532)</f>
        <v>0</v>
      </c>
      <c r="O220" s="299">
        <f>SUMIF('Pre- and Production'!$T$4:$T$532, CONCATENATE(LEFT('WBS Summary by Year'!O$6,1),'WBS Summary by Year'!$C220,'WBS Summary by Year'!$B$204),'Pre- and Production'!AR$4:AR$532)</f>
        <v>0</v>
      </c>
    </row>
    <row r="221" spans="3:15" s="302" customFormat="1">
      <c r="C221" s="9" t="s">
        <v>220</v>
      </c>
      <c r="D221" s="26">
        <f>SUMIF('Pre- and Production'!$T$4:$T$532, CONCATENATE(LEFT('WBS Summary by Year'!D$6,1),'WBS Summary by Year'!$C221,'WBS Summary by Year'!$B$204),'Pre- and Production'!AC$4:AC$532)</f>
        <v>0</v>
      </c>
      <c r="E221" s="286">
        <f>SUMIF('Pre- and Production'!$T$4:$T$532, CONCATENATE(LEFT('WBS Summary by Year'!E$6,1),'WBS Summary by Year'!$C221,'WBS Summary by Year'!$B$204),'Pre- and Production'!AM$4:AM$532)</f>
        <v>0</v>
      </c>
      <c r="F221" s="26">
        <f>SUMIF('Pre- and Production'!$T$4:$T$532, CONCATENATE(LEFT('WBS Summary by Year'!F$6,1),'WBS Summary by Year'!$C221,'WBS Summary by Year'!$B$204),'Pre- and Production'!AD$4:AD$532)</f>
        <v>0</v>
      </c>
      <c r="G221" s="279">
        <f>SUMIF('Pre- and Production'!$T$4:$T$532, CONCATENATE(LEFT('WBS Summary by Year'!G$6,1),'WBS Summary by Year'!$C221,'WBS Summary by Year'!$B$204),'Pre- and Production'!AN$4:AN$532)</f>
        <v>0</v>
      </c>
      <c r="H221" s="290">
        <f>SUMIF('Pre- and Production'!$T$4:$T$532, CONCATENATE(LEFT('WBS Summary by Year'!H$6,1),'WBS Summary by Year'!$C221,'WBS Summary by Year'!$B$204),'Pre- and Production'!AE$4:AE$532)</f>
        <v>0</v>
      </c>
      <c r="I221" s="286">
        <f>SUMIF('Pre- and Production'!$T$4:$T$532, CONCATENATE(LEFT('WBS Summary by Year'!I$6,1),'WBS Summary by Year'!$C221,'WBS Summary by Year'!$B$204),'Pre- and Production'!AO$4:AO$532)</f>
        <v>0</v>
      </c>
      <c r="J221" s="26">
        <f>SUMIF('Pre- and Production'!$T$4:$T$532, CONCATENATE(LEFT('WBS Summary by Year'!J$6,1),'WBS Summary by Year'!$C221,'WBS Summary by Year'!$B$204),'Pre- and Production'!AF$4:AFI$532)</f>
        <v>0</v>
      </c>
      <c r="K221" s="279">
        <f>SUMIF('Pre- and Production'!$T$4:$T$532, CONCATENATE(LEFT('WBS Summary by Year'!K$6,1),'WBS Summary by Year'!$C221,'WBS Summary by Year'!$B$204),'Pre- and Production'!AP$4:AP$532)</f>
        <v>0</v>
      </c>
      <c r="L221" s="290">
        <f>SUMIF('Pre- and Production'!$T$4:$T$532, CONCATENATE(LEFT('WBS Summary by Year'!L$6,1),'WBS Summary by Year'!$C221,'WBS Summary by Year'!$B$204),'Pre- and Production'!AG$4:AG$532)</f>
        <v>0</v>
      </c>
      <c r="M221" s="286">
        <f>SUMIF('Pre- and Production'!$T$4:$T$532, CONCATENATE(LEFT('WBS Summary by Year'!M$6,1),'WBS Summary by Year'!$C221,'WBS Summary by Year'!$B$204),'Pre- and Production'!AQ$4:AQ$532)</f>
        <v>0</v>
      </c>
      <c r="N221" s="298">
        <f>SUMIF('Pre- and Production'!$T$4:$T$532, CONCATENATE(LEFT('WBS Summary by Year'!N$6,1),'WBS Summary by Year'!$C221,'WBS Summary by Year'!$B$204),'Pre- and Production'!AH$4:AH$532)</f>
        <v>0</v>
      </c>
      <c r="O221" s="299">
        <f>SUMIF('Pre- and Production'!$T$4:$T$532, CONCATENATE(LEFT('WBS Summary by Year'!O$6,1),'WBS Summary by Year'!$C221,'WBS Summary by Year'!$B$204),'Pre- and Production'!AR$4:AR$532)</f>
        <v>0</v>
      </c>
    </row>
    <row r="222" spans="3:15" s="302" customFormat="1">
      <c r="C222" s="9" t="s">
        <v>221</v>
      </c>
      <c r="D222" s="26">
        <f>SUMIF('Pre- and Production'!$T$4:$T$532, CONCATENATE(LEFT('WBS Summary by Year'!D$6,1),'WBS Summary by Year'!$C222,'WBS Summary by Year'!$B$204),'Pre- and Production'!AC$4:AC$532)</f>
        <v>0</v>
      </c>
      <c r="E222" s="286">
        <f>SUMIF('Pre- and Production'!$T$4:$T$532, CONCATENATE(LEFT('WBS Summary by Year'!E$6,1),'WBS Summary by Year'!$C222,'WBS Summary by Year'!$B$204),'Pre- and Production'!AM$4:AM$532)</f>
        <v>0</v>
      </c>
      <c r="F222" s="26">
        <f>SUMIF('Pre- and Production'!$T$4:$T$532, CONCATENATE(LEFT('WBS Summary by Year'!F$6,1),'WBS Summary by Year'!$C222,'WBS Summary by Year'!$B$204),'Pre- and Production'!AD$4:AD$532)</f>
        <v>0</v>
      </c>
      <c r="G222" s="279">
        <f>SUMIF('Pre- and Production'!$T$4:$T$532, CONCATENATE(LEFT('WBS Summary by Year'!G$6,1),'WBS Summary by Year'!$C222,'WBS Summary by Year'!$B$204),'Pre- and Production'!AN$4:AN$532)</f>
        <v>0</v>
      </c>
      <c r="H222" s="290">
        <f>SUMIF('Pre- and Production'!$T$4:$T$532, CONCATENATE(LEFT('WBS Summary by Year'!H$6,1),'WBS Summary by Year'!$C222,'WBS Summary by Year'!$B$204),'Pre- and Production'!AE$4:AE$532)</f>
        <v>0</v>
      </c>
      <c r="I222" s="286">
        <f>SUMIF('Pre- and Production'!$T$4:$T$532, CONCATENATE(LEFT('WBS Summary by Year'!I$6,1),'WBS Summary by Year'!$C222,'WBS Summary by Year'!$B$204),'Pre- and Production'!AO$4:AO$532)</f>
        <v>0</v>
      </c>
      <c r="J222" s="26">
        <f>SUMIF('Pre- and Production'!$T$4:$T$532, CONCATENATE(LEFT('WBS Summary by Year'!J$6,1),'WBS Summary by Year'!$C222,'WBS Summary by Year'!$B$204),'Pre- and Production'!AF$4:AFI$532)</f>
        <v>0</v>
      </c>
      <c r="K222" s="279">
        <f>SUMIF('Pre- and Production'!$T$4:$T$532, CONCATENATE(LEFT('WBS Summary by Year'!K$6,1),'WBS Summary by Year'!$C222,'WBS Summary by Year'!$B$204),'Pre- and Production'!AP$4:AP$532)</f>
        <v>0</v>
      </c>
      <c r="L222" s="290">
        <f>SUMIF('Pre- and Production'!$T$4:$T$532, CONCATENATE(LEFT('WBS Summary by Year'!L$6,1),'WBS Summary by Year'!$C222,'WBS Summary by Year'!$B$204),'Pre- and Production'!AG$4:AG$532)</f>
        <v>0</v>
      </c>
      <c r="M222" s="286">
        <f>SUMIF('Pre- and Production'!$T$4:$T$532, CONCATENATE(LEFT('WBS Summary by Year'!M$6,1),'WBS Summary by Year'!$C222,'WBS Summary by Year'!$B$204),'Pre- and Production'!AQ$4:AQ$532)</f>
        <v>0</v>
      </c>
      <c r="N222" s="298">
        <f>SUMIF('Pre- and Production'!$T$4:$T$532, CONCATENATE(LEFT('WBS Summary by Year'!N$6,1),'WBS Summary by Year'!$C222,'WBS Summary by Year'!$B$204),'Pre- and Production'!AH$4:AH$532)</f>
        <v>0</v>
      </c>
      <c r="O222" s="299">
        <f>SUMIF('Pre- and Production'!$T$4:$T$532, CONCATENATE(LEFT('WBS Summary by Year'!O$6,1),'WBS Summary by Year'!$C222,'WBS Summary by Year'!$B$204),'Pre- and Production'!AR$4:AR$532)</f>
        <v>0</v>
      </c>
    </row>
    <row r="223" spans="3:15" s="302" customFormat="1">
      <c r="C223" s="9" t="s">
        <v>222</v>
      </c>
      <c r="D223" s="26">
        <f>SUMIF('Pre- and Production'!$T$4:$T$532, CONCATENATE(LEFT('WBS Summary by Year'!D$6,1),'WBS Summary by Year'!$C223,'WBS Summary by Year'!$B$204),'Pre- and Production'!AC$4:AC$532)</f>
        <v>0</v>
      </c>
      <c r="E223" s="286">
        <f>SUMIF('Pre- and Production'!$T$4:$T$532, CONCATENATE(LEFT('WBS Summary by Year'!E$6,1),'WBS Summary by Year'!$C223,'WBS Summary by Year'!$B$204),'Pre- and Production'!AM$4:AM$532)</f>
        <v>0</v>
      </c>
      <c r="F223" s="26">
        <f>SUMIF('Pre- and Production'!$T$4:$T$532, CONCATENATE(LEFT('WBS Summary by Year'!F$6,1),'WBS Summary by Year'!$C223,'WBS Summary by Year'!$B$204),'Pre- and Production'!AD$4:AD$532)</f>
        <v>0</v>
      </c>
      <c r="G223" s="279">
        <f>SUMIF('Pre- and Production'!$T$4:$T$532, CONCATENATE(LEFT('WBS Summary by Year'!G$6,1),'WBS Summary by Year'!$C223,'WBS Summary by Year'!$B$204),'Pre- and Production'!AN$4:AN$532)</f>
        <v>0</v>
      </c>
      <c r="H223" s="290">
        <f>SUMIF('Pre- and Production'!$T$4:$T$532, CONCATENATE(LEFT('WBS Summary by Year'!H$6,1),'WBS Summary by Year'!$C223,'WBS Summary by Year'!$B$204),'Pre- and Production'!AE$4:AE$532)</f>
        <v>0</v>
      </c>
      <c r="I223" s="286">
        <f>SUMIF('Pre- and Production'!$T$4:$T$532, CONCATENATE(LEFT('WBS Summary by Year'!I$6,1),'WBS Summary by Year'!$C223,'WBS Summary by Year'!$B$204),'Pre- and Production'!AO$4:AO$532)</f>
        <v>0</v>
      </c>
      <c r="J223" s="26">
        <f>SUMIF('Pre- and Production'!$T$4:$T$532, CONCATENATE(LEFT('WBS Summary by Year'!J$6,1),'WBS Summary by Year'!$C223,'WBS Summary by Year'!$B$204),'Pre- and Production'!AF$4:AFI$532)</f>
        <v>0</v>
      </c>
      <c r="K223" s="279">
        <f>SUMIF('Pre- and Production'!$T$4:$T$532, CONCATENATE(LEFT('WBS Summary by Year'!K$6,1),'WBS Summary by Year'!$C223,'WBS Summary by Year'!$B$204),'Pre- and Production'!AP$4:AP$532)</f>
        <v>0</v>
      </c>
      <c r="L223" s="290">
        <f>SUMIF('Pre- and Production'!$T$4:$T$532, CONCATENATE(LEFT('WBS Summary by Year'!L$6,1),'WBS Summary by Year'!$C223,'WBS Summary by Year'!$B$204),'Pre- and Production'!AG$4:AG$532)</f>
        <v>0</v>
      </c>
      <c r="M223" s="286">
        <f>SUMIF('Pre- and Production'!$T$4:$T$532, CONCATENATE(LEFT('WBS Summary by Year'!M$6,1),'WBS Summary by Year'!$C223,'WBS Summary by Year'!$B$204),'Pre- and Production'!AQ$4:AQ$532)</f>
        <v>0</v>
      </c>
      <c r="N223" s="298">
        <f>SUMIF('Pre- and Production'!$T$4:$T$532, CONCATENATE(LEFT('WBS Summary by Year'!N$6,1),'WBS Summary by Year'!$C223,'WBS Summary by Year'!$B$204),'Pre- and Production'!AH$4:AH$532)</f>
        <v>0</v>
      </c>
      <c r="O223" s="299">
        <f>SUMIF('Pre- and Production'!$T$4:$T$532, CONCATENATE(LEFT('WBS Summary by Year'!O$6,1),'WBS Summary by Year'!$C223,'WBS Summary by Year'!$B$204),'Pre- and Production'!AR$4:AR$532)</f>
        <v>0</v>
      </c>
    </row>
    <row r="224" spans="3:15" s="302" customFormat="1">
      <c r="C224" s="9" t="s">
        <v>223</v>
      </c>
      <c r="D224" s="26">
        <f>SUMIF('Pre- and Production'!$T$4:$T$532, CONCATENATE(LEFT('WBS Summary by Year'!D$6,1),'WBS Summary by Year'!$C224,'WBS Summary by Year'!$B$204),'Pre- and Production'!AC$4:AC$532)</f>
        <v>0</v>
      </c>
      <c r="E224" s="286">
        <f>SUMIF('Pre- and Production'!$T$4:$T$532, CONCATENATE(LEFT('WBS Summary by Year'!E$6,1),'WBS Summary by Year'!$C224,'WBS Summary by Year'!$B$204),'Pre- and Production'!AM$4:AM$532)</f>
        <v>0</v>
      </c>
      <c r="F224" s="26">
        <f>SUMIF('Pre- and Production'!$T$4:$T$532, CONCATENATE(LEFT('WBS Summary by Year'!F$6,1),'WBS Summary by Year'!$C224,'WBS Summary by Year'!$B$204),'Pre- and Production'!AD$4:AD$532)</f>
        <v>0</v>
      </c>
      <c r="G224" s="279">
        <f>SUMIF('Pre- and Production'!$T$4:$T$532, CONCATENATE(LEFT('WBS Summary by Year'!G$6,1),'WBS Summary by Year'!$C224,'WBS Summary by Year'!$B$204),'Pre- and Production'!AN$4:AN$532)</f>
        <v>0</v>
      </c>
      <c r="H224" s="290">
        <f>SUMIF('Pre- and Production'!$T$4:$T$532, CONCATENATE(LEFT('WBS Summary by Year'!H$6,1),'WBS Summary by Year'!$C224,'WBS Summary by Year'!$B$204),'Pre- and Production'!AE$4:AE$532)</f>
        <v>0</v>
      </c>
      <c r="I224" s="286">
        <f>SUMIF('Pre- and Production'!$T$4:$T$532, CONCATENATE(LEFT('WBS Summary by Year'!I$6,1),'WBS Summary by Year'!$C224,'WBS Summary by Year'!$B$204),'Pre- and Production'!AO$4:AO$532)</f>
        <v>0</v>
      </c>
      <c r="J224" s="26">
        <f>SUMIF('Pre- and Production'!$T$4:$T$532, CONCATENATE(LEFT('WBS Summary by Year'!J$6,1),'WBS Summary by Year'!$C224,'WBS Summary by Year'!$B$204),'Pre- and Production'!AF$4:AFI$532)</f>
        <v>0</v>
      </c>
      <c r="K224" s="279">
        <f>SUMIF('Pre- and Production'!$T$4:$T$532, CONCATENATE(LEFT('WBS Summary by Year'!K$6,1),'WBS Summary by Year'!$C224,'WBS Summary by Year'!$B$204),'Pre- and Production'!AP$4:AP$532)</f>
        <v>0</v>
      </c>
      <c r="L224" s="290">
        <f>SUMIF('Pre- and Production'!$T$4:$T$532, CONCATENATE(LEFT('WBS Summary by Year'!L$6,1),'WBS Summary by Year'!$C224,'WBS Summary by Year'!$B$204),'Pre- and Production'!AG$4:AG$532)</f>
        <v>0</v>
      </c>
      <c r="M224" s="286">
        <f>SUMIF('Pre- and Production'!$T$4:$T$532, CONCATENATE(LEFT('WBS Summary by Year'!M$6,1),'WBS Summary by Year'!$C224,'WBS Summary by Year'!$B$204),'Pre- and Production'!AQ$4:AQ$532)</f>
        <v>0</v>
      </c>
      <c r="N224" s="298">
        <f>SUMIF('Pre- and Production'!$T$4:$T$532, CONCATENATE(LEFT('WBS Summary by Year'!N$6,1),'WBS Summary by Year'!$C224,'WBS Summary by Year'!$B$204),'Pre- and Production'!AH$4:AH$532)</f>
        <v>0</v>
      </c>
      <c r="O224" s="299">
        <f>SUMIF('Pre- and Production'!$T$4:$T$532, CONCATENATE(LEFT('WBS Summary by Year'!O$6,1),'WBS Summary by Year'!$C224,'WBS Summary by Year'!$B$204),'Pre- and Production'!AR$4:AR$532)</f>
        <v>0</v>
      </c>
    </row>
    <row r="225" spans="3:15" s="302" customFormat="1">
      <c r="C225" s="9" t="s">
        <v>224</v>
      </c>
      <c r="D225" s="26">
        <f>SUMIF('Pre- and Production'!$T$4:$T$532, CONCATENATE(LEFT('WBS Summary by Year'!D$6,1),'WBS Summary by Year'!$C225,'WBS Summary by Year'!$B$204),'Pre- and Production'!AC$4:AC$532)</f>
        <v>0</v>
      </c>
      <c r="E225" s="286">
        <f>SUMIF('Pre- and Production'!$T$4:$T$532, CONCATENATE(LEFT('WBS Summary by Year'!E$6,1),'WBS Summary by Year'!$C225,'WBS Summary by Year'!$B$204),'Pre- and Production'!AM$4:AM$532)</f>
        <v>0</v>
      </c>
      <c r="F225" s="26">
        <f>SUMIF('Pre- and Production'!$T$4:$T$532, CONCATENATE(LEFT('WBS Summary by Year'!F$6,1),'WBS Summary by Year'!$C225,'WBS Summary by Year'!$B$204),'Pre- and Production'!AD$4:AD$532)</f>
        <v>0</v>
      </c>
      <c r="G225" s="279">
        <f>SUMIF('Pre- and Production'!$T$4:$T$532, CONCATENATE(LEFT('WBS Summary by Year'!G$6,1),'WBS Summary by Year'!$C225,'WBS Summary by Year'!$B$204),'Pre- and Production'!AN$4:AN$532)</f>
        <v>0</v>
      </c>
      <c r="H225" s="290">
        <f>SUMIF('Pre- and Production'!$T$4:$T$532, CONCATENATE(LEFT('WBS Summary by Year'!H$6,1),'WBS Summary by Year'!$C225,'WBS Summary by Year'!$B$204),'Pre- and Production'!AE$4:AE$532)</f>
        <v>0</v>
      </c>
      <c r="I225" s="286">
        <f>SUMIF('Pre- and Production'!$T$4:$T$532, CONCATENATE(LEFT('WBS Summary by Year'!I$6,1),'WBS Summary by Year'!$C225,'WBS Summary by Year'!$B$204),'Pre- and Production'!AO$4:AO$532)</f>
        <v>0</v>
      </c>
      <c r="J225" s="26">
        <f>SUMIF('Pre- and Production'!$T$4:$T$532, CONCATENATE(LEFT('WBS Summary by Year'!J$6,1),'WBS Summary by Year'!$C225,'WBS Summary by Year'!$B$204),'Pre- and Production'!AF$4:AFI$532)</f>
        <v>0</v>
      </c>
      <c r="K225" s="279">
        <f>SUMIF('Pre- and Production'!$T$4:$T$532, CONCATENATE(LEFT('WBS Summary by Year'!K$6,1),'WBS Summary by Year'!$C225,'WBS Summary by Year'!$B$204),'Pre- and Production'!AP$4:AP$532)</f>
        <v>0</v>
      </c>
      <c r="L225" s="290">
        <f>SUMIF('Pre- and Production'!$T$4:$T$532, CONCATENATE(LEFT('WBS Summary by Year'!L$6,1),'WBS Summary by Year'!$C225,'WBS Summary by Year'!$B$204),'Pre- and Production'!AG$4:AG$532)</f>
        <v>0</v>
      </c>
      <c r="M225" s="286">
        <f>SUMIF('Pre- and Production'!$T$4:$T$532, CONCATENATE(LEFT('WBS Summary by Year'!M$6,1),'WBS Summary by Year'!$C225,'WBS Summary by Year'!$B$204),'Pre- and Production'!AQ$4:AQ$532)</f>
        <v>0</v>
      </c>
      <c r="N225" s="298">
        <f>SUMIF('Pre- and Production'!$T$4:$T$532, CONCATENATE(LEFT('WBS Summary by Year'!N$6,1),'WBS Summary by Year'!$C225,'WBS Summary by Year'!$B$204),'Pre- and Production'!AH$4:AH$532)</f>
        <v>0</v>
      </c>
      <c r="O225" s="299">
        <f>SUMIF('Pre- and Production'!$T$4:$T$532, CONCATENATE(LEFT('WBS Summary by Year'!O$6,1),'WBS Summary by Year'!$C225,'WBS Summary by Year'!$B$204),'Pre- and Production'!AR$4:AR$532)</f>
        <v>0</v>
      </c>
    </row>
    <row r="226" spans="3:15" s="302" customFormat="1">
      <c r="C226" s="9" t="s">
        <v>225</v>
      </c>
      <c r="D226" s="26">
        <f>SUMIF('Pre- and Production'!$T$4:$T$532, CONCATENATE(LEFT('WBS Summary by Year'!D$6,1),'WBS Summary by Year'!$C226,'WBS Summary by Year'!$B$204),'Pre- and Production'!AC$4:AC$532)</f>
        <v>0</v>
      </c>
      <c r="E226" s="286">
        <f>SUMIF('Pre- and Production'!$T$4:$T$532, CONCATENATE(LEFT('WBS Summary by Year'!E$6,1),'WBS Summary by Year'!$C226,'WBS Summary by Year'!$B$204),'Pre- and Production'!AM$4:AM$532)</f>
        <v>0</v>
      </c>
      <c r="F226" s="26">
        <f>SUMIF('Pre- and Production'!$T$4:$T$532, CONCATENATE(LEFT('WBS Summary by Year'!F$6,1),'WBS Summary by Year'!$C226,'WBS Summary by Year'!$B$204),'Pre- and Production'!AD$4:AD$532)</f>
        <v>0</v>
      </c>
      <c r="G226" s="279">
        <f>SUMIF('Pre- and Production'!$T$4:$T$532, CONCATENATE(LEFT('WBS Summary by Year'!G$6,1),'WBS Summary by Year'!$C226,'WBS Summary by Year'!$B$204),'Pre- and Production'!AN$4:AN$532)</f>
        <v>0</v>
      </c>
      <c r="H226" s="290">
        <f>SUMIF('Pre- and Production'!$T$4:$T$532, CONCATENATE(LEFT('WBS Summary by Year'!H$6,1),'WBS Summary by Year'!$C226,'WBS Summary by Year'!$B$204),'Pre- and Production'!AE$4:AE$532)</f>
        <v>0</v>
      </c>
      <c r="I226" s="286">
        <f>SUMIF('Pre- and Production'!$T$4:$T$532, CONCATENATE(LEFT('WBS Summary by Year'!I$6,1),'WBS Summary by Year'!$C226,'WBS Summary by Year'!$B$204),'Pre- and Production'!AO$4:AO$532)</f>
        <v>0</v>
      </c>
      <c r="J226" s="26">
        <f>SUMIF('Pre- and Production'!$T$4:$T$532, CONCATENATE(LEFT('WBS Summary by Year'!J$6,1),'WBS Summary by Year'!$C226,'WBS Summary by Year'!$B$204),'Pre- and Production'!AF$4:AFI$532)</f>
        <v>0</v>
      </c>
      <c r="K226" s="279">
        <f>SUMIF('Pre- and Production'!$T$4:$T$532, CONCATENATE(LEFT('WBS Summary by Year'!K$6,1),'WBS Summary by Year'!$C226,'WBS Summary by Year'!$B$204),'Pre- and Production'!AP$4:AP$532)</f>
        <v>0</v>
      </c>
      <c r="L226" s="290">
        <f>SUMIF('Pre- and Production'!$T$4:$T$532, CONCATENATE(LEFT('WBS Summary by Year'!L$6,1),'WBS Summary by Year'!$C226,'WBS Summary by Year'!$B$204),'Pre- and Production'!AG$4:AG$532)</f>
        <v>0</v>
      </c>
      <c r="M226" s="286">
        <f>SUMIF('Pre- and Production'!$T$4:$T$532, CONCATENATE(LEFT('WBS Summary by Year'!M$6,1),'WBS Summary by Year'!$C226,'WBS Summary by Year'!$B$204),'Pre- and Production'!AQ$4:AQ$532)</f>
        <v>0</v>
      </c>
      <c r="N226" s="298">
        <f>SUMIF('Pre- and Production'!$T$4:$T$532, CONCATENATE(LEFT('WBS Summary by Year'!N$6,1),'WBS Summary by Year'!$C226,'WBS Summary by Year'!$B$204),'Pre- and Production'!AH$4:AH$532)</f>
        <v>0</v>
      </c>
      <c r="O226" s="299">
        <f>SUMIF('Pre- and Production'!$T$4:$T$532, CONCATENATE(LEFT('WBS Summary by Year'!O$6,1),'WBS Summary by Year'!$C226,'WBS Summary by Year'!$B$204),'Pre- and Production'!AR$4:AR$532)</f>
        <v>0</v>
      </c>
    </row>
    <row r="227" spans="3:15" s="302" customFormat="1">
      <c r="C227" s="9" t="s">
        <v>226</v>
      </c>
      <c r="D227" s="26">
        <f>SUMIF('Pre- and Production'!$T$4:$T$532, CONCATENATE(LEFT('WBS Summary by Year'!D$6,1),'WBS Summary by Year'!$C227,'WBS Summary by Year'!$B$204),'Pre- and Production'!AC$4:AC$532)</f>
        <v>0</v>
      </c>
      <c r="E227" s="286">
        <f>SUMIF('Pre- and Production'!$T$4:$T$532, CONCATENATE(LEFT('WBS Summary by Year'!E$6,1),'WBS Summary by Year'!$C227,'WBS Summary by Year'!$B$204),'Pre- and Production'!AM$4:AM$532)</f>
        <v>0</v>
      </c>
      <c r="F227" s="26">
        <f>SUMIF('Pre- and Production'!$T$4:$T$532, CONCATENATE(LEFT('WBS Summary by Year'!F$6,1),'WBS Summary by Year'!$C227,'WBS Summary by Year'!$B$204),'Pre- and Production'!AD$4:AD$532)</f>
        <v>0</v>
      </c>
      <c r="G227" s="279">
        <f>SUMIF('Pre- and Production'!$T$4:$T$532, CONCATENATE(LEFT('WBS Summary by Year'!G$6,1),'WBS Summary by Year'!$C227,'WBS Summary by Year'!$B$204),'Pre- and Production'!AN$4:AN$532)</f>
        <v>0</v>
      </c>
      <c r="H227" s="290">
        <f>SUMIF('Pre- and Production'!$T$4:$T$532, CONCATENATE(LEFT('WBS Summary by Year'!H$6,1),'WBS Summary by Year'!$C227,'WBS Summary by Year'!$B$204),'Pre- and Production'!AE$4:AE$532)</f>
        <v>0</v>
      </c>
      <c r="I227" s="286">
        <f>SUMIF('Pre- and Production'!$T$4:$T$532, CONCATENATE(LEFT('WBS Summary by Year'!I$6,1),'WBS Summary by Year'!$C227,'WBS Summary by Year'!$B$204),'Pre- and Production'!AO$4:AO$532)</f>
        <v>0</v>
      </c>
      <c r="J227" s="26">
        <f>SUMIF('Pre- and Production'!$T$4:$T$532, CONCATENATE(LEFT('WBS Summary by Year'!J$6,1),'WBS Summary by Year'!$C227,'WBS Summary by Year'!$B$204),'Pre- and Production'!AF$4:AFI$532)</f>
        <v>0</v>
      </c>
      <c r="K227" s="279">
        <f>SUMIF('Pre- and Production'!$T$4:$T$532, CONCATENATE(LEFT('WBS Summary by Year'!K$6,1),'WBS Summary by Year'!$C227,'WBS Summary by Year'!$B$204),'Pre- and Production'!AP$4:AP$532)</f>
        <v>0</v>
      </c>
      <c r="L227" s="290">
        <f>SUMIF('Pre- and Production'!$T$4:$T$532, CONCATENATE(LEFT('WBS Summary by Year'!L$6,1),'WBS Summary by Year'!$C227,'WBS Summary by Year'!$B$204),'Pre- and Production'!AG$4:AG$532)</f>
        <v>0</v>
      </c>
      <c r="M227" s="286">
        <f>SUMIF('Pre- and Production'!$T$4:$T$532, CONCATENATE(LEFT('WBS Summary by Year'!M$6,1),'WBS Summary by Year'!$C227,'WBS Summary by Year'!$B$204),'Pre- and Production'!AQ$4:AQ$532)</f>
        <v>0</v>
      </c>
      <c r="N227" s="298">
        <f>SUMIF('Pre- and Production'!$T$4:$T$532, CONCATENATE(LEFT('WBS Summary by Year'!N$6,1),'WBS Summary by Year'!$C227,'WBS Summary by Year'!$B$204),'Pre- and Production'!AH$4:AH$532)</f>
        <v>0</v>
      </c>
      <c r="O227" s="299">
        <f>SUMIF('Pre- and Production'!$T$4:$T$532, CONCATENATE(LEFT('WBS Summary by Year'!O$6,1),'WBS Summary by Year'!$C227,'WBS Summary by Year'!$B$204),'Pre- and Production'!AR$4:AR$532)</f>
        <v>0</v>
      </c>
    </row>
    <row r="228" spans="3:15">
      <c r="C228" s="9" t="s">
        <v>227</v>
      </c>
      <c r="D228" s="26">
        <f>SUMIF('Pre- and Production'!$T$4:$T$532, CONCATENATE(LEFT('WBS Summary by Year'!D$6,1),'WBS Summary by Year'!$C228,'WBS Summary by Year'!$B$204),'Pre- and Production'!AC$4:AC$532)</f>
        <v>0</v>
      </c>
      <c r="E228" s="286">
        <f>SUMIF('Pre- and Production'!$T$4:$T$532, CONCATENATE(LEFT('WBS Summary by Year'!E$6,1),'WBS Summary by Year'!$C228,'WBS Summary by Year'!$B$204),'Pre- and Production'!AM$4:AM$532)</f>
        <v>0</v>
      </c>
      <c r="F228" s="26">
        <f>SUMIF('Pre- and Production'!$T$4:$T$532, CONCATENATE(LEFT('WBS Summary by Year'!F$6,1),'WBS Summary by Year'!$C228,'WBS Summary by Year'!$B$204),'Pre- and Production'!AD$4:AD$532)</f>
        <v>0</v>
      </c>
      <c r="G228" s="279">
        <f>SUMIF('Pre- and Production'!$T$4:$T$532, CONCATENATE(LEFT('WBS Summary by Year'!G$6,1),'WBS Summary by Year'!$C228,'WBS Summary by Year'!$B$204),'Pre- and Production'!AN$4:AN$532)</f>
        <v>0</v>
      </c>
      <c r="H228" s="290">
        <f>SUMIF('Pre- and Production'!$T$4:$T$532, CONCATENATE(LEFT('WBS Summary by Year'!H$6,1),'WBS Summary by Year'!$C228,'WBS Summary by Year'!$B$204),'Pre- and Production'!AE$4:AE$532)</f>
        <v>0</v>
      </c>
      <c r="I228" s="286">
        <f>SUMIF('Pre- and Production'!$T$4:$T$532, CONCATENATE(LEFT('WBS Summary by Year'!I$6,1),'WBS Summary by Year'!$C228,'WBS Summary by Year'!$B$204),'Pre- and Production'!AO$4:AO$532)</f>
        <v>0</v>
      </c>
      <c r="J228" s="26">
        <f>SUMIF('Pre- and Production'!$T$4:$T$532, CONCATENATE(LEFT('WBS Summary by Year'!J$6,1),'WBS Summary by Year'!$C228,'WBS Summary by Year'!$B$204),'Pre- and Production'!AF$4:AFI$532)</f>
        <v>0</v>
      </c>
      <c r="K228" s="279">
        <f>SUMIF('Pre- and Production'!$T$4:$T$532, CONCATENATE(LEFT('WBS Summary by Year'!K$6,1),'WBS Summary by Year'!$C228,'WBS Summary by Year'!$B$204),'Pre- and Production'!AP$4:AP$532)</f>
        <v>0</v>
      </c>
      <c r="L228" s="290">
        <f>SUMIF('Pre- and Production'!$T$4:$T$532, CONCATENATE(LEFT('WBS Summary by Year'!L$6,1),'WBS Summary by Year'!$C228,'WBS Summary by Year'!$B$204),'Pre- and Production'!AG$4:AG$532)</f>
        <v>0</v>
      </c>
      <c r="M228" s="286">
        <f>SUMIF('Pre- and Production'!$T$4:$T$532, CONCATENATE(LEFT('WBS Summary by Year'!M$6,1),'WBS Summary by Year'!$C228,'WBS Summary by Year'!$B$204),'Pre- and Production'!AQ$4:AQ$532)</f>
        <v>0</v>
      </c>
      <c r="N228" s="298">
        <f>SUMIF('Pre- and Production'!$T$4:$T$532, CONCATENATE(LEFT('WBS Summary by Year'!N$6,1),'WBS Summary by Year'!$C228,'WBS Summary by Year'!$B$204),'Pre- and Production'!AH$4:AH$532)</f>
        <v>0</v>
      </c>
      <c r="O228" s="299">
        <f>SUMIF('Pre- and Production'!$T$4:$T$532, CONCATENATE(LEFT('WBS Summary by Year'!O$6,1),'WBS Summary by Year'!$C228,'WBS Summary by Year'!$B$204),'Pre- and Production'!AR$4:AR$532)</f>
        <v>0</v>
      </c>
    </row>
    <row r="229" spans="3:15">
      <c r="C229" s="9" t="s">
        <v>228</v>
      </c>
      <c r="D229" s="26">
        <f>SUMIF('Pre- and Production'!$T$4:$T$532, CONCATENATE(LEFT('WBS Summary by Year'!D$6,1),'WBS Summary by Year'!$C229,'WBS Summary by Year'!$B$204),'Pre- and Production'!AC$4:AC$532)</f>
        <v>0</v>
      </c>
      <c r="E229" s="286">
        <f>SUMIF('Pre- and Production'!$T$4:$T$532, CONCATENATE(LEFT('WBS Summary by Year'!E$6,1),'WBS Summary by Year'!$C229,'WBS Summary by Year'!$B$204),'Pre- and Production'!AM$4:AM$532)</f>
        <v>0</v>
      </c>
      <c r="F229" s="26">
        <f>SUMIF('Pre- and Production'!$T$4:$T$532, CONCATENATE(LEFT('WBS Summary by Year'!F$6,1),'WBS Summary by Year'!$C229,'WBS Summary by Year'!$B$204),'Pre- and Production'!AD$4:AD$532)</f>
        <v>0</v>
      </c>
      <c r="G229" s="279">
        <f>SUMIF('Pre- and Production'!$T$4:$T$532, CONCATENATE(LEFT('WBS Summary by Year'!G$6,1),'WBS Summary by Year'!$C229,'WBS Summary by Year'!$B$204),'Pre- and Production'!AN$4:AN$532)</f>
        <v>0</v>
      </c>
      <c r="H229" s="290">
        <f>SUMIF('Pre- and Production'!$T$4:$T$532, CONCATENATE(LEFT('WBS Summary by Year'!H$6,1),'WBS Summary by Year'!$C229,'WBS Summary by Year'!$B$204),'Pre- and Production'!AE$4:AE$532)</f>
        <v>0</v>
      </c>
      <c r="I229" s="286">
        <f>SUMIF('Pre- and Production'!$T$4:$T$532, CONCATENATE(LEFT('WBS Summary by Year'!I$6,1),'WBS Summary by Year'!$C229,'WBS Summary by Year'!$B$204),'Pre- and Production'!AO$4:AO$532)</f>
        <v>0</v>
      </c>
      <c r="J229" s="26">
        <f>SUMIF('Pre- and Production'!$T$4:$T$532, CONCATENATE(LEFT('WBS Summary by Year'!J$6,1),'WBS Summary by Year'!$C229,'WBS Summary by Year'!$B$204),'Pre- and Production'!AF$4:AFI$532)</f>
        <v>0</v>
      </c>
      <c r="K229" s="279">
        <f>SUMIF('Pre- and Production'!$T$4:$T$532, CONCATENATE(LEFT('WBS Summary by Year'!K$6,1),'WBS Summary by Year'!$C229,'WBS Summary by Year'!$B$204),'Pre- and Production'!AP$4:AP$532)</f>
        <v>0</v>
      </c>
      <c r="L229" s="290">
        <f>SUMIF('Pre- and Production'!$T$4:$T$532, CONCATENATE(LEFT('WBS Summary by Year'!L$6,1),'WBS Summary by Year'!$C229,'WBS Summary by Year'!$B$204),'Pre- and Production'!AG$4:AG$532)</f>
        <v>0</v>
      </c>
      <c r="M229" s="286">
        <f>SUMIF('Pre- and Production'!$T$4:$T$532, CONCATENATE(LEFT('WBS Summary by Year'!M$6,1),'WBS Summary by Year'!$C229,'WBS Summary by Year'!$B$204),'Pre- and Production'!AQ$4:AQ$532)</f>
        <v>0</v>
      </c>
      <c r="N229" s="298">
        <f>SUMIF('Pre- and Production'!$T$4:$T$532, CONCATENATE(LEFT('WBS Summary by Year'!N$6,1),'WBS Summary by Year'!$C229,'WBS Summary by Year'!$B$204),'Pre- and Production'!AH$4:AH$532)</f>
        <v>0</v>
      </c>
      <c r="O229" s="299">
        <f>SUMIF('Pre- and Production'!$T$4:$T$532, CONCATENATE(LEFT('WBS Summary by Year'!O$6,1),'WBS Summary by Year'!$C229,'WBS Summary by Year'!$B$204),'Pre- and Production'!AR$4:AR$532)</f>
        <v>0</v>
      </c>
    </row>
    <row r="230" spans="3:15">
      <c r="C230" s="9" t="s">
        <v>229</v>
      </c>
      <c r="D230" s="26">
        <f>SUMIF('Pre- and Production'!$T$4:$T$532, CONCATENATE(LEFT('WBS Summary by Year'!D$6,1),'WBS Summary by Year'!$C230,'WBS Summary by Year'!$B$204),'Pre- and Production'!AC$4:AC$532)</f>
        <v>0</v>
      </c>
      <c r="E230" s="286">
        <f>SUMIF('Pre- and Production'!$T$4:$T$532, CONCATENATE(LEFT('WBS Summary by Year'!E$6,1),'WBS Summary by Year'!$C230,'WBS Summary by Year'!$B$204),'Pre- and Production'!AM$4:AM$532)</f>
        <v>0</v>
      </c>
      <c r="F230" s="26">
        <f>SUMIF('Pre- and Production'!$T$4:$T$532, CONCATENATE(LEFT('WBS Summary by Year'!F$6,1),'WBS Summary by Year'!$C230,'WBS Summary by Year'!$B$204),'Pre- and Production'!AD$4:AD$532)</f>
        <v>0</v>
      </c>
      <c r="G230" s="279">
        <f>SUMIF('Pre- and Production'!$T$4:$T$532, CONCATENATE(LEFT('WBS Summary by Year'!G$6,1),'WBS Summary by Year'!$C230,'WBS Summary by Year'!$B$204),'Pre- and Production'!AN$4:AN$532)</f>
        <v>0</v>
      </c>
      <c r="H230" s="290">
        <f>SUMIF('Pre- and Production'!$T$4:$T$532, CONCATENATE(LEFT('WBS Summary by Year'!H$6,1),'WBS Summary by Year'!$C230,'WBS Summary by Year'!$B$204),'Pre- and Production'!AE$4:AE$532)</f>
        <v>0</v>
      </c>
      <c r="I230" s="286">
        <f>SUMIF('Pre- and Production'!$T$4:$T$532, CONCATENATE(LEFT('WBS Summary by Year'!I$6,1),'WBS Summary by Year'!$C230,'WBS Summary by Year'!$B$204),'Pre- and Production'!AO$4:AO$532)</f>
        <v>0</v>
      </c>
      <c r="J230" s="26">
        <f>SUMIF('Pre- and Production'!$T$4:$T$532, CONCATENATE(LEFT('WBS Summary by Year'!J$6,1),'WBS Summary by Year'!$C230,'WBS Summary by Year'!$B$204),'Pre- and Production'!AF$4:AFI$532)</f>
        <v>0</v>
      </c>
      <c r="K230" s="279">
        <f>SUMIF('Pre- and Production'!$T$4:$T$532, CONCATENATE(LEFT('WBS Summary by Year'!K$6,1),'WBS Summary by Year'!$C230,'WBS Summary by Year'!$B$204),'Pre- and Production'!AP$4:AP$532)</f>
        <v>0</v>
      </c>
      <c r="L230" s="290">
        <f>SUMIF('Pre- and Production'!$T$4:$T$532, CONCATENATE(LEFT('WBS Summary by Year'!L$6,1),'WBS Summary by Year'!$C230,'WBS Summary by Year'!$B$204),'Pre- and Production'!AG$4:AG$532)</f>
        <v>0</v>
      </c>
      <c r="M230" s="286">
        <f>SUMIF('Pre- and Production'!$T$4:$T$532, CONCATENATE(LEFT('WBS Summary by Year'!M$6,1),'WBS Summary by Year'!$C230,'WBS Summary by Year'!$B$204),'Pre- and Production'!AQ$4:AQ$532)</f>
        <v>0</v>
      </c>
      <c r="N230" s="298">
        <f>SUMIF('Pre- and Production'!$T$4:$T$532, CONCATENATE(LEFT('WBS Summary by Year'!N$6,1),'WBS Summary by Year'!$C230,'WBS Summary by Year'!$B$204),'Pre- and Production'!AH$4:AH$532)</f>
        <v>0</v>
      </c>
      <c r="O230" s="299">
        <f>SUMIF('Pre- and Production'!$T$4:$T$532, CONCATENATE(LEFT('WBS Summary by Year'!O$6,1),'WBS Summary by Year'!$C230,'WBS Summary by Year'!$B$204),'Pre- and Production'!AR$4:AR$532)</f>
        <v>0</v>
      </c>
    </row>
    <row r="231" spans="3:15">
      <c r="C231" s="9" t="s">
        <v>230</v>
      </c>
      <c r="D231" s="26">
        <f>SUMIF('Pre- and Production'!$T$4:$T$532, CONCATENATE(LEFT('WBS Summary by Year'!D$6,1),'WBS Summary by Year'!$C231,'WBS Summary by Year'!$B$204),'Pre- and Production'!AC$4:AC$532)</f>
        <v>0</v>
      </c>
      <c r="E231" s="286">
        <f>SUMIF('Pre- and Production'!$T$4:$T$532, CONCATENATE(LEFT('WBS Summary by Year'!E$6,1),'WBS Summary by Year'!$C231,'WBS Summary by Year'!$B$204),'Pre- and Production'!AM$4:AM$532)</f>
        <v>0</v>
      </c>
      <c r="F231" s="26">
        <f>SUMIF('Pre- and Production'!$T$4:$T$532, CONCATENATE(LEFT('WBS Summary by Year'!F$6,1),'WBS Summary by Year'!$C231,'WBS Summary by Year'!$B$204),'Pre- and Production'!AD$4:AD$532)</f>
        <v>0</v>
      </c>
      <c r="G231" s="279">
        <f>SUMIF('Pre- and Production'!$T$4:$T$532, CONCATENATE(LEFT('WBS Summary by Year'!G$6,1),'WBS Summary by Year'!$C231,'WBS Summary by Year'!$B$204),'Pre- and Production'!AN$4:AN$532)</f>
        <v>0</v>
      </c>
      <c r="H231" s="290">
        <f>SUMIF('Pre- and Production'!$T$4:$T$532, CONCATENATE(LEFT('WBS Summary by Year'!H$6,1),'WBS Summary by Year'!$C231,'WBS Summary by Year'!$B$204),'Pre- and Production'!AE$4:AE$532)</f>
        <v>0</v>
      </c>
      <c r="I231" s="286">
        <f>SUMIF('Pre- and Production'!$T$4:$T$532, CONCATENATE(LEFT('WBS Summary by Year'!I$6,1),'WBS Summary by Year'!$C231,'WBS Summary by Year'!$B$204),'Pre- and Production'!AO$4:AO$532)</f>
        <v>0</v>
      </c>
      <c r="J231" s="26">
        <f>SUMIF('Pre- and Production'!$T$4:$T$532, CONCATENATE(LEFT('WBS Summary by Year'!J$6,1),'WBS Summary by Year'!$C231,'WBS Summary by Year'!$B$204),'Pre- and Production'!AF$4:AFI$532)</f>
        <v>0</v>
      </c>
      <c r="K231" s="279">
        <f>SUMIF('Pre- and Production'!$T$4:$T$532, CONCATENATE(LEFT('WBS Summary by Year'!K$6,1),'WBS Summary by Year'!$C231,'WBS Summary by Year'!$B$204),'Pre- and Production'!AP$4:AP$532)</f>
        <v>0</v>
      </c>
      <c r="L231" s="290">
        <f>SUMIF('Pre- and Production'!$T$4:$T$532, CONCATENATE(LEFT('WBS Summary by Year'!L$6,1),'WBS Summary by Year'!$C231,'WBS Summary by Year'!$B$204),'Pre- and Production'!AG$4:AG$532)</f>
        <v>0</v>
      </c>
      <c r="M231" s="286">
        <f>SUMIF('Pre- and Production'!$T$4:$T$532, CONCATENATE(LEFT('WBS Summary by Year'!M$6,1),'WBS Summary by Year'!$C231,'WBS Summary by Year'!$B$204),'Pre- and Production'!AQ$4:AQ$532)</f>
        <v>0</v>
      </c>
      <c r="N231" s="298">
        <f>SUMIF('Pre- and Production'!$T$4:$T$532, CONCATENATE(LEFT('WBS Summary by Year'!N$6,1),'WBS Summary by Year'!$C231,'WBS Summary by Year'!$B$204),'Pre- and Production'!AH$4:AH$532)</f>
        <v>0</v>
      </c>
      <c r="O231" s="299">
        <f>SUMIF('Pre- and Production'!$T$4:$T$532, CONCATENATE(LEFT('WBS Summary by Year'!O$6,1),'WBS Summary by Year'!$C231,'WBS Summary by Year'!$B$204),'Pre- and Production'!AR$4:AR$532)</f>
        <v>0</v>
      </c>
    </row>
    <row r="232" spans="3:15">
      <c r="C232" s="9" t="s">
        <v>231</v>
      </c>
      <c r="D232" s="26">
        <f>SUMIF('Pre- and Production'!$T$4:$T$532, CONCATENATE(LEFT('WBS Summary by Year'!D$6,1),'WBS Summary by Year'!$C232,'WBS Summary by Year'!$B$204),'Pre- and Production'!AC$4:AC$532)</f>
        <v>0</v>
      </c>
      <c r="E232" s="286">
        <f>SUMIF('Pre- and Production'!$T$4:$T$532, CONCATENATE(LEFT('WBS Summary by Year'!E$6,1),'WBS Summary by Year'!$C232,'WBS Summary by Year'!$B$204),'Pre- and Production'!AM$4:AM$532)</f>
        <v>0</v>
      </c>
      <c r="F232" s="26">
        <f>SUMIF('Pre- and Production'!$T$4:$T$532, CONCATENATE(LEFT('WBS Summary by Year'!F$6,1),'WBS Summary by Year'!$C232,'WBS Summary by Year'!$B$204),'Pre- and Production'!AD$4:AD$532)</f>
        <v>0</v>
      </c>
      <c r="G232" s="279">
        <f>SUMIF('Pre- and Production'!$T$4:$T$532, CONCATENATE(LEFT('WBS Summary by Year'!G$6,1),'WBS Summary by Year'!$C232,'WBS Summary by Year'!$B$204),'Pre- and Production'!AN$4:AN$532)</f>
        <v>0</v>
      </c>
      <c r="H232" s="290">
        <f>SUMIF('Pre- and Production'!$T$4:$T$532, CONCATENATE(LEFT('WBS Summary by Year'!H$6,1),'WBS Summary by Year'!$C232,'WBS Summary by Year'!$B$204),'Pre- and Production'!AE$4:AE$532)</f>
        <v>0</v>
      </c>
      <c r="I232" s="286">
        <f>SUMIF('Pre- and Production'!$T$4:$T$532, CONCATENATE(LEFT('WBS Summary by Year'!I$6,1),'WBS Summary by Year'!$C232,'WBS Summary by Year'!$B$204),'Pre- and Production'!AO$4:AO$532)</f>
        <v>0</v>
      </c>
      <c r="J232" s="26">
        <f>SUMIF('Pre- and Production'!$T$4:$T$532, CONCATENATE(LEFT('WBS Summary by Year'!J$6,1),'WBS Summary by Year'!$C232,'WBS Summary by Year'!$B$204),'Pre- and Production'!AF$4:AFI$532)</f>
        <v>0</v>
      </c>
      <c r="K232" s="279">
        <f>SUMIF('Pre- and Production'!$T$4:$T$532, CONCATENATE(LEFT('WBS Summary by Year'!K$6,1),'WBS Summary by Year'!$C232,'WBS Summary by Year'!$B$204),'Pre- and Production'!AP$4:AP$532)</f>
        <v>0</v>
      </c>
      <c r="L232" s="290">
        <f>SUMIF('Pre- and Production'!$T$4:$T$532, CONCATENATE(LEFT('WBS Summary by Year'!L$6,1),'WBS Summary by Year'!$C232,'WBS Summary by Year'!$B$204),'Pre- and Production'!AG$4:AG$532)</f>
        <v>0</v>
      </c>
      <c r="M232" s="286">
        <f>SUMIF('Pre- and Production'!$T$4:$T$532, CONCATENATE(LEFT('WBS Summary by Year'!M$6,1),'WBS Summary by Year'!$C232,'WBS Summary by Year'!$B$204),'Pre- and Production'!AQ$4:AQ$532)</f>
        <v>0</v>
      </c>
      <c r="N232" s="298">
        <f>SUMIF('Pre- and Production'!$T$4:$T$532, CONCATENATE(LEFT('WBS Summary by Year'!N$6,1),'WBS Summary by Year'!$C232,'WBS Summary by Year'!$B$204),'Pre- and Production'!AH$4:AH$532)</f>
        <v>0</v>
      </c>
      <c r="O232" s="299">
        <f>SUMIF('Pre- and Production'!$T$4:$T$532, CONCATENATE(LEFT('WBS Summary by Year'!O$6,1),'WBS Summary by Year'!$C232,'WBS Summary by Year'!$B$204),'Pre- and Production'!AR$4:AR$532)</f>
        <v>0</v>
      </c>
    </row>
    <row r="233" spans="3:15">
      <c r="C233" s="9" t="s">
        <v>232</v>
      </c>
      <c r="D233" s="26">
        <f>SUMIF('Pre- and Production'!$T$4:$T$532, CONCATENATE(LEFT('WBS Summary by Year'!D$6,1),'WBS Summary by Year'!$C233,'WBS Summary by Year'!$B$204),'Pre- and Production'!AC$4:AC$532)</f>
        <v>0</v>
      </c>
      <c r="E233" s="286">
        <f>SUMIF('Pre- and Production'!$T$4:$T$532, CONCATENATE(LEFT('WBS Summary by Year'!E$6,1),'WBS Summary by Year'!$C233,'WBS Summary by Year'!$B$204),'Pre- and Production'!AM$4:AM$532)</f>
        <v>0</v>
      </c>
      <c r="F233" s="26">
        <f>SUMIF('Pre- and Production'!$T$4:$T$532, CONCATENATE(LEFT('WBS Summary by Year'!F$6,1),'WBS Summary by Year'!$C233,'WBS Summary by Year'!$B$204),'Pre- and Production'!AD$4:AD$532)</f>
        <v>0</v>
      </c>
      <c r="G233" s="279">
        <f>SUMIF('Pre- and Production'!$T$4:$T$532, CONCATENATE(LEFT('WBS Summary by Year'!G$6,1),'WBS Summary by Year'!$C233,'WBS Summary by Year'!$B$204),'Pre- and Production'!AN$4:AN$532)</f>
        <v>0</v>
      </c>
      <c r="H233" s="290">
        <f>SUMIF('Pre- and Production'!$T$4:$T$532, CONCATENATE(LEFT('WBS Summary by Year'!H$6,1),'WBS Summary by Year'!$C233,'WBS Summary by Year'!$B$204),'Pre- and Production'!AE$4:AE$532)</f>
        <v>0</v>
      </c>
      <c r="I233" s="286">
        <f>SUMIF('Pre- and Production'!$T$4:$T$532, CONCATENATE(LEFT('WBS Summary by Year'!I$6,1),'WBS Summary by Year'!$C233,'WBS Summary by Year'!$B$204),'Pre- and Production'!AO$4:AO$532)</f>
        <v>0</v>
      </c>
      <c r="J233" s="26">
        <f>SUMIF('Pre- and Production'!$T$4:$T$532, CONCATENATE(LEFT('WBS Summary by Year'!J$6,1),'WBS Summary by Year'!$C233,'WBS Summary by Year'!$B$204),'Pre- and Production'!AF$4:AFI$532)</f>
        <v>0</v>
      </c>
      <c r="K233" s="279">
        <f>SUMIF('Pre- and Production'!$T$4:$T$532, CONCATENATE(LEFT('WBS Summary by Year'!K$6,1),'WBS Summary by Year'!$C233,'WBS Summary by Year'!$B$204),'Pre- and Production'!AP$4:AP$532)</f>
        <v>0</v>
      </c>
      <c r="L233" s="290">
        <f>SUMIF('Pre- and Production'!$T$4:$T$532, CONCATENATE(LEFT('WBS Summary by Year'!L$6,1),'WBS Summary by Year'!$C233,'WBS Summary by Year'!$B$204),'Pre- and Production'!AG$4:AG$532)</f>
        <v>0</v>
      </c>
      <c r="M233" s="286">
        <f>SUMIF('Pre- and Production'!$T$4:$T$532, CONCATENATE(LEFT('WBS Summary by Year'!M$6,1),'WBS Summary by Year'!$C233,'WBS Summary by Year'!$B$204),'Pre- and Production'!AQ$4:AQ$532)</f>
        <v>0</v>
      </c>
      <c r="N233" s="298">
        <f>SUMIF('Pre- and Production'!$T$4:$T$532, CONCATENATE(LEFT('WBS Summary by Year'!N$6,1),'WBS Summary by Year'!$C233,'WBS Summary by Year'!$B$204),'Pre- and Production'!AH$4:AH$532)</f>
        <v>0</v>
      </c>
      <c r="O233" s="299">
        <f>SUMIF('Pre- and Production'!$T$4:$T$532, CONCATENATE(LEFT('WBS Summary by Year'!O$6,1),'WBS Summary by Year'!$C233,'WBS Summary by Year'!$B$204),'Pre- and Production'!AR$4:AR$532)</f>
        <v>0</v>
      </c>
    </row>
    <row r="234" spans="3:15">
      <c r="C234" s="9" t="s">
        <v>233</v>
      </c>
      <c r="D234" s="26">
        <f>SUMIF('Pre- and Production'!$T$4:$T$532, CONCATENATE(LEFT('WBS Summary by Year'!D$6,1),'WBS Summary by Year'!$C234,'WBS Summary by Year'!$B$204),'Pre- and Production'!AC$4:AC$532)</f>
        <v>0</v>
      </c>
      <c r="E234" s="286">
        <f>SUMIF('Pre- and Production'!$T$4:$T$532, CONCATENATE(LEFT('WBS Summary by Year'!E$6,1),'WBS Summary by Year'!$C234,'WBS Summary by Year'!$B$204),'Pre- and Production'!AM$4:AM$532)</f>
        <v>0</v>
      </c>
      <c r="F234" s="26">
        <f>SUMIF('Pre- and Production'!$T$4:$T$532, CONCATENATE(LEFT('WBS Summary by Year'!F$6,1),'WBS Summary by Year'!$C234,'WBS Summary by Year'!$B$204),'Pre- and Production'!AD$4:AD$532)</f>
        <v>0</v>
      </c>
      <c r="G234" s="279">
        <f>SUMIF('Pre- and Production'!$T$4:$T$532, CONCATENATE(LEFT('WBS Summary by Year'!G$6,1),'WBS Summary by Year'!$C234,'WBS Summary by Year'!$B$204),'Pre- and Production'!AN$4:AN$532)</f>
        <v>0</v>
      </c>
      <c r="H234" s="290">
        <f>SUMIF('Pre- and Production'!$T$4:$T$532, CONCATENATE(LEFT('WBS Summary by Year'!H$6,1),'WBS Summary by Year'!$C234,'WBS Summary by Year'!$B$204),'Pre- and Production'!AE$4:AE$532)</f>
        <v>0</v>
      </c>
      <c r="I234" s="286">
        <f>SUMIF('Pre- and Production'!$T$4:$T$532, CONCATENATE(LEFT('WBS Summary by Year'!I$6,1),'WBS Summary by Year'!$C234,'WBS Summary by Year'!$B$204),'Pre- and Production'!AO$4:AO$532)</f>
        <v>0</v>
      </c>
      <c r="J234" s="26">
        <f>SUMIF('Pre- and Production'!$T$4:$T$532, CONCATENATE(LEFT('WBS Summary by Year'!J$6,1),'WBS Summary by Year'!$C234,'WBS Summary by Year'!$B$204),'Pre- and Production'!AF$4:AFI$532)</f>
        <v>0</v>
      </c>
      <c r="K234" s="279">
        <f>SUMIF('Pre- and Production'!$T$4:$T$532, CONCATENATE(LEFT('WBS Summary by Year'!K$6,1),'WBS Summary by Year'!$C234,'WBS Summary by Year'!$B$204),'Pre- and Production'!AP$4:AP$532)</f>
        <v>0</v>
      </c>
      <c r="L234" s="290">
        <f>SUMIF('Pre- and Production'!$T$4:$T$532, CONCATENATE(LEFT('WBS Summary by Year'!L$6,1),'WBS Summary by Year'!$C234,'WBS Summary by Year'!$B$204),'Pre- and Production'!AG$4:AG$532)</f>
        <v>0</v>
      </c>
      <c r="M234" s="286">
        <f>SUMIF('Pre- and Production'!$T$4:$T$532, CONCATENATE(LEFT('WBS Summary by Year'!M$6,1),'WBS Summary by Year'!$C234,'WBS Summary by Year'!$B$204),'Pre- and Production'!AQ$4:AQ$532)</f>
        <v>0</v>
      </c>
      <c r="N234" s="298">
        <f>SUMIF('Pre- and Production'!$T$4:$T$532, CONCATENATE(LEFT('WBS Summary by Year'!N$6,1),'WBS Summary by Year'!$C234,'WBS Summary by Year'!$B$204),'Pre- and Production'!AH$4:AH$532)</f>
        <v>0</v>
      </c>
      <c r="O234" s="299">
        <f>SUMIF('Pre- and Production'!$T$4:$T$532, CONCATENATE(LEFT('WBS Summary by Year'!O$6,1),'WBS Summary by Year'!$C234,'WBS Summary by Year'!$B$204),'Pre- and Production'!AR$4:AR$532)</f>
        <v>0</v>
      </c>
    </row>
    <row r="235" spans="3:15">
      <c r="C235" s="9" t="s">
        <v>234</v>
      </c>
      <c r="D235" s="26">
        <f>SUMIF('Pre- and Production'!$T$4:$T$532, CONCATENATE(LEFT('WBS Summary by Year'!D$6,1),'WBS Summary by Year'!$C235,'WBS Summary by Year'!$B$204),'Pre- and Production'!AC$4:AC$532)</f>
        <v>0</v>
      </c>
      <c r="E235" s="286">
        <f>SUMIF('Pre- and Production'!$T$4:$T$532, CONCATENATE(LEFT('WBS Summary by Year'!E$6,1),'WBS Summary by Year'!$C235,'WBS Summary by Year'!$B$204),'Pre- and Production'!AM$4:AM$532)</f>
        <v>0</v>
      </c>
      <c r="F235" s="26">
        <f>SUMIF('Pre- and Production'!$T$4:$T$532, CONCATENATE(LEFT('WBS Summary by Year'!F$6,1),'WBS Summary by Year'!$C235,'WBS Summary by Year'!$B$204),'Pre- and Production'!AD$4:AD$532)</f>
        <v>0</v>
      </c>
      <c r="G235" s="279">
        <f>SUMIF('Pre- and Production'!$T$4:$T$532, CONCATENATE(LEFT('WBS Summary by Year'!G$6,1),'WBS Summary by Year'!$C235,'WBS Summary by Year'!$B$204),'Pre- and Production'!AN$4:AN$532)</f>
        <v>0</v>
      </c>
      <c r="H235" s="290">
        <f>SUMIF('Pre- and Production'!$T$4:$T$532, CONCATENATE(LEFT('WBS Summary by Year'!H$6,1),'WBS Summary by Year'!$C235,'WBS Summary by Year'!$B$204),'Pre- and Production'!AE$4:AE$532)</f>
        <v>0</v>
      </c>
      <c r="I235" s="286">
        <f>SUMIF('Pre- and Production'!$T$4:$T$532, CONCATENATE(LEFT('WBS Summary by Year'!I$6,1),'WBS Summary by Year'!$C235,'WBS Summary by Year'!$B$204),'Pre- and Production'!AO$4:AO$532)</f>
        <v>0</v>
      </c>
      <c r="J235" s="26">
        <f>SUMIF('Pre- and Production'!$T$4:$T$532, CONCATENATE(LEFT('WBS Summary by Year'!J$6,1),'WBS Summary by Year'!$C235,'WBS Summary by Year'!$B$204),'Pre- and Production'!AF$4:AFI$532)</f>
        <v>0</v>
      </c>
      <c r="K235" s="279">
        <f>SUMIF('Pre- and Production'!$T$4:$T$532, CONCATENATE(LEFT('WBS Summary by Year'!K$6,1),'WBS Summary by Year'!$C235,'WBS Summary by Year'!$B$204),'Pre- and Production'!AP$4:AP$532)</f>
        <v>0</v>
      </c>
      <c r="L235" s="290">
        <f>SUMIF('Pre- and Production'!$T$4:$T$532, CONCATENATE(LEFT('WBS Summary by Year'!L$6,1),'WBS Summary by Year'!$C235,'WBS Summary by Year'!$B$204),'Pre- and Production'!AG$4:AG$532)</f>
        <v>0</v>
      </c>
      <c r="M235" s="286">
        <f>SUMIF('Pre- and Production'!$T$4:$T$532, CONCATENATE(LEFT('WBS Summary by Year'!M$6,1),'WBS Summary by Year'!$C235,'WBS Summary by Year'!$B$204),'Pre- and Production'!AQ$4:AQ$532)</f>
        <v>0</v>
      </c>
      <c r="N235" s="298">
        <f>SUMIF('Pre- and Production'!$T$4:$T$532, CONCATENATE(LEFT('WBS Summary by Year'!N$6,1),'WBS Summary by Year'!$C235,'WBS Summary by Year'!$B$204),'Pre- and Production'!AH$4:AH$532)</f>
        <v>0</v>
      </c>
      <c r="O235" s="299">
        <f>SUMIF('Pre- and Production'!$T$4:$T$532, CONCATENATE(LEFT('WBS Summary by Year'!O$6,1),'WBS Summary by Year'!$C235,'WBS Summary by Year'!$B$204),'Pre- and Production'!AR$4:AR$532)</f>
        <v>0</v>
      </c>
    </row>
    <row r="236" spans="3:15">
      <c r="C236" s="9" t="s">
        <v>235</v>
      </c>
      <c r="D236" s="26">
        <f>SUMIF('Pre- and Production'!$T$4:$T$532, CONCATENATE(LEFT('WBS Summary by Year'!D$6,1),'WBS Summary by Year'!$C236,'WBS Summary by Year'!$B$204),'Pre- and Production'!AC$4:AC$532)</f>
        <v>0</v>
      </c>
      <c r="E236" s="286">
        <f>SUMIF('Pre- and Production'!$T$4:$T$532, CONCATENATE(LEFT('WBS Summary by Year'!E$6,1),'WBS Summary by Year'!$C236,'WBS Summary by Year'!$B$204),'Pre- and Production'!AM$4:AM$532)</f>
        <v>0</v>
      </c>
      <c r="F236" s="26">
        <f>SUMIF('Pre- and Production'!$T$4:$T$532, CONCATENATE(LEFT('WBS Summary by Year'!F$6,1),'WBS Summary by Year'!$C236,'WBS Summary by Year'!$B$204),'Pre- and Production'!AD$4:AD$532)</f>
        <v>0</v>
      </c>
      <c r="G236" s="279">
        <f>SUMIF('Pre- and Production'!$T$4:$T$532, CONCATENATE(LEFT('WBS Summary by Year'!G$6,1),'WBS Summary by Year'!$C236,'WBS Summary by Year'!$B$204),'Pre- and Production'!AN$4:AN$532)</f>
        <v>0</v>
      </c>
      <c r="H236" s="290">
        <f>SUMIF('Pre- and Production'!$T$4:$T$532, CONCATENATE(LEFT('WBS Summary by Year'!H$6,1),'WBS Summary by Year'!$C236,'WBS Summary by Year'!$B$204),'Pre- and Production'!AE$4:AE$532)</f>
        <v>0</v>
      </c>
      <c r="I236" s="286">
        <f>SUMIF('Pre- and Production'!$T$4:$T$532, CONCATENATE(LEFT('WBS Summary by Year'!I$6,1),'WBS Summary by Year'!$C236,'WBS Summary by Year'!$B$204),'Pre- and Production'!AO$4:AO$532)</f>
        <v>0</v>
      </c>
      <c r="J236" s="26">
        <f>SUMIF('Pre- and Production'!$T$4:$T$532, CONCATENATE(LEFT('WBS Summary by Year'!J$6,1),'WBS Summary by Year'!$C236,'WBS Summary by Year'!$B$204),'Pre- and Production'!AF$4:AFI$532)</f>
        <v>0</v>
      </c>
      <c r="K236" s="279">
        <f>SUMIF('Pre- and Production'!$T$4:$T$532, CONCATENATE(LEFT('WBS Summary by Year'!K$6,1),'WBS Summary by Year'!$C236,'WBS Summary by Year'!$B$204),'Pre- and Production'!AP$4:AP$532)</f>
        <v>0</v>
      </c>
      <c r="L236" s="290">
        <f>SUMIF('Pre- and Production'!$T$4:$T$532, CONCATENATE(LEFT('WBS Summary by Year'!L$6,1),'WBS Summary by Year'!$C236,'WBS Summary by Year'!$B$204),'Pre- and Production'!AG$4:AG$532)</f>
        <v>0</v>
      </c>
      <c r="M236" s="286">
        <f>SUMIF('Pre- and Production'!$T$4:$T$532, CONCATENATE(LEFT('WBS Summary by Year'!M$6,1),'WBS Summary by Year'!$C236,'WBS Summary by Year'!$B$204),'Pre- and Production'!AQ$4:AQ$532)</f>
        <v>0</v>
      </c>
      <c r="N236" s="298">
        <f>SUMIF('Pre- and Production'!$T$4:$T$532, CONCATENATE(LEFT('WBS Summary by Year'!N$6,1),'WBS Summary by Year'!$C236,'WBS Summary by Year'!$B$204),'Pre- and Production'!AH$4:AH$532)</f>
        <v>0</v>
      </c>
      <c r="O236" s="299">
        <f>SUMIF('Pre- and Production'!$T$4:$T$532, CONCATENATE(LEFT('WBS Summary by Year'!O$6,1),'WBS Summary by Year'!$C236,'WBS Summary by Year'!$B$204),'Pre- and Production'!AR$4:AR$532)</f>
        <v>0</v>
      </c>
    </row>
    <row r="237" spans="3:15">
      <c r="C237" s="9" t="s">
        <v>236</v>
      </c>
      <c r="D237" s="26">
        <f>SUMIF('Pre- and Production'!$T$4:$T$532, CONCATENATE(LEFT('WBS Summary by Year'!D$6,1),'WBS Summary by Year'!$C237,'WBS Summary by Year'!$B$204),'Pre- and Production'!AC$4:AC$532)</f>
        <v>0</v>
      </c>
      <c r="E237" s="286">
        <f>SUMIF('Pre- and Production'!$T$4:$T$532, CONCATENATE(LEFT('WBS Summary by Year'!E$6,1),'WBS Summary by Year'!$C237,'WBS Summary by Year'!$B$204),'Pre- and Production'!AM$4:AM$532)</f>
        <v>0</v>
      </c>
      <c r="F237" s="26">
        <f>SUMIF('Pre- and Production'!$T$4:$T$532, CONCATENATE(LEFT('WBS Summary by Year'!F$6,1),'WBS Summary by Year'!$C237,'WBS Summary by Year'!$B$204),'Pre- and Production'!AD$4:AD$532)</f>
        <v>0</v>
      </c>
      <c r="G237" s="279">
        <f>SUMIF('Pre- and Production'!$T$4:$T$532, CONCATENATE(LEFT('WBS Summary by Year'!G$6,1),'WBS Summary by Year'!$C237,'WBS Summary by Year'!$B$204),'Pre- and Production'!AN$4:AN$532)</f>
        <v>0</v>
      </c>
      <c r="H237" s="290">
        <f>SUMIF('Pre- and Production'!$T$4:$T$532, CONCATENATE(LEFT('WBS Summary by Year'!H$6,1),'WBS Summary by Year'!$C237,'WBS Summary by Year'!$B$204),'Pre- and Production'!AE$4:AE$532)</f>
        <v>0</v>
      </c>
      <c r="I237" s="286">
        <f>SUMIF('Pre- and Production'!$T$4:$T$532, CONCATENATE(LEFT('WBS Summary by Year'!I$6,1),'WBS Summary by Year'!$C237,'WBS Summary by Year'!$B$204),'Pre- and Production'!AO$4:AO$532)</f>
        <v>0</v>
      </c>
      <c r="J237" s="26">
        <f>SUMIF('Pre- and Production'!$T$4:$T$532, CONCATENATE(LEFT('WBS Summary by Year'!J$6,1),'WBS Summary by Year'!$C237,'WBS Summary by Year'!$B$204),'Pre- and Production'!AF$4:AFI$532)</f>
        <v>0</v>
      </c>
      <c r="K237" s="279">
        <f>SUMIF('Pre- and Production'!$T$4:$T$532, CONCATENATE(LEFT('WBS Summary by Year'!K$6,1),'WBS Summary by Year'!$C237,'WBS Summary by Year'!$B$204),'Pre- and Production'!AP$4:AP$532)</f>
        <v>0</v>
      </c>
      <c r="L237" s="290">
        <f>SUMIF('Pre- and Production'!$T$4:$T$532, CONCATENATE(LEFT('WBS Summary by Year'!L$6,1),'WBS Summary by Year'!$C237,'WBS Summary by Year'!$B$204),'Pre- and Production'!AG$4:AG$532)</f>
        <v>0</v>
      </c>
      <c r="M237" s="286">
        <f>SUMIF('Pre- and Production'!$T$4:$T$532, CONCATENATE(LEFT('WBS Summary by Year'!M$6,1),'WBS Summary by Year'!$C237,'WBS Summary by Year'!$B$204),'Pre- and Production'!AQ$4:AQ$532)</f>
        <v>0</v>
      </c>
      <c r="N237" s="298">
        <f>SUMIF('Pre- and Production'!$T$4:$T$532, CONCATENATE(LEFT('WBS Summary by Year'!N$6,1),'WBS Summary by Year'!$C237,'WBS Summary by Year'!$B$204),'Pre- and Production'!AH$4:AH$532)</f>
        <v>0</v>
      </c>
      <c r="O237" s="299">
        <f>SUMIF('Pre- and Production'!$T$4:$T$532, CONCATENATE(LEFT('WBS Summary by Year'!O$6,1),'WBS Summary by Year'!$C237,'WBS Summary by Year'!$B$204),'Pre- and Production'!AR$4:AR$532)</f>
        <v>0</v>
      </c>
    </row>
    <row r="238" spans="3:15">
      <c r="C238" s="9" t="s">
        <v>237</v>
      </c>
      <c r="D238" s="26">
        <f>SUMIF('Pre- and Production'!$T$4:$T$532, CONCATENATE(LEFT('WBS Summary by Year'!D$6,1),'WBS Summary by Year'!$C238,'WBS Summary by Year'!$B$204),'Pre- and Production'!AC$4:AC$532)</f>
        <v>0</v>
      </c>
      <c r="E238" s="286">
        <f>SUMIF('Pre- and Production'!$T$4:$T$532, CONCATENATE(LEFT('WBS Summary by Year'!E$6,1),'WBS Summary by Year'!$C238,'WBS Summary by Year'!$B$204),'Pre- and Production'!AM$4:AM$532)</f>
        <v>0</v>
      </c>
      <c r="F238" s="26">
        <f>SUMIF('Pre- and Production'!$T$4:$T$532, CONCATENATE(LEFT('WBS Summary by Year'!F$6,1),'WBS Summary by Year'!$C238,'WBS Summary by Year'!$B$204),'Pre- and Production'!AD$4:AD$532)</f>
        <v>0</v>
      </c>
      <c r="G238" s="279">
        <f>SUMIF('Pre- and Production'!$T$4:$T$532, CONCATENATE(LEFT('WBS Summary by Year'!G$6,1),'WBS Summary by Year'!$C238,'WBS Summary by Year'!$B$204),'Pre- and Production'!AN$4:AN$532)</f>
        <v>0</v>
      </c>
      <c r="H238" s="290">
        <f>SUMIF('Pre- and Production'!$T$4:$T$532, CONCATENATE(LEFT('WBS Summary by Year'!H$6,1),'WBS Summary by Year'!$C238,'WBS Summary by Year'!$B$204),'Pre- and Production'!AE$4:AE$532)</f>
        <v>0</v>
      </c>
      <c r="I238" s="286">
        <f>SUMIF('Pre- and Production'!$T$4:$T$532, CONCATENATE(LEFT('WBS Summary by Year'!I$6,1),'WBS Summary by Year'!$C238,'WBS Summary by Year'!$B$204),'Pre- and Production'!AO$4:AO$532)</f>
        <v>0</v>
      </c>
      <c r="J238" s="26">
        <f>SUMIF('Pre- and Production'!$T$4:$T$532, CONCATENATE(LEFT('WBS Summary by Year'!J$6,1),'WBS Summary by Year'!$C238,'WBS Summary by Year'!$B$204),'Pre- and Production'!AF$4:AFI$532)</f>
        <v>0</v>
      </c>
      <c r="K238" s="279">
        <f>SUMIF('Pre- and Production'!$T$4:$T$532, CONCATENATE(LEFT('WBS Summary by Year'!K$6,1),'WBS Summary by Year'!$C238,'WBS Summary by Year'!$B$204),'Pre- and Production'!AP$4:AP$532)</f>
        <v>0</v>
      </c>
      <c r="L238" s="290">
        <f>SUMIF('Pre- and Production'!$T$4:$T$532, CONCATENATE(LEFT('WBS Summary by Year'!L$6,1),'WBS Summary by Year'!$C238,'WBS Summary by Year'!$B$204),'Pre- and Production'!AG$4:AG$532)</f>
        <v>0</v>
      </c>
      <c r="M238" s="286">
        <f>SUMIF('Pre- and Production'!$T$4:$T$532, CONCATENATE(LEFT('WBS Summary by Year'!M$6,1),'WBS Summary by Year'!$C238,'WBS Summary by Year'!$B$204),'Pre- and Production'!AQ$4:AQ$532)</f>
        <v>0</v>
      </c>
      <c r="N238" s="298">
        <f>SUMIF('Pre- and Production'!$T$4:$T$532, CONCATENATE(LEFT('WBS Summary by Year'!N$6,1),'WBS Summary by Year'!$C238,'WBS Summary by Year'!$B$204),'Pre- and Production'!AH$4:AH$532)</f>
        <v>0</v>
      </c>
      <c r="O238" s="299">
        <f>SUMIF('Pre- and Production'!$T$4:$T$532, CONCATENATE(LEFT('WBS Summary by Year'!O$6,1),'WBS Summary by Year'!$C238,'WBS Summary by Year'!$B$204),'Pre- and Production'!AR$4:AR$532)</f>
        <v>0</v>
      </c>
    </row>
    <row r="239" spans="3:15" ht="13.5" thickBot="1">
      <c r="C239" s="9" t="s">
        <v>238</v>
      </c>
      <c r="D239" s="280">
        <f>SUMIF('Pre- and Production'!$T$4:$T$532, CONCATENATE(LEFT('WBS Summary by Year'!D$6,1),'WBS Summary by Year'!$C239,'WBS Summary by Year'!$B$204),'Pre- and Production'!AC$4:AC$532)</f>
        <v>0</v>
      </c>
      <c r="E239" s="287">
        <f>SUMIF('Pre- and Production'!$T$4:$T$532, CONCATENATE(LEFT('WBS Summary by Year'!E$6,1),'WBS Summary by Year'!$C239,'WBS Summary by Year'!$B$204),'Pre- and Production'!AM$4:AM$532)</f>
        <v>0</v>
      </c>
      <c r="F239" s="280">
        <f>SUMIF('Pre- and Production'!$T$4:$T$532, CONCATENATE(LEFT('WBS Summary by Year'!F$6,1),'WBS Summary by Year'!$C239,'WBS Summary by Year'!$B$204),'Pre- and Production'!AD$4:AD$532)</f>
        <v>0</v>
      </c>
      <c r="G239" s="281">
        <f>SUMIF('Pre- and Production'!$T$4:$T$532, CONCATENATE(LEFT('WBS Summary by Year'!G$6,1),'WBS Summary by Year'!$C239,'WBS Summary by Year'!$B$204),'Pre- and Production'!AN$4:AN$532)</f>
        <v>0</v>
      </c>
      <c r="H239" s="291">
        <f>SUMIF('Pre- and Production'!$T$4:$T$532, CONCATENATE(LEFT('WBS Summary by Year'!H$6,1),'WBS Summary by Year'!$C239,'WBS Summary by Year'!$B$204),'Pre- and Production'!AE$4:AE$532)</f>
        <v>0</v>
      </c>
      <c r="I239" s="287">
        <f>SUMIF('Pre- and Production'!$T$4:$T$532, CONCATENATE(LEFT('WBS Summary by Year'!I$6,1),'WBS Summary by Year'!$C239,'WBS Summary by Year'!$B$204),'Pre- and Production'!AO$4:AO$532)</f>
        <v>0</v>
      </c>
      <c r="J239" s="280">
        <f>SUMIF('Pre- and Production'!$T$4:$T$532, CONCATENATE(LEFT('WBS Summary by Year'!J$6,1),'WBS Summary by Year'!$C239,'WBS Summary by Year'!$B$204),'Pre- and Production'!AF$4:AFI$532)</f>
        <v>0</v>
      </c>
      <c r="K239" s="281">
        <f>SUMIF('Pre- and Production'!$T$4:$T$532, CONCATENATE(LEFT('WBS Summary by Year'!K$6,1),'WBS Summary by Year'!$C239,'WBS Summary by Year'!$B$204),'Pre- and Production'!AP$4:AP$532)</f>
        <v>0</v>
      </c>
      <c r="L239" s="291">
        <f>SUMIF('Pre- and Production'!$T$4:$T$532, CONCATENATE(LEFT('WBS Summary by Year'!L$6,1),'WBS Summary by Year'!$C239,'WBS Summary by Year'!$B$204),'Pre- and Production'!AG$4:AG$532)</f>
        <v>0</v>
      </c>
      <c r="M239" s="287">
        <f>SUMIF('Pre- and Production'!$T$4:$T$532, CONCATENATE(LEFT('WBS Summary by Year'!M$6,1),'WBS Summary by Year'!$C239,'WBS Summary by Year'!$B$204),'Pre- and Production'!AQ$4:AQ$532)</f>
        <v>0</v>
      </c>
      <c r="N239" s="300">
        <f>SUMIF('Pre- and Production'!$T$4:$T$532, CONCATENATE(LEFT('WBS Summary by Year'!N$6,1),'WBS Summary by Year'!$C239,'WBS Summary by Year'!$B$204),'Pre- and Production'!AH$4:AH$532)</f>
        <v>0</v>
      </c>
      <c r="O239" s="301">
        <f>SUMIF('Pre- and Production'!$T$4:$T$532, CONCATENATE(LEFT('WBS Summary by Year'!O$6,1),'WBS Summary by Year'!$C239,'WBS Summary by Year'!$B$204),'Pre- and Production'!AR$4:AR$532)</f>
        <v>0</v>
      </c>
    </row>
    <row r="240" spans="3:15" ht="13.5" thickTop="1"/>
    <row r="241" spans="2:15">
      <c r="D241">
        <f t="shared" ref="D241:O241" si="5">SUM(D207:D239)</f>
        <v>0</v>
      </c>
      <c r="E241">
        <f t="shared" si="5"/>
        <v>0</v>
      </c>
      <c r="F241">
        <f t="shared" si="5"/>
        <v>0</v>
      </c>
      <c r="G241">
        <f t="shared" si="5"/>
        <v>0</v>
      </c>
      <c r="H241">
        <f t="shared" si="5"/>
        <v>0</v>
      </c>
      <c r="I241">
        <f t="shared" si="5"/>
        <v>0</v>
      </c>
      <c r="J241">
        <f t="shared" si="5"/>
        <v>0</v>
      </c>
      <c r="K241">
        <f t="shared" si="5"/>
        <v>0</v>
      </c>
      <c r="L241">
        <f t="shared" si="5"/>
        <v>0</v>
      </c>
      <c r="M241">
        <f t="shared" si="5"/>
        <v>0</v>
      </c>
      <c r="N241" s="293">
        <f t="shared" si="5"/>
        <v>0</v>
      </c>
      <c r="O241" s="293">
        <f t="shared" si="5"/>
        <v>0</v>
      </c>
    </row>
    <row r="244" spans="2:15" ht="18.75" thickBot="1">
      <c r="B244" s="292" t="s">
        <v>162</v>
      </c>
    </row>
    <row r="245" spans="2:15" ht="13.5" thickTop="1">
      <c r="D245" s="441" t="s">
        <v>42</v>
      </c>
      <c r="E245" s="442"/>
      <c r="F245" s="441" t="s">
        <v>191</v>
      </c>
      <c r="G245" s="443"/>
      <c r="H245" s="444" t="s">
        <v>38</v>
      </c>
      <c r="I245" s="442"/>
      <c r="J245" s="441" t="s">
        <v>192</v>
      </c>
      <c r="K245" s="443"/>
      <c r="L245" s="444" t="s">
        <v>32</v>
      </c>
      <c r="M245" s="442"/>
      <c r="N245" s="439" t="s">
        <v>193</v>
      </c>
      <c r="O245" s="440"/>
    </row>
    <row r="246" spans="2:15" ht="13.5" thickBot="1">
      <c r="D246" s="282" t="s">
        <v>70</v>
      </c>
      <c r="E246" s="284" t="s">
        <v>194</v>
      </c>
      <c r="F246" s="282" t="s">
        <v>70</v>
      </c>
      <c r="G246" s="283" t="s">
        <v>194</v>
      </c>
      <c r="H246" s="288" t="s">
        <v>70</v>
      </c>
      <c r="I246" s="284" t="s">
        <v>194</v>
      </c>
      <c r="J246" s="282" t="s">
        <v>70</v>
      </c>
      <c r="K246" s="283" t="s">
        <v>194</v>
      </c>
      <c r="L246" s="288" t="s">
        <v>70</v>
      </c>
      <c r="M246" s="284" t="s">
        <v>194</v>
      </c>
      <c r="N246" s="294" t="s">
        <v>70</v>
      </c>
      <c r="O246" s="295" t="s">
        <v>194</v>
      </c>
    </row>
    <row r="247" spans="2:15" ht="13.5" thickTop="1">
      <c r="C247" s="223">
        <v>1.5</v>
      </c>
      <c r="D247" s="277">
        <f>SUMIF('Pre- and Production'!$T$4:$T$532, CONCATENATE(LEFT('WBS Summary by Year'!D$6,1),'WBS Summary by Year'!$C247,'WBS Summary by Year'!$B$244),'Pre- and Production'!AC$4:AC$532)</f>
        <v>0</v>
      </c>
      <c r="E247" s="285">
        <f>SUMIF('Pre- and Production'!$T$4:$T$532, CONCATENATE(LEFT('WBS Summary by Year'!E$6,1),'WBS Summary by Year'!$C247,'WBS Summary by Year'!$B$244),'Pre- and Production'!AM$4:AM$532)</f>
        <v>0</v>
      </c>
      <c r="F247" s="277">
        <f>SUMIF('Pre- and Production'!$T$4:$T$532, CONCATENATE(LEFT('WBS Summary by Year'!F$6,1),'WBS Summary by Year'!$C247,'WBS Summary by Year'!$B$244),'Pre- and Production'!AD$4:AD$532)</f>
        <v>0</v>
      </c>
      <c r="G247" s="278">
        <f>SUMIF('Pre- and Production'!$T$4:$T$532, CONCATENATE(LEFT('WBS Summary by Year'!G$6,1),'WBS Summary by Year'!$C247,'WBS Summary by Year'!$B$244),'Pre- and Production'!AN$4:AN$532)</f>
        <v>0</v>
      </c>
      <c r="H247" s="289">
        <f>SUMIF('Pre- and Production'!$T$4:$T$532, CONCATENATE(LEFT('WBS Summary by Year'!H$6,1),'WBS Summary by Year'!$C247,'WBS Summary by Year'!$B$244),'Pre- and Production'!AE$4:AE$532)</f>
        <v>0</v>
      </c>
      <c r="I247" s="285">
        <f>SUMIF('Pre- and Production'!$T$4:$T$532, CONCATENATE(LEFT('WBS Summary by Year'!I$6,1),'WBS Summary by Year'!$C247,'WBS Summary by Year'!$B$244),'Pre- and Production'!AO$4:AO$532)</f>
        <v>0</v>
      </c>
      <c r="J247" s="277">
        <f>SUMIF('Pre- and Production'!$T$4:$T$532, CONCATENATE(LEFT('WBS Summary by Year'!J$6,1),'WBS Summary by Year'!$C247,'WBS Summary by Year'!$B$244),'Pre- and Production'!AF$4:AFI$532)</f>
        <v>0</v>
      </c>
      <c r="K247" s="278">
        <f>SUMIF('Pre- and Production'!$T$4:$T$532, CONCATENATE(LEFT('WBS Summary by Year'!K$6,1),'WBS Summary by Year'!$C247,'WBS Summary by Year'!$B$244),'Pre- and Production'!AP$4:AP$532)</f>
        <v>0</v>
      </c>
      <c r="L247" s="289">
        <f>SUMIF('Pre- and Production'!$T$4:$T$532, CONCATENATE(LEFT('WBS Summary by Year'!L$6,1),'WBS Summary by Year'!$C247,'WBS Summary by Year'!$B$244),'Pre- and Production'!AG$4:AG$532)</f>
        <v>0</v>
      </c>
      <c r="M247" s="285">
        <f>SUMIF('Pre- and Production'!$T$4:$T$532, CONCATENATE(LEFT('WBS Summary by Year'!M$6,1),'WBS Summary by Year'!$C247,'WBS Summary by Year'!$B$244),'Pre- and Production'!AQ$4:AQ$532)</f>
        <v>0</v>
      </c>
      <c r="N247" s="296">
        <f>SUMIF('Pre- and Production'!$T$4:$T$532, CONCATENATE(LEFT('WBS Summary by Year'!N$6,1),'WBS Summary by Year'!$C247,'WBS Summary by Year'!$B$244),'Pre- and Production'!AH$4:AH$532)</f>
        <v>0</v>
      </c>
      <c r="O247" s="297">
        <f>SUMIF('Pre- and Production'!$T$4:$T$532, CONCATENATE(LEFT('WBS Summary by Year'!O$6,1),'WBS Summary by Year'!$C247,'WBS Summary by Year'!$B$244),'Pre- and Production'!AR$4:AR$532)</f>
        <v>0</v>
      </c>
    </row>
    <row r="248" spans="2:15" s="302" customFormat="1">
      <c r="C248" s="9" t="s">
        <v>195</v>
      </c>
      <c r="D248" s="26">
        <f>SUMIF('Pre- and Production'!$T$4:$T$532, CONCATENATE(LEFT('WBS Summary by Year'!D$6,1),'WBS Summary by Year'!$C248,'WBS Summary by Year'!$B$244),'Pre- and Production'!AC$4:AC$532)</f>
        <v>0</v>
      </c>
      <c r="E248" s="286">
        <f>SUMIF('Pre- and Production'!$T$4:$T$532, CONCATENATE(LEFT('WBS Summary by Year'!E$6,1),'WBS Summary by Year'!$C248,'WBS Summary by Year'!$B$244),'Pre- and Production'!AM$4:AM$532)</f>
        <v>0</v>
      </c>
      <c r="F248" s="26">
        <f>SUMIF('Pre- and Production'!$T$4:$T$532, CONCATENATE(LEFT('WBS Summary by Year'!F$6,1),'WBS Summary by Year'!$C248,'WBS Summary by Year'!$B$244),'Pre- and Production'!AD$4:AD$532)</f>
        <v>0</v>
      </c>
      <c r="G248" s="279">
        <f>SUMIF('Pre- and Production'!$T$4:$T$532, CONCATENATE(LEFT('WBS Summary by Year'!G$6,1),'WBS Summary by Year'!$C248,'WBS Summary by Year'!$B$244),'Pre- and Production'!AN$4:AN$532)</f>
        <v>0</v>
      </c>
      <c r="H248" s="290">
        <f>SUMIF('Pre- and Production'!$T$4:$T$532, CONCATENATE(LEFT('WBS Summary by Year'!H$6,1),'WBS Summary by Year'!$C248,'WBS Summary by Year'!$B$244),'Pre- and Production'!AE$4:AE$532)</f>
        <v>0</v>
      </c>
      <c r="I248" s="286">
        <f>SUMIF('Pre- and Production'!$T$4:$T$532, CONCATENATE(LEFT('WBS Summary by Year'!I$6,1),'WBS Summary by Year'!$C248,'WBS Summary by Year'!$B$244),'Pre- and Production'!AO$4:AO$532)</f>
        <v>0</v>
      </c>
      <c r="J248" s="26">
        <f>SUMIF('Pre- and Production'!$T$4:$T$532, CONCATENATE(LEFT('WBS Summary by Year'!J$6,1),'WBS Summary by Year'!$C248,'WBS Summary by Year'!$B$244),'Pre- and Production'!AF$4:AFI$532)</f>
        <v>0</v>
      </c>
      <c r="K248" s="279">
        <f>SUMIF('Pre- and Production'!$T$4:$T$532, CONCATENATE(LEFT('WBS Summary by Year'!K$6,1),'WBS Summary by Year'!$C248,'WBS Summary by Year'!$B$244),'Pre- and Production'!AP$4:AP$532)</f>
        <v>0</v>
      </c>
      <c r="L248" s="290">
        <f>SUMIF('Pre- and Production'!$T$4:$T$532, CONCATENATE(LEFT('WBS Summary by Year'!L$6,1),'WBS Summary by Year'!$C248,'WBS Summary by Year'!$B$244),'Pre- and Production'!AG$4:AG$532)</f>
        <v>0</v>
      </c>
      <c r="M248" s="286">
        <f>SUMIF('Pre- and Production'!$T$4:$T$532, CONCATENATE(LEFT('WBS Summary by Year'!M$6,1),'WBS Summary by Year'!$C248,'WBS Summary by Year'!$B$244),'Pre- and Production'!AQ$4:AQ$532)</f>
        <v>0</v>
      </c>
      <c r="N248" s="298">
        <f>SUMIF('Pre- and Production'!$T$4:$T$532, CONCATENATE(LEFT('WBS Summary by Year'!N$6,1),'WBS Summary by Year'!$C248,'WBS Summary by Year'!$B$244),'Pre- and Production'!AH$4:AH$532)</f>
        <v>0</v>
      </c>
      <c r="O248" s="299">
        <f>SUMIF('Pre- and Production'!$T$4:$T$532, CONCATENATE(LEFT('WBS Summary by Year'!O$6,1),'WBS Summary by Year'!$C248,'WBS Summary by Year'!$B$244),'Pre- and Production'!AR$4:AR$532)</f>
        <v>0</v>
      </c>
    </row>
    <row r="249" spans="2:15" s="302" customFormat="1">
      <c r="C249" s="9" t="s">
        <v>198</v>
      </c>
      <c r="D249" s="26">
        <f>SUMIF('Pre- and Production'!$T$4:$T$532, CONCATENATE(LEFT('WBS Summary by Year'!D$6,1),'WBS Summary by Year'!$C249,'WBS Summary by Year'!$B$244),'Pre- and Production'!AC$4:AC$532)</f>
        <v>0</v>
      </c>
      <c r="E249" s="286">
        <f>SUMIF('Pre- and Production'!$T$4:$T$532, CONCATENATE(LEFT('WBS Summary by Year'!E$6,1),'WBS Summary by Year'!$C249,'WBS Summary by Year'!$B$244),'Pre- and Production'!AM$4:AM$532)</f>
        <v>0</v>
      </c>
      <c r="F249" s="26">
        <f>SUMIF('Pre- and Production'!$T$4:$T$532, CONCATENATE(LEFT('WBS Summary by Year'!F$6,1),'WBS Summary by Year'!$C249,'WBS Summary by Year'!$B$244),'Pre- and Production'!AD$4:AD$532)</f>
        <v>0</v>
      </c>
      <c r="G249" s="279">
        <f>SUMIF('Pre- and Production'!$T$4:$T$532, CONCATENATE(LEFT('WBS Summary by Year'!G$6,1),'WBS Summary by Year'!$C249,'WBS Summary by Year'!$B$244),'Pre- and Production'!AN$4:AN$532)</f>
        <v>0</v>
      </c>
      <c r="H249" s="290">
        <f>SUMIF('Pre- and Production'!$T$4:$T$532, CONCATENATE(LEFT('WBS Summary by Year'!H$6,1),'WBS Summary by Year'!$C249,'WBS Summary by Year'!$B$244),'Pre- and Production'!AE$4:AE$532)</f>
        <v>0</v>
      </c>
      <c r="I249" s="286">
        <f>SUMIF('Pre- and Production'!$T$4:$T$532, CONCATENATE(LEFT('WBS Summary by Year'!I$6,1),'WBS Summary by Year'!$C249,'WBS Summary by Year'!$B$244),'Pre- and Production'!AO$4:AO$532)</f>
        <v>0</v>
      </c>
      <c r="J249" s="26">
        <f>SUMIF('Pre- and Production'!$T$4:$T$532, CONCATENATE(LEFT('WBS Summary by Year'!J$6,1),'WBS Summary by Year'!$C249,'WBS Summary by Year'!$B$244),'Pre- and Production'!AF$4:AFI$532)</f>
        <v>0</v>
      </c>
      <c r="K249" s="279">
        <f>SUMIF('Pre- and Production'!$T$4:$T$532, CONCATENATE(LEFT('WBS Summary by Year'!K$6,1),'WBS Summary by Year'!$C249,'WBS Summary by Year'!$B$244),'Pre- and Production'!AP$4:AP$532)</f>
        <v>0</v>
      </c>
      <c r="L249" s="290">
        <f>SUMIF('Pre- and Production'!$T$4:$T$532, CONCATENATE(LEFT('WBS Summary by Year'!L$6,1),'WBS Summary by Year'!$C249,'WBS Summary by Year'!$B$244),'Pre- and Production'!AG$4:AG$532)</f>
        <v>0</v>
      </c>
      <c r="M249" s="286">
        <f>SUMIF('Pre- and Production'!$T$4:$T$532, CONCATENATE(LEFT('WBS Summary by Year'!M$6,1),'WBS Summary by Year'!$C249,'WBS Summary by Year'!$B$244),'Pre- and Production'!AQ$4:AQ$532)</f>
        <v>0</v>
      </c>
      <c r="N249" s="298">
        <f>SUMIF('Pre- and Production'!$T$4:$T$532, CONCATENATE(LEFT('WBS Summary by Year'!N$6,1),'WBS Summary by Year'!$C249,'WBS Summary by Year'!$B$244),'Pre- and Production'!AH$4:AH$532)</f>
        <v>0</v>
      </c>
      <c r="O249" s="299">
        <f>SUMIF('Pre- and Production'!$T$4:$T$532, CONCATENATE(LEFT('WBS Summary by Year'!O$6,1),'WBS Summary by Year'!$C249,'WBS Summary by Year'!$B$244),'Pre- and Production'!AR$4:AR$532)</f>
        <v>0</v>
      </c>
    </row>
    <row r="250" spans="2:15" s="302" customFormat="1">
      <c r="C250" s="9" t="s">
        <v>200</v>
      </c>
      <c r="D250" s="26">
        <f>SUMIF('Pre- and Production'!$T$4:$T$532, CONCATENATE(LEFT('WBS Summary by Year'!D$6,1),'WBS Summary by Year'!$C250,'WBS Summary by Year'!$B$244),'Pre- and Production'!AC$4:AC$532)</f>
        <v>0</v>
      </c>
      <c r="E250" s="286">
        <f>SUMIF('Pre- and Production'!$T$4:$T$532, CONCATENATE(LEFT('WBS Summary by Year'!E$6,1),'WBS Summary by Year'!$C250,'WBS Summary by Year'!$B$244),'Pre- and Production'!AM$4:AM$532)</f>
        <v>0</v>
      </c>
      <c r="F250" s="26">
        <f>SUMIF('Pre- and Production'!$T$4:$T$532, CONCATENATE(LEFT('WBS Summary by Year'!F$6,1),'WBS Summary by Year'!$C250,'WBS Summary by Year'!$B$244),'Pre- and Production'!AD$4:AD$532)</f>
        <v>0</v>
      </c>
      <c r="G250" s="279">
        <f>SUMIF('Pre- and Production'!$T$4:$T$532, CONCATENATE(LEFT('WBS Summary by Year'!G$6,1),'WBS Summary by Year'!$C250,'WBS Summary by Year'!$B$244),'Pre- and Production'!AN$4:AN$532)</f>
        <v>0</v>
      </c>
      <c r="H250" s="290">
        <f>SUMIF('Pre- and Production'!$T$4:$T$532, CONCATENATE(LEFT('WBS Summary by Year'!H$6,1),'WBS Summary by Year'!$C250,'WBS Summary by Year'!$B$244),'Pre- and Production'!AE$4:AE$532)</f>
        <v>0</v>
      </c>
      <c r="I250" s="286">
        <f>SUMIF('Pre- and Production'!$T$4:$T$532, CONCATENATE(LEFT('WBS Summary by Year'!I$6,1),'WBS Summary by Year'!$C250,'WBS Summary by Year'!$B$244),'Pre- and Production'!AO$4:AO$532)</f>
        <v>0</v>
      </c>
      <c r="J250" s="26">
        <f>SUMIF('Pre- and Production'!$T$4:$T$532, CONCATENATE(LEFT('WBS Summary by Year'!J$6,1),'WBS Summary by Year'!$C250,'WBS Summary by Year'!$B$244),'Pre- and Production'!AF$4:AFI$532)</f>
        <v>0</v>
      </c>
      <c r="K250" s="279">
        <f>SUMIF('Pre- and Production'!$T$4:$T$532, CONCATENATE(LEFT('WBS Summary by Year'!K$6,1),'WBS Summary by Year'!$C250,'WBS Summary by Year'!$B$244),'Pre- and Production'!AP$4:AP$532)</f>
        <v>0</v>
      </c>
      <c r="L250" s="290">
        <f>SUMIF('Pre- and Production'!$T$4:$T$532, CONCATENATE(LEFT('WBS Summary by Year'!L$6,1),'WBS Summary by Year'!$C250,'WBS Summary by Year'!$B$244),'Pre- and Production'!AG$4:AG$532)</f>
        <v>0</v>
      </c>
      <c r="M250" s="286">
        <f>SUMIF('Pre- and Production'!$T$4:$T$532, CONCATENATE(LEFT('WBS Summary by Year'!M$6,1),'WBS Summary by Year'!$C250,'WBS Summary by Year'!$B$244),'Pre- and Production'!AQ$4:AQ$532)</f>
        <v>0</v>
      </c>
      <c r="N250" s="298">
        <f>SUMIF('Pre- and Production'!$T$4:$T$532, CONCATENATE(LEFT('WBS Summary by Year'!N$6,1),'WBS Summary by Year'!$C250,'WBS Summary by Year'!$B$244),'Pre- and Production'!AH$4:AH$532)</f>
        <v>0</v>
      </c>
      <c r="O250" s="299">
        <f>SUMIF('Pre- and Production'!$T$4:$T$532, CONCATENATE(LEFT('WBS Summary by Year'!O$6,1),'WBS Summary by Year'!$C250,'WBS Summary by Year'!$B$244),'Pre- and Production'!AR$4:AR$532)</f>
        <v>0</v>
      </c>
    </row>
    <row r="251" spans="2:15" s="302" customFormat="1">
      <c r="C251" s="9" t="s">
        <v>202</v>
      </c>
      <c r="D251" s="26">
        <f>SUMIF('Pre- and Production'!$T$4:$T$532, CONCATENATE(LEFT('WBS Summary by Year'!D$6,1),'WBS Summary by Year'!$C251,'WBS Summary by Year'!$B$244),'Pre- and Production'!AC$4:AC$532)</f>
        <v>0</v>
      </c>
      <c r="E251" s="286">
        <f>SUMIF('Pre- and Production'!$T$4:$T$532, CONCATENATE(LEFT('WBS Summary by Year'!E$6,1),'WBS Summary by Year'!$C251,'WBS Summary by Year'!$B$244),'Pre- and Production'!AM$4:AM$532)</f>
        <v>0</v>
      </c>
      <c r="F251" s="26">
        <f>SUMIF('Pre- and Production'!$T$4:$T$532, CONCATENATE(LEFT('WBS Summary by Year'!F$6,1),'WBS Summary by Year'!$C251,'WBS Summary by Year'!$B$244),'Pre- and Production'!AD$4:AD$532)</f>
        <v>0</v>
      </c>
      <c r="G251" s="279">
        <f>SUMIF('Pre- and Production'!$T$4:$T$532, CONCATENATE(LEFT('WBS Summary by Year'!G$6,1),'WBS Summary by Year'!$C251,'WBS Summary by Year'!$B$244),'Pre- and Production'!AN$4:AN$532)</f>
        <v>0</v>
      </c>
      <c r="H251" s="290">
        <f>SUMIF('Pre- and Production'!$T$4:$T$532, CONCATENATE(LEFT('WBS Summary by Year'!H$6,1),'WBS Summary by Year'!$C251,'WBS Summary by Year'!$B$244),'Pre- and Production'!AE$4:AE$532)</f>
        <v>0</v>
      </c>
      <c r="I251" s="286">
        <f>SUMIF('Pre- and Production'!$T$4:$T$532, CONCATENATE(LEFT('WBS Summary by Year'!I$6,1),'WBS Summary by Year'!$C251,'WBS Summary by Year'!$B$244),'Pre- and Production'!AO$4:AO$532)</f>
        <v>0</v>
      </c>
      <c r="J251" s="26">
        <f>SUMIF('Pre- and Production'!$T$4:$T$532, CONCATENATE(LEFT('WBS Summary by Year'!J$6,1),'WBS Summary by Year'!$C251,'WBS Summary by Year'!$B$244),'Pre- and Production'!AF$4:AFI$532)</f>
        <v>0</v>
      </c>
      <c r="K251" s="279">
        <f>SUMIF('Pre- and Production'!$T$4:$T$532, CONCATENATE(LEFT('WBS Summary by Year'!K$6,1),'WBS Summary by Year'!$C251,'WBS Summary by Year'!$B$244),'Pre- and Production'!AP$4:AP$532)</f>
        <v>0</v>
      </c>
      <c r="L251" s="290">
        <f>SUMIF('Pre- and Production'!$T$4:$T$532, CONCATENATE(LEFT('WBS Summary by Year'!L$6,1),'WBS Summary by Year'!$C251,'WBS Summary by Year'!$B$244),'Pre- and Production'!AG$4:AG$532)</f>
        <v>0</v>
      </c>
      <c r="M251" s="286">
        <f>SUMIF('Pre- and Production'!$T$4:$T$532, CONCATENATE(LEFT('WBS Summary by Year'!M$6,1),'WBS Summary by Year'!$C251,'WBS Summary by Year'!$B$244),'Pre- and Production'!AQ$4:AQ$532)</f>
        <v>0</v>
      </c>
      <c r="N251" s="298">
        <f>SUMIF('Pre- and Production'!$T$4:$T$532, CONCATENATE(LEFT('WBS Summary by Year'!N$6,1),'WBS Summary by Year'!$C251,'WBS Summary by Year'!$B$244),'Pre- and Production'!AH$4:AH$532)</f>
        <v>0</v>
      </c>
      <c r="O251" s="299">
        <f>SUMIF('Pre- and Production'!$T$4:$T$532, CONCATENATE(LEFT('WBS Summary by Year'!O$6,1),'WBS Summary by Year'!$C251,'WBS Summary by Year'!$B$244),'Pre- and Production'!AR$4:AR$532)</f>
        <v>0</v>
      </c>
    </row>
    <row r="252" spans="2:15" s="302" customFormat="1">
      <c r="C252" s="9" t="s">
        <v>204</v>
      </c>
      <c r="D252" s="26">
        <f>SUMIF('Pre- and Production'!$T$4:$T$532, CONCATENATE(LEFT('WBS Summary by Year'!D$6,1),'WBS Summary by Year'!$C252,'WBS Summary by Year'!$B$244),'Pre- and Production'!AC$4:AC$532)</f>
        <v>0</v>
      </c>
      <c r="E252" s="286">
        <f>SUMIF('Pre- and Production'!$T$4:$T$532, CONCATENATE(LEFT('WBS Summary by Year'!E$6,1),'WBS Summary by Year'!$C252,'WBS Summary by Year'!$B$244),'Pre- and Production'!AM$4:AM$532)</f>
        <v>0</v>
      </c>
      <c r="F252" s="26">
        <f>SUMIF('Pre- and Production'!$T$4:$T$532, CONCATENATE(LEFT('WBS Summary by Year'!F$6,1),'WBS Summary by Year'!$C252,'WBS Summary by Year'!$B$244),'Pre- and Production'!AD$4:AD$532)</f>
        <v>0</v>
      </c>
      <c r="G252" s="279">
        <f>SUMIF('Pre- and Production'!$T$4:$T$532, CONCATENATE(LEFT('WBS Summary by Year'!G$6,1),'WBS Summary by Year'!$C252,'WBS Summary by Year'!$B$244),'Pre- and Production'!AN$4:AN$532)</f>
        <v>0</v>
      </c>
      <c r="H252" s="290">
        <f>SUMIF('Pre- and Production'!$T$4:$T$532, CONCATENATE(LEFT('WBS Summary by Year'!H$6,1),'WBS Summary by Year'!$C252,'WBS Summary by Year'!$B$244),'Pre- and Production'!AE$4:AE$532)</f>
        <v>0</v>
      </c>
      <c r="I252" s="286">
        <f>SUMIF('Pre- and Production'!$T$4:$T$532, CONCATENATE(LEFT('WBS Summary by Year'!I$6,1),'WBS Summary by Year'!$C252,'WBS Summary by Year'!$B$244),'Pre- and Production'!AO$4:AO$532)</f>
        <v>0</v>
      </c>
      <c r="J252" s="26">
        <f>SUMIF('Pre- and Production'!$T$4:$T$532, CONCATENATE(LEFT('WBS Summary by Year'!J$6,1),'WBS Summary by Year'!$C252,'WBS Summary by Year'!$B$244),'Pre- and Production'!AF$4:AFI$532)</f>
        <v>0</v>
      </c>
      <c r="K252" s="279">
        <f>SUMIF('Pre- and Production'!$T$4:$T$532, CONCATENATE(LEFT('WBS Summary by Year'!K$6,1),'WBS Summary by Year'!$C252,'WBS Summary by Year'!$B$244),'Pre- and Production'!AP$4:AP$532)</f>
        <v>0</v>
      </c>
      <c r="L252" s="290">
        <f>SUMIF('Pre- and Production'!$T$4:$T$532, CONCATENATE(LEFT('WBS Summary by Year'!L$6,1),'WBS Summary by Year'!$C252,'WBS Summary by Year'!$B$244),'Pre- and Production'!AG$4:AG$532)</f>
        <v>0</v>
      </c>
      <c r="M252" s="286">
        <f>SUMIF('Pre- and Production'!$T$4:$T$532, CONCATENATE(LEFT('WBS Summary by Year'!M$6,1),'WBS Summary by Year'!$C252,'WBS Summary by Year'!$B$244),'Pre- and Production'!AQ$4:AQ$532)</f>
        <v>0</v>
      </c>
      <c r="N252" s="298">
        <f>SUMIF('Pre- and Production'!$T$4:$T$532, CONCATENATE(LEFT('WBS Summary by Year'!N$6,1),'WBS Summary by Year'!$C252,'WBS Summary by Year'!$B$244),'Pre- and Production'!AH$4:AH$532)</f>
        <v>0</v>
      </c>
      <c r="O252" s="299">
        <f>SUMIF('Pre- and Production'!$T$4:$T$532, CONCATENATE(LEFT('WBS Summary by Year'!O$6,1),'WBS Summary by Year'!$C252,'WBS Summary by Year'!$B$244),'Pre- and Production'!AR$4:AR$532)</f>
        <v>0</v>
      </c>
    </row>
    <row r="253" spans="2:15" s="302" customFormat="1">
      <c r="C253" s="9" t="s">
        <v>206</v>
      </c>
      <c r="D253" s="26">
        <f>SUMIF('Pre- and Production'!$T$4:$T$532, CONCATENATE(LEFT('WBS Summary by Year'!D$6,1),'WBS Summary by Year'!$C253,'WBS Summary by Year'!$B$244),'Pre- and Production'!AC$4:AC$532)</f>
        <v>0</v>
      </c>
      <c r="E253" s="286">
        <f>SUMIF('Pre- and Production'!$T$4:$T$532, CONCATENATE(LEFT('WBS Summary by Year'!E$6,1),'WBS Summary by Year'!$C253,'WBS Summary by Year'!$B$244),'Pre- and Production'!AM$4:AM$532)</f>
        <v>0</v>
      </c>
      <c r="F253" s="26">
        <f>SUMIF('Pre- and Production'!$T$4:$T$532, CONCATENATE(LEFT('WBS Summary by Year'!F$6,1),'WBS Summary by Year'!$C253,'WBS Summary by Year'!$B$244),'Pre- and Production'!AD$4:AD$532)</f>
        <v>0</v>
      </c>
      <c r="G253" s="279">
        <f>SUMIF('Pre- and Production'!$T$4:$T$532, CONCATENATE(LEFT('WBS Summary by Year'!G$6,1),'WBS Summary by Year'!$C253,'WBS Summary by Year'!$B$244),'Pre- and Production'!AN$4:AN$532)</f>
        <v>0</v>
      </c>
      <c r="H253" s="290">
        <f>SUMIF('Pre- and Production'!$T$4:$T$532, CONCATENATE(LEFT('WBS Summary by Year'!H$6,1),'WBS Summary by Year'!$C253,'WBS Summary by Year'!$B$244),'Pre- and Production'!AE$4:AE$532)</f>
        <v>0</v>
      </c>
      <c r="I253" s="286">
        <f>SUMIF('Pre- and Production'!$T$4:$T$532, CONCATENATE(LEFT('WBS Summary by Year'!I$6,1),'WBS Summary by Year'!$C253,'WBS Summary by Year'!$B$244),'Pre- and Production'!AO$4:AO$532)</f>
        <v>0</v>
      </c>
      <c r="J253" s="26">
        <f>SUMIF('Pre- and Production'!$T$4:$T$532, CONCATENATE(LEFT('WBS Summary by Year'!J$6,1),'WBS Summary by Year'!$C253,'WBS Summary by Year'!$B$244),'Pre- and Production'!AF$4:AFI$532)</f>
        <v>0</v>
      </c>
      <c r="K253" s="279">
        <f>SUMIF('Pre- and Production'!$T$4:$T$532, CONCATENATE(LEFT('WBS Summary by Year'!K$6,1),'WBS Summary by Year'!$C253,'WBS Summary by Year'!$B$244),'Pre- and Production'!AP$4:AP$532)</f>
        <v>0</v>
      </c>
      <c r="L253" s="290">
        <f>SUMIF('Pre- and Production'!$T$4:$T$532, CONCATENATE(LEFT('WBS Summary by Year'!L$6,1),'WBS Summary by Year'!$C253,'WBS Summary by Year'!$B$244),'Pre- and Production'!AG$4:AG$532)</f>
        <v>0</v>
      </c>
      <c r="M253" s="286">
        <f>SUMIF('Pre- and Production'!$T$4:$T$532, CONCATENATE(LEFT('WBS Summary by Year'!M$6,1),'WBS Summary by Year'!$C253,'WBS Summary by Year'!$B$244),'Pre- and Production'!AQ$4:AQ$532)</f>
        <v>0</v>
      </c>
      <c r="N253" s="298">
        <f>SUMIF('Pre- and Production'!$T$4:$T$532, CONCATENATE(LEFT('WBS Summary by Year'!N$6,1),'WBS Summary by Year'!$C253,'WBS Summary by Year'!$B$244),'Pre- and Production'!AH$4:AH$532)</f>
        <v>0</v>
      </c>
      <c r="O253" s="299">
        <f>SUMIF('Pre- and Production'!$T$4:$T$532, CONCATENATE(LEFT('WBS Summary by Year'!O$6,1),'WBS Summary by Year'!$C253,'WBS Summary by Year'!$B$244),'Pre- and Production'!AR$4:AR$532)</f>
        <v>0</v>
      </c>
    </row>
    <row r="254" spans="2:15" s="302" customFormat="1">
      <c r="C254" s="9" t="s">
        <v>208</v>
      </c>
      <c r="D254" s="26">
        <f>SUMIF('Pre- and Production'!$T$4:$T$532, CONCATENATE(LEFT('WBS Summary by Year'!D$6,1),'WBS Summary by Year'!$C254,'WBS Summary by Year'!$B$244),'Pre- and Production'!AC$4:AC$532)</f>
        <v>0</v>
      </c>
      <c r="E254" s="286">
        <f>SUMIF('Pre- and Production'!$T$4:$T$532, CONCATENATE(LEFT('WBS Summary by Year'!E$6,1),'WBS Summary by Year'!$C254,'WBS Summary by Year'!$B$244),'Pre- and Production'!AM$4:AM$532)</f>
        <v>0</v>
      </c>
      <c r="F254" s="26">
        <f>SUMIF('Pre- and Production'!$T$4:$T$532, CONCATENATE(LEFT('WBS Summary by Year'!F$6,1),'WBS Summary by Year'!$C254,'WBS Summary by Year'!$B$244),'Pre- and Production'!AD$4:AD$532)</f>
        <v>0</v>
      </c>
      <c r="G254" s="279">
        <f>SUMIF('Pre- and Production'!$T$4:$T$532, CONCATENATE(LEFT('WBS Summary by Year'!G$6,1),'WBS Summary by Year'!$C254,'WBS Summary by Year'!$B$244),'Pre- and Production'!AN$4:AN$532)</f>
        <v>0</v>
      </c>
      <c r="H254" s="290">
        <f>SUMIF('Pre- and Production'!$T$4:$T$532, CONCATENATE(LEFT('WBS Summary by Year'!H$6,1),'WBS Summary by Year'!$C254,'WBS Summary by Year'!$B$244),'Pre- and Production'!AE$4:AE$532)</f>
        <v>0</v>
      </c>
      <c r="I254" s="286">
        <f>SUMIF('Pre- and Production'!$T$4:$T$532, CONCATENATE(LEFT('WBS Summary by Year'!I$6,1),'WBS Summary by Year'!$C254,'WBS Summary by Year'!$B$244),'Pre- and Production'!AO$4:AO$532)</f>
        <v>0</v>
      </c>
      <c r="J254" s="26">
        <f>SUMIF('Pre- and Production'!$T$4:$T$532, CONCATENATE(LEFT('WBS Summary by Year'!J$6,1),'WBS Summary by Year'!$C254,'WBS Summary by Year'!$B$244),'Pre- and Production'!AF$4:AFI$532)</f>
        <v>0</v>
      </c>
      <c r="K254" s="279">
        <f>SUMIF('Pre- and Production'!$T$4:$T$532, CONCATENATE(LEFT('WBS Summary by Year'!K$6,1),'WBS Summary by Year'!$C254,'WBS Summary by Year'!$B$244),'Pre- and Production'!AP$4:AP$532)</f>
        <v>0</v>
      </c>
      <c r="L254" s="290">
        <f>SUMIF('Pre- and Production'!$T$4:$T$532, CONCATENATE(LEFT('WBS Summary by Year'!L$6,1),'WBS Summary by Year'!$C254,'WBS Summary by Year'!$B$244),'Pre- and Production'!AG$4:AG$532)</f>
        <v>0</v>
      </c>
      <c r="M254" s="286">
        <f>SUMIF('Pre- and Production'!$T$4:$T$532, CONCATENATE(LEFT('WBS Summary by Year'!M$6,1),'WBS Summary by Year'!$C254,'WBS Summary by Year'!$B$244),'Pre- and Production'!AQ$4:AQ$532)</f>
        <v>0</v>
      </c>
      <c r="N254" s="298">
        <f>SUMIF('Pre- and Production'!$T$4:$T$532, CONCATENATE(LEFT('WBS Summary by Year'!N$6,1),'WBS Summary by Year'!$C254,'WBS Summary by Year'!$B$244),'Pre- and Production'!AH$4:AH$532)</f>
        <v>0</v>
      </c>
      <c r="O254" s="299">
        <f>SUMIF('Pre- and Production'!$T$4:$T$532, CONCATENATE(LEFT('WBS Summary by Year'!O$6,1),'WBS Summary by Year'!$C254,'WBS Summary by Year'!$B$244),'Pre- and Production'!AR$4:AR$532)</f>
        <v>0</v>
      </c>
    </row>
    <row r="255" spans="2:15" s="302" customFormat="1">
      <c r="C255" s="9" t="s">
        <v>214</v>
      </c>
      <c r="D255" s="26">
        <f>SUMIF('Pre- and Production'!$T$4:$T$532, CONCATENATE(LEFT('WBS Summary by Year'!D$6,1),'WBS Summary by Year'!$C255,'WBS Summary by Year'!$B$244),'Pre- and Production'!AC$4:AC$532)</f>
        <v>0</v>
      </c>
      <c r="E255" s="286">
        <f>SUMIF('Pre- and Production'!$T$4:$T$532, CONCATENATE(LEFT('WBS Summary by Year'!E$6,1),'WBS Summary by Year'!$C255,'WBS Summary by Year'!$B$244),'Pre- and Production'!AM$4:AM$532)</f>
        <v>0</v>
      </c>
      <c r="F255" s="26">
        <f>SUMIF('Pre- and Production'!$T$4:$T$532, CONCATENATE(LEFT('WBS Summary by Year'!F$6,1),'WBS Summary by Year'!$C255,'WBS Summary by Year'!$B$244),'Pre- and Production'!AD$4:AD$532)</f>
        <v>0</v>
      </c>
      <c r="G255" s="279">
        <f>SUMIF('Pre- and Production'!$T$4:$T$532, CONCATENATE(LEFT('WBS Summary by Year'!G$6,1),'WBS Summary by Year'!$C255,'WBS Summary by Year'!$B$244),'Pre- and Production'!AN$4:AN$532)</f>
        <v>0</v>
      </c>
      <c r="H255" s="290">
        <f>SUMIF('Pre- and Production'!$T$4:$T$532, CONCATENATE(LEFT('WBS Summary by Year'!H$6,1),'WBS Summary by Year'!$C255,'WBS Summary by Year'!$B$244),'Pre- and Production'!AE$4:AE$532)</f>
        <v>0</v>
      </c>
      <c r="I255" s="286">
        <f>SUMIF('Pre- and Production'!$T$4:$T$532, CONCATENATE(LEFT('WBS Summary by Year'!I$6,1),'WBS Summary by Year'!$C255,'WBS Summary by Year'!$B$244),'Pre- and Production'!AO$4:AO$532)</f>
        <v>0</v>
      </c>
      <c r="J255" s="26">
        <f>SUMIF('Pre- and Production'!$T$4:$T$532, CONCATENATE(LEFT('WBS Summary by Year'!J$6,1),'WBS Summary by Year'!$C255,'WBS Summary by Year'!$B$244),'Pre- and Production'!AF$4:AFI$532)</f>
        <v>0</v>
      </c>
      <c r="K255" s="279">
        <f>SUMIF('Pre- and Production'!$T$4:$T$532, CONCATENATE(LEFT('WBS Summary by Year'!K$6,1),'WBS Summary by Year'!$C255,'WBS Summary by Year'!$B$244),'Pre- and Production'!AP$4:AP$532)</f>
        <v>0</v>
      </c>
      <c r="L255" s="290">
        <f>SUMIF('Pre- and Production'!$T$4:$T$532, CONCATENATE(LEFT('WBS Summary by Year'!L$6,1),'WBS Summary by Year'!$C255,'WBS Summary by Year'!$B$244),'Pre- and Production'!AG$4:AG$532)</f>
        <v>0</v>
      </c>
      <c r="M255" s="286">
        <f>SUMIF('Pre- and Production'!$T$4:$T$532, CONCATENATE(LEFT('WBS Summary by Year'!M$6,1),'WBS Summary by Year'!$C255,'WBS Summary by Year'!$B$244),'Pre- and Production'!AQ$4:AQ$532)</f>
        <v>0</v>
      </c>
      <c r="N255" s="298">
        <f>SUMIF('Pre- and Production'!$T$4:$T$532, CONCATENATE(LEFT('WBS Summary by Year'!N$6,1),'WBS Summary by Year'!$C255,'WBS Summary by Year'!$B$244),'Pre- and Production'!AH$4:AH$532)</f>
        <v>0</v>
      </c>
      <c r="O255" s="299">
        <f>SUMIF('Pre- and Production'!$T$4:$T$532, CONCATENATE(LEFT('WBS Summary by Year'!O$6,1),'WBS Summary by Year'!$C255,'WBS Summary by Year'!$B$244),'Pre- and Production'!AR$4:AR$532)</f>
        <v>0</v>
      </c>
    </row>
    <row r="256" spans="2:15" s="302" customFormat="1">
      <c r="C256" s="9" t="s">
        <v>215</v>
      </c>
      <c r="D256" s="26">
        <f>SUMIF('Pre- and Production'!$T$4:$T$532, CONCATENATE(LEFT('WBS Summary by Year'!D$6,1),'WBS Summary by Year'!$C256,'WBS Summary by Year'!$B$244),'Pre- and Production'!AC$4:AC$532)</f>
        <v>0</v>
      </c>
      <c r="E256" s="286">
        <f>SUMIF('Pre- and Production'!$T$4:$T$532, CONCATENATE(LEFT('WBS Summary by Year'!E$6,1),'WBS Summary by Year'!$C256,'WBS Summary by Year'!$B$244),'Pre- and Production'!AM$4:AM$532)</f>
        <v>0</v>
      </c>
      <c r="F256" s="26">
        <f>SUMIF('Pre- and Production'!$T$4:$T$532, CONCATENATE(LEFT('WBS Summary by Year'!F$6,1),'WBS Summary by Year'!$C256,'WBS Summary by Year'!$B$244),'Pre- and Production'!AD$4:AD$532)</f>
        <v>0</v>
      </c>
      <c r="G256" s="279">
        <f>SUMIF('Pre- and Production'!$T$4:$T$532, CONCATENATE(LEFT('WBS Summary by Year'!G$6,1),'WBS Summary by Year'!$C256,'WBS Summary by Year'!$B$244),'Pre- and Production'!AN$4:AN$532)</f>
        <v>0</v>
      </c>
      <c r="H256" s="290">
        <f>SUMIF('Pre- and Production'!$T$4:$T$532, CONCATENATE(LEFT('WBS Summary by Year'!H$6,1),'WBS Summary by Year'!$C256,'WBS Summary by Year'!$B$244),'Pre- and Production'!AE$4:AE$532)</f>
        <v>0</v>
      </c>
      <c r="I256" s="286">
        <f>SUMIF('Pre- and Production'!$T$4:$T$532, CONCATENATE(LEFT('WBS Summary by Year'!I$6,1),'WBS Summary by Year'!$C256,'WBS Summary by Year'!$B$244),'Pre- and Production'!AO$4:AO$532)</f>
        <v>0</v>
      </c>
      <c r="J256" s="26">
        <f>SUMIF('Pre- and Production'!$T$4:$T$532, CONCATENATE(LEFT('WBS Summary by Year'!J$6,1),'WBS Summary by Year'!$C256,'WBS Summary by Year'!$B$244),'Pre- and Production'!AF$4:AFI$532)</f>
        <v>0</v>
      </c>
      <c r="K256" s="279">
        <f>SUMIF('Pre- and Production'!$T$4:$T$532, CONCATENATE(LEFT('WBS Summary by Year'!K$6,1),'WBS Summary by Year'!$C256,'WBS Summary by Year'!$B$244),'Pre- and Production'!AP$4:AP$532)</f>
        <v>0</v>
      </c>
      <c r="L256" s="290">
        <f>SUMIF('Pre- and Production'!$T$4:$T$532, CONCATENATE(LEFT('WBS Summary by Year'!L$6,1),'WBS Summary by Year'!$C256,'WBS Summary by Year'!$B$244),'Pre- and Production'!AG$4:AG$532)</f>
        <v>0</v>
      </c>
      <c r="M256" s="286">
        <f>SUMIF('Pre- and Production'!$T$4:$T$532, CONCATENATE(LEFT('WBS Summary by Year'!M$6,1),'WBS Summary by Year'!$C256,'WBS Summary by Year'!$B$244),'Pre- and Production'!AQ$4:AQ$532)</f>
        <v>0</v>
      </c>
      <c r="N256" s="298">
        <f>SUMIF('Pre- and Production'!$T$4:$T$532, CONCATENATE(LEFT('WBS Summary by Year'!N$6,1),'WBS Summary by Year'!$C256,'WBS Summary by Year'!$B$244),'Pre- and Production'!AH$4:AH$532)</f>
        <v>0</v>
      </c>
      <c r="O256" s="299">
        <f>SUMIF('Pre- and Production'!$T$4:$T$532, CONCATENATE(LEFT('WBS Summary by Year'!O$6,1),'WBS Summary by Year'!$C256,'WBS Summary by Year'!$B$244),'Pre- and Production'!AR$4:AR$532)</f>
        <v>0</v>
      </c>
    </row>
    <row r="257" spans="3:15" s="302" customFormat="1">
      <c r="C257" s="9" t="s">
        <v>216</v>
      </c>
      <c r="D257" s="26">
        <f>SUMIF('Pre- and Production'!$T$4:$T$532, CONCATENATE(LEFT('WBS Summary by Year'!D$6,1),'WBS Summary by Year'!$C257,'WBS Summary by Year'!$B$244),'Pre- and Production'!AC$4:AC$532)</f>
        <v>0</v>
      </c>
      <c r="E257" s="286">
        <f>SUMIF('Pre- and Production'!$T$4:$T$532, CONCATENATE(LEFT('WBS Summary by Year'!E$6,1),'WBS Summary by Year'!$C257,'WBS Summary by Year'!$B$244),'Pre- and Production'!AM$4:AM$532)</f>
        <v>0</v>
      </c>
      <c r="F257" s="26">
        <f>SUMIF('Pre- and Production'!$T$4:$T$532, CONCATENATE(LEFT('WBS Summary by Year'!F$6,1),'WBS Summary by Year'!$C257,'WBS Summary by Year'!$B$244),'Pre- and Production'!AD$4:AD$532)</f>
        <v>0</v>
      </c>
      <c r="G257" s="279">
        <f>SUMIF('Pre- and Production'!$T$4:$T$532, CONCATENATE(LEFT('WBS Summary by Year'!G$6,1),'WBS Summary by Year'!$C257,'WBS Summary by Year'!$B$244),'Pre- and Production'!AN$4:AN$532)</f>
        <v>0</v>
      </c>
      <c r="H257" s="290">
        <f>SUMIF('Pre- and Production'!$T$4:$T$532, CONCATENATE(LEFT('WBS Summary by Year'!H$6,1),'WBS Summary by Year'!$C257,'WBS Summary by Year'!$B$244),'Pre- and Production'!AE$4:AE$532)</f>
        <v>0</v>
      </c>
      <c r="I257" s="286">
        <f>SUMIF('Pre- and Production'!$T$4:$T$532, CONCATENATE(LEFT('WBS Summary by Year'!I$6,1),'WBS Summary by Year'!$C257,'WBS Summary by Year'!$B$244),'Pre- and Production'!AO$4:AO$532)</f>
        <v>0</v>
      </c>
      <c r="J257" s="26">
        <f>SUMIF('Pre- and Production'!$T$4:$T$532, CONCATENATE(LEFT('WBS Summary by Year'!J$6,1),'WBS Summary by Year'!$C257,'WBS Summary by Year'!$B$244),'Pre- and Production'!AF$4:AFI$532)</f>
        <v>0</v>
      </c>
      <c r="K257" s="279">
        <f>SUMIF('Pre- and Production'!$T$4:$T$532, CONCATENATE(LEFT('WBS Summary by Year'!K$6,1),'WBS Summary by Year'!$C257,'WBS Summary by Year'!$B$244),'Pre- and Production'!AP$4:AP$532)</f>
        <v>0</v>
      </c>
      <c r="L257" s="290">
        <f>SUMIF('Pre- and Production'!$T$4:$T$532, CONCATENATE(LEFT('WBS Summary by Year'!L$6,1),'WBS Summary by Year'!$C257,'WBS Summary by Year'!$B$244),'Pre- and Production'!AG$4:AG$532)</f>
        <v>0</v>
      </c>
      <c r="M257" s="286">
        <f>SUMIF('Pre- and Production'!$T$4:$T$532, CONCATENATE(LEFT('WBS Summary by Year'!M$6,1),'WBS Summary by Year'!$C257,'WBS Summary by Year'!$B$244),'Pre- and Production'!AQ$4:AQ$532)</f>
        <v>0</v>
      </c>
      <c r="N257" s="298">
        <f>SUMIF('Pre- and Production'!$T$4:$T$532, CONCATENATE(LEFT('WBS Summary by Year'!N$6,1),'WBS Summary by Year'!$C257,'WBS Summary by Year'!$B$244),'Pre- and Production'!AH$4:AH$532)</f>
        <v>0</v>
      </c>
      <c r="O257" s="299">
        <f>SUMIF('Pre- and Production'!$T$4:$T$532, CONCATENATE(LEFT('WBS Summary by Year'!O$6,1),'WBS Summary by Year'!$C257,'WBS Summary by Year'!$B$244),'Pre- and Production'!AR$4:AR$532)</f>
        <v>0</v>
      </c>
    </row>
    <row r="258" spans="3:15" s="302" customFormat="1">
      <c r="C258" s="9" t="s">
        <v>217</v>
      </c>
      <c r="D258" s="26">
        <f>SUMIF('Pre- and Production'!$T$4:$T$532, CONCATENATE(LEFT('WBS Summary by Year'!D$6,1),'WBS Summary by Year'!$C258,'WBS Summary by Year'!$B$244),'Pre- and Production'!AC$4:AC$532)</f>
        <v>0</v>
      </c>
      <c r="E258" s="286">
        <f>SUMIF('Pre- and Production'!$T$4:$T$532, CONCATENATE(LEFT('WBS Summary by Year'!E$6,1),'WBS Summary by Year'!$C258,'WBS Summary by Year'!$B$244),'Pre- and Production'!AM$4:AM$532)</f>
        <v>0</v>
      </c>
      <c r="F258" s="26">
        <f>SUMIF('Pre- and Production'!$T$4:$T$532, CONCATENATE(LEFT('WBS Summary by Year'!F$6,1),'WBS Summary by Year'!$C258,'WBS Summary by Year'!$B$244),'Pre- and Production'!AD$4:AD$532)</f>
        <v>0</v>
      </c>
      <c r="G258" s="279">
        <f>SUMIF('Pre- and Production'!$T$4:$T$532, CONCATENATE(LEFT('WBS Summary by Year'!G$6,1),'WBS Summary by Year'!$C258,'WBS Summary by Year'!$B$244),'Pre- and Production'!AN$4:AN$532)</f>
        <v>0</v>
      </c>
      <c r="H258" s="290">
        <f>SUMIF('Pre- and Production'!$T$4:$T$532, CONCATENATE(LEFT('WBS Summary by Year'!H$6,1),'WBS Summary by Year'!$C258,'WBS Summary by Year'!$B$244),'Pre- and Production'!AE$4:AE$532)</f>
        <v>0</v>
      </c>
      <c r="I258" s="286">
        <f>SUMIF('Pre- and Production'!$T$4:$T$532, CONCATENATE(LEFT('WBS Summary by Year'!I$6,1),'WBS Summary by Year'!$C258,'WBS Summary by Year'!$B$244),'Pre- and Production'!AO$4:AO$532)</f>
        <v>0</v>
      </c>
      <c r="J258" s="26">
        <f>SUMIF('Pre- and Production'!$T$4:$T$532, CONCATENATE(LEFT('WBS Summary by Year'!J$6,1),'WBS Summary by Year'!$C258,'WBS Summary by Year'!$B$244),'Pre- and Production'!AF$4:AFI$532)</f>
        <v>0</v>
      </c>
      <c r="K258" s="279">
        <f>SUMIF('Pre- and Production'!$T$4:$T$532, CONCATENATE(LEFT('WBS Summary by Year'!K$6,1),'WBS Summary by Year'!$C258,'WBS Summary by Year'!$B$244),'Pre- and Production'!AP$4:AP$532)</f>
        <v>0</v>
      </c>
      <c r="L258" s="290">
        <f>SUMIF('Pre- and Production'!$T$4:$T$532, CONCATENATE(LEFT('WBS Summary by Year'!L$6,1),'WBS Summary by Year'!$C258,'WBS Summary by Year'!$B$244),'Pre- and Production'!AG$4:AG$532)</f>
        <v>0</v>
      </c>
      <c r="M258" s="286">
        <f>SUMIF('Pre- and Production'!$T$4:$T$532, CONCATENATE(LEFT('WBS Summary by Year'!M$6,1),'WBS Summary by Year'!$C258,'WBS Summary by Year'!$B$244),'Pre- and Production'!AQ$4:AQ$532)</f>
        <v>0</v>
      </c>
      <c r="N258" s="298">
        <f>SUMIF('Pre- and Production'!$T$4:$T$532, CONCATENATE(LEFT('WBS Summary by Year'!N$6,1),'WBS Summary by Year'!$C258,'WBS Summary by Year'!$B$244),'Pre- and Production'!AH$4:AH$532)</f>
        <v>0</v>
      </c>
      <c r="O258" s="299">
        <f>SUMIF('Pre- and Production'!$T$4:$T$532, CONCATENATE(LEFT('WBS Summary by Year'!O$6,1),'WBS Summary by Year'!$C258,'WBS Summary by Year'!$B$244),'Pre- and Production'!AR$4:AR$532)</f>
        <v>0</v>
      </c>
    </row>
    <row r="259" spans="3:15" s="302" customFormat="1">
      <c r="C259" s="9" t="s">
        <v>218</v>
      </c>
      <c r="D259" s="26">
        <f>SUMIF('Pre- and Production'!$T$4:$T$532, CONCATENATE(LEFT('WBS Summary by Year'!D$6,1),'WBS Summary by Year'!$C259,'WBS Summary by Year'!$B$244),'Pre- and Production'!AC$4:AC$532)</f>
        <v>0</v>
      </c>
      <c r="E259" s="286">
        <f>SUMIF('Pre- and Production'!$T$4:$T$532, CONCATENATE(LEFT('WBS Summary by Year'!E$6,1),'WBS Summary by Year'!$C259,'WBS Summary by Year'!$B$244),'Pre- and Production'!AM$4:AM$532)</f>
        <v>0</v>
      </c>
      <c r="F259" s="26">
        <f>SUMIF('Pre- and Production'!$T$4:$T$532, CONCATENATE(LEFT('WBS Summary by Year'!F$6,1),'WBS Summary by Year'!$C259,'WBS Summary by Year'!$B$244),'Pre- and Production'!AD$4:AD$532)</f>
        <v>0</v>
      </c>
      <c r="G259" s="279">
        <f>SUMIF('Pre- and Production'!$T$4:$T$532, CONCATENATE(LEFT('WBS Summary by Year'!G$6,1),'WBS Summary by Year'!$C259,'WBS Summary by Year'!$B$244),'Pre- and Production'!AN$4:AN$532)</f>
        <v>0</v>
      </c>
      <c r="H259" s="290">
        <f>SUMIF('Pre- and Production'!$T$4:$T$532, CONCATENATE(LEFT('WBS Summary by Year'!H$6,1),'WBS Summary by Year'!$C259,'WBS Summary by Year'!$B$244),'Pre- and Production'!AE$4:AE$532)</f>
        <v>0</v>
      </c>
      <c r="I259" s="286">
        <f>SUMIF('Pre- and Production'!$T$4:$T$532, CONCATENATE(LEFT('WBS Summary by Year'!I$6,1),'WBS Summary by Year'!$C259,'WBS Summary by Year'!$B$244),'Pre- and Production'!AO$4:AO$532)</f>
        <v>0</v>
      </c>
      <c r="J259" s="26">
        <f>SUMIF('Pre- and Production'!$T$4:$T$532, CONCATENATE(LEFT('WBS Summary by Year'!J$6,1),'WBS Summary by Year'!$C259,'WBS Summary by Year'!$B$244),'Pre- and Production'!AF$4:AFI$532)</f>
        <v>120</v>
      </c>
      <c r="K259" s="279">
        <f>SUMIF('Pre- and Production'!$T$4:$T$532, CONCATENATE(LEFT('WBS Summary by Year'!K$6,1),'WBS Summary by Year'!$C259,'WBS Summary by Year'!$B$244),'Pre- and Production'!AP$4:AP$532)</f>
        <v>0</v>
      </c>
      <c r="L259" s="290">
        <f>SUMIF('Pre- and Production'!$T$4:$T$532, CONCATENATE(LEFT('WBS Summary by Year'!L$6,1),'WBS Summary by Year'!$C259,'WBS Summary by Year'!$B$244),'Pre- and Production'!AG$4:AG$532)</f>
        <v>0</v>
      </c>
      <c r="M259" s="286">
        <f>SUMIF('Pre- and Production'!$T$4:$T$532, CONCATENATE(LEFT('WBS Summary by Year'!M$6,1),'WBS Summary by Year'!$C259,'WBS Summary by Year'!$B$244),'Pre- and Production'!AQ$4:AQ$532)</f>
        <v>0</v>
      </c>
      <c r="N259" s="298">
        <f>SUMIF('Pre- and Production'!$T$4:$T$532, CONCATENATE(LEFT('WBS Summary by Year'!N$6,1),'WBS Summary by Year'!$C259,'WBS Summary by Year'!$B$244),'Pre- and Production'!AH$4:AH$532)</f>
        <v>0</v>
      </c>
      <c r="O259" s="299">
        <f>SUMIF('Pre- and Production'!$T$4:$T$532, CONCATENATE(LEFT('WBS Summary by Year'!O$6,1),'WBS Summary by Year'!$C259,'WBS Summary by Year'!$B$244),'Pre- and Production'!AR$4:AR$532)</f>
        <v>0</v>
      </c>
    </row>
    <row r="260" spans="3:15" s="302" customFormat="1">
      <c r="C260" s="9" t="s">
        <v>219</v>
      </c>
      <c r="D260" s="26">
        <f>SUMIF('Pre- and Production'!$T$4:$T$532, CONCATENATE(LEFT('WBS Summary by Year'!D$6,1),'WBS Summary by Year'!$C260,'WBS Summary by Year'!$B$244),'Pre- and Production'!AC$4:AC$532)</f>
        <v>0</v>
      </c>
      <c r="E260" s="286">
        <f>SUMIF('Pre- and Production'!$T$4:$T$532, CONCATENATE(LEFT('WBS Summary by Year'!E$6,1),'WBS Summary by Year'!$C260,'WBS Summary by Year'!$B$244),'Pre- and Production'!AM$4:AM$532)</f>
        <v>0</v>
      </c>
      <c r="F260" s="26">
        <f>SUMIF('Pre- and Production'!$T$4:$T$532, CONCATENATE(LEFT('WBS Summary by Year'!F$6,1),'WBS Summary by Year'!$C260,'WBS Summary by Year'!$B$244),'Pre- and Production'!AD$4:AD$532)</f>
        <v>0</v>
      </c>
      <c r="G260" s="279">
        <f>SUMIF('Pre- and Production'!$T$4:$T$532, CONCATENATE(LEFT('WBS Summary by Year'!G$6,1),'WBS Summary by Year'!$C260,'WBS Summary by Year'!$B$244),'Pre- and Production'!AN$4:AN$532)</f>
        <v>0</v>
      </c>
      <c r="H260" s="290">
        <f>SUMIF('Pre- and Production'!$T$4:$T$532, CONCATENATE(LEFT('WBS Summary by Year'!H$6,1),'WBS Summary by Year'!$C260,'WBS Summary by Year'!$B$244),'Pre- and Production'!AE$4:AE$532)</f>
        <v>0</v>
      </c>
      <c r="I260" s="286">
        <f>SUMIF('Pre- and Production'!$T$4:$T$532, CONCATENATE(LEFT('WBS Summary by Year'!I$6,1),'WBS Summary by Year'!$C260,'WBS Summary by Year'!$B$244),'Pre- and Production'!AO$4:AO$532)</f>
        <v>0</v>
      </c>
      <c r="J260" s="26">
        <f>SUMIF('Pre- and Production'!$T$4:$T$532, CONCATENATE(LEFT('WBS Summary by Year'!J$6,1),'WBS Summary by Year'!$C260,'WBS Summary by Year'!$B$244),'Pre- and Production'!AF$4:AFI$532)</f>
        <v>0</v>
      </c>
      <c r="K260" s="279">
        <f>SUMIF('Pre- and Production'!$T$4:$T$532, CONCATENATE(LEFT('WBS Summary by Year'!K$6,1),'WBS Summary by Year'!$C260,'WBS Summary by Year'!$B$244),'Pre- and Production'!AP$4:AP$532)</f>
        <v>0</v>
      </c>
      <c r="L260" s="290">
        <f>SUMIF('Pre- and Production'!$T$4:$T$532, CONCATENATE(LEFT('WBS Summary by Year'!L$6,1),'WBS Summary by Year'!$C260,'WBS Summary by Year'!$B$244),'Pre- and Production'!AG$4:AG$532)</f>
        <v>0</v>
      </c>
      <c r="M260" s="286">
        <f>SUMIF('Pre- and Production'!$T$4:$T$532, CONCATENATE(LEFT('WBS Summary by Year'!M$6,1),'WBS Summary by Year'!$C260,'WBS Summary by Year'!$B$244),'Pre- and Production'!AQ$4:AQ$532)</f>
        <v>0</v>
      </c>
      <c r="N260" s="298">
        <f>SUMIF('Pre- and Production'!$T$4:$T$532, CONCATENATE(LEFT('WBS Summary by Year'!N$6,1),'WBS Summary by Year'!$C260,'WBS Summary by Year'!$B$244),'Pre- and Production'!AH$4:AH$532)</f>
        <v>0</v>
      </c>
      <c r="O260" s="299">
        <f>SUMIF('Pre- and Production'!$T$4:$T$532, CONCATENATE(LEFT('WBS Summary by Year'!O$6,1),'WBS Summary by Year'!$C260,'WBS Summary by Year'!$B$244),'Pre- and Production'!AR$4:AR$532)</f>
        <v>0</v>
      </c>
    </row>
    <row r="261" spans="3:15" s="302" customFormat="1">
      <c r="C261" s="9" t="s">
        <v>220</v>
      </c>
      <c r="D261" s="26">
        <f>SUMIF('Pre- and Production'!$T$4:$T$532, CONCATENATE(LEFT('WBS Summary by Year'!D$6,1),'WBS Summary by Year'!$C261,'WBS Summary by Year'!$B$244),'Pre- and Production'!AC$4:AC$532)</f>
        <v>0</v>
      </c>
      <c r="E261" s="286">
        <f>SUMIF('Pre- and Production'!$T$4:$T$532, CONCATENATE(LEFT('WBS Summary by Year'!E$6,1),'WBS Summary by Year'!$C261,'WBS Summary by Year'!$B$244),'Pre- and Production'!AM$4:AM$532)</f>
        <v>0</v>
      </c>
      <c r="F261" s="26">
        <f>SUMIF('Pre- and Production'!$T$4:$T$532, CONCATENATE(LEFT('WBS Summary by Year'!F$6,1),'WBS Summary by Year'!$C261,'WBS Summary by Year'!$B$244),'Pre- and Production'!AD$4:AD$532)</f>
        <v>0</v>
      </c>
      <c r="G261" s="279">
        <f>SUMIF('Pre- and Production'!$T$4:$T$532, CONCATENATE(LEFT('WBS Summary by Year'!G$6,1),'WBS Summary by Year'!$C261,'WBS Summary by Year'!$B$244),'Pre- and Production'!AN$4:AN$532)</f>
        <v>0</v>
      </c>
      <c r="H261" s="290">
        <f>SUMIF('Pre- and Production'!$T$4:$T$532, CONCATENATE(LEFT('WBS Summary by Year'!H$6,1),'WBS Summary by Year'!$C261,'WBS Summary by Year'!$B$244),'Pre- and Production'!AE$4:AE$532)</f>
        <v>0</v>
      </c>
      <c r="I261" s="286">
        <f>SUMIF('Pre- and Production'!$T$4:$T$532, CONCATENATE(LEFT('WBS Summary by Year'!I$6,1),'WBS Summary by Year'!$C261,'WBS Summary by Year'!$B$244),'Pre- and Production'!AO$4:AO$532)</f>
        <v>0</v>
      </c>
      <c r="J261" s="26">
        <f>SUMIF('Pre- and Production'!$T$4:$T$532, CONCATENATE(LEFT('WBS Summary by Year'!J$6,1),'WBS Summary by Year'!$C261,'WBS Summary by Year'!$B$244),'Pre- and Production'!AF$4:AFI$532)</f>
        <v>32</v>
      </c>
      <c r="K261" s="279">
        <f>SUMIF('Pre- and Production'!$T$4:$T$532, CONCATENATE(LEFT('WBS Summary by Year'!K$6,1),'WBS Summary by Year'!$C261,'WBS Summary by Year'!$B$244),'Pre- and Production'!AP$4:AP$532)</f>
        <v>0</v>
      </c>
      <c r="L261" s="290">
        <f>SUMIF('Pre- and Production'!$T$4:$T$532, CONCATENATE(LEFT('WBS Summary by Year'!L$6,1),'WBS Summary by Year'!$C261,'WBS Summary by Year'!$B$244),'Pre- and Production'!AG$4:AG$532)</f>
        <v>0</v>
      </c>
      <c r="M261" s="286">
        <f>SUMIF('Pre- and Production'!$T$4:$T$532, CONCATENATE(LEFT('WBS Summary by Year'!M$6,1),'WBS Summary by Year'!$C261,'WBS Summary by Year'!$B$244),'Pre- and Production'!AQ$4:AQ$532)</f>
        <v>0</v>
      </c>
      <c r="N261" s="298">
        <f>SUMIF('Pre- and Production'!$T$4:$T$532, CONCATENATE(LEFT('WBS Summary by Year'!N$6,1),'WBS Summary by Year'!$C261,'WBS Summary by Year'!$B$244),'Pre- and Production'!AH$4:AH$532)</f>
        <v>0</v>
      </c>
      <c r="O261" s="299">
        <f>SUMIF('Pre- and Production'!$T$4:$T$532, CONCATENATE(LEFT('WBS Summary by Year'!O$6,1),'WBS Summary by Year'!$C261,'WBS Summary by Year'!$B$244),'Pre- and Production'!AR$4:AR$532)</f>
        <v>0</v>
      </c>
    </row>
    <row r="262" spans="3:15" s="302" customFormat="1">
      <c r="C262" s="9" t="s">
        <v>221</v>
      </c>
      <c r="D262" s="26">
        <f>SUMIF('Pre- and Production'!$T$4:$T$532, CONCATENATE(LEFT('WBS Summary by Year'!D$6,1),'WBS Summary by Year'!$C262,'WBS Summary by Year'!$B$244),'Pre- and Production'!AC$4:AC$532)</f>
        <v>0</v>
      </c>
      <c r="E262" s="286">
        <f>SUMIF('Pre- and Production'!$T$4:$T$532, CONCATENATE(LEFT('WBS Summary by Year'!E$6,1),'WBS Summary by Year'!$C262,'WBS Summary by Year'!$B$244),'Pre- and Production'!AM$4:AM$532)</f>
        <v>0</v>
      </c>
      <c r="F262" s="26">
        <f>SUMIF('Pre- and Production'!$T$4:$T$532, CONCATENATE(LEFT('WBS Summary by Year'!F$6,1),'WBS Summary by Year'!$C262,'WBS Summary by Year'!$B$244),'Pre- and Production'!AD$4:AD$532)</f>
        <v>0</v>
      </c>
      <c r="G262" s="279">
        <f>SUMIF('Pre- and Production'!$T$4:$T$532, CONCATENATE(LEFT('WBS Summary by Year'!G$6,1),'WBS Summary by Year'!$C262,'WBS Summary by Year'!$B$244),'Pre- and Production'!AN$4:AN$532)</f>
        <v>0</v>
      </c>
      <c r="H262" s="290">
        <f>SUMIF('Pre- and Production'!$T$4:$T$532, CONCATENATE(LEFT('WBS Summary by Year'!H$6,1),'WBS Summary by Year'!$C262,'WBS Summary by Year'!$B$244),'Pre- and Production'!AE$4:AE$532)</f>
        <v>0</v>
      </c>
      <c r="I262" s="286">
        <f>SUMIF('Pre- and Production'!$T$4:$T$532, CONCATENATE(LEFT('WBS Summary by Year'!I$6,1),'WBS Summary by Year'!$C262,'WBS Summary by Year'!$B$244),'Pre- and Production'!AO$4:AO$532)</f>
        <v>0</v>
      </c>
      <c r="J262" s="26">
        <f>SUMIF('Pre- and Production'!$T$4:$T$532, CONCATENATE(LEFT('WBS Summary by Year'!J$6,1),'WBS Summary by Year'!$C262,'WBS Summary by Year'!$B$244),'Pre- and Production'!AF$4:AFI$532)</f>
        <v>0</v>
      </c>
      <c r="K262" s="279">
        <f>SUMIF('Pre- and Production'!$T$4:$T$532, CONCATENATE(LEFT('WBS Summary by Year'!K$6,1),'WBS Summary by Year'!$C262,'WBS Summary by Year'!$B$244),'Pre- and Production'!AP$4:AP$532)</f>
        <v>32</v>
      </c>
      <c r="L262" s="290">
        <f>SUMIF('Pre- and Production'!$T$4:$T$532, CONCATENATE(LEFT('WBS Summary by Year'!L$6,1),'WBS Summary by Year'!$C262,'WBS Summary by Year'!$B$244),'Pre- and Production'!AG$4:AG$532)</f>
        <v>0</v>
      </c>
      <c r="M262" s="286">
        <f>SUMIF('Pre- and Production'!$T$4:$T$532, CONCATENATE(LEFT('WBS Summary by Year'!M$6,1),'WBS Summary by Year'!$C262,'WBS Summary by Year'!$B$244),'Pre- and Production'!AQ$4:AQ$532)</f>
        <v>0</v>
      </c>
      <c r="N262" s="298">
        <f>SUMIF('Pre- and Production'!$T$4:$T$532, CONCATENATE(LEFT('WBS Summary by Year'!N$6,1),'WBS Summary by Year'!$C262,'WBS Summary by Year'!$B$244),'Pre- and Production'!AH$4:AH$532)</f>
        <v>0</v>
      </c>
      <c r="O262" s="299">
        <f>SUMIF('Pre- and Production'!$T$4:$T$532, CONCATENATE(LEFT('WBS Summary by Year'!O$6,1),'WBS Summary by Year'!$C262,'WBS Summary by Year'!$B$244),'Pre- and Production'!AR$4:AR$532)</f>
        <v>0</v>
      </c>
    </row>
    <row r="263" spans="3:15" s="302" customFormat="1">
      <c r="C263" s="9" t="s">
        <v>222</v>
      </c>
      <c r="D263" s="26">
        <f>SUMIF('Pre- and Production'!$T$4:$T$532, CONCATENATE(LEFT('WBS Summary by Year'!D$6,1),'WBS Summary by Year'!$C263,'WBS Summary by Year'!$B$244),'Pre- and Production'!AC$4:AC$532)</f>
        <v>0</v>
      </c>
      <c r="E263" s="286">
        <f>SUMIF('Pre- and Production'!$T$4:$T$532, CONCATENATE(LEFT('WBS Summary by Year'!E$6,1),'WBS Summary by Year'!$C263,'WBS Summary by Year'!$B$244),'Pre- and Production'!AM$4:AM$532)</f>
        <v>0</v>
      </c>
      <c r="F263" s="26">
        <f>SUMIF('Pre- and Production'!$T$4:$T$532, CONCATENATE(LEFT('WBS Summary by Year'!F$6,1),'WBS Summary by Year'!$C263,'WBS Summary by Year'!$B$244),'Pre- and Production'!AD$4:AD$532)</f>
        <v>40</v>
      </c>
      <c r="G263" s="279">
        <f>SUMIF('Pre- and Production'!$T$4:$T$532, CONCATENATE(LEFT('WBS Summary by Year'!G$6,1),'WBS Summary by Year'!$C263,'WBS Summary by Year'!$B$244),'Pre- and Production'!AN$4:AN$532)</f>
        <v>0</v>
      </c>
      <c r="H263" s="290">
        <f>SUMIF('Pre- and Production'!$T$4:$T$532, CONCATENATE(LEFT('WBS Summary by Year'!H$6,1),'WBS Summary by Year'!$C263,'WBS Summary by Year'!$B$244),'Pre- and Production'!AE$4:AE$532)</f>
        <v>0</v>
      </c>
      <c r="I263" s="286">
        <f>SUMIF('Pre- and Production'!$T$4:$T$532, CONCATENATE(LEFT('WBS Summary by Year'!I$6,1),'WBS Summary by Year'!$C263,'WBS Summary by Year'!$B$244),'Pre- and Production'!AO$4:AO$532)</f>
        <v>0</v>
      </c>
      <c r="J263" s="26">
        <f>SUMIF('Pre- and Production'!$T$4:$T$532, CONCATENATE(LEFT('WBS Summary by Year'!J$6,1),'WBS Summary by Year'!$C263,'WBS Summary by Year'!$B$244),'Pre- and Production'!AF$4:AFI$532)</f>
        <v>80</v>
      </c>
      <c r="K263" s="279">
        <f>SUMIF('Pre- and Production'!$T$4:$T$532, CONCATENATE(LEFT('WBS Summary by Year'!K$6,1),'WBS Summary by Year'!$C263,'WBS Summary by Year'!$B$244),'Pre- and Production'!AP$4:AP$532)</f>
        <v>0</v>
      </c>
      <c r="L263" s="290">
        <f>SUMIF('Pre- and Production'!$T$4:$T$532, CONCATENATE(LEFT('WBS Summary by Year'!L$6,1),'WBS Summary by Year'!$C263,'WBS Summary by Year'!$B$244),'Pre- and Production'!AG$4:AG$532)</f>
        <v>0</v>
      </c>
      <c r="M263" s="286">
        <f>SUMIF('Pre- and Production'!$T$4:$T$532, CONCATENATE(LEFT('WBS Summary by Year'!M$6,1),'WBS Summary by Year'!$C263,'WBS Summary by Year'!$B$244),'Pre- and Production'!AQ$4:AQ$532)</f>
        <v>0</v>
      </c>
      <c r="N263" s="298">
        <f>SUMIF('Pre- and Production'!$T$4:$T$532, CONCATENATE(LEFT('WBS Summary by Year'!N$6,1),'WBS Summary by Year'!$C263,'WBS Summary by Year'!$B$244),'Pre- and Production'!AH$4:AH$532)</f>
        <v>0</v>
      </c>
      <c r="O263" s="299">
        <f>SUMIF('Pre- and Production'!$T$4:$T$532, CONCATENATE(LEFT('WBS Summary by Year'!O$6,1),'WBS Summary by Year'!$C263,'WBS Summary by Year'!$B$244),'Pre- and Production'!AR$4:AR$532)</f>
        <v>0</v>
      </c>
    </row>
    <row r="264" spans="3:15" s="302" customFormat="1">
      <c r="C264" s="9" t="s">
        <v>223</v>
      </c>
      <c r="D264" s="26">
        <f>SUMIF('Pre- and Production'!$T$4:$T$532, CONCATENATE(LEFT('WBS Summary by Year'!D$6,1),'WBS Summary by Year'!$C264,'WBS Summary by Year'!$B$244),'Pre- and Production'!AC$4:AC$532)</f>
        <v>0</v>
      </c>
      <c r="E264" s="286">
        <f>SUMIF('Pre- and Production'!$T$4:$T$532, CONCATENATE(LEFT('WBS Summary by Year'!E$6,1),'WBS Summary by Year'!$C264,'WBS Summary by Year'!$B$244),'Pre- and Production'!AM$4:AM$532)</f>
        <v>0</v>
      </c>
      <c r="F264" s="26">
        <f>SUMIF('Pre- and Production'!$T$4:$T$532, CONCATENATE(LEFT('WBS Summary by Year'!F$6,1),'WBS Summary by Year'!$C264,'WBS Summary by Year'!$B$244),'Pre- and Production'!AD$4:AD$532)</f>
        <v>40</v>
      </c>
      <c r="G264" s="279">
        <f>SUMIF('Pre- and Production'!$T$4:$T$532, CONCATENATE(LEFT('WBS Summary by Year'!G$6,1),'WBS Summary by Year'!$C264,'WBS Summary by Year'!$B$244),'Pre- and Production'!AN$4:AN$532)</f>
        <v>0</v>
      </c>
      <c r="H264" s="290">
        <f>SUMIF('Pre- and Production'!$T$4:$T$532, CONCATENATE(LEFT('WBS Summary by Year'!H$6,1),'WBS Summary by Year'!$C264,'WBS Summary by Year'!$B$244),'Pre- and Production'!AE$4:AE$532)</f>
        <v>0</v>
      </c>
      <c r="I264" s="286">
        <f>SUMIF('Pre- and Production'!$T$4:$T$532, CONCATENATE(LEFT('WBS Summary by Year'!I$6,1),'WBS Summary by Year'!$C264,'WBS Summary by Year'!$B$244),'Pre- and Production'!AO$4:AO$532)</f>
        <v>0</v>
      </c>
      <c r="J264" s="26">
        <f>SUMIF('Pre- and Production'!$T$4:$T$532, CONCATENATE(LEFT('WBS Summary by Year'!J$6,1),'WBS Summary by Year'!$C264,'WBS Summary by Year'!$B$244),'Pre- and Production'!AF$4:AFI$532)</f>
        <v>16</v>
      </c>
      <c r="K264" s="279">
        <f>SUMIF('Pre- and Production'!$T$4:$T$532, CONCATENATE(LEFT('WBS Summary by Year'!K$6,1),'WBS Summary by Year'!$C264,'WBS Summary by Year'!$B$244),'Pre- and Production'!AP$4:AP$532)</f>
        <v>0</v>
      </c>
      <c r="L264" s="290">
        <f>SUMIF('Pre- and Production'!$T$4:$T$532, CONCATENATE(LEFT('WBS Summary by Year'!L$6,1),'WBS Summary by Year'!$C264,'WBS Summary by Year'!$B$244),'Pre- and Production'!AG$4:AG$532)</f>
        <v>0</v>
      </c>
      <c r="M264" s="286">
        <f>SUMIF('Pre- and Production'!$T$4:$T$532, CONCATENATE(LEFT('WBS Summary by Year'!M$6,1),'WBS Summary by Year'!$C264,'WBS Summary by Year'!$B$244),'Pre- and Production'!AQ$4:AQ$532)</f>
        <v>0</v>
      </c>
      <c r="N264" s="298">
        <f>SUMIF('Pre- and Production'!$T$4:$T$532, CONCATENATE(LEFT('WBS Summary by Year'!N$6,1),'WBS Summary by Year'!$C264,'WBS Summary by Year'!$B$244),'Pre- and Production'!AH$4:AH$532)</f>
        <v>0</v>
      </c>
      <c r="O264" s="299">
        <f>SUMIF('Pre- and Production'!$T$4:$T$532, CONCATENATE(LEFT('WBS Summary by Year'!O$6,1),'WBS Summary by Year'!$C264,'WBS Summary by Year'!$B$244),'Pre- and Production'!AR$4:AR$532)</f>
        <v>0</v>
      </c>
    </row>
    <row r="265" spans="3:15" s="302" customFormat="1">
      <c r="C265" s="9" t="s">
        <v>224</v>
      </c>
      <c r="D265" s="26">
        <f>SUMIF('Pre- and Production'!$T$4:$T$532, CONCATENATE(LEFT('WBS Summary by Year'!D$6,1),'WBS Summary by Year'!$C265,'WBS Summary by Year'!$B$244),'Pre- and Production'!AC$4:AC$532)</f>
        <v>0</v>
      </c>
      <c r="E265" s="286">
        <f>SUMIF('Pre- and Production'!$T$4:$T$532, CONCATENATE(LEFT('WBS Summary by Year'!E$6,1),'WBS Summary by Year'!$C265,'WBS Summary by Year'!$B$244),'Pre- and Production'!AM$4:AM$532)</f>
        <v>0</v>
      </c>
      <c r="F265" s="26">
        <f>SUMIF('Pre- and Production'!$T$4:$T$532, CONCATENATE(LEFT('WBS Summary by Year'!F$6,1),'WBS Summary by Year'!$C265,'WBS Summary by Year'!$B$244),'Pre- and Production'!AD$4:AD$532)</f>
        <v>0</v>
      </c>
      <c r="G265" s="279">
        <f>SUMIF('Pre- and Production'!$T$4:$T$532, CONCATENATE(LEFT('WBS Summary by Year'!G$6,1),'WBS Summary by Year'!$C265,'WBS Summary by Year'!$B$244),'Pre- and Production'!AN$4:AN$532)</f>
        <v>0</v>
      </c>
      <c r="H265" s="290">
        <f>SUMIF('Pre- and Production'!$T$4:$T$532, CONCATENATE(LEFT('WBS Summary by Year'!H$6,1),'WBS Summary by Year'!$C265,'WBS Summary by Year'!$B$244),'Pre- and Production'!AE$4:AE$532)</f>
        <v>0</v>
      </c>
      <c r="I265" s="286">
        <f>SUMIF('Pre- and Production'!$T$4:$T$532, CONCATENATE(LEFT('WBS Summary by Year'!I$6,1),'WBS Summary by Year'!$C265,'WBS Summary by Year'!$B$244),'Pre- and Production'!AO$4:AO$532)</f>
        <v>0</v>
      </c>
      <c r="J265" s="26">
        <f>SUMIF('Pre- and Production'!$T$4:$T$532, CONCATENATE(LEFT('WBS Summary by Year'!J$6,1),'WBS Summary by Year'!$C265,'WBS Summary by Year'!$B$244),'Pre- and Production'!AF$4:AFI$532)</f>
        <v>0</v>
      </c>
      <c r="K265" s="279">
        <f>SUMIF('Pre- and Production'!$T$4:$T$532, CONCATENATE(LEFT('WBS Summary by Year'!K$6,1),'WBS Summary by Year'!$C265,'WBS Summary by Year'!$B$244),'Pre- and Production'!AP$4:AP$532)</f>
        <v>0</v>
      </c>
      <c r="L265" s="290">
        <f>SUMIF('Pre- and Production'!$T$4:$T$532, CONCATENATE(LEFT('WBS Summary by Year'!L$6,1),'WBS Summary by Year'!$C265,'WBS Summary by Year'!$B$244),'Pre- and Production'!AG$4:AG$532)</f>
        <v>0</v>
      </c>
      <c r="M265" s="286">
        <f>SUMIF('Pre- and Production'!$T$4:$T$532, CONCATENATE(LEFT('WBS Summary by Year'!M$6,1),'WBS Summary by Year'!$C265,'WBS Summary by Year'!$B$244),'Pre- and Production'!AQ$4:AQ$532)</f>
        <v>0</v>
      </c>
      <c r="N265" s="298">
        <f>SUMIF('Pre- and Production'!$T$4:$T$532, CONCATENATE(LEFT('WBS Summary by Year'!N$6,1),'WBS Summary by Year'!$C265,'WBS Summary by Year'!$B$244),'Pre- and Production'!AH$4:AH$532)</f>
        <v>0</v>
      </c>
      <c r="O265" s="299">
        <f>SUMIF('Pre- and Production'!$T$4:$T$532, CONCATENATE(LEFT('WBS Summary by Year'!O$6,1),'WBS Summary by Year'!$C265,'WBS Summary by Year'!$B$244),'Pre- and Production'!AR$4:AR$532)</f>
        <v>0</v>
      </c>
    </row>
    <row r="266" spans="3:15" s="302" customFormat="1">
      <c r="C266" s="9" t="s">
        <v>225</v>
      </c>
      <c r="D266" s="26">
        <f>SUMIF('Pre- and Production'!$T$4:$T$532, CONCATENATE(LEFT('WBS Summary by Year'!D$6,1),'WBS Summary by Year'!$C266,'WBS Summary by Year'!$B$244),'Pre- and Production'!AC$4:AC$532)</f>
        <v>0</v>
      </c>
      <c r="E266" s="286">
        <f>SUMIF('Pre- and Production'!$T$4:$T$532, CONCATENATE(LEFT('WBS Summary by Year'!E$6,1),'WBS Summary by Year'!$C266,'WBS Summary by Year'!$B$244),'Pre- and Production'!AM$4:AM$532)</f>
        <v>0</v>
      </c>
      <c r="F266" s="26">
        <f>SUMIF('Pre- and Production'!$T$4:$T$532, CONCATENATE(LEFT('WBS Summary by Year'!F$6,1),'WBS Summary by Year'!$C266,'WBS Summary by Year'!$B$244),'Pre- and Production'!AD$4:AD$532)</f>
        <v>0</v>
      </c>
      <c r="G266" s="279">
        <f>SUMIF('Pre- and Production'!$T$4:$T$532, CONCATENATE(LEFT('WBS Summary by Year'!G$6,1),'WBS Summary by Year'!$C266,'WBS Summary by Year'!$B$244),'Pre- and Production'!AN$4:AN$532)</f>
        <v>0</v>
      </c>
      <c r="H266" s="290">
        <f>SUMIF('Pre- and Production'!$T$4:$T$532, CONCATENATE(LEFT('WBS Summary by Year'!H$6,1),'WBS Summary by Year'!$C266,'WBS Summary by Year'!$B$244),'Pre- and Production'!AE$4:AE$532)</f>
        <v>0</v>
      </c>
      <c r="I266" s="286">
        <f>SUMIF('Pre- and Production'!$T$4:$T$532, CONCATENATE(LEFT('WBS Summary by Year'!I$6,1),'WBS Summary by Year'!$C266,'WBS Summary by Year'!$B$244),'Pre- and Production'!AO$4:AO$532)</f>
        <v>0</v>
      </c>
      <c r="J266" s="26">
        <f>SUMIF('Pre- and Production'!$T$4:$T$532, CONCATENATE(LEFT('WBS Summary by Year'!J$6,1),'WBS Summary by Year'!$C266,'WBS Summary by Year'!$B$244),'Pre- and Production'!AF$4:AFI$532)</f>
        <v>0</v>
      </c>
      <c r="K266" s="279">
        <f>SUMIF('Pre- and Production'!$T$4:$T$532, CONCATENATE(LEFT('WBS Summary by Year'!K$6,1),'WBS Summary by Year'!$C266,'WBS Summary by Year'!$B$244),'Pre- and Production'!AP$4:AP$532)</f>
        <v>0</v>
      </c>
      <c r="L266" s="290">
        <f>SUMIF('Pre- and Production'!$T$4:$T$532, CONCATENATE(LEFT('WBS Summary by Year'!L$6,1),'WBS Summary by Year'!$C266,'WBS Summary by Year'!$B$244),'Pre- and Production'!AG$4:AG$532)</f>
        <v>0</v>
      </c>
      <c r="M266" s="286">
        <f>SUMIF('Pre- and Production'!$T$4:$T$532, CONCATENATE(LEFT('WBS Summary by Year'!M$6,1),'WBS Summary by Year'!$C266,'WBS Summary by Year'!$B$244),'Pre- and Production'!AQ$4:AQ$532)</f>
        <v>0</v>
      </c>
      <c r="N266" s="298">
        <f>SUMIF('Pre- and Production'!$T$4:$T$532, CONCATENATE(LEFT('WBS Summary by Year'!N$6,1),'WBS Summary by Year'!$C266,'WBS Summary by Year'!$B$244),'Pre- and Production'!AH$4:AH$532)</f>
        <v>0</v>
      </c>
      <c r="O266" s="299">
        <f>SUMIF('Pre- and Production'!$T$4:$T$532, CONCATENATE(LEFT('WBS Summary by Year'!O$6,1),'WBS Summary by Year'!$C266,'WBS Summary by Year'!$B$244),'Pre- and Production'!AR$4:AR$532)</f>
        <v>0</v>
      </c>
    </row>
    <row r="267" spans="3:15">
      <c r="C267" s="9" t="s">
        <v>226</v>
      </c>
      <c r="D267" s="26">
        <f>SUMIF('Pre- and Production'!$T$4:$T$532, CONCATENATE(LEFT('WBS Summary by Year'!D$6,1),'WBS Summary by Year'!$C267,'WBS Summary by Year'!$B$244),'Pre- and Production'!AC$4:AC$532)</f>
        <v>0</v>
      </c>
      <c r="E267" s="286">
        <f>SUMIF('Pre- and Production'!$T$4:$T$532, CONCATENATE(LEFT('WBS Summary by Year'!E$6,1),'WBS Summary by Year'!$C267,'WBS Summary by Year'!$B$244),'Pre- and Production'!AM$4:AM$532)</f>
        <v>0</v>
      </c>
      <c r="F267" s="26">
        <f>SUMIF('Pre- and Production'!$T$4:$T$532, CONCATENATE(LEFT('WBS Summary by Year'!F$6,1),'WBS Summary by Year'!$C267,'WBS Summary by Year'!$B$244),'Pre- and Production'!AD$4:AD$532)</f>
        <v>0</v>
      </c>
      <c r="G267" s="279">
        <f>SUMIF('Pre- and Production'!$T$4:$T$532, CONCATENATE(LEFT('WBS Summary by Year'!G$6,1),'WBS Summary by Year'!$C267,'WBS Summary by Year'!$B$244),'Pre- and Production'!AN$4:AN$532)</f>
        <v>0</v>
      </c>
      <c r="H267" s="290">
        <f>SUMIF('Pre- and Production'!$T$4:$T$532, CONCATENATE(LEFT('WBS Summary by Year'!H$6,1),'WBS Summary by Year'!$C267,'WBS Summary by Year'!$B$244),'Pre- and Production'!AE$4:AE$532)</f>
        <v>0</v>
      </c>
      <c r="I267" s="286">
        <f>SUMIF('Pre- and Production'!$T$4:$T$532, CONCATENATE(LEFT('WBS Summary by Year'!I$6,1),'WBS Summary by Year'!$C267,'WBS Summary by Year'!$B$244),'Pre- and Production'!AO$4:AO$532)</f>
        <v>0</v>
      </c>
      <c r="J267" s="26">
        <f>SUMIF('Pre- and Production'!$T$4:$T$532, CONCATENATE(LEFT('WBS Summary by Year'!J$6,1),'WBS Summary by Year'!$C267,'WBS Summary by Year'!$B$244),'Pre- and Production'!AF$4:AFI$532)</f>
        <v>0</v>
      </c>
      <c r="K267" s="279">
        <f>SUMIF('Pre- and Production'!$T$4:$T$532, CONCATENATE(LEFT('WBS Summary by Year'!K$6,1),'WBS Summary by Year'!$C267,'WBS Summary by Year'!$B$244),'Pre- and Production'!AP$4:AP$532)</f>
        <v>0</v>
      </c>
      <c r="L267" s="290">
        <f>SUMIF('Pre- and Production'!$T$4:$T$532, CONCATENATE(LEFT('WBS Summary by Year'!L$6,1),'WBS Summary by Year'!$C267,'WBS Summary by Year'!$B$244),'Pre- and Production'!AG$4:AG$532)</f>
        <v>0</v>
      </c>
      <c r="M267" s="286">
        <f>SUMIF('Pre- and Production'!$T$4:$T$532, CONCATENATE(LEFT('WBS Summary by Year'!M$6,1),'WBS Summary by Year'!$C267,'WBS Summary by Year'!$B$244),'Pre- and Production'!AQ$4:AQ$532)</f>
        <v>0</v>
      </c>
      <c r="N267" s="298">
        <f>SUMIF('Pre- and Production'!$T$4:$T$532, CONCATENATE(LEFT('WBS Summary by Year'!N$6,1),'WBS Summary by Year'!$C267,'WBS Summary by Year'!$B$244),'Pre- and Production'!AH$4:AH$532)</f>
        <v>0</v>
      </c>
      <c r="O267" s="299">
        <f>SUMIF('Pre- and Production'!$T$4:$T$532, CONCATENATE(LEFT('WBS Summary by Year'!O$6,1),'WBS Summary by Year'!$C267,'WBS Summary by Year'!$B$244),'Pre- and Production'!AR$4:AR$532)</f>
        <v>0</v>
      </c>
    </row>
    <row r="268" spans="3:15">
      <c r="C268" s="9" t="s">
        <v>227</v>
      </c>
      <c r="D268" s="26">
        <f>SUMIF('Pre- and Production'!$T$4:$T$532, CONCATENATE(LEFT('WBS Summary by Year'!D$6,1),'WBS Summary by Year'!$C268,'WBS Summary by Year'!$B$244),'Pre- and Production'!AC$4:AC$532)</f>
        <v>0</v>
      </c>
      <c r="E268" s="286">
        <f>SUMIF('Pre- and Production'!$T$4:$T$532, CONCATENATE(LEFT('WBS Summary by Year'!E$6,1),'WBS Summary by Year'!$C268,'WBS Summary by Year'!$B$244),'Pre- and Production'!AM$4:AM$532)</f>
        <v>0</v>
      </c>
      <c r="F268" s="26">
        <f>SUMIF('Pre- and Production'!$T$4:$T$532, CONCATENATE(LEFT('WBS Summary by Year'!F$6,1),'WBS Summary by Year'!$C268,'WBS Summary by Year'!$B$244),'Pre- and Production'!AD$4:AD$532)</f>
        <v>0</v>
      </c>
      <c r="G268" s="279">
        <f>SUMIF('Pre- and Production'!$T$4:$T$532, CONCATENATE(LEFT('WBS Summary by Year'!G$6,1),'WBS Summary by Year'!$C268,'WBS Summary by Year'!$B$244),'Pre- and Production'!AN$4:AN$532)</f>
        <v>0</v>
      </c>
      <c r="H268" s="290">
        <f>SUMIF('Pre- and Production'!$T$4:$T$532, CONCATENATE(LEFT('WBS Summary by Year'!H$6,1),'WBS Summary by Year'!$C268,'WBS Summary by Year'!$B$244),'Pre- and Production'!AE$4:AE$532)</f>
        <v>0</v>
      </c>
      <c r="I268" s="286">
        <f>SUMIF('Pre- and Production'!$T$4:$T$532, CONCATENATE(LEFT('WBS Summary by Year'!I$6,1),'WBS Summary by Year'!$C268,'WBS Summary by Year'!$B$244),'Pre- and Production'!AO$4:AO$532)</f>
        <v>0</v>
      </c>
      <c r="J268" s="26">
        <f>SUMIF('Pre- and Production'!$T$4:$T$532, CONCATENATE(LEFT('WBS Summary by Year'!J$6,1),'WBS Summary by Year'!$C268,'WBS Summary by Year'!$B$244),'Pre- and Production'!AF$4:AFI$532)</f>
        <v>0</v>
      </c>
      <c r="K268" s="279">
        <f>SUMIF('Pre- and Production'!$T$4:$T$532, CONCATENATE(LEFT('WBS Summary by Year'!K$6,1),'WBS Summary by Year'!$C268,'WBS Summary by Year'!$B$244),'Pre- and Production'!AP$4:AP$532)</f>
        <v>0</v>
      </c>
      <c r="L268" s="290">
        <f>SUMIF('Pre- and Production'!$T$4:$T$532, CONCATENATE(LEFT('WBS Summary by Year'!L$6,1),'WBS Summary by Year'!$C268,'WBS Summary by Year'!$B$244),'Pre- and Production'!AG$4:AG$532)</f>
        <v>0</v>
      </c>
      <c r="M268" s="286">
        <f>SUMIF('Pre- and Production'!$T$4:$T$532, CONCATENATE(LEFT('WBS Summary by Year'!M$6,1),'WBS Summary by Year'!$C268,'WBS Summary by Year'!$B$244),'Pre- and Production'!AQ$4:AQ$532)</f>
        <v>0</v>
      </c>
      <c r="N268" s="298">
        <f>SUMIF('Pre- and Production'!$T$4:$T$532, CONCATENATE(LEFT('WBS Summary by Year'!N$6,1),'WBS Summary by Year'!$C268,'WBS Summary by Year'!$B$244),'Pre- and Production'!AH$4:AH$532)</f>
        <v>0</v>
      </c>
      <c r="O268" s="299">
        <f>SUMIF('Pre- and Production'!$T$4:$T$532, CONCATENATE(LEFT('WBS Summary by Year'!O$6,1),'WBS Summary by Year'!$C268,'WBS Summary by Year'!$B$244),'Pre- and Production'!AR$4:AR$532)</f>
        <v>0</v>
      </c>
    </row>
    <row r="269" spans="3:15">
      <c r="C269" s="9" t="s">
        <v>228</v>
      </c>
      <c r="D269" s="26">
        <f>SUMIF('Pre- and Production'!$T$4:$T$532, CONCATENATE(LEFT('WBS Summary by Year'!D$6,1),'WBS Summary by Year'!$C269,'WBS Summary by Year'!$B$244),'Pre- and Production'!AC$4:AC$532)</f>
        <v>0</v>
      </c>
      <c r="E269" s="286">
        <f>SUMIF('Pre- and Production'!$T$4:$T$532, CONCATENATE(LEFT('WBS Summary by Year'!E$6,1),'WBS Summary by Year'!$C269,'WBS Summary by Year'!$B$244),'Pre- and Production'!AM$4:AM$532)</f>
        <v>0</v>
      </c>
      <c r="F269" s="26">
        <f>SUMIF('Pre- and Production'!$T$4:$T$532, CONCATENATE(LEFT('WBS Summary by Year'!F$6,1),'WBS Summary by Year'!$C269,'WBS Summary by Year'!$B$244),'Pre- and Production'!AD$4:AD$532)</f>
        <v>0</v>
      </c>
      <c r="G269" s="279">
        <f>SUMIF('Pre- and Production'!$T$4:$T$532, CONCATENATE(LEFT('WBS Summary by Year'!G$6,1),'WBS Summary by Year'!$C269,'WBS Summary by Year'!$B$244),'Pre- and Production'!AN$4:AN$532)</f>
        <v>0</v>
      </c>
      <c r="H269" s="290">
        <f>SUMIF('Pre- and Production'!$T$4:$T$532, CONCATENATE(LEFT('WBS Summary by Year'!H$6,1),'WBS Summary by Year'!$C269,'WBS Summary by Year'!$B$244),'Pre- and Production'!AE$4:AE$532)</f>
        <v>0</v>
      </c>
      <c r="I269" s="286">
        <f>SUMIF('Pre- and Production'!$T$4:$T$532, CONCATENATE(LEFT('WBS Summary by Year'!I$6,1),'WBS Summary by Year'!$C269,'WBS Summary by Year'!$B$244),'Pre- and Production'!AO$4:AO$532)</f>
        <v>0</v>
      </c>
      <c r="J269" s="26">
        <f>SUMIF('Pre- and Production'!$T$4:$T$532, CONCATENATE(LEFT('WBS Summary by Year'!J$6,1),'WBS Summary by Year'!$C269,'WBS Summary by Year'!$B$244),'Pre- and Production'!AF$4:AFI$532)</f>
        <v>0</v>
      </c>
      <c r="K269" s="279">
        <f>SUMIF('Pre- and Production'!$T$4:$T$532, CONCATENATE(LEFT('WBS Summary by Year'!K$6,1),'WBS Summary by Year'!$C269,'WBS Summary by Year'!$B$244),'Pre- and Production'!AP$4:AP$532)</f>
        <v>0</v>
      </c>
      <c r="L269" s="290">
        <f>SUMIF('Pre- and Production'!$T$4:$T$532, CONCATENATE(LEFT('WBS Summary by Year'!L$6,1),'WBS Summary by Year'!$C269,'WBS Summary by Year'!$B$244),'Pre- and Production'!AG$4:AG$532)</f>
        <v>0</v>
      </c>
      <c r="M269" s="286">
        <f>SUMIF('Pre- and Production'!$T$4:$T$532, CONCATENATE(LEFT('WBS Summary by Year'!M$6,1),'WBS Summary by Year'!$C269,'WBS Summary by Year'!$B$244),'Pre- and Production'!AQ$4:AQ$532)</f>
        <v>0</v>
      </c>
      <c r="N269" s="298">
        <f>SUMIF('Pre- and Production'!$T$4:$T$532, CONCATENATE(LEFT('WBS Summary by Year'!N$6,1),'WBS Summary by Year'!$C269,'WBS Summary by Year'!$B$244),'Pre- and Production'!AH$4:AH$532)</f>
        <v>0</v>
      </c>
      <c r="O269" s="299">
        <f>SUMIF('Pre- and Production'!$T$4:$T$532, CONCATENATE(LEFT('WBS Summary by Year'!O$6,1),'WBS Summary by Year'!$C269,'WBS Summary by Year'!$B$244),'Pre- and Production'!AR$4:AR$532)</f>
        <v>0</v>
      </c>
    </row>
    <row r="270" spans="3:15">
      <c r="C270" s="9" t="s">
        <v>229</v>
      </c>
      <c r="D270" s="26">
        <f>SUMIF('Pre- and Production'!$T$4:$T$532, CONCATENATE(LEFT('WBS Summary by Year'!D$6,1),'WBS Summary by Year'!$C270,'WBS Summary by Year'!$B$244),'Pre- and Production'!AC$4:AC$532)</f>
        <v>0</v>
      </c>
      <c r="E270" s="286">
        <f>SUMIF('Pre- and Production'!$T$4:$T$532, CONCATENATE(LEFT('WBS Summary by Year'!E$6,1),'WBS Summary by Year'!$C270,'WBS Summary by Year'!$B$244),'Pre- and Production'!AM$4:AM$532)</f>
        <v>0</v>
      </c>
      <c r="F270" s="26">
        <f>SUMIF('Pre- and Production'!$T$4:$T$532, CONCATENATE(LEFT('WBS Summary by Year'!F$6,1),'WBS Summary by Year'!$C270,'WBS Summary by Year'!$B$244),'Pre- and Production'!AD$4:AD$532)</f>
        <v>160</v>
      </c>
      <c r="G270" s="279">
        <f>SUMIF('Pre- and Production'!$T$4:$T$532, CONCATENATE(LEFT('WBS Summary by Year'!G$6,1),'WBS Summary by Year'!$C270,'WBS Summary by Year'!$B$244),'Pre- and Production'!AN$4:AN$532)</f>
        <v>0</v>
      </c>
      <c r="H270" s="290">
        <f>SUMIF('Pre- and Production'!$T$4:$T$532, CONCATENATE(LEFT('WBS Summary by Year'!H$6,1),'WBS Summary by Year'!$C270,'WBS Summary by Year'!$B$244),'Pre- and Production'!AE$4:AE$532)</f>
        <v>0</v>
      </c>
      <c r="I270" s="286">
        <f>SUMIF('Pre- and Production'!$T$4:$T$532, CONCATENATE(LEFT('WBS Summary by Year'!I$6,1),'WBS Summary by Year'!$C270,'WBS Summary by Year'!$B$244),'Pre- and Production'!AO$4:AO$532)</f>
        <v>0</v>
      </c>
      <c r="J270" s="26">
        <f>SUMIF('Pre- and Production'!$T$4:$T$532, CONCATENATE(LEFT('WBS Summary by Year'!J$6,1),'WBS Summary by Year'!$C270,'WBS Summary by Year'!$B$244),'Pre- and Production'!AF$4:AFI$532)</f>
        <v>48</v>
      </c>
      <c r="K270" s="279">
        <f>SUMIF('Pre- and Production'!$T$4:$T$532, CONCATENATE(LEFT('WBS Summary by Year'!K$6,1),'WBS Summary by Year'!$C270,'WBS Summary by Year'!$B$244),'Pre- and Production'!AP$4:AP$532)</f>
        <v>0</v>
      </c>
      <c r="L270" s="290">
        <f>SUMIF('Pre- and Production'!$T$4:$T$532, CONCATENATE(LEFT('WBS Summary by Year'!L$6,1),'WBS Summary by Year'!$C270,'WBS Summary by Year'!$B$244),'Pre- and Production'!AG$4:AG$532)</f>
        <v>0</v>
      </c>
      <c r="M270" s="286">
        <f>SUMIF('Pre- and Production'!$T$4:$T$532, CONCATENATE(LEFT('WBS Summary by Year'!M$6,1),'WBS Summary by Year'!$C270,'WBS Summary by Year'!$B$244),'Pre- and Production'!AQ$4:AQ$532)</f>
        <v>0</v>
      </c>
      <c r="N270" s="298">
        <f>SUMIF('Pre- and Production'!$T$4:$T$532, CONCATENATE(LEFT('WBS Summary by Year'!N$6,1),'WBS Summary by Year'!$C270,'WBS Summary by Year'!$B$244),'Pre- and Production'!AH$4:AH$532)</f>
        <v>0</v>
      </c>
      <c r="O270" s="299">
        <f>SUMIF('Pre- and Production'!$T$4:$T$532, CONCATENATE(LEFT('WBS Summary by Year'!O$6,1),'WBS Summary by Year'!$C270,'WBS Summary by Year'!$B$244),'Pre- and Production'!AR$4:AR$532)</f>
        <v>0</v>
      </c>
    </row>
    <row r="271" spans="3:15">
      <c r="C271" s="9" t="s">
        <v>230</v>
      </c>
      <c r="D271" s="26">
        <f>SUMIF('Pre- and Production'!$T$4:$T$532, CONCATENATE(LEFT('WBS Summary by Year'!D$6,1),'WBS Summary by Year'!$C271,'WBS Summary by Year'!$B$244),'Pre- and Production'!AC$4:AC$532)</f>
        <v>0</v>
      </c>
      <c r="E271" s="286">
        <f>SUMIF('Pre- and Production'!$T$4:$T$532, CONCATENATE(LEFT('WBS Summary by Year'!E$6,1),'WBS Summary by Year'!$C271,'WBS Summary by Year'!$B$244),'Pre- and Production'!AM$4:AM$532)</f>
        <v>0</v>
      </c>
      <c r="F271" s="26">
        <f>SUMIF('Pre- and Production'!$T$4:$T$532, CONCATENATE(LEFT('WBS Summary by Year'!F$6,1),'WBS Summary by Year'!$C271,'WBS Summary by Year'!$B$244),'Pre- and Production'!AD$4:AD$532)</f>
        <v>264</v>
      </c>
      <c r="G271" s="279">
        <f>SUMIF('Pre- and Production'!$T$4:$T$532, CONCATENATE(LEFT('WBS Summary by Year'!G$6,1),'WBS Summary by Year'!$C271,'WBS Summary by Year'!$B$244),'Pre- and Production'!AN$4:AN$532)</f>
        <v>0</v>
      </c>
      <c r="H271" s="290">
        <f>SUMIF('Pre- and Production'!$T$4:$T$532, CONCATENATE(LEFT('WBS Summary by Year'!H$6,1),'WBS Summary by Year'!$C271,'WBS Summary by Year'!$B$244),'Pre- and Production'!AE$4:AE$532)</f>
        <v>0</v>
      </c>
      <c r="I271" s="286">
        <f>SUMIF('Pre- and Production'!$T$4:$T$532, CONCATENATE(LEFT('WBS Summary by Year'!I$6,1),'WBS Summary by Year'!$C271,'WBS Summary by Year'!$B$244),'Pre- and Production'!AO$4:AO$532)</f>
        <v>0</v>
      </c>
      <c r="J271" s="26">
        <f>SUMIF('Pre- and Production'!$T$4:$T$532, CONCATENATE(LEFT('WBS Summary by Year'!J$6,1),'WBS Summary by Year'!$C271,'WBS Summary by Year'!$B$244),'Pre- and Production'!AF$4:AFI$532)</f>
        <v>120</v>
      </c>
      <c r="K271" s="279">
        <f>SUMIF('Pre- and Production'!$T$4:$T$532, CONCATENATE(LEFT('WBS Summary by Year'!K$6,1),'WBS Summary by Year'!$C271,'WBS Summary by Year'!$B$244),'Pre- and Production'!AP$4:AP$532)</f>
        <v>0</v>
      </c>
      <c r="L271" s="290">
        <f>SUMIF('Pre- and Production'!$T$4:$T$532, CONCATENATE(LEFT('WBS Summary by Year'!L$6,1),'WBS Summary by Year'!$C271,'WBS Summary by Year'!$B$244),'Pre- and Production'!AG$4:AG$532)</f>
        <v>0</v>
      </c>
      <c r="M271" s="286">
        <f>SUMIF('Pre- and Production'!$T$4:$T$532, CONCATENATE(LEFT('WBS Summary by Year'!M$6,1),'WBS Summary by Year'!$C271,'WBS Summary by Year'!$B$244),'Pre- and Production'!AQ$4:AQ$532)</f>
        <v>0</v>
      </c>
      <c r="N271" s="298">
        <f>SUMIF('Pre- and Production'!$T$4:$T$532, CONCATENATE(LEFT('WBS Summary by Year'!N$6,1),'WBS Summary by Year'!$C271,'WBS Summary by Year'!$B$244),'Pre- and Production'!AH$4:AH$532)</f>
        <v>0</v>
      </c>
      <c r="O271" s="299">
        <f>SUMIF('Pre- and Production'!$T$4:$T$532, CONCATENATE(LEFT('WBS Summary by Year'!O$6,1),'WBS Summary by Year'!$C271,'WBS Summary by Year'!$B$244),'Pre- and Production'!AR$4:AR$532)</f>
        <v>0</v>
      </c>
    </row>
    <row r="272" spans="3:15">
      <c r="C272" s="9" t="s">
        <v>231</v>
      </c>
      <c r="D272" s="26">
        <f>SUMIF('Pre- and Production'!$T$4:$T$532, CONCATENATE(LEFT('WBS Summary by Year'!D$6,1),'WBS Summary by Year'!$C272,'WBS Summary by Year'!$B$244),'Pre- and Production'!AC$4:AC$532)</f>
        <v>0</v>
      </c>
      <c r="E272" s="286">
        <f>SUMIF('Pre- and Production'!$T$4:$T$532, CONCATENATE(LEFT('WBS Summary by Year'!E$6,1),'WBS Summary by Year'!$C272,'WBS Summary by Year'!$B$244),'Pre- and Production'!AM$4:AM$532)</f>
        <v>0</v>
      </c>
      <c r="F272" s="26">
        <f>SUMIF('Pre- and Production'!$T$4:$T$532, CONCATENATE(LEFT('WBS Summary by Year'!F$6,1),'WBS Summary by Year'!$C272,'WBS Summary by Year'!$B$244),'Pre- and Production'!AD$4:AD$532)</f>
        <v>0</v>
      </c>
      <c r="G272" s="279">
        <f>SUMIF('Pre- and Production'!$T$4:$T$532, CONCATENATE(LEFT('WBS Summary by Year'!G$6,1),'WBS Summary by Year'!$C272,'WBS Summary by Year'!$B$244),'Pre- and Production'!AN$4:AN$532)</f>
        <v>0</v>
      </c>
      <c r="H272" s="290">
        <f>SUMIF('Pre- and Production'!$T$4:$T$532, CONCATENATE(LEFT('WBS Summary by Year'!H$6,1),'WBS Summary by Year'!$C272,'WBS Summary by Year'!$B$244),'Pre- and Production'!AE$4:AE$532)</f>
        <v>0</v>
      </c>
      <c r="I272" s="286">
        <f>SUMIF('Pre- and Production'!$T$4:$T$532, CONCATENATE(LEFT('WBS Summary by Year'!I$6,1),'WBS Summary by Year'!$C272,'WBS Summary by Year'!$B$244),'Pre- and Production'!AO$4:AO$532)</f>
        <v>0</v>
      </c>
      <c r="J272" s="26">
        <f>SUMIF('Pre- and Production'!$T$4:$T$532, CONCATENATE(LEFT('WBS Summary by Year'!J$6,1),'WBS Summary by Year'!$C272,'WBS Summary by Year'!$B$244),'Pre- and Production'!AF$4:AFI$532)</f>
        <v>0</v>
      </c>
      <c r="K272" s="279">
        <f>SUMIF('Pre- and Production'!$T$4:$T$532, CONCATENATE(LEFT('WBS Summary by Year'!K$6,1),'WBS Summary by Year'!$C272,'WBS Summary by Year'!$B$244),'Pre- and Production'!AP$4:AP$532)</f>
        <v>0</v>
      </c>
      <c r="L272" s="290">
        <f>SUMIF('Pre- and Production'!$T$4:$T$532, CONCATENATE(LEFT('WBS Summary by Year'!L$6,1),'WBS Summary by Year'!$C272,'WBS Summary by Year'!$B$244),'Pre- and Production'!AG$4:AG$532)</f>
        <v>0</v>
      </c>
      <c r="M272" s="286">
        <f>SUMIF('Pre- and Production'!$T$4:$T$532, CONCATENATE(LEFT('WBS Summary by Year'!M$6,1),'WBS Summary by Year'!$C272,'WBS Summary by Year'!$B$244),'Pre- and Production'!AQ$4:AQ$532)</f>
        <v>0</v>
      </c>
      <c r="N272" s="298">
        <f>SUMIF('Pre- and Production'!$T$4:$T$532, CONCATENATE(LEFT('WBS Summary by Year'!N$6,1),'WBS Summary by Year'!$C272,'WBS Summary by Year'!$B$244),'Pre- and Production'!AH$4:AH$532)</f>
        <v>0</v>
      </c>
      <c r="O272" s="299">
        <f>SUMIF('Pre- and Production'!$T$4:$T$532, CONCATENATE(LEFT('WBS Summary by Year'!O$6,1),'WBS Summary by Year'!$C272,'WBS Summary by Year'!$B$244),'Pre- and Production'!AR$4:AR$532)</f>
        <v>0</v>
      </c>
    </row>
    <row r="273" spans="3:15">
      <c r="C273" s="9" t="s">
        <v>232</v>
      </c>
      <c r="D273" s="26">
        <f>SUMIF('Pre- and Production'!$T$4:$T$532, CONCATENATE(LEFT('WBS Summary by Year'!D$6,1),'WBS Summary by Year'!$C273,'WBS Summary by Year'!$B$244),'Pre- and Production'!AC$4:AC$532)</f>
        <v>0</v>
      </c>
      <c r="E273" s="286">
        <f>SUMIF('Pre- and Production'!$T$4:$T$532, CONCATENATE(LEFT('WBS Summary by Year'!E$6,1),'WBS Summary by Year'!$C273,'WBS Summary by Year'!$B$244),'Pre- and Production'!AM$4:AM$532)</f>
        <v>0</v>
      </c>
      <c r="F273" s="26">
        <f>SUMIF('Pre- and Production'!$T$4:$T$532, CONCATENATE(LEFT('WBS Summary by Year'!F$6,1),'WBS Summary by Year'!$C273,'WBS Summary by Year'!$B$244),'Pre- and Production'!AD$4:AD$532)</f>
        <v>0</v>
      </c>
      <c r="G273" s="279">
        <f>SUMIF('Pre- and Production'!$T$4:$T$532, CONCATENATE(LEFT('WBS Summary by Year'!G$6,1),'WBS Summary by Year'!$C273,'WBS Summary by Year'!$B$244),'Pre- and Production'!AN$4:AN$532)</f>
        <v>0</v>
      </c>
      <c r="H273" s="290">
        <f>SUMIF('Pre- and Production'!$T$4:$T$532, CONCATENATE(LEFT('WBS Summary by Year'!H$6,1),'WBS Summary by Year'!$C273,'WBS Summary by Year'!$B$244),'Pre- and Production'!AE$4:AE$532)</f>
        <v>0</v>
      </c>
      <c r="I273" s="286">
        <f>SUMIF('Pre- and Production'!$T$4:$T$532, CONCATENATE(LEFT('WBS Summary by Year'!I$6,1),'WBS Summary by Year'!$C273,'WBS Summary by Year'!$B$244),'Pre- and Production'!AO$4:AO$532)</f>
        <v>0</v>
      </c>
      <c r="J273" s="26">
        <f>SUMIF('Pre- and Production'!$T$4:$T$532, CONCATENATE(LEFT('WBS Summary by Year'!J$6,1),'WBS Summary by Year'!$C273,'WBS Summary by Year'!$B$244),'Pre- and Production'!AF$4:AFI$532)</f>
        <v>0</v>
      </c>
      <c r="K273" s="279">
        <f>SUMIF('Pre- and Production'!$T$4:$T$532, CONCATENATE(LEFT('WBS Summary by Year'!K$6,1),'WBS Summary by Year'!$C273,'WBS Summary by Year'!$B$244),'Pre- and Production'!AP$4:AP$532)</f>
        <v>0</v>
      </c>
      <c r="L273" s="290">
        <f>SUMIF('Pre- and Production'!$T$4:$T$532, CONCATENATE(LEFT('WBS Summary by Year'!L$6,1),'WBS Summary by Year'!$C273,'WBS Summary by Year'!$B$244),'Pre- and Production'!AG$4:AG$532)</f>
        <v>0</v>
      </c>
      <c r="M273" s="286">
        <f>SUMIF('Pre- and Production'!$T$4:$T$532, CONCATENATE(LEFT('WBS Summary by Year'!M$6,1),'WBS Summary by Year'!$C273,'WBS Summary by Year'!$B$244),'Pre- and Production'!AQ$4:AQ$532)</f>
        <v>0</v>
      </c>
      <c r="N273" s="298">
        <f>SUMIF('Pre- and Production'!$T$4:$T$532, CONCATENATE(LEFT('WBS Summary by Year'!N$6,1),'WBS Summary by Year'!$C273,'WBS Summary by Year'!$B$244),'Pre- and Production'!AH$4:AH$532)</f>
        <v>0</v>
      </c>
      <c r="O273" s="299">
        <f>SUMIF('Pre- and Production'!$T$4:$T$532, CONCATENATE(LEFT('WBS Summary by Year'!O$6,1),'WBS Summary by Year'!$C273,'WBS Summary by Year'!$B$244),'Pre- and Production'!AR$4:AR$532)</f>
        <v>0</v>
      </c>
    </row>
    <row r="274" spans="3:15">
      <c r="C274" s="9" t="s">
        <v>233</v>
      </c>
      <c r="D274" s="26">
        <f>SUMIF('Pre- and Production'!$T$4:$T$532, CONCATENATE(LEFT('WBS Summary by Year'!D$6,1),'WBS Summary by Year'!$C274,'WBS Summary by Year'!$B$244),'Pre- and Production'!AC$4:AC$532)</f>
        <v>0</v>
      </c>
      <c r="E274" s="286">
        <f>SUMIF('Pre- and Production'!$T$4:$T$532, CONCATENATE(LEFT('WBS Summary by Year'!E$6,1),'WBS Summary by Year'!$C274,'WBS Summary by Year'!$B$244),'Pre- and Production'!AM$4:AM$532)</f>
        <v>0</v>
      </c>
      <c r="F274" s="26">
        <f>SUMIF('Pre- and Production'!$T$4:$T$532, CONCATENATE(LEFT('WBS Summary by Year'!F$6,1),'WBS Summary by Year'!$C274,'WBS Summary by Year'!$B$244),'Pre- and Production'!AD$4:AD$532)</f>
        <v>0</v>
      </c>
      <c r="G274" s="279">
        <f>SUMIF('Pre- and Production'!$T$4:$T$532, CONCATENATE(LEFT('WBS Summary by Year'!G$6,1),'WBS Summary by Year'!$C274,'WBS Summary by Year'!$B$244),'Pre- and Production'!AN$4:AN$532)</f>
        <v>0</v>
      </c>
      <c r="H274" s="290">
        <f>SUMIF('Pre- and Production'!$T$4:$T$532, CONCATENATE(LEFT('WBS Summary by Year'!H$6,1),'WBS Summary by Year'!$C274,'WBS Summary by Year'!$B$244),'Pre- and Production'!AE$4:AE$532)</f>
        <v>0</v>
      </c>
      <c r="I274" s="286">
        <f>SUMIF('Pre- and Production'!$T$4:$T$532, CONCATENATE(LEFT('WBS Summary by Year'!I$6,1),'WBS Summary by Year'!$C274,'WBS Summary by Year'!$B$244),'Pre- and Production'!AO$4:AO$532)</f>
        <v>0</v>
      </c>
      <c r="J274" s="26">
        <f>SUMIF('Pre- and Production'!$T$4:$T$532, CONCATENATE(LEFT('WBS Summary by Year'!J$6,1),'WBS Summary by Year'!$C274,'WBS Summary by Year'!$B$244),'Pre- and Production'!AF$4:AFI$532)</f>
        <v>0</v>
      </c>
      <c r="K274" s="279">
        <f>SUMIF('Pre- and Production'!$T$4:$T$532, CONCATENATE(LEFT('WBS Summary by Year'!K$6,1),'WBS Summary by Year'!$C274,'WBS Summary by Year'!$B$244),'Pre- and Production'!AP$4:AP$532)</f>
        <v>0</v>
      </c>
      <c r="L274" s="290">
        <f>SUMIF('Pre- and Production'!$T$4:$T$532, CONCATENATE(LEFT('WBS Summary by Year'!L$6,1),'WBS Summary by Year'!$C274,'WBS Summary by Year'!$B$244),'Pre- and Production'!AG$4:AG$532)</f>
        <v>0</v>
      </c>
      <c r="M274" s="286">
        <f>SUMIF('Pre- and Production'!$T$4:$T$532, CONCATENATE(LEFT('WBS Summary by Year'!M$6,1),'WBS Summary by Year'!$C274,'WBS Summary by Year'!$B$244),'Pre- and Production'!AQ$4:AQ$532)</f>
        <v>0</v>
      </c>
      <c r="N274" s="298">
        <f>SUMIF('Pre- and Production'!$T$4:$T$532, CONCATENATE(LEFT('WBS Summary by Year'!N$6,1),'WBS Summary by Year'!$C274,'WBS Summary by Year'!$B$244),'Pre- and Production'!AH$4:AH$532)</f>
        <v>0</v>
      </c>
      <c r="O274" s="299">
        <f>SUMIF('Pre- and Production'!$T$4:$T$532, CONCATENATE(LEFT('WBS Summary by Year'!O$6,1),'WBS Summary by Year'!$C274,'WBS Summary by Year'!$B$244),'Pre- and Production'!AR$4:AR$532)</f>
        <v>0</v>
      </c>
    </row>
    <row r="275" spans="3:15">
      <c r="C275" s="9" t="s">
        <v>234</v>
      </c>
      <c r="D275" s="26">
        <f>SUMIF('Pre- and Production'!$T$4:$T$532, CONCATENATE(LEFT('WBS Summary by Year'!D$6,1),'WBS Summary by Year'!$C275,'WBS Summary by Year'!$B$244),'Pre- and Production'!AC$4:AC$532)</f>
        <v>0</v>
      </c>
      <c r="E275" s="286">
        <f>SUMIF('Pre- and Production'!$T$4:$T$532, CONCATENATE(LEFT('WBS Summary by Year'!E$6,1),'WBS Summary by Year'!$C275,'WBS Summary by Year'!$B$244),'Pre- and Production'!AM$4:AM$532)</f>
        <v>0</v>
      </c>
      <c r="F275" s="26">
        <f>SUMIF('Pre- and Production'!$T$4:$T$532, CONCATENATE(LEFT('WBS Summary by Year'!F$6,1),'WBS Summary by Year'!$C275,'WBS Summary by Year'!$B$244),'Pre- and Production'!AD$4:AD$532)</f>
        <v>0</v>
      </c>
      <c r="G275" s="279">
        <f>SUMIF('Pre- and Production'!$T$4:$T$532, CONCATENATE(LEFT('WBS Summary by Year'!G$6,1),'WBS Summary by Year'!$C275,'WBS Summary by Year'!$B$244),'Pre- and Production'!AN$4:AN$532)</f>
        <v>0</v>
      </c>
      <c r="H275" s="290">
        <f>SUMIF('Pre- and Production'!$T$4:$T$532, CONCATENATE(LEFT('WBS Summary by Year'!H$6,1),'WBS Summary by Year'!$C275,'WBS Summary by Year'!$B$244),'Pre- and Production'!AE$4:AE$532)</f>
        <v>0</v>
      </c>
      <c r="I275" s="286">
        <f>SUMIF('Pre- and Production'!$T$4:$T$532, CONCATENATE(LEFT('WBS Summary by Year'!I$6,1),'WBS Summary by Year'!$C275,'WBS Summary by Year'!$B$244),'Pre- and Production'!AO$4:AO$532)</f>
        <v>0</v>
      </c>
      <c r="J275" s="26">
        <f>SUMIF('Pre- and Production'!$T$4:$T$532, CONCATENATE(LEFT('WBS Summary by Year'!J$6,1),'WBS Summary by Year'!$C275,'WBS Summary by Year'!$B$244),'Pre- and Production'!AF$4:AFI$532)</f>
        <v>0</v>
      </c>
      <c r="K275" s="279">
        <f>SUMIF('Pre- and Production'!$T$4:$T$532, CONCATENATE(LEFT('WBS Summary by Year'!K$6,1),'WBS Summary by Year'!$C275,'WBS Summary by Year'!$B$244),'Pre- and Production'!AP$4:AP$532)</f>
        <v>0</v>
      </c>
      <c r="L275" s="290">
        <f>SUMIF('Pre- and Production'!$T$4:$T$532, CONCATENATE(LEFT('WBS Summary by Year'!L$6,1),'WBS Summary by Year'!$C275,'WBS Summary by Year'!$B$244),'Pre- and Production'!AG$4:AG$532)</f>
        <v>0</v>
      </c>
      <c r="M275" s="286">
        <f>SUMIF('Pre- and Production'!$T$4:$T$532, CONCATENATE(LEFT('WBS Summary by Year'!M$6,1),'WBS Summary by Year'!$C275,'WBS Summary by Year'!$B$244),'Pre- and Production'!AQ$4:AQ$532)</f>
        <v>0</v>
      </c>
      <c r="N275" s="298">
        <f>SUMIF('Pre- and Production'!$T$4:$T$532, CONCATENATE(LEFT('WBS Summary by Year'!N$6,1),'WBS Summary by Year'!$C275,'WBS Summary by Year'!$B$244),'Pre- and Production'!AH$4:AH$532)</f>
        <v>0</v>
      </c>
      <c r="O275" s="299">
        <f>SUMIF('Pre- and Production'!$T$4:$T$532, CONCATENATE(LEFT('WBS Summary by Year'!O$6,1),'WBS Summary by Year'!$C275,'WBS Summary by Year'!$B$244),'Pre- and Production'!AR$4:AR$532)</f>
        <v>0</v>
      </c>
    </row>
    <row r="276" spans="3:15">
      <c r="C276" s="9" t="s">
        <v>235</v>
      </c>
      <c r="D276" s="26">
        <f>SUMIF('Pre- and Production'!$T$4:$T$532, CONCATENATE(LEFT('WBS Summary by Year'!D$6,1),'WBS Summary by Year'!$C276,'WBS Summary by Year'!$B$244),'Pre- and Production'!AC$4:AC$532)</f>
        <v>0</v>
      </c>
      <c r="E276" s="286">
        <f>SUMIF('Pre- and Production'!$T$4:$T$532, CONCATENATE(LEFT('WBS Summary by Year'!E$6,1),'WBS Summary by Year'!$C276,'WBS Summary by Year'!$B$244),'Pre- and Production'!AM$4:AM$532)</f>
        <v>0</v>
      </c>
      <c r="F276" s="26">
        <f>SUMIF('Pre- and Production'!$T$4:$T$532, CONCATENATE(LEFT('WBS Summary by Year'!F$6,1),'WBS Summary by Year'!$C276,'WBS Summary by Year'!$B$244),'Pre- and Production'!AD$4:AD$532)</f>
        <v>0</v>
      </c>
      <c r="G276" s="279">
        <f>SUMIF('Pre- and Production'!$T$4:$T$532, CONCATENATE(LEFT('WBS Summary by Year'!G$6,1),'WBS Summary by Year'!$C276,'WBS Summary by Year'!$B$244),'Pre- and Production'!AN$4:AN$532)</f>
        <v>0</v>
      </c>
      <c r="H276" s="290">
        <f>SUMIF('Pre- and Production'!$T$4:$T$532, CONCATENATE(LEFT('WBS Summary by Year'!H$6,1),'WBS Summary by Year'!$C276,'WBS Summary by Year'!$B$244),'Pre- and Production'!AE$4:AE$532)</f>
        <v>0</v>
      </c>
      <c r="I276" s="286">
        <f>SUMIF('Pre- and Production'!$T$4:$T$532, CONCATENATE(LEFT('WBS Summary by Year'!I$6,1),'WBS Summary by Year'!$C276,'WBS Summary by Year'!$B$244),'Pre- and Production'!AO$4:AO$532)</f>
        <v>0</v>
      </c>
      <c r="J276" s="26">
        <f>SUMIF('Pre- and Production'!$T$4:$T$532, CONCATENATE(LEFT('WBS Summary by Year'!J$6,1),'WBS Summary by Year'!$C276,'WBS Summary by Year'!$B$244),'Pre- and Production'!AF$4:AFI$532)</f>
        <v>0</v>
      </c>
      <c r="K276" s="279">
        <f>SUMIF('Pre- and Production'!$T$4:$T$532, CONCATENATE(LEFT('WBS Summary by Year'!K$6,1),'WBS Summary by Year'!$C276,'WBS Summary by Year'!$B$244),'Pre- and Production'!AP$4:AP$532)</f>
        <v>0</v>
      </c>
      <c r="L276" s="290">
        <f>SUMIF('Pre- and Production'!$T$4:$T$532, CONCATENATE(LEFT('WBS Summary by Year'!L$6,1),'WBS Summary by Year'!$C276,'WBS Summary by Year'!$B$244),'Pre- and Production'!AG$4:AG$532)</f>
        <v>0</v>
      </c>
      <c r="M276" s="286">
        <f>SUMIF('Pre- and Production'!$T$4:$T$532, CONCATENATE(LEFT('WBS Summary by Year'!M$6,1),'WBS Summary by Year'!$C276,'WBS Summary by Year'!$B$244),'Pre- and Production'!AQ$4:AQ$532)</f>
        <v>0</v>
      </c>
      <c r="N276" s="298">
        <f>SUMIF('Pre- and Production'!$T$4:$T$532, CONCATENATE(LEFT('WBS Summary by Year'!N$6,1),'WBS Summary by Year'!$C276,'WBS Summary by Year'!$B$244),'Pre- and Production'!AH$4:AH$532)</f>
        <v>0</v>
      </c>
      <c r="O276" s="299">
        <f>SUMIF('Pre- and Production'!$T$4:$T$532, CONCATENATE(LEFT('WBS Summary by Year'!O$6,1),'WBS Summary by Year'!$C276,'WBS Summary by Year'!$B$244),'Pre- and Production'!AR$4:AR$532)</f>
        <v>0</v>
      </c>
    </row>
    <row r="277" spans="3:15">
      <c r="C277" s="9" t="s">
        <v>236</v>
      </c>
      <c r="D277" s="26">
        <f>SUMIF('Pre- and Production'!$T$4:$T$532, CONCATENATE(LEFT('WBS Summary by Year'!D$6,1),'WBS Summary by Year'!$C277,'WBS Summary by Year'!$B$244),'Pre- and Production'!AC$4:AC$532)</f>
        <v>0</v>
      </c>
      <c r="E277" s="286">
        <f>SUMIF('Pre- and Production'!$T$4:$T$532, CONCATENATE(LEFT('WBS Summary by Year'!E$6,1),'WBS Summary by Year'!$C277,'WBS Summary by Year'!$B$244),'Pre- and Production'!AM$4:AM$532)</f>
        <v>0</v>
      </c>
      <c r="F277" s="26">
        <f>SUMIF('Pre- and Production'!$T$4:$T$532, CONCATENATE(LEFT('WBS Summary by Year'!F$6,1),'WBS Summary by Year'!$C277,'WBS Summary by Year'!$B$244),'Pre- and Production'!AD$4:AD$532)</f>
        <v>0</v>
      </c>
      <c r="G277" s="279">
        <f>SUMIF('Pre- and Production'!$T$4:$T$532, CONCATENATE(LEFT('WBS Summary by Year'!G$6,1),'WBS Summary by Year'!$C277,'WBS Summary by Year'!$B$244),'Pre- and Production'!AN$4:AN$532)</f>
        <v>0</v>
      </c>
      <c r="H277" s="290">
        <f>SUMIF('Pre- and Production'!$T$4:$T$532, CONCATENATE(LEFT('WBS Summary by Year'!H$6,1),'WBS Summary by Year'!$C277,'WBS Summary by Year'!$B$244),'Pre- and Production'!AE$4:AE$532)</f>
        <v>0</v>
      </c>
      <c r="I277" s="286">
        <f>SUMIF('Pre- and Production'!$T$4:$T$532, CONCATENATE(LEFT('WBS Summary by Year'!I$6,1),'WBS Summary by Year'!$C277,'WBS Summary by Year'!$B$244),'Pre- and Production'!AO$4:AO$532)</f>
        <v>0</v>
      </c>
      <c r="J277" s="26">
        <f>SUMIF('Pre- and Production'!$T$4:$T$532, CONCATENATE(LEFT('WBS Summary by Year'!J$6,1),'WBS Summary by Year'!$C277,'WBS Summary by Year'!$B$244),'Pre- and Production'!AF$4:AFI$532)</f>
        <v>0</v>
      </c>
      <c r="K277" s="279">
        <f>SUMIF('Pre- and Production'!$T$4:$T$532, CONCATENATE(LEFT('WBS Summary by Year'!K$6,1),'WBS Summary by Year'!$C277,'WBS Summary by Year'!$B$244),'Pre- and Production'!AP$4:AP$532)</f>
        <v>0</v>
      </c>
      <c r="L277" s="290">
        <f>SUMIF('Pre- and Production'!$T$4:$T$532, CONCATENATE(LEFT('WBS Summary by Year'!L$6,1),'WBS Summary by Year'!$C277,'WBS Summary by Year'!$B$244),'Pre- and Production'!AG$4:AG$532)</f>
        <v>0</v>
      </c>
      <c r="M277" s="286">
        <f>SUMIF('Pre- and Production'!$T$4:$T$532, CONCATENATE(LEFT('WBS Summary by Year'!M$6,1),'WBS Summary by Year'!$C277,'WBS Summary by Year'!$B$244),'Pre- and Production'!AQ$4:AQ$532)</f>
        <v>0</v>
      </c>
      <c r="N277" s="298">
        <f>SUMIF('Pre- and Production'!$T$4:$T$532, CONCATENATE(LEFT('WBS Summary by Year'!N$6,1),'WBS Summary by Year'!$C277,'WBS Summary by Year'!$B$244),'Pre- and Production'!AH$4:AH$532)</f>
        <v>0</v>
      </c>
      <c r="O277" s="299">
        <f>SUMIF('Pre- and Production'!$T$4:$T$532, CONCATENATE(LEFT('WBS Summary by Year'!O$6,1),'WBS Summary by Year'!$C277,'WBS Summary by Year'!$B$244),'Pre- and Production'!AR$4:AR$532)</f>
        <v>0</v>
      </c>
    </row>
    <row r="278" spans="3:15">
      <c r="C278" s="9" t="s">
        <v>237</v>
      </c>
      <c r="D278" s="26">
        <f>SUMIF('Pre- and Production'!$T$4:$T$532, CONCATENATE(LEFT('WBS Summary by Year'!D$6,1),'WBS Summary by Year'!$C278,'WBS Summary by Year'!$B$244),'Pre- and Production'!AC$4:AC$532)</f>
        <v>0</v>
      </c>
      <c r="E278" s="286">
        <f>SUMIF('Pre- and Production'!$T$4:$T$532, CONCATENATE(LEFT('WBS Summary by Year'!E$6,1),'WBS Summary by Year'!$C278,'WBS Summary by Year'!$B$244),'Pre- and Production'!AM$4:AM$532)</f>
        <v>0</v>
      </c>
      <c r="F278" s="26">
        <f>SUMIF('Pre- and Production'!$T$4:$T$532, CONCATENATE(LEFT('WBS Summary by Year'!F$6,1),'WBS Summary by Year'!$C278,'WBS Summary by Year'!$B$244),'Pre- and Production'!AD$4:AD$532)</f>
        <v>0</v>
      </c>
      <c r="G278" s="279">
        <f>SUMIF('Pre- and Production'!$T$4:$T$532, CONCATENATE(LEFT('WBS Summary by Year'!G$6,1),'WBS Summary by Year'!$C278,'WBS Summary by Year'!$B$244),'Pre- and Production'!AN$4:AN$532)</f>
        <v>0</v>
      </c>
      <c r="H278" s="290">
        <f>SUMIF('Pre- and Production'!$T$4:$T$532, CONCATENATE(LEFT('WBS Summary by Year'!H$6,1),'WBS Summary by Year'!$C278,'WBS Summary by Year'!$B$244),'Pre- and Production'!AE$4:AE$532)</f>
        <v>0</v>
      </c>
      <c r="I278" s="286">
        <f>SUMIF('Pre- and Production'!$T$4:$T$532, CONCATENATE(LEFT('WBS Summary by Year'!I$6,1),'WBS Summary by Year'!$C278,'WBS Summary by Year'!$B$244),'Pre- and Production'!AO$4:AO$532)</f>
        <v>0</v>
      </c>
      <c r="J278" s="26">
        <f>SUMIF('Pre- and Production'!$T$4:$T$532, CONCATENATE(LEFT('WBS Summary by Year'!J$6,1),'WBS Summary by Year'!$C278,'WBS Summary by Year'!$B$244),'Pre- and Production'!AF$4:AFI$532)</f>
        <v>0</v>
      </c>
      <c r="K278" s="279">
        <f>SUMIF('Pre- and Production'!$T$4:$T$532, CONCATENATE(LEFT('WBS Summary by Year'!K$6,1),'WBS Summary by Year'!$C278,'WBS Summary by Year'!$B$244),'Pre- and Production'!AP$4:AP$532)</f>
        <v>0</v>
      </c>
      <c r="L278" s="290">
        <f>SUMIF('Pre- and Production'!$T$4:$T$532, CONCATENATE(LEFT('WBS Summary by Year'!L$6,1),'WBS Summary by Year'!$C278,'WBS Summary by Year'!$B$244),'Pre- and Production'!AG$4:AG$532)</f>
        <v>0</v>
      </c>
      <c r="M278" s="286">
        <f>SUMIF('Pre- and Production'!$T$4:$T$532, CONCATENATE(LEFT('WBS Summary by Year'!M$6,1),'WBS Summary by Year'!$C278,'WBS Summary by Year'!$B$244),'Pre- and Production'!AQ$4:AQ$532)</f>
        <v>0</v>
      </c>
      <c r="N278" s="298">
        <f>SUMIF('Pre- and Production'!$T$4:$T$532, CONCATENATE(LEFT('WBS Summary by Year'!N$6,1),'WBS Summary by Year'!$C278,'WBS Summary by Year'!$B$244),'Pre- and Production'!AH$4:AH$532)</f>
        <v>0</v>
      </c>
      <c r="O278" s="299">
        <f>SUMIF('Pre- and Production'!$T$4:$T$532, CONCATENATE(LEFT('WBS Summary by Year'!O$6,1),'WBS Summary by Year'!$C278,'WBS Summary by Year'!$B$244),'Pre- and Production'!AR$4:AR$532)</f>
        <v>0</v>
      </c>
    </row>
    <row r="279" spans="3:15" ht="13.5" thickBot="1">
      <c r="C279" s="9" t="s">
        <v>238</v>
      </c>
      <c r="D279" s="280">
        <f>SUMIF('Pre- and Production'!$T$4:$T$532, CONCATENATE(LEFT('WBS Summary by Year'!D$6,1),'WBS Summary by Year'!$C279,'WBS Summary by Year'!$B$244),'Pre- and Production'!AC$4:AC$532)</f>
        <v>0</v>
      </c>
      <c r="E279" s="287">
        <f>SUMIF('Pre- and Production'!$T$4:$T$532, CONCATENATE(LEFT('WBS Summary by Year'!E$6,1),'WBS Summary by Year'!$C279,'WBS Summary by Year'!$B$244),'Pre- and Production'!AM$4:AM$532)</f>
        <v>0</v>
      </c>
      <c r="F279" s="280">
        <f>SUMIF('Pre- and Production'!$T$4:$T$532, CONCATENATE(LEFT('WBS Summary by Year'!F$6,1),'WBS Summary by Year'!$C279,'WBS Summary by Year'!$B$244),'Pre- and Production'!AD$4:AD$532)</f>
        <v>180</v>
      </c>
      <c r="G279" s="281">
        <f>SUMIF('Pre- and Production'!$T$4:$T$532, CONCATENATE(LEFT('WBS Summary by Year'!G$6,1),'WBS Summary by Year'!$C279,'WBS Summary by Year'!$B$244),'Pre- and Production'!AN$4:AN$532)</f>
        <v>0</v>
      </c>
      <c r="H279" s="291">
        <f>SUMIF('Pre- and Production'!$T$4:$T$532, CONCATENATE(LEFT('WBS Summary by Year'!H$6,1),'WBS Summary by Year'!$C279,'WBS Summary by Year'!$B$244),'Pre- and Production'!AE$4:AE$532)</f>
        <v>0</v>
      </c>
      <c r="I279" s="287">
        <f>SUMIF('Pre- and Production'!$T$4:$T$532, CONCATENATE(LEFT('WBS Summary by Year'!I$6,1),'WBS Summary by Year'!$C279,'WBS Summary by Year'!$B$244),'Pre- and Production'!AO$4:AO$532)</f>
        <v>0</v>
      </c>
      <c r="J279" s="280">
        <f>SUMIF('Pre- and Production'!$T$4:$T$532, CONCATENATE(LEFT('WBS Summary by Year'!J$6,1),'WBS Summary by Year'!$C279,'WBS Summary by Year'!$B$244),'Pre- and Production'!AF$4:AFI$532)</f>
        <v>80</v>
      </c>
      <c r="K279" s="281">
        <f>SUMIF('Pre- and Production'!$T$4:$T$532, CONCATENATE(LEFT('WBS Summary by Year'!K$6,1),'WBS Summary by Year'!$C279,'WBS Summary by Year'!$B$244),'Pre- and Production'!AP$4:AP$532)</f>
        <v>0</v>
      </c>
      <c r="L279" s="291">
        <f>SUMIF('Pre- and Production'!$T$4:$T$532, CONCATENATE(LEFT('WBS Summary by Year'!L$6,1),'WBS Summary by Year'!$C279,'WBS Summary by Year'!$B$244),'Pre- and Production'!AG$4:AG$532)</f>
        <v>0</v>
      </c>
      <c r="M279" s="287">
        <f>SUMIF('Pre- and Production'!$T$4:$T$532, CONCATENATE(LEFT('WBS Summary by Year'!M$6,1),'WBS Summary by Year'!$C279,'WBS Summary by Year'!$B$244),'Pre- and Production'!AQ$4:AQ$532)</f>
        <v>0</v>
      </c>
      <c r="N279" s="300">
        <f>SUMIF('Pre- and Production'!$T$4:$T$532, CONCATENATE(LEFT('WBS Summary by Year'!N$6,1),'WBS Summary by Year'!$C279,'WBS Summary by Year'!$B$244),'Pre- and Production'!AH$4:AH$532)</f>
        <v>0</v>
      </c>
      <c r="O279" s="301">
        <f>SUMIF('Pre- and Production'!$T$4:$T$532, CONCATENATE(LEFT('WBS Summary by Year'!O$6,1),'WBS Summary by Year'!$C279,'WBS Summary by Year'!$B$244),'Pre- and Production'!AR$4:AR$532)</f>
        <v>0</v>
      </c>
    </row>
    <row r="280" spans="3:15" ht="13.5" thickTop="1"/>
    <row r="281" spans="3:15">
      <c r="D281">
        <f t="shared" ref="D281:O281" si="6">SUM(D247:D279)</f>
        <v>0</v>
      </c>
      <c r="E281">
        <f t="shared" si="6"/>
        <v>0</v>
      </c>
      <c r="F281">
        <f t="shared" si="6"/>
        <v>684</v>
      </c>
      <c r="G281">
        <f t="shared" si="6"/>
        <v>0</v>
      </c>
      <c r="H281">
        <f t="shared" si="6"/>
        <v>0</v>
      </c>
      <c r="I281">
        <f t="shared" si="6"/>
        <v>0</v>
      </c>
      <c r="J281">
        <f t="shared" si="6"/>
        <v>496</v>
      </c>
      <c r="K281">
        <f t="shared" si="6"/>
        <v>32</v>
      </c>
      <c r="L281">
        <f t="shared" si="6"/>
        <v>0</v>
      </c>
      <c r="M281">
        <f t="shared" si="6"/>
        <v>0</v>
      </c>
      <c r="N281" s="293">
        <f t="shared" si="6"/>
        <v>0</v>
      </c>
      <c r="O281" s="293">
        <f t="shared" si="6"/>
        <v>0</v>
      </c>
    </row>
  </sheetData>
  <mergeCells count="54">
    <mergeCell ref="N245:O245"/>
    <mergeCell ref="D205:E205"/>
    <mergeCell ref="F205:G205"/>
    <mergeCell ref="H205:I205"/>
    <mergeCell ref="J205:K205"/>
    <mergeCell ref="L205:M205"/>
    <mergeCell ref="N205:O205"/>
    <mergeCell ref="D245:E245"/>
    <mergeCell ref="F245:G245"/>
    <mergeCell ref="H245:I245"/>
    <mergeCell ref="J245:K245"/>
    <mergeCell ref="L245:M245"/>
    <mergeCell ref="AD44:AE44"/>
    <mergeCell ref="T5:U5"/>
    <mergeCell ref="V5:W5"/>
    <mergeCell ref="X5:Y5"/>
    <mergeCell ref="Z5:AA5"/>
    <mergeCell ref="AB5:AC5"/>
    <mergeCell ref="AD5:AE5"/>
    <mergeCell ref="T44:U44"/>
    <mergeCell ref="V44:W44"/>
    <mergeCell ref="X44:Y44"/>
    <mergeCell ref="Z44:AA44"/>
    <mergeCell ref="AB44:AC44"/>
    <mergeCell ref="N165:O165"/>
    <mergeCell ref="D125:E125"/>
    <mergeCell ref="F125:G125"/>
    <mergeCell ref="H125:I125"/>
    <mergeCell ref="J125:K125"/>
    <mergeCell ref="L125:M125"/>
    <mergeCell ref="N125:O125"/>
    <mergeCell ref="D165:E165"/>
    <mergeCell ref="F165:G165"/>
    <mergeCell ref="H165:I165"/>
    <mergeCell ref="J165:K165"/>
    <mergeCell ref="L165:M165"/>
    <mergeCell ref="N84:O84"/>
    <mergeCell ref="D44:E44"/>
    <mergeCell ref="F44:G44"/>
    <mergeCell ref="H44:I44"/>
    <mergeCell ref="J44:K44"/>
    <mergeCell ref="L44:M44"/>
    <mergeCell ref="N44:O44"/>
    <mergeCell ref="D84:E84"/>
    <mergeCell ref="F84:G84"/>
    <mergeCell ref="H84:I84"/>
    <mergeCell ref="J84:K84"/>
    <mergeCell ref="L84:M84"/>
    <mergeCell ref="N5:O5"/>
    <mergeCell ref="D5:E5"/>
    <mergeCell ref="F5:G5"/>
    <mergeCell ref="H5:I5"/>
    <mergeCell ref="J5:K5"/>
    <mergeCell ref="L5:M5"/>
  </mergeCells>
  <pageMargins left="0.7" right="0.7" top="0.75" bottom="0.75" header="0.3" footer="0.3"/>
  <pageSetup scale="67" fitToHeight="3"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Y61"/>
  <sheetViews>
    <sheetView tabSelected="1" workbookViewId="0">
      <selection activeCell="A2" sqref="A2:Y21"/>
    </sheetView>
  </sheetViews>
  <sheetFormatPr defaultRowHeight="12.75"/>
  <cols>
    <col min="1" max="1" width="11.5703125" style="7" bestFit="1" customWidth="1"/>
    <col min="2" max="2" width="10.85546875" style="110" bestFit="1" customWidth="1"/>
    <col min="3" max="3" width="8.85546875" style="110" bestFit="1" customWidth="1"/>
    <col min="4" max="4" width="6.5703125" style="110" bestFit="1" customWidth="1"/>
    <col min="5" max="5" width="12" style="110" bestFit="1" customWidth="1"/>
    <col min="6" max="6" width="9.140625" style="110" customWidth="1"/>
    <col min="7" max="7" width="9.7109375" style="111" bestFit="1" customWidth="1"/>
    <col min="8" max="9" width="10.140625" style="110" bestFit="1" customWidth="1"/>
    <col min="10" max="10" width="9.7109375" style="110" customWidth="1"/>
    <col min="11" max="11" width="11.42578125" style="7" bestFit="1" customWidth="1"/>
    <col min="12" max="12" width="11" style="110" bestFit="1" customWidth="1"/>
    <col min="13" max="13" width="9" style="110" bestFit="1" customWidth="1"/>
    <col min="14" max="14" width="6.5703125" style="110" bestFit="1" customWidth="1"/>
    <col min="15" max="15" width="12.140625" style="110" bestFit="1" customWidth="1"/>
    <col min="16" max="16" width="7.28515625" style="110" bestFit="1" customWidth="1"/>
    <col min="17" max="17" width="11.42578125" style="111" bestFit="1" customWidth="1"/>
    <col min="18" max="18" width="8.5703125" style="110" bestFit="1" customWidth="1"/>
    <col min="19" max="22" width="9.140625" style="110"/>
    <col min="23" max="23" width="10.7109375" style="110" bestFit="1" customWidth="1"/>
    <col min="24" max="24" width="10.7109375" style="415" bestFit="1" customWidth="1"/>
    <col min="25" max="16384" width="9.140625" style="110"/>
  </cols>
  <sheetData>
    <row r="1" spans="1:25" ht="13.5" thickBot="1"/>
    <row r="2" spans="1:25">
      <c r="A2" s="80"/>
      <c r="B2" s="446" t="str">
        <f>'Pre- and Production'!AC539</f>
        <v>BASE</v>
      </c>
      <c r="C2" s="447"/>
      <c r="D2" s="447"/>
      <c r="E2" s="447"/>
      <c r="F2" s="447"/>
      <c r="G2" s="447"/>
      <c r="H2" s="448"/>
      <c r="I2" s="101"/>
      <c r="J2" s="101"/>
      <c r="K2" s="80"/>
      <c r="L2" s="446" t="str">
        <f>'Pre- and Production'!AM539</f>
        <v>CONTINGENCY</v>
      </c>
      <c r="M2" s="447"/>
      <c r="N2" s="447"/>
      <c r="O2" s="447"/>
      <c r="P2" s="447"/>
      <c r="Q2" s="447"/>
      <c r="R2" s="448"/>
    </row>
    <row r="3" spans="1:25">
      <c r="A3" s="80"/>
      <c r="B3" s="112" t="str">
        <f>'Pre- and Production'!AC540</f>
        <v>Shop Time</v>
      </c>
      <c r="C3" s="113" t="str">
        <f>'Pre- and Production'!AD540</f>
        <v>MT Time</v>
      </c>
      <c r="D3" s="113" t="str">
        <f>'Pre- and Production'!AE540</f>
        <v>CMM</v>
      </c>
      <c r="E3" s="113" t="str">
        <f>'Pre- and Production'!AF540</f>
        <v>Engineering</v>
      </c>
      <c r="F3" s="113" t="str">
        <f>'Pre- and Production'!AG540</f>
        <v>Design</v>
      </c>
      <c r="G3" s="118" t="str">
        <f>'Pre- and Production'!AH540</f>
        <v>M&amp;S Cost</v>
      </c>
      <c r="H3" s="114"/>
      <c r="I3" s="101"/>
      <c r="J3" s="101"/>
      <c r="K3" s="80"/>
      <c r="L3" s="112" t="str">
        <f>'Pre- and Production'!AM540</f>
        <v>Shop Time</v>
      </c>
      <c r="M3" s="113" t="str">
        <f>'Pre- and Production'!AN540</f>
        <v>MT Time</v>
      </c>
      <c r="N3" s="113" t="str">
        <f>'Pre- and Production'!AO540</f>
        <v>CMM</v>
      </c>
      <c r="O3" s="113" t="str">
        <f>'Pre- and Production'!AP540</f>
        <v>Engineering</v>
      </c>
      <c r="P3" s="113" t="str">
        <f>'Pre- and Production'!AQ540</f>
        <v>Design</v>
      </c>
      <c r="Q3" s="118" t="str">
        <f>'Pre- and Production'!AR540</f>
        <v>M&amp;S Cost</v>
      </c>
      <c r="R3" s="114"/>
      <c r="V3" s="416" t="s">
        <v>515</v>
      </c>
      <c r="W3" s="416" t="s">
        <v>513</v>
      </c>
      <c r="X3" s="416" t="s">
        <v>514</v>
      </c>
      <c r="Y3" s="416" t="s">
        <v>512</v>
      </c>
    </row>
    <row r="4" spans="1:25">
      <c r="A4" s="80">
        <f>'Pre- and Production'!AB541</f>
        <v>2009</v>
      </c>
      <c r="B4" s="115">
        <f>'Pre- and Production'!AC541</f>
        <v>16</v>
      </c>
      <c r="C4" s="116">
        <f>'Pre- and Production'!AD541</f>
        <v>52</v>
      </c>
      <c r="D4" s="116">
        <f>'Pre- and Production'!AE541</f>
        <v>0</v>
      </c>
      <c r="E4" s="116">
        <f>'Pre- and Production'!AF541</f>
        <v>0</v>
      </c>
      <c r="F4" s="116">
        <f>'Pre- and Production'!AG541</f>
        <v>0</v>
      </c>
      <c r="G4" s="121">
        <f>'Pre- and Production'!AH541</f>
        <v>7420</v>
      </c>
      <c r="H4" s="117"/>
      <c r="I4" s="101"/>
      <c r="J4" s="101"/>
      <c r="K4" s="80">
        <f>'Pre- and Production'!AL541</f>
        <v>2009</v>
      </c>
      <c r="L4" s="115">
        <f>'Pre- and Production'!AM541</f>
        <v>0</v>
      </c>
      <c r="M4" s="116">
        <f>'Pre- and Production'!AN541</f>
        <v>0</v>
      </c>
      <c r="N4" s="116">
        <f>'Pre- and Production'!AO541</f>
        <v>0</v>
      </c>
      <c r="O4" s="116">
        <f>'Pre- and Production'!AP541</f>
        <v>0</v>
      </c>
      <c r="P4" s="116">
        <f>'Pre- and Production'!AQ541</f>
        <v>0</v>
      </c>
      <c r="Q4" s="121">
        <f>'Pre- and Production'!AR541</f>
        <v>0</v>
      </c>
      <c r="R4" s="117"/>
      <c r="V4" s="110">
        <v>2009</v>
      </c>
      <c r="W4" s="81">
        <v>0</v>
      </c>
      <c r="X4" s="81">
        <v>0</v>
      </c>
      <c r="Y4" s="81">
        <f>X4-W4</f>
        <v>0</v>
      </c>
    </row>
    <row r="5" spans="1:25">
      <c r="A5" s="80">
        <f>'Pre- and Production'!AB542</f>
        <v>2010</v>
      </c>
      <c r="B5" s="115">
        <f>'Pre- and Production'!AC542</f>
        <v>82</v>
      </c>
      <c r="C5" s="116">
        <f>'Pre- and Production'!AD542</f>
        <v>271</v>
      </c>
      <c r="D5" s="116">
        <f>'Pre- and Production'!AE542</f>
        <v>0</v>
      </c>
      <c r="E5" s="116">
        <f>'Pre- and Production'!AF542</f>
        <v>758</v>
      </c>
      <c r="F5" s="116">
        <f>'Pre- and Production'!AG542</f>
        <v>0</v>
      </c>
      <c r="G5" s="121">
        <f>'Pre- and Production'!AH542</f>
        <v>42895</v>
      </c>
      <c r="H5" s="117"/>
      <c r="I5" s="101"/>
      <c r="J5" s="101"/>
      <c r="K5" s="80">
        <f>'Pre- and Production'!AL542</f>
        <v>2010</v>
      </c>
      <c r="L5" s="115">
        <f>'Pre- and Production'!AM542</f>
        <v>0</v>
      </c>
      <c r="M5" s="116">
        <f>'Pre- and Production'!AN542</f>
        <v>0</v>
      </c>
      <c r="N5" s="116">
        <f>'Pre- and Production'!AO542</f>
        <v>0</v>
      </c>
      <c r="O5" s="116">
        <f>'Pre- and Production'!AP542</f>
        <v>0</v>
      </c>
      <c r="P5" s="116">
        <f>'Pre- and Production'!AQ542</f>
        <v>0</v>
      </c>
      <c r="Q5" s="121">
        <f>'Pre- and Production'!AR542</f>
        <v>0</v>
      </c>
      <c r="R5" s="117"/>
      <c r="V5" s="110">
        <v>2010</v>
      </c>
      <c r="W5" s="81">
        <v>10332</v>
      </c>
      <c r="X5" s="81">
        <v>10332</v>
      </c>
      <c r="Y5" s="81">
        <f t="shared" ref="Y5:Y8" si="0">X5-W5</f>
        <v>0</v>
      </c>
    </row>
    <row r="6" spans="1:25">
      <c r="A6" s="80">
        <f>'Pre- and Production'!AB543</f>
        <v>2011</v>
      </c>
      <c r="B6" s="115">
        <f>'Pre- and Production'!AC543</f>
        <v>552</v>
      </c>
      <c r="C6" s="116">
        <f>'Pre- and Production'!AD543</f>
        <v>1627</v>
      </c>
      <c r="D6" s="116">
        <f>'Pre- and Production'!AE543</f>
        <v>40</v>
      </c>
      <c r="E6" s="116">
        <f>'Pre- and Production'!AF543</f>
        <v>1452</v>
      </c>
      <c r="F6" s="116">
        <f>'Pre- and Production'!AG543</f>
        <v>0</v>
      </c>
      <c r="G6" s="121">
        <f>'Pre- and Production'!AH543</f>
        <v>150275</v>
      </c>
      <c r="H6" s="117"/>
      <c r="I6" s="101"/>
      <c r="J6" s="101"/>
      <c r="K6" s="80">
        <f>'Pre- and Production'!AL543</f>
        <v>2011</v>
      </c>
      <c r="L6" s="115">
        <f>'Pre- and Production'!AM543</f>
        <v>220</v>
      </c>
      <c r="M6" s="116">
        <f>'Pre- and Production'!AN543</f>
        <v>762</v>
      </c>
      <c r="N6" s="116">
        <f>'Pre- and Production'!AO543</f>
        <v>8</v>
      </c>
      <c r="O6" s="116">
        <f>'Pre- and Production'!AP543</f>
        <v>408</v>
      </c>
      <c r="P6" s="116">
        <f>'Pre- and Production'!AQ543</f>
        <v>0</v>
      </c>
      <c r="Q6" s="121">
        <f>'Pre- and Production'!AR543</f>
        <v>14800</v>
      </c>
      <c r="R6" s="117"/>
      <c r="V6" s="110">
        <v>2011</v>
      </c>
      <c r="W6" s="81">
        <v>155539.44</v>
      </c>
      <c r="X6" s="81">
        <v>82056.240000000005</v>
      </c>
      <c r="Y6" s="81">
        <f t="shared" si="0"/>
        <v>-73483.199999999997</v>
      </c>
    </row>
    <row r="7" spans="1:25">
      <c r="A7" s="80">
        <f>'Pre- and Production'!AB544</f>
        <v>2012</v>
      </c>
      <c r="B7" s="115">
        <f>'Pre- and Production'!AC544</f>
        <v>328</v>
      </c>
      <c r="C7" s="116">
        <f>'Pre- and Production'!AD544</f>
        <v>1815</v>
      </c>
      <c r="D7" s="116">
        <f>'Pre- and Production'!AE544</f>
        <v>40</v>
      </c>
      <c r="E7" s="116">
        <f>'Pre- and Production'!AF544</f>
        <v>568</v>
      </c>
      <c r="F7" s="116">
        <f>'Pre- and Production'!AG544</f>
        <v>0</v>
      </c>
      <c r="G7" s="121">
        <f>'Pre- and Production'!AH544</f>
        <v>132765</v>
      </c>
      <c r="H7" s="117"/>
      <c r="I7" s="101"/>
      <c r="J7" s="101"/>
      <c r="K7" s="80">
        <f>'Pre- and Production'!AL544</f>
        <v>2012</v>
      </c>
      <c r="L7" s="115">
        <f>'Pre- and Production'!AM544</f>
        <v>268</v>
      </c>
      <c r="M7" s="116">
        <f>'Pre- and Production'!AN544</f>
        <v>612</v>
      </c>
      <c r="N7" s="116">
        <f>'Pre- and Production'!AO544</f>
        <v>8</v>
      </c>
      <c r="O7" s="116">
        <f>'Pre- and Production'!AP544</f>
        <v>256</v>
      </c>
      <c r="P7" s="116">
        <f>'Pre- and Production'!AQ544</f>
        <v>0</v>
      </c>
      <c r="Q7" s="121">
        <f>'Pre- and Production'!AR544</f>
        <v>131330</v>
      </c>
      <c r="R7" s="117"/>
      <c r="V7" s="110">
        <v>2012</v>
      </c>
      <c r="W7" s="81">
        <v>16941.96</v>
      </c>
      <c r="X7" s="81">
        <v>9593.64</v>
      </c>
      <c r="Y7" s="81">
        <f t="shared" si="0"/>
        <v>-7348.32</v>
      </c>
    </row>
    <row r="8" spans="1:25">
      <c r="A8" s="80">
        <f>'Pre- and Production'!AB545</f>
        <v>2013</v>
      </c>
      <c r="B8" s="115">
        <f>'Pre- and Production'!AC545</f>
        <v>18</v>
      </c>
      <c r="C8" s="116">
        <f>'Pre- and Production'!AD545</f>
        <v>750</v>
      </c>
      <c r="D8" s="116">
        <f>'Pre- and Production'!AE545</f>
        <v>56</v>
      </c>
      <c r="E8" s="116">
        <f>'Pre- and Production'!AF545</f>
        <v>168</v>
      </c>
      <c r="F8" s="116">
        <f>'Pre- and Production'!AG545</f>
        <v>0</v>
      </c>
      <c r="G8" s="121">
        <f>'Pre- and Production'!AH545</f>
        <v>9870</v>
      </c>
      <c r="H8" s="117"/>
      <c r="I8" s="101"/>
      <c r="J8" s="101"/>
      <c r="K8" s="80">
        <f>'Pre- and Production'!AL545</f>
        <v>2013</v>
      </c>
      <c r="L8" s="115">
        <f>'Pre- and Production'!AM545</f>
        <v>8</v>
      </c>
      <c r="M8" s="116">
        <f>'Pre- and Production'!AN545</f>
        <v>697</v>
      </c>
      <c r="N8" s="116">
        <f>'Pre- and Production'!AO545</f>
        <v>32</v>
      </c>
      <c r="O8" s="116">
        <f>'Pre- and Production'!AP545</f>
        <v>140</v>
      </c>
      <c r="P8" s="116">
        <f>'Pre- and Production'!AQ545</f>
        <v>0</v>
      </c>
      <c r="Q8" s="121">
        <f>'Pre- and Production'!AR545</f>
        <v>9205</v>
      </c>
      <c r="R8" s="117"/>
      <c r="V8" s="110">
        <v>2013</v>
      </c>
      <c r="W8" s="81">
        <v>0</v>
      </c>
      <c r="X8" s="81">
        <v>0</v>
      </c>
      <c r="Y8" s="81">
        <f t="shared" si="0"/>
        <v>0</v>
      </c>
    </row>
    <row r="9" spans="1:25" s="420" customFormat="1">
      <c r="A9" s="80">
        <f>'Pre- and Production'!AB546</f>
        <v>2014</v>
      </c>
      <c r="B9" s="115">
        <f>'Pre- and Production'!AC546</f>
        <v>0</v>
      </c>
      <c r="C9" s="116">
        <f>'Pre- and Production'!AD546</f>
        <v>192</v>
      </c>
      <c r="D9" s="116">
        <f>'Pre- and Production'!AE546</f>
        <v>0</v>
      </c>
      <c r="E9" s="116">
        <f>'Pre- and Production'!AF546</f>
        <v>76</v>
      </c>
      <c r="F9" s="116">
        <f>'Pre- and Production'!AG546</f>
        <v>0</v>
      </c>
      <c r="G9" s="121">
        <f>'Pre- and Production'!AH546</f>
        <v>0</v>
      </c>
      <c r="H9" s="117"/>
      <c r="I9" s="101"/>
      <c r="J9" s="101"/>
      <c r="K9" s="80">
        <f>'Pre- and Production'!AL546</f>
        <v>2014</v>
      </c>
      <c r="L9" s="115">
        <f>'Pre- and Production'!AM546</f>
        <v>0</v>
      </c>
      <c r="M9" s="116">
        <f>'Pre- and Production'!AN546</f>
        <v>0</v>
      </c>
      <c r="N9" s="116">
        <f>'Pre- and Production'!AO546</f>
        <v>0</v>
      </c>
      <c r="O9" s="116">
        <f>'Pre- and Production'!AP546</f>
        <v>0</v>
      </c>
      <c r="P9" s="116">
        <f>'Pre- and Production'!AQ546</f>
        <v>0</v>
      </c>
      <c r="Q9" s="121">
        <f>'Pre- and Production'!AR546</f>
        <v>0</v>
      </c>
      <c r="R9" s="117"/>
      <c r="V9" s="420">
        <v>2014</v>
      </c>
      <c r="W9" s="81">
        <v>0</v>
      </c>
      <c r="X9" s="81">
        <v>0</v>
      </c>
      <c r="Y9" s="81">
        <f t="shared" ref="Y9" si="1">X9-W9</f>
        <v>0</v>
      </c>
    </row>
    <row r="10" spans="1:25">
      <c r="A10" s="80" t="str">
        <f>'Pre- and Production'!AB547</f>
        <v>CONT</v>
      </c>
      <c r="B10" s="115">
        <f>'Pre- and Production'!AC547</f>
        <v>0</v>
      </c>
      <c r="C10" s="116">
        <f>'Pre- and Production'!AD547</f>
        <v>0</v>
      </c>
      <c r="D10" s="116">
        <f>'Pre- and Production'!AE547</f>
        <v>0</v>
      </c>
      <c r="E10" s="116">
        <f>'Pre- and Production'!AF547</f>
        <v>0</v>
      </c>
      <c r="F10" s="116">
        <f>'Pre- and Production'!AG547</f>
        <v>0</v>
      </c>
      <c r="G10" s="121">
        <f>'Pre- and Production'!AH547</f>
        <v>0</v>
      </c>
      <c r="H10" s="117"/>
      <c r="I10" s="101"/>
      <c r="J10" s="101"/>
      <c r="K10" s="80" t="str">
        <f>'Pre- and Production'!AL547</f>
        <v>CONT</v>
      </c>
      <c r="L10" s="115">
        <f>'Pre- and Production'!AM547</f>
        <v>0</v>
      </c>
      <c r="M10" s="116">
        <f>'Pre- and Production'!AN547</f>
        <v>0</v>
      </c>
      <c r="N10" s="116">
        <f>'Pre- and Production'!AO547</f>
        <v>0</v>
      </c>
      <c r="O10" s="116">
        <f>'Pre- and Production'!AP547</f>
        <v>0</v>
      </c>
      <c r="P10" s="116">
        <f>'Pre- and Production'!AQ547</f>
        <v>0</v>
      </c>
      <c r="Q10" s="121">
        <f>'Pre- and Production'!AR547</f>
        <v>0</v>
      </c>
      <c r="R10" s="117"/>
      <c r="W10" s="81">
        <f>SUM(W4:W8)</f>
        <v>182813.4</v>
      </c>
      <c r="X10" s="81">
        <f t="shared" ref="X10" si="2">SUM(X4:X8)</f>
        <v>101981.88</v>
      </c>
      <c r="Y10" s="81">
        <f t="shared" ref="Y10" si="3">SUM(Y4:Y8)</f>
        <v>-80831.51999999999</v>
      </c>
    </row>
    <row r="11" spans="1:25">
      <c r="A11" s="80" t="str">
        <f>'Pre- and Production'!AB548</f>
        <v>STAR</v>
      </c>
      <c r="B11" s="115">
        <f>'Pre- and Production'!AC548</f>
        <v>0</v>
      </c>
      <c r="C11" s="116">
        <f>'Pre- and Production'!AD548</f>
        <v>684</v>
      </c>
      <c r="D11" s="116">
        <f>'Pre- and Production'!AE548</f>
        <v>0</v>
      </c>
      <c r="E11" s="116">
        <f>'Pre- and Production'!AF548</f>
        <v>496</v>
      </c>
      <c r="F11" s="116">
        <f>'Pre- and Production'!AG548</f>
        <v>0</v>
      </c>
      <c r="G11" s="121">
        <f>'Pre- and Production'!AH548</f>
        <v>0</v>
      </c>
      <c r="H11" s="117"/>
      <c r="I11" s="101"/>
      <c r="J11" s="101"/>
      <c r="K11" s="80" t="str">
        <f>'Pre- and Production'!AL548</f>
        <v>STAR</v>
      </c>
      <c r="L11" s="115">
        <f>'Pre- and Production'!AM548</f>
        <v>0</v>
      </c>
      <c r="M11" s="116">
        <f>'Pre- and Production'!AN548</f>
        <v>0</v>
      </c>
      <c r="N11" s="116">
        <f>'Pre- and Production'!AO548</f>
        <v>0</v>
      </c>
      <c r="O11" s="116">
        <f>'Pre- and Production'!AP548</f>
        <v>32</v>
      </c>
      <c r="P11" s="116">
        <f>'Pre- and Production'!AQ548</f>
        <v>0</v>
      </c>
      <c r="Q11" s="121">
        <f>'Pre- and Production'!AR548</f>
        <v>0</v>
      </c>
      <c r="R11" s="117"/>
    </row>
    <row r="12" spans="1:25">
      <c r="A12" s="80"/>
      <c r="B12" s="449" t="str">
        <f>'Pre- and Production'!AC549</f>
        <v>Project Estimated Cost</v>
      </c>
      <c r="C12" s="450"/>
      <c r="D12" s="450"/>
      <c r="E12" s="450"/>
      <c r="F12" s="450"/>
      <c r="G12" s="450"/>
      <c r="H12" s="451"/>
      <c r="I12" s="101"/>
      <c r="J12" s="101"/>
      <c r="K12" s="80"/>
      <c r="L12" s="449" t="str">
        <f>'Pre- and Production'!AM549</f>
        <v>Project Estimated Contingency</v>
      </c>
      <c r="M12" s="450"/>
      <c r="N12" s="450"/>
      <c r="O12" s="450"/>
      <c r="P12" s="450"/>
      <c r="Q12" s="450"/>
      <c r="R12" s="451"/>
    </row>
    <row r="13" spans="1:25">
      <c r="A13" s="80"/>
      <c r="B13" s="112" t="str">
        <f>'Pre- and Production'!AC550</f>
        <v>Shop Cost</v>
      </c>
      <c r="C13" s="113" t="str">
        <f>'Pre- and Production'!AD550</f>
        <v>MT Cost</v>
      </c>
      <c r="D13" s="113" t="str">
        <f>'Pre- and Production'!AE550</f>
        <v>CMM</v>
      </c>
      <c r="E13" s="113" t="str">
        <f>'Pre- and Production'!AF550</f>
        <v>Engineering</v>
      </c>
      <c r="F13" s="113" t="str">
        <f>'Pre- and Production'!AG550</f>
        <v>Design</v>
      </c>
      <c r="G13" s="118" t="str">
        <f>'Pre- and Production'!AH550</f>
        <v>M&amp;S Cost</v>
      </c>
      <c r="H13" s="114" t="str">
        <f>'Pre- and Production'!AI550</f>
        <v>Totals</v>
      </c>
      <c r="I13" s="418" t="s">
        <v>516</v>
      </c>
      <c r="J13" s="418" t="s">
        <v>510</v>
      </c>
      <c r="K13" s="80"/>
      <c r="L13" s="112" t="str">
        <f>'Pre- and Production'!AM550</f>
        <v>Shop Cost</v>
      </c>
      <c r="M13" s="113" t="str">
        <f>'Pre- and Production'!AN550</f>
        <v>MT Cost</v>
      </c>
      <c r="N13" s="113" t="str">
        <f>'Pre- and Production'!AO550</f>
        <v>CMM</v>
      </c>
      <c r="O13" s="113" t="str">
        <f>'Pre- and Production'!AP550</f>
        <v>Engineering</v>
      </c>
      <c r="P13" s="113" t="str">
        <f>'Pre- and Production'!AQ550</f>
        <v>Design</v>
      </c>
      <c r="Q13" s="118" t="str">
        <f>'Pre- and Production'!AR550</f>
        <v>M&amp;S Cost</v>
      </c>
      <c r="R13" s="114" t="str">
        <f>'Pre- and Production'!AS550</f>
        <v>Totals</v>
      </c>
      <c r="S13" s="430" t="s">
        <v>516</v>
      </c>
      <c r="T13" s="418" t="s">
        <v>510</v>
      </c>
      <c r="V13" s="416" t="s">
        <v>515</v>
      </c>
      <c r="W13" s="430" t="s">
        <v>516</v>
      </c>
      <c r="X13" s="419" t="s">
        <v>511</v>
      </c>
      <c r="Y13" s="419" t="s">
        <v>512</v>
      </c>
    </row>
    <row r="14" spans="1:25">
      <c r="A14" s="80">
        <f>'Pre- and Production'!AB551</f>
        <v>2009</v>
      </c>
      <c r="B14" s="122">
        <f>'Pre- and Production'!AC551</f>
        <v>0</v>
      </c>
      <c r="C14" s="119">
        <f>'Pre- and Production'!AD551</f>
        <v>0</v>
      </c>
      <c r="D14" s="119">
        <f>'Pre- and Production'!AE551</f>
        <v>0</v>
      </c>
      <c r="E14" s="119">
        <f>'Pre- and Production'!AF551</f>
        <v>0</v>
      </c>
      <c r="F14" s="119">
        <f>'Pre- and Production'!AG551</f>
        <v>0</v>
      </c>
      <c r="G14" s="119">
        <f>'Pre- and Production'!AH551</f>
        <v>0</v>
      </c>
      <c r="H14" s="123">
        <f>'Pre- and Production'!AI551</f>
        <v>0</v>
      </c>
      <c r="I14" s="81">
        <v>0</v>
      </c>
      <c r="J14" s="81">
        <f>H14-I14</f>
        <v>0</v>
      </c>
      <c r="K14" s="80">
        <f>'Pre- and Production'!AL551</f>
        <v>2009</v>
      </c>
      <c r="L14" s="122">
        <f>'Pre- and Production'!AM551</f>
        <v>0</v>
      </c>
      <c r="M14" s="119">
        <f>'Pre- and Production'!AN551</f>
        <v>0</v>
      </c>
      <c r="N14" s="119">
        <f>'Pre- and Production'!AO551</f>
        <v>0</v>
      </c>
      <c r="O14" s="119">
        <f>'Pre- and Production'!AP551</f>
        <v>0</v>
      </c>
      <c r="P14" s="119">
        <f>'Pre- and Production'!AQ551</f>
        <v>0</v>
      </c>
      <c r="Q14" s="119">
        <f>'Pre- and Production'!AR551</f>
        <v>0</v>
      </c>
      <c r="R14" s="123">
        <f>'Pre- and Production'!AS551</f>
        <v>0</v>
      </c>
      <c r="S14" s="81">
        <v>0</v>
      </c>
      <c r="T14" s="81">
        <f>R14-S14</f>
        <v>0</v>
      </c>
      <c r="V14" s="110">
        <v>2009</v>
      </c>
      <c r="W14" s="81">
        <f>I14+S14</f>
        <v>0</v>
      </c>
      <c r="X14" s="81">
        <f>H14+R14</f>
        <v>0</v>
      </c>
      <c r="Y14" s="81">
        <f t="shared" ref="Y14:Y19" si="4">J14+T14</f>
        <v>0</v>
      </c>
    </row>
    <row r="15" spans="1:25">
      <c r="A15" s="80">
        <f>'Pre- and Production'!AB552</f>
        <v>2010</v>
      </c>
      <c r="B15" s="122">
        <f>'Pre- and Production'!AC552</f>
        <v>10332</v>
      </c>
      <c r="C15" s="119">
        <f>'Pre- and Production'!AD552</f>
        <v>31707</v>
      </c>
      <c r="D15" s="119">
        <f>'Pre- and Production'!AE552</f>
        <v>0</v>
      </c>
      <c r="E15" s="119">
        <f>'Pre- and Production'!AF552</f>
        <v>108570</v>
      </c>
      <c r="F15" s="119">
        <f>'Pre- and Production'!AG552</f>
        <v>0</v>
      </c>
      <c r="G15" s="119">
        <f>'Pre- and Production'!AH552</f>
        <v>42895</v>
      </c>
      <c r="H15" s="123">
        <f>'Pre- and Production'!AI552</f>
        <v>193504</v>
      </c>
      <c r="I15" s="81">
        <v>93634</v>
      </c>
      <c r="J15" s="81">
        <f t="shared" ref="J15:J20" si="5">H15-I15</f>
        <v>99870</v>
      </c>
      <c r="K15" s="80">
        <f>'Pre- and Production'!AL552</f>
        <v>2010</v>
      </c>
      <c r="L15" s="122">
        <f>'Pre- and Production'!AM552</f>
        <v>0</v>
      </c>
      <c r="M15" s="119">
        <f>'Pre- and Production'!AN552</f>
        <v>0</v>
      </c>
      <c r="N15" s="119">
        <f>'Pre- and Production'!AO552</f>
        <v>0</v>
      </c>
      <c r="O15" s="119">
        <f>'Pre- and Production'!AP552</f>
        <v>0</v>
      </c>
      <c r="P15" s="119">
        <f>'Pre- and Production'!AQ552</f>
        <v>0</v>
      </c>
      <c r="Q15" s="119">
        <f>'Pre- and Production'!AR552</f>
        <v>0</v>
      </c>
      <c r="R15" s="123">
        <f>'Pre- and Production'!AS552</f>
        <v>0</v>
      </c>
      <c r="S15" s="81">
        <v>0</v>
      </c>
      <c r="T15" s="81">
        <f t="shared" ref="T15:T20" si="6">R15-S15</f>
        <v>0</v>
      </c>
      <c r="V15" s="110">
        <v>2010</v>
      </c>
      <c r="W15" s="81">
        <f t="shared" ref="W15:W19" si="7">I15+S15</f>
        <v>93634</v>
      </c>
      <c r="X15" s="81">
        <f t="shared" ref="X15:X19" si="8">H15+R15</f>
        <v>193504</v>
      </c>
      <c r="Y15" s="81">
        <f t="shared" si="4"/>
        <v>99870</v>
      </c>
    </row>
    <row r="16" spans="1:25">
      <c r="A16" s="80">
        <f>'Pre- and Production'!AB553</f>
        <v>2011</v>
      </c>
      <c r="B16" s="122">
        <f>'Pre- and Production'!AC553</f>
        <v>56337.120000000003</v>
      </c>
      <c r="C16" s="119">
        <f>'Pre- and Production'!AD553</f>
        <v>151537.23000000001</v>
      </c>
      <c r="D16" s="119">
        <f>'Pre- and Production'!AE553</f>
        <v>4082.4</v>
      </c>
      <c r="E16" s="119">
        <f>'Pre- and Production'!AF553</f>
        <v>174231.00000000003</v>
      </c>
      <c r="F16" s="119">
        <f>'Pre- and Production'!AG553</f>
        <v>0</v>
      </c>
      <c r="G16" s="119">
        <f>'Pre- and Production'!AH553</f>
        <v>64360</v>
      </c>
      <c r="H16" s="123">
        <f>'Pre- and Production'!AI553</f>
        <v>450547.75</v>
      </c>
      <c r="I16" s="81">
        <v>690509.39</v>
      </c>
      <c r="J16" s="81">
        <f t="shared" si="5"/>
        <v>-239961.64</v>
      </c>
      <c r="K16" s="80">
        <f>'Pre- and Production'!AL553</f>
        <v>2011</v>
      </c>
      <c r="L16" s="122">
        <f>'Pre- and Production'!AM553</f>
        <v>22453.200000000001</v>
      </c>
      <c r="M16" s="119">
        <f>'Pre- and Production'!AN553</f>
        <v>72214.740000000005</v>
      </c>
      <c r="N16" s="119">
        <f>'Pre- and Production'!AO553</f>
        <v>816.48</v>
      </c>
      <c r="O16" s="119">
        <f>'Pre- and Production'!AP553</f>
        <v>49572.000000000007</v>
      </c>
      <c r="P16" s="119">
        <f>'Pre- and Production'!AQ553</f>
        <v>0</v>
      </c>
      <c r="Q16" s="119">
        <f>'Pre- and Production'!AR553</f>
        <v>14800</v>
      </c>
      <c r="R16" s="123">
        <f>'Pre- and Production'!AS553</f>
        <v>159856.42000000001</v>
      </c>
      <c r="S16" s="81">
        <v>180557.42</v>
      </c>
      <c r="T16" s="81">
        <f t="shared" si="6"/>
        <v>-20701</v>
      </c>
      <c r="V16" s="110">
        <v>2011</v>
      </c>
      <c r="W16" s="81">
        <f t="shared" si="7"/>
        <v>871066.81</v>
      </c>
      <c r="X16" s="81">
        <f t="shared" si="8"/>
        <v>610404.17000000004</v>
      </c>
      <c r="Y16" s="81">
        <f t="shared" si="4"/>
        <v>-260662.64</v>
      </c>
    </row>
    <row r="17" spans="1:25">
      <c r="A17" s="80">
        <f>'Pre- and Production'!AB554</f>
        <v>2012</v>
      </c>
      <c r="B17" s="122">
        <f>'Pre- and Production'!AC554</f>
        <v>33475.68</v>
      </c>
      <c r="C17" s="119">
        <f>'Pre- and Production'!AD554</f>
        <v>172007.55000000002</v>
      </c>
      <c r="D17" s="119">
        <f>'Pre- and Production'!AE554</f>
        <v>4082.4</v>
      </c>
      <c r="E17" s="119">
        <f>'Pre- and Production'!AF554</f>
        <v>69012.000000000015</v>
      </c>
      <c r="F17" s="119">
        <f>'Pre- and Production'!AG554</f>
        <v>0</v>
      </c>
      <c r="G17" s="119">
        <f>'Pre- and Production'!AH554</f>
        <v>132765</v>
      </c>
      <c r="H17" s="123">
        <f>'Pre- and Production'!AI554</f>
        <v>411342.63</v>
      </c>
      <c r="I17" s="81">
        <v>236218.17</v>
      </c>
      <c r="J17" s="81">
        <f t="shared" si="5"/>
        <v>175124.46</v>
      </c>
      <c r="K17" s="80">
        <f>'Pre- and Production'!AL554</f>
        <v>2012</v>
      </c>
      <c r="L17" s="122">
        <f>'Pre- and Production'!AM554</f>
        <v>27352.080000000002</v>
      </c>
      <c r="M17" s="119">
        <f>'Pre- and Production'!AN554</f>
        <v>56672.460000000006</v>
      </c>
      <c r="N17" s="119">
        <f>'Pre- and Production'!AO554</f>
        <v>816.48</v>
      </c>
      <c r="O17" s="119">
        <f>'Pre- and Production'!AP554</f>
        <v>30010.500000000004</v>
      </c>
      <c r="P17" s="119">
        <f>'Pre- and Production'!AQ554</f>
        <v>0</v>
      </c>
      <c r="Q17" s="119">
        <f>'Pre- and Production'!AR554</f>
        <v>122997.5</v>
      </c>
      <c r="R17" s="123">
        <f>'Pre- and Production'!AS554</f>
        <v>237849.02000000002</v>
      </c>
      <c r="S17" s="81">
        <v>237341.06</v>
      </c>
      <c r="T17" s="81">
        <f t="shared" si="6"/>
        <v>507.96000000002095</v>
      </c>
      <c r="V17" s="110">
        <v>2012</v>
      </c>
      <c r="W17" s="81">
        <f t="shared" si="7"/>
        <v>473559.23</v>
      </c>
      <c r="X17" s="81">
        <f t="shared" si="8"/>
        <v>649191.65</v>
      </c>
      <c r="Y17" s="81">
        <f t="shared" si="4"/>
        <v>175632.42</v>
      </c>
    </row>
    <row r="18" spans="1:25" s="420" customFormat="1">
      <c r="A18" s="80">
        <f>'Pre- and Production'!AB555</f>
        <v>2013</v>
      </c>
      <c r="B18" s="122">
        <f>'Pre- and Production'!AC555</f>
        <v>1837.08</v>
      </c>
      <c r="C18" s="119">
        <f>'Pre- and Production'!AD555</f>
        <v>71077.500000000015</v>
      </c>
      <c r="D18" s="119">
        <f>'Pre- and Production'!AE555</f>
        <v>5715.3600000000006</v>
      </c>
      <c r="E18" s="119">
        <f>'Pre- and Production'!AF555</f>
        <v>20412.000000000004</v>
      </c>
      <c r="F18" s="119">
        <f>'Pre- and Production'!AG555</f>
        <v>0</v>
      </c>
      <c r="G18" s="119">
        <f>'Pre- and Production'!AH555</f>
        <v>9870</v>
      </c>
      <c r="H18" s="123">
        <f>'Pre- and Production'!AI555</f>
        <v>108911.94000000002</v>
      </c>
      <c r="I18" s="81">
        <v>65283.800000000017</v>
      </c>
      <c r="J18" s="81">
        <f t="shared" ref="J18" si="9">H18-I18</f>
        <v>43628.14</v>
      </c>
      <c r="K18" s="80">
        <f>'Pre- and Production'!AL555</f>
        <v>2013</v>
      </c>
      <c r="L18" s="122">
        <f>'Pre- and Production'!AM555</f>
        <v>816.48</v>
      </c>
      <c r="M18" s="119">
        <f>'Pre- and Production'!AN555</f>
        <v>66054.69</v>
      </c>
      <c r="N18" s="119">
        <f>'Pre- and Production'!AO555</f>
        <v>3265.92</v>
      </c>
      <c r="O18" s="119">
        <f>'Pre- and Production'!AP555</f>
        <v>17010.000000000004</v>
      </c>
      <c r="P18" s="119">
        <f>'Pre- and Production'!AQ555</f>
        <v>0</v>
      </c>
      <c r="Q18" s="119">
        <f>'Pre- and Production'!AR555</f>
        <v>9205</v>
      </c>
      <c r="R18" s="123">
        <f>'Pre- and Production'!AS555</f>
        <v>96352.09</v>
      </c>
      <c r="S18" s="81">
        <v>76159.050000000017</v>
      </c>
      <c r="T18" s="81">
        <f t="shared" ref="T18" si="10">R18-S18</f>
        <v>20193.039999999979</v>
      </c>
      <c r="V18" s="420">
        <v>2013</v>
      </c>
      <c r="W18" s="81">
        <f t="shared" ref="W18" si="11">I18+S18</f>
        <v>141442.85000000003</v>
      </c>
      <c r="X18" s="81">
        <f t="shared" ref="X18" si="12">H18+R18</f>
        <v>205264.03000000003</v>
      </c>
      <c r="Y18" s="81">
        <f t="shared" si="4"/>
        <v>63821.179999999978</v>
      </c>
    </row>
    <row r="19" spans="1:25" ht="13.5" thickBot="1">
      <c r="A19" s="80">
        <f>'Pre- and Production'!AB556</f>
        <v>2014</v>
      </c>
      <c r="B19" s="124">
        <f>'Pre- and Production'!AC556</f>
        <v>0</v>
      </c>
      <c r="C19" s="120">
        <f>'Pre- and Production'!AD556</f>
        <v>19595.52</v>
      </c>
      <c r="D19" s="120">
        <f>'Pre- and Production'!AE556</f>
        <v>0</v>
      </c>
      <c r="E19" s="120">
        <f>'Pre- and Production'!AF556</f>
        <v>7756.56</v>
      </c>
      <c r="F19" s="120">
        <f>'Pre- and Production'!AG556</f>
        <v>0</v>
      </c>
      <c r="G19" s="120">
        <f>'Pre- and Production'!AH556</f>
        <v>0</v>
      </c>
      <c r="H19" s="125">
        <f>'Pre- and Production'!AI556</f>
        <v>27352.080000000002</v>
      </c>
      <c r="I19" s="81">
        <v>6123.6</v>
      </c>
      <c r="J19" s="81">
        <f t="shared" si="5"/>
        <v>21228.480000000003</v>
      </c>
      <c r="K19" s="80">
        <f>'Pre- and Production'!AL556</f>
        <v>2014</v>
      </c>
      <c r="L19" s="124">
        <f>'Pre- and Production'!AM556</f>
        <v>0</v>
      </c>
      <c r="M19" s="120">
        <f>'Pre- and Production'!AN556</f>
        <v>0</v>
      </c>
      <c r="N19" s="120">
        <f>'Pre- and Production'!AO556</f>
        <v>0</v>
      </c>
      <c r="O19" s="120">
        <f>'Pre- and Production'!AP556</f>
        <v>0</v>
      </c>
      <c r="P19" s="120">
        <f>'Pre- and Production'!AQ556</f>
        <v>0</v>
      </c>
      <c r="Q19" s="120">
        <f>'Pre- and Production'!AR556</f>
        <v>0</v>
      </c>
      <c r="R19" s="125">
        <f>'Pre- and Production'!AS556</f>
        <v>0</v>
      </c>
      <c r="S19" s="81">
        <v>0</v>
      </c>
      <c r="T19" s="81">
        <f t="shared" si="6"/>
        <v>0</v>
      </c>
      <c r="V19" s="110">
        <v>2014</v>
      </c>
      <c r="W19" s="81">
        <f t="shared" si="7"/>
        <v>6123.6</v>
      </c>
      <c r="X19" s="81">
        <f t="shared" si="8"/>
        <v>27352.080000000002</v>
      </c>
      <c r="Y19" s="81">
        <f t="shared" si="4"/>
        <v>21228.480000000003</v>
      </c>
    </row>
    <row r="20" spans="1:25">
      <c r="A20" s="80"/>
      <c r="B20" s="101"/>
      <c r="C20" s="101"/>
      <c r="D20" s="101"/>
      <c r="E20" s="101"/>
      <c r="F20" s="101"/>
      <c r="G20" s="111" t="str">
        <f>'Pre- and Production'!AH557</f>
        <v>Base Cost</v>
      </c>
      <c r="H20" s="81">
        <f>'Pre- and Production'!AI557</f>
        <v>1191658.3999999999</v>
      </c>
      <c r="I20" s="81">
        <f>SUM(I14:I19)</f>
        <v>1091768.9600000002</v>
      </c>
      <c r="J20" s="81">
        <f t="shared" si="5"/>
        <v>99889.439999999711</v>
      </c>
      <c r="K20" s="80"/>
      <c r="L20" s="101"/>
      <c r="M20" s="101"/>
      <c r="N20" s="101"/>
      <c r="O20" s="101"/>
      <c r="P20" s="101"/>
      <c r="Q20" s="111" t="str">
        <f>'Pre- and Production'!AR557</f>
        <v>Contingency</v>
      </c>
      <c r="R20" s="81">
        <f>'Pre- and Production'!AS557</f>
        <v>494057.53</v>
      </c>
      <c r="S20" s="81">
        <f>SUM(S14:S19)</f>
        <v>494057.53</v>
      </c>
      <c r="T20" s="81">
        <f t="shared" si="6"/>
        <v>0</v>
      </c>
      <c r="W20" s="81">
        <f>SUM(W14:W19)</f>
        <v>1585826.4900000002</v>
      </c>
      <c r="X20" s="81">
        <f t="shared" ref="X20:Y20" si="13">SUM(X14:X19)</f>
        <v>1685715.9300000002</v>
      </c>
      <c r="Y20" s="81">
        <f t="shared" si="13"/>
        <v>99889.439999999973</v>
      </c>
    </row>
    <row r="21" spans="1:25" ht="13.5" thickBot="1">
      <c r="A21" s="80"/>
      <c r="B21" s="101"/>
      <c r="C21" s="101"/>
      <c r="D21" s="101"/>
      <c r="E21" s="101"/>
      <c r="F21" s="101"/>
      <c r="H21" s="101"/>
      <c r="I21" s="101"/>
      <c r="J21" s="101"/>
      <c r="K21" s="80"/>
      <c r="L21" s="101"/>
      <c r="M21" s="101"/>
      <c r="N21" s="101"/>
      <c r="O21" s="101"/>
      <c r="P21" s="101"/>
      <c r="Q21" s="111" t="str">
        <f>'Pre- and Production'!AR558</f>
        <v>Percent</v>
      </c>
      <c r="R21" s="100">
        <f>'Pre- and Production'!AS558</f>
        <v>0.41459660755129157</v>
      </c>
    </row>
    <row r="22" spans="1:25">
      <c r="A22" s="80"/>
      <c r="B22" s="446" t="str">
        <f>'Pre- and Production'!AC561</f>
        <v>Pre-Production Base Cost</v>
      </c>
      <c r="C22" s="447"/>
      <c r="D22" s="447"/>
      <c r="E22" s="447"/>
      <c r="F22" s="447"/>
      <c r="G22" s="447"/>
      <c r="H22" s="448"/>
      <c r="I22" s="101"/>
      <c r="J22" s="101"/>
      <c r="K22" s="80"/>
      <c r="L22" s="446" t="str">
        <f>'Pre- and Production'!AM561</f>
        <v>Pre-Production Contingency Cost</v>
      </c>
      <c r="M22" s="447"/>
      <c r="N22" s="447"/>
      <c r="O22" s="447"/>
      <c r="P22" s="447"/>
      <c r="Q22" s="447"/>
      <c r="R22" s="448"/>
    </row>
    <row r="23" spans="1:25">
      <c r="A23" s="80"/>
      <c r="B23" s="112" t="str">
        <f>'Pre- and Production'!AC562</f>
        <v>Shop Time</v>
      </c>
      <c r="C23" s="113" t="str">
        <f>'Pre- and Production'!AD562</f>
        <v>MT Time</v>
      </c>
      <c r="D23" s="113" t="str">
        <f>'Pre- and Production'!AE562</f>
        <v>CMM</v>
      </c>
      <c r="E23" s="113" t="str">
        <f>'Pre- and Production'!AF562</f>
        <v>Engineering</v>
      </c>
      <c r="F23" s="113" t="str">
        <f>'Pre- and Production'!AG562</f>
        <v>Design</v>
      </c>
      <c r="G23" s="118" t="str">
        <f>'Pre- and Production'!AH562</f>
        <v>M&amp;S Cost</v>
      </c>
      <c r="H23" s="114"/>
      <c r="I23" s="101"/>
      <c r="J23" s="101"/>
      <c r="K23" s="80"/>
      <c r="L23" s="112" t="str">
        <f>'Pre- and Production'!AM562</f>
        <v>Shop Time</v>
      </c>
      <c r="M23" s="113" t="str">
        <f>'Pre- and Production'!AN562</f>
        <v>MT Time</v>
      </c>
      <c r="N23" s="113" t="str">
        <f>'Pre- and Production'!AO562</f>
        <v>CMM</v>
      </c>
      <c r="O23" s="113" t="str">
        <f>'Pre- and Production'!AP562</f>
        <v>Engineering</v>
      </c>
      <c r="P23" s="113" t="str">
        <f>'Pre- and Production'!AQ562</f>
        <v>Design</v>
      </c>
      <c r="Q23" s="118" t="str">
        <f>'Pre- and Production'!AR562</f>
        <v>M&amp;S Cost</v>
      </c>
      <c r="R23" s="114"/>
    </row>
    <row r="24" spans="1:25">
      <c r="A24" s="80">
        <f>'Pre- and Production'!AB563</f>
        <v>2009</v>
      </c>
      <c r="B24" s="115">
        <f>'Pre- and Production'!AC563</f>
        <v>0</v>
      </c>
      <c r="C24" s="116">
        <f>'Pre- and Production'!AD563</f>
        <v>0</v>
      </c>
      <c r="D24" s="116">
        <f>'Pre- and Production'!AE563</f>
        <v>0</v>
      </c>
      <c r="E24" s="116">
        <f>'Pre- and Production'!AF563</f>
        <v>0</v>
      </c>
      <c r="F24" s="116">
        <f>'Pre- and Production'!AG563</f>
        <v>0</v>
      </c>
      <c r="G24" s="121">
        <f>'Pre- and Production'!AH563</f>
        <v>0</v>
      </c>
      <c r="H24" s="117"/>
      <c r="I24" s="101"/>
      <c r="J24" s="101"/>
      <c r="K24" s="80">
        <f>'Pre- and Production'!AL563</f>
        <v>2009</v>
      </c>
      <c r="L24" s="115">
        <f>'Pre- and Production'!AM563</f>
        <v>0</v>
      </c>
      <c r="M24" s="116">
        <f>'Pre- and Production'!AN563</f>
        <v>0</v>
      </c>
      <c r="N24" s="116">
        <f>'Pre- and Production'!AO563</f>
        <v>0</v>
      </c>
      <c r="O24" s="116">
        <f>'Pre- and Production'!AP563</f>
        <v>0</v>
      </c>
      <c r="P24" s="116">
        <f>'Pre- and Production'!AQ563</f>
        <v>0</v>
      </c>
      <c r="Q24" s="121">
        <f>'Pre- and Production'!AR563</f>
        <v>0</v>
      </c>
      <c r="R24" s="117"/>
    </row>
    <row r="25" spans="1:25">
      <c r="A25" s="80">
        <f>'Pre- and Production'!AB564</f>
        <v>2010</v>
      </c>
      <c r="B25" s="115">
        <f>'Pre- and Production'!AC564</f>
        <v>82</v>
      </c>
      <c r="C25" s="116">
        <f>'Pre- and Production'!AD564</f>
        <v>271</v>
      </c>
      <c r="D25" s="116">
        <f>'Pre- and Production'!AE564</f>
        <v>0</v>
      </c>
      <c r="E25" s="116">
        <f>'Pre- and Production'!AF564</f>
        <v>578</v>
      </c>
      <c r="F25" s="116">
        <f>'Pre- and Production'!AG564</f>
        <v>0</v>
      </c>
      <c r="G25" s="121">
        <f>'Pre- and Production'!AH564</f>
        <v>42895</v>
      </c>
      <c r="H25" s="117"/>
      <c r="I25" s="101"/>
      <c r="J25" s="101"/>
      <c r="K25" s="80">
        <f>'Pre- and Production'!AL564</f>
        <v>2010</v>
      </c>
      <c r="L25" s="115">
        <f>'Pre- and Production'!AM564</f>
        <v>0</v>
      </c>
      <c r="M25" s="116">
        <f>'Pre- and Production'!AN564</f>
        <v>0</v>
      </c>
      <c r="N25" s="116">
        <f>'Pre- and Production'!AO564</f>
        <v>0</v>
      </c>
      <c r="O25" s="116">
        <f>'Pre- and Production'!AP564</f>
        <v>0</v>
      </c>
      <c r="P25" s="116">
        <f>'Pre- and Production'!AQ564</f>
        <v>0</v>
      </c>
      <c r="Q25" s="121">
        <f>'Pre- and Production'!AR564</f>
        <v>0</v>
      </c>
      <c r="R25" s="117"/>
    </row>
    <row r="26" spans="1:25">
      <c r="A26" s="80">
        <f>'Pre- and Production'!AB565</f>
        <v>2011</v>
      </c>
      <c r="B26" s="115">
        <f>'Pre- and Production'!AC565</f>
        <v>0</v>
      </c>
      <c r="C26" s="116">
        <f>'Pre- and Production'!AD565</f>
        <v>0</v>
      </c>
      <c r="D26" s="116">
        <f>'Pre- and Production'!AE565</f>
        <v>0</v>
      </c>
      <c r="E26" s="116">
        <f>'Pre- and Production'!AF565</f>
        <v>0</v>
      </c>
      <c r="F26" s="116">
        <f>'Pre- and Production'!AG565</f>
        <v>0</v>
      </c>
      <c r="G26" s="121">
        <f>'Pre- and Production'!AH565</f>
        <v>0</v>
      </c>
      <c r="H26" s="117"/>
      <c r="I26" s="101"/>
      <c r="J26" s="101"/>
      <c r="K26" s="80">
        <f>'Pre- and Production'!AL565</f>
        <v>2011</v>
      </c>
      <c r="L26" s="115">
        <f>'Pre- and Production'!AM565</f>
        <v>0</v>
      </c>
      <c r="M26" s="116">
        <f>'Pre- and Production'!AN565</f>
        <v>0</v>
      </c>
      <c r="N26" s="116">
        <f>'Pre- and Production'!AO565</f>
        <v>0</v>
      </c>
      <c r="O26" s="116">
        <f>'Pre- and Production'!AP565</f>
        <v>0</v>
      </c>
      <c r="P26" s="116">
        <f>'Pre- and Production'!AQ565</f>
        <v>0</v>
      </c>
      <c r="Q26" s="121">
        <f>'Pre- and Production'!AR565</f>
        <v>0</v>
      </c>
      <c r="R26" s="117"/>
    </row>
    <row r="27" spans="1:25">
      <c r="A27" s="80">
        <f>'Pre- and Production'!AB566</f>
        <v>2012</v>
      </c>
      <c r="B27" s="115">
        <f>'Pre- and Production'!AC566</f>
        <v>0</v>
      </c>
      <c r="C27" s="116">
        <f>'Pre- and Production'!AD566</f>
        <v>0</v>
      </c>
      <c r="D27" s="116">
        <f>'Pre- and Production'!AE566</f>
        <v>0</v>
      </c>
      <c r="E27" s="116">
        <f>'Pre- and Production'!AF566</f>
        <v>0</v>
      </c>
      <c r="F27" s="116">
        <f>'Pre- and Production'!AG566</f>
        <v>0</v>
      </c>
      <c r="G27" s="121">
        <f>'Pre- and Production'!AH566</f>
        <v>0</v>
      </c>
      <c r="H27" s="117"/>
      <c r="I27" s="101"/>
      <c r="J27" s="101"/>
      <c r="K27" s="80">
        <f>'Pre- and Production'!AL566</f>
        <v>2012</v>
      </c>
      <c r="L27" s="115">
        <f>'Pre- and Production'!AM566</f>
        <v>0</v>
      </c>
      <c r="M27" s="116">
        <f>'Pre- and Production'!AN566</f>
        <v>0</v>
      </c>
      <c r="N27" s="116">
        <f>'Pre- and Production'!AO566</f>
        <v>0</v>
      </c>
      <c r="O27" s="116">
        <f>'Pre- and Production'!AP566</f>
        <v>0</v>
      </c>
      <c r="P27" s="116">
        <f>'Pre- and Production'!AQ566</f>
        <v>0</v>
      </c>
      <c r="Q27" s="121">
        <f>'Pre- and Production'!AR566</f>
        <v>0</v>
      </c>
      <c r="R27" s="117"/>
    </row>
    <row r="28" spans="1:25">
      <c r="A28" s="80">
        <f>'Pre- and Production'!AB567</f>
        <v>2013</v>
      </c>
      <c r="B28" s="115">
        <f>'Pre- and Production'!AC567</f>
        <v>0</v>
      </c>
      <c r="C28" s="116">
        <f>'Pre- and Production'!AD567</f>
        <v>0</v>
      </c>
      <c r="D28" s="116">
        <f>'Pre- and Production'!AE567</f>
        <v>0</v>
      </c>
      <c r="E28" s="116">
        <f>'Pre- and Production'!AF567</f>
        <v>0</v>
      </c>
      <c r="F28" s="116">
        <f>'Pre- and Production'!AG567</f>
        <v>0</v>
      </c>
      <c r="G28" s="121">
        <f>'Pre- and Production'!AH567</f>
        <v>0</v>
      </c>
      <c r="H28" s="117"/>
      <c r="I28" s="101"/>
      <c r="J28" s="101"/>
      <c r="K28" s="80">
        <f>'Pre- and Production'!AL567</f>
        <v>2013</v>
      </c>
      <c r="L28" s="115">
        <f>'Pre- and Production'!AM567</f>
        <v>0</v>
      </c>
      <c r="M28" s="116">
        <f>'Pre- and Production'!AN567</f>
        <v>0</v>
      </c>
      <c r="N28" s="116">
        <f>'Pre- and Production'!AO567</f>
        <v>0</v>
      </c>
      <c r="O28" s="116">
        <f>'Pre- and Production'!AP567</f>
        <v>0</v>
      </c>
      <c r="P28" s="116">
        <f>'Pre- and Production'!AQ567</f>
        <v>0</v>
      </c>
      <c r="Q28" s="121">
        <f>'Pre- and Production'!AR567</f>
        <v>0</v>
      </c>
      <c r="R28" s="117"/>
    </row>
    <row r="29" spans="1:25" s="420" customFormat="1">
      <c r="A29" s="80"/>
      <c r="B29" s="115"/>
      <c r="C29" s="116"/>
      <c r="D29" s="116"/>
      <c r="E29" s="116"/>
      <c r="F29" s="116"/>
      <c r="G29" s="121"/>
      <c r="H29" s="117"/>
      <c r="I29" s="101"/>
      <c r="J29" s="101"/>
      <c r="K29" s="80"/>
      <c r="L29" s="115"/>
      <c r="M29" s="116"/>
      <c r="N29" s="116"/>
      <c r="O29" s="116"/>
      <c r="P29" s="116"/>
      <c r="Q29" s="121"/>
      <c r="R29" s="117"/>
    </row>
    <row r="30" spans="1:25">
      <c r="A30" s="80" t="str">
        <f>'Pre- and Production'!AB569</f>
        <v>CONT</v>
      </c>
      <c r="B30" s="115">
        <f>'Pre- and Production'!AC569</f>
        <v>0</v>
      </c>
      <c r="C30" s="116">
        <f>'Pre- and Production'!AD569</f>
        <v>0</v>
      </c>
      <c r="D30" s="116">
        <f>'Pre- and Production'!AE569</f>
        <v>0</v>
      </c>
      <c r="E30" s="116">
        <f>'Pre- and Production'!AF569</f>
        <v>0</v>
      </c>
      <c r="F30" s="116">
        <f>'Pre- and Production'!AG569</f>
        <v>0</v>
      </c>
      <c r="G30" s="121">
        <f>'Pre- and Production'!AH569</f>
        <v>0</v>
      </c>
      <c r="H30" s="117"/>
      <c r="I30" s="101"/>
      <c r="J30" s="101"/>
      <c r="K30" s="80" t="str">
        <f>'Pre- and Production'!AL569</f>
        <v>CONT</v>
      </c>
      <c r="L30" s="115">
        <f>'Pre- and Production'!AM569</f>
        <v>0</v>
      </c>
      <c r="M30" s="116">
        <f>'Pre- and Production'!AN569</f>
        <v>0</v>
      </c>
      <c r="N30" s="116">
        <f>'Pre- and Production'!AO569</f>
        <v>0</v>
      </c>
      <c r="O30" s="116">
        <f>'Pre- and Production'!AP569</f>
        <v>0</v>
      </c>
      <c r="P30" s="116">
        <f>'Pre- and Production'!AQ569</f>
        <v>0</v>
      </c>
      <c r="Q30" s="121">
        <f>'Pre- and Production'!AR569</f>
        <v>0</v>
      </c>
      <c r="R30" s="117"/>
    </row>
    <row r="31" spans="1:25">
      <c r="A31" s="80" t="str">
        <f>'Pre- and Production'!AB570</f>
        <v>STAR</v>
      </c>
      <c r="B31" s="115">
        <f>'Pre- and Production'!AC570</f>
        <v>0</v>
      </c>
      <c r="C31" s="116">
        <f>'Pre- and Production'!AD570</f>
        <v>0</v>
      </c>
      <c r="D31" s="116">
        <f>'Pre- and Production'!AE570</f>
        <v>0</v>
      </c>
      <c r="E31" s="116">
        <f>'Pre- and Production'!AF570</f>
        <v>0</v>
      </c>
      <c r="F31" s="116">
        <f>'Pre- and Production'!AG570</f>
        <v>0</v>
      </c>
      <c r="G31" s="121">
        <f>'Pre- and Production'!AH570</f>
        <v>0</v>
      </c>
      <c r="H31" s="117"/>
      <c r="I31" s="101"/>
      <c r="J31" s="101"/>
      <c r="K31" s="80" t="str">
        <f>'Pre- and Production'!AL570</f>
        <v>STAR</v>
      </c>
      <c r="L31" s="115">
        <f>'Pre- and Production'!AM570</f>
        <v>0</v>
      </c>
      <c r="M31" s="116">
        <f>'Pre- and Production'!AN570</f>
        <v>0</v>
      </c>
      <c r="N31" s="116">
        <f>'Pre- and Production'!AO570</f>
        <v>0</v>
      </c>
      <c r="O31" s="116">
        <f>'Pre- and Production'!AP570</f>
        <v>0</v>
      </c>
      <c r="P31" s="116">
        <f>'Pre- and Production'!AQ570</f>
        <v>0</v>
      </c>
      <c r="Q31" s="121">
        <f>'Pre- and Production'!AR570</f>
        <v>0</v>
      </c>
      <c r="R31" s="117"/>
    </row>
    <row r="32" spans="1:25">
      <c r="A32" s="80"/>
      <c r="B32" s="449" t="str">
        <f>'Pre- and Production'!AC571</f>
        <v>Project Estimated Cost</v>
      </c>
      <c r="C32" s="450"/>
      <c r="D32" s="450"/>
      <c r="E32" s="450"/>
      <c r="F32" s="450"/>
      <c r="G32" s="450"/>
      <c r="H32" s="451"/>
      <c r="I32" s="101"/>
      <c r="J32" s="101"/>
      <c r="K32" s="80"/>
      <c r="L32" s="449" t="str">
        <f>'Pre- and Production'!AM571</f>
        <v>Project Estimated Cost</v>
      </c>
      <c r="M32" s="450"/>
      <c r="N32" s="450"/>
      <c r="O32" s="450"/>
      <c r="P32" s="450"/>
      <c r="Q32" s="450"/>
      <c r="R32" s="451"/>
    </row>
    <row r="33" spans="1:18">
      <c r="A33" s="80"/>
      <c r="B33" s="112" t="str">
        <f>'Pre- and Production'!AC572</f>
        <v>Shop Cost</v>
      </c>
      <c r="C33" s="113" t="str">
        <f>'Pre- and Production'!AD572</f>
        <v>MT Cost</v>
      </c>
      <c r="D33" s="113" t="str">
        <f>'Pre- and Production'!AE572</f>
        <v>CMM</v>
      </c>
      <c r="E33" s="113" t="str">
        <f>'Pre- and Production'!AF572</f>
        <v>Engineering</v>
      </c>
      <c r="F33" s="113" t="str">
        <f>'Pre- and Production'!AG572</f>
        <v>Design</v>
      </c>
      <c r="G33" s="118" t="str">
        <f>'Pre- and Production'!AH572</f>
        <v>M&amp;S Cost</v>
      </c>
      <c r="H33" s="114" t="str">
        <f>'Pre- and Production'!AI572</f>
        <v>Totals</v>
      </c>
      <c r="I33" s="101"/>
      <c r="J33" s="101"/>
      <c r="K33" s="80"/>
      <c r="L33" s="112" t="str">
        <f>'Pre- and Production'!AM572</f>
        <v>Shop Cost</v>
      </c>
      <c r="M33" s="113" t="str">
        <f>'Pre- and Production'!AN572</f>
        <v>MT Cost</v>
      </c>
      <c r="N33" s="113" t="str">
        <f>'Pre- and Production'!AO572</f>
        <v>CMM</v>
      </c>
      <c r="O33" s="113" t="str">
        <f>'Pre- and Production'!AP572</f>
        <v>Engineering</v>
      </c>
      <c r="P33" s="113" t="str">
        <f>'Pre- and Production'!AQ572</f>
        <v>Design</v>
      </c>
      <c r="Q33" s="118" t="str">
        <f>'Pre- and Production'!AR572</f>
        <v>M&amp;S Cost</v>
      </c>
      <c r="R33" s="114" t="str">
        <f>'Pre- and Production'!AS572</f>
        <v>Totals</v>
      </c>
    </row>
    <row r="34" spans="1:18">
      <c r="A34" s="80">
        <f>'Pre- and Production'!AB573</f>
        <v>2009</v>
      </c>
      <c r="B34" s="122">
        <f>'Pre- and Production'!AC573</f>
        <v>0</v>
      </c>
      <c r="C34" s="119">
        <f>'Pre- and Production'!AD573</f>
        <v>0</v>
      </c>
      <c r="D34" s="119">
        <f>'Pre- and Production'!AE573</f>
        <v>0</v>
      </c>
      <c r="E34" s="119">
        <f>'Pre- and Production'!AF573</f>
        <v>0</v>
      </c>
      <c r="F34" s="119">
        <f>'Pre- and Production'!AG573</f>
        <v>0</v>
      </c>
      <c r="G34" s="119">
        <f>'Pre- and Production'!AH573</f>
        <v>0</v>
      </c>
      <c r="H34" s="123">
        <f>'Pre- and Production'!AI573</f>
        <v>0</v>
      </c>
      <c r="I34" s="101"/>
      <c r="J34" s="101"/>
      <c r="K34" s="80">
        <f>'Pre- and Production'!AL573</f>
        <v>2009</v>
      </c>
      <c r="L34" s="122">
        <f>'Pre- and Production'!AM573</f>
        <v>0</v>
      </c>
      <c r="M34" s="119">
        <f>'Pre- and Production'!AN573</f>
        <v>0</v>
      </c>
      <c r="N34" s="119">
        <f>'Pre- and Production'!AO573</f>
        <v>0</v>
      </c>
      <c r="O34" s="119">
        <f>'Pre- and Production'!AP573</f>
        <v>0</v>
      </c>
      <c r="P34" s="119">
        <f>'Pre- and Production'!AQ573</f>
        <v>0</v>
      </c>
      <c r="Q34" s="119">
        <f>'Pre- and Production'!AR573</f>
        <v>0</v>
      </c>
      <c r="R34" s="123">
        <f>'Pre- and Production'!AS573</f>
        <v>0</v>
      </c>
    </row>
    <row r="35" spans="1:18">
      <c r="A35" s="80">
        <f>'Pre- and Production'!AB574</f>
        <v>2010</v>
      </c>
      <c r="B35" s="122">
        <f>'Pre- and Production'!AC574</f>
        <v>10332</v>
      </c>
      <c r="C35" s="119">
        <f>'Pre- and Production'!AD574</f>
        <v>31707</v>
      </c>
      <c r="D35" s="119">
        <f>'Pre- and Production'!AE574</f>
        <v>0</v>
      </c>
      <c r="E35" s="119">
        <f>'Pre- and Production'!AF574</f>
        <v>86700</v>
      </c>
      <c r="F35" s="119">
        <f>'Pre- and Production'!AG574</f>
        <v>0</v>
      </c>
      <c r="G35" s="119">
        <f>'Pre- and Production'!AH574</f>
        <v>42895</v>
      </c>
      <c r="H35" s="123">
        <f>'Pre- and Production'!AI574</f>
        <v>171634</v>
      </c>
      <c r="I35" s="101"/>
      <c r="J35" s="101"/>
      <c r="K35" s="80">
        <f>'Pre- and Production'!AL574</f>
        <v>2010</v>
      </c>
      <c r="L35" s="122">
        <f>'Pre- and Production'!AM574</f>
        <v>0</v>
      </c>
      <c r="M35" s="119">
        <f>'Pre- and Production'!AN574</f>
        <v>0</v>
      </c>
      <c r="N35" s="119">
        <f>'Pre- and Production'!AO574</f>
        <v>0</v>
      </c>
      <c r="O35" s="119">
        <f>'Pre- and Production'!AP574</f>
        <v>0</v>
      </c>
      <c r="P35" s="119">
        <f>'Pre- and Production'!AQ574</f>
        <v>0</v>
      </c>
      <c r="Q35" s="119">
        <f>'Pre- and Production'!AR574</f>
        <v>0</v>
      </c>
      <c r="R35" s="123">
        <f>'Pre- and Production'!AS574</f>
        <v>0</v>
      </c>
    </row>
    <row r="36" spans="1:18">
      <c r="A36" s="80">
        <f>'Pre- and Production'!AB575</f>
        <v>2011</v>
      </c>
      <c r="B36" s="122">
        <f>'Pre- and Production'!AC575</f>
        <v>0</v>
      </c>
      <c r="C36" s="119">
        <f>'Pre- and Production'!AD575</f>
        <v>0</v>
      </c>
      <c r="D36" s="119">
        <f>'Pre- and Production'!AE575</f>
        <v>0</v>
      </c>
      <c r="E36" s="119">
        <f>'Pre- and Production'!AF575</f>
        <v>0</v>
      </c>
      <c r="F36" s="119">
        <f>'Pre- and Production'!AG575</f>
        <v>0</v>
      </c>
      <c r="G36" s="119">
        <f>'Pre- and Production'!AH575</f>
        <v>0</v>
      </c>
      <c r="H36" s="123">
        <f>'Pre- and Production'!AI575</f>
        <v>0</v>
      </c>
      <c r="I36" s="101"/>
      <c r="J36" s="101"/>
      <c r="K36" s="80">
        <f>'Pre- and Production'!AL575</f>
        <v>2011</v>
      </c>
      <c r="L36" s="122">
        <f>'Pre- and Production'!AM575</f>
        <v>0</v>
      </c>
      <c r="M36" s="119">
        <f>'Pre- and Production'!AN575</f>
        <v>0</v>
      </c>
      <c r="N36" s="119">
        <f>'Pre- and Production'!AO575</f>
        <v>0</v>
      </c>
      <c r="O36" s="119">
        <f>'Pre- and Production'!AP575</f>
        <v>0</v>
      </c>
      <c r="P36" s="119">
        <f>'Pre- and Production'!AQ575</f>
        <v>0</v>
      </c>
      <c r="Q36" s="119">
        <f>'Pre- and Production'!AR575</f>
        <v>0</v>
      </c>
      <c r="R36" s="123">
        <f>'Pre- and Production'!AS575</f>
        <v>0</v>
      </c>
    </row>
    <row r="37" spans="1:18">
      <c r="A37" s="80">
        <f>'Pre- and Production'!AB576</f>
        <v>2012</v>
      </c>
      <c r="B37" s="122">
        <f>'Pre- and Production'!AC576</f>
        <v>0</v>
      </c>
      <c r="C37" s="119">
        <f>'Pre- and Production'!AD576</f>
        <v>0</v>
      </c>
      <c r="D37" s="119">
        <f>'Pre- and Production'!AE576</f>
        <v>0</v>
      </c>
      <c r="E37" s="119">
        <f>'Pre- and Production'!AF576</f>
        <v>0</v>
      </c>
      <c r="F37" s="119">
        <f>'Pre- and Production'!AG576</f>
        <v>0</v>
      </c>
      <c r="G37" s="119">
        <f>'Pre- and Production'!AH576</f>
        <v>0</v>
      </c>
      <c r="H37" s="123">
        <f>'Pre- and Production'!AI576</f>
        <v>0</v>
      </c>
      <c r="I37" s="101"/>
      <c r="J37" s="101"/>
      <c r="K37" s="80">
        <f>'Pre- and Production'!AL576</f>
        <v>2012</v>
      </c>
      <c r="L37" s="122">
        <f>'Pre- and Production'!AM576</f>
        <v>0</v>
      </c>
      <c r="M37" s="119">
        <f>'Pre- and Production'!AN576</f>
        <v>0</v>
      </c>
      <c r="N37" s="119">
        <f>'Pre- and Production'!AO576</f>
        <v>0</v>
      </c>
      <c r="O37" s="119">
        <f>'Pre- and Production'!AP576</f>
        <v>0</v>
      </c>
      <c r="P37" s="119">
        <f>'Pre- and Production'!AQ576</f>
        <v>0</v>
      </c>
      <c r="Q37" s="119">
        <f>'Pre- and Production'!AR576</f>
        <v>0</v>
      </c>
      <c r="R37" s="123">
        <f>'Pre- and Production'!AS576</f>
        <v>0</v>
      </c>
    </row>
    <row r="38" spans="1:18" s="420" customFormat="1">
      <c r="A38" s="80">
        <f>'Pre- and Production'!AB577</f>
        <v>2013</v>
      </c>
      <c r="B38" s="122">
        <f>'Pre- and Production'!AC577</f>
        <v>0</v>
      </c>
      <c r="C38" s="119">
        <f>'Pre- and Production'!AD577</f>
        <v>0</v>
      </c>
      <c r="D38" s="119">
        <f>'Pre- and Production'!AE577</f>
        <v>0</v>
      </c>
      <c r="E38" s="119">
        <f>'Pre- and Production'!AF577</f>
        <v>0</v>
      </c>
      <c r="F38" s="119">
        <f>'Pre- and Production'!AG577</f>
        <v>0</v>
      </c>
      <c r="G38" s="119">
        <f>'Pre- and Production'!AH577</f>
        <v>0</v>
      </c>
      <c r="H38" s="123">
        <f>'Pre- and Production'!AI577</f>
        <v>0</v>
      </c>
      <c r="I38" s="101"/>
      <c r="J38" s="101"/>
      <c r="K38" s="80">
        <f>'Pre- and Production'!AL577</f>
        <v>2013</v>
      </c>
      <c r="L38" s="122">
        <f>'Pre- and Production'!AM577</f>
        <v>0</v>
      </c>
      <c r="M38" s="119">
        <f>'Pre- and Production'!AN577</f>
        <v>0</v>
      </c>
      <c r="N38" s="119">
        <f>'Pre- and Production'!AO577</f>
        <v>0</v>
      </c>
      <c r="O38" s="119">
        <f>'Pre- and Production'!AP577</f>
        <v>0</v>
      </c>
      <c r="P38" s="119">
        <f>'Pre- and Production'!AQ577</f>
        <v>0</v>
      </c>
      <c r="Q38" s="119">
        <f>'Pre- and Production'!AR577</f>
        <v>0</v>
      </c>
      <c r="R38" s="123">
        <f>'Pre- and Production'!AS577</f>
        <v>0</v>
      </c>
    </row>
    <row r="39" spans="1:18" ht="13.5" thickBot="1">
      <c r="A39" s="80">
        <f>'Pre- and Production'!AB578</f>
        <v>2014</v>
      </c>
      <c r="B39" s="124">
        <f>'Pre- and Production'!AC578</f>
        <v>0</v>
      </c>
      <c r="C39" s="120">
        <f>'Pre- and Production'!AD578</f>
        <v>0</v>
      </c>
      <c r="D39" s="120">
        <f>'Pre- and Production'!AE578</f>
        <v>0</v>
      </c>
      <c r="E39" s="120">
        <f>'Pre- and Production'!AF578</f>
        <v>0</v>
      </c>
      <c r="F39" s="120">
        <f>'Pre- and Production'!AG578</f>
        <v>0</v>
      </c>
      <c r="G39" s="120">
        <f>'Pre- and Production'!AH578</f>
        <v>0</v>
      </c>
      <c r="H39" s="125">
        <f>'Pre- and Production'!AI578</f>
        <v>0</v>
      </c>
      <c r="I39" s="101"/>
      <c r="J39" s="101"/>
      <c r="K39" s="80">
        <f>'Pre- and Production'!AL578</f>
        <v>2014</v>
      </c>
      <c r="L39" s="124">
        <f>'Pre- and Production'!AM578</f>
        <v>0</v>
      </c>
      <c r="M39" s="120">
        <f>'Pre- and Production'!AN578</f>
        <v>0</v>
      </c>
      <c r="N39" s="120">
        <f>'Pre- and Production'!AO578</f>
        <v>0</v>
      </c>
      <c r="O39" s="120">
        <f>'Pre- and Production'!AP578</f>
        <v>0</v>
      </c>
      <c r="P39" s="120">
        <f>'Pre- and Production'!AQ578</f>
        <v>0</v>
      </c>
      <c r="Q39" s="120">
        <f>'Pre- and Production'!AR578</f>
        <v>0</v>
      </c>
      <c r="R39" s="125">
        <f>'Pre- and Production'!AS578</f>
        <v>0</v>
      </c>
    </row>
    <row r="40" spans="1:18">
      <c r="A40" s="80"/>
      <c r="B40" s="101"/>
      <c r="C40" s="101"/>
      <c r="D40" s="101"/>
      <c r="E40" s="101"/>
      <c r="F40" s="101"/>
      <c r="G40" s="111" t="str">
        <f>'Pre- and Production'!AH579</f>
        <v>Base Cost</v>
      </c>
      <c r="H40" s="81">
        <f>'Pre- and Production'!AI579</f>
        <v>171634</v>
      </c>
      <c r="I40" s="101"/>
      <c r="J40" s="101"/>
      <c r="K40" s="80"/>
      <c r="L40" s="101"/>
      <c r="M40" s="101"/>
      <c r="N40" s="101"/>
      <c r="O40" s="101"/>
      <c r="P40" s="101"/>
      <c r="Q40" s="111" t="str">
        <f>'Pre- and Production'!AR579</f>
        <v>Contingency</v>
      </c>
      <c r="R40" s="81">
        <f>'Pre- and Production'!AS579</f>
        <v>0</v>
      </c>
    </row>
    <row r="41" spans="1:18" ht="13.5" thickBot="1">
      <c r="A41" s="80"/>
      <c r="B41" s="101"/>
      <c r="C41" s="101"/>
      <c r="D41" s="101"/>
      <c r="E41" s="101"/>
      <c r="F41" s="101"/>
      <c r="H41" s="101"/>
      <c r="I41" s="101"/>
      <c r="J41" s="101"/>
      <c r="K41" s="80"/>
      <c r="L41" s="101"/>
      <c r="M41" s="101"/>
      <c r="N41" s="101"/>
      <c r="O41" s="101"/>
      <c r="P41" s="101"/>
      <c r="Q41" s="111" t="str">
        <f>'Pre- and Production'!AR580</f>
        <v>Percent</v>
      </c>
      <c r="R41" s="100">
        <f>'Pre- and Production'!AS580</f>
        <v>0</v>
      </c>
    </row>
    <row r="42" spans="1:18">
      <c r="A42" s="80"/>
      <c r="B42" s="446" t="str">
        <f>'Pre- and Production'!AC582</f>
        <v>Production Base Cost</v>
      </c>
      <c r="C42" s="447"/>
      <c r="D42" s="447"/>
      <c r="E42" s="447"/>
      <c r="F42" s="447"/>
      <c r="G42" s="447"/>
      <c r="H42" s="448"/>
      <c r="I42" s="101"/>
      <c r="J42" s="101"/>
      <c r="K42" s="80"/>
      <c r="L42" s="446" t="str">
        <f>'Pre- and Production'!AM582</f>
        <v>Production Contingency Cost</v>
      </c>
      <c r="M42" s="447"/>
      <c r="N42" s="447"/>
      <c r="O42" s="447"/>
      <c r="P42" s="447"/>
      <c r="Q42" s="447"/>
      <c r="R42" s="448"/>
    </row>
    <row r="43" spans="1:18">
      <c r="A43" s="80"/>
      <c r="B43" s="112" t="str">
        <f>'Pre- and Production'!AC583</f>
        <v>Shop Time</v>
      </c>
      <c r="C43" s="113" t="str">
        <f>'Pre- and Production'!AD583</f>
        <v>MT Time</v>
      </c>
      <c r="D43" s="113" t="str">
        <f>'Pre- and Production'!AE583</f>
        <v>CMM</v>
      </c>
      <c r="E43" s="113" t="str">
        <f>'Pre- and Production'!AF583</f>
        <v>Engineering</v>
      </c>
      <c r="F43" s="113" t="str">
        <f>'Pre- and Production'!AG583</f>
        <v>Design</v>
      </c>
      <c r="G43" s="118" t="str">
        <f>'Pre- and Production'!AH583</f>
        <v>M&amp;S Cost</v>
      </c>
      <c r="H43" s="114"/>
      <c r="I43" s="101"/>
      <c r="J43" s="101"/>
      <c r="K43" s="80"/>
      <c r="L43" s="112" t="str">
        <f>'Pre- and Production'!AM583</f>
        <v>Shop Time</v>
      </c>
      <c r="M43" s="113" t="str">
        <f>'Pre- and Production'!AN583</f>
        <v>MT Time</v>
      </c>
      <c r="N43" s="113" t="str">
        <f>'Pre- and Production'!AO583</f>
        <v>CMM</v>
      </c>
      <c r="O43" s="113" t="str">
        <f>'Pre- and Production'!AP583</f>
        <v>Engineering</v>
      </c>
      <c r="P43" s="113" t="str">
        <f>'Pre- and Production'!AQ583</f>
        <v>Design</v>
      </c>
      <c r="Q43" s="118" t="str">
        <f>'Pre- and Production'!AR583</f>
        <v>M&amp;S Cost</v>
      </c>
      <c r="R43" s="114"/>
    </row>
    <row r="44" spans="1:18">
      <c r="A44" s="80">
        <f>'Pre- and Production'!AB584</f>
        <v>2009</v>
      </c>
      <c r="B44" s="115">
        <f>'Pre- and Production'!AC584</f>
        <v>0</v>
      </c>
      <c r="C44" s="116">
        <f>'Pre- and Production'!AD584</f>
        <v>0</v>
      </c>
      <c r="D44" s="116">
        <f>'Pre- and Production'!AE584</f>
        <v>0</v>
      </c>
      <c r="E44" s="116">
        <f>'Pre- and Production'!AF584</f>
        <v>0</v>
      </c>
      <c r="F44" s="116">
        <f>'Pre- and Production'!AG584</f>
        <v>0</v>
      </c>
      <c r="G44" s="121">
        <f>'Pre- and Production'!AH584</f>
        <v>0</v>
      </c>
      <c r="H44" s="117"/>
      <c r="I44" s="101"/>
      <c r="J44" s="101"/>
      <c r="K44" s="80">
        <f>'Pre- and Production'!AL584</f>
        <v>2009</v>
      </c>
      <c r="L44" s="115">
        <f>'Pre- and Production'!AM584</f>
        <v>0</v>
      </c>
      <c r="M44" s="116">
        <f>'Pre- and Production'!AN584</f>
        <v>0</v>
      </c>
      <c r="N44" s="116">
        <f>'Pre- and Production'!AO584</f>
        <v>0</v>
      </c>
      <c r="O44" s="116">
        <f>'Pre- and Production'!AP584</f>
        <v>0</v>
      </c>
      <c r="P44" s="116">
        <f>'Pre- and Production'!AQ584</f>
        <v>0</v>
      </c>
      <c r="Q44" s="121">
        <f>'Pre- and Production'!AR584</f>
        <v>0</v>
      </c>
      <c r="R44" s="117"/>
    </row>
    <row r="45" spans="1:18">
      <c r="A45" s="80">
        <f>'Pre- and Production'!AB585</f>
        <v>2010</v>
      </c>
      <c r="B45" s="115">
        <f>'Pre- and Production'!AC585</f>
        <v>0</v>
      </c>
      <c r="C45" s="116">
        <f>'Pre- and Production'!AD585</f>
        <v>0</v>
      </c>
      <c r="D45" s="116">
        <f>'Pre- and Production'!AE585</f>
        <v>0</v>
      </c>
      <c r="E45" s="116">
        <f>'Pre- and Production'!AF585</f>
        <v>180</v>
      </c>
      <c r="F45" s="116">
        <f>'Pre- and Production'!AG585</f>
        <v>0</v>
      </c>
      <c r="G45" s="121">
        <f>'Pre- and Production'!AH585</f>
        <v>0</v>
      </c>
      <c r="H45" s="117"/>
      <c r="I45" s="101"/>
      <c r="J45" s="101"/>
      <c r="K45" s="80">
        <f>'Pre- and Production'!AL585</f>
        <v>2010</v>
      </c>
      <c r="L45" s="115">
        <f>'Pre- and Production'!AM585</f>
        <v>0</v>
      </c>
      <c r="M45" s="116">
        <f>'Pre- and Production'!AN585</f>
        <v>0</v>
      </c>
      <c r="N45" s="116">
        <f>'Pre- and Production'!AO585</f>
        <v>0</v>
      </c>
      <c r="O45" s="116">
        <f>'Pre- and Production'!AP585</f>
        <v>0</v>
      </c>
      <c r="P45" s="116">
        <f>'Pre- and Production'!AQ585</f>
        <v>0</v>
      </c>
      <c r="Q45" s="121">
        <f>'Pre- and Production'!AR585</f>
        <v>0</v>
      </c>
      <c r="R45" s="117"/>
    </row>
    <row r="46" spans="1:18">
      <c r="A46" s="80">
        <f>'Pre- and Production'!AB586</f>
        <v>2011</v>
      </c>
      <c r="B46" s="115">
        <f>'Pre- and Production'!AC586</f>
        <v>552</v>
      </c>
      <c r="C46" s="116">
        <f>'Pre- and Production'!AD586</f>
        <v>1599</v>
      </c>
      <c r="D46" s="116">
        <f>'Pre- and Production'!AE586</f>
        <v>40</v>
      </c>
      <c r="E46" s="116">
        <f>'Pre- and Production'!AF586</f>
        <v>1434</v>
      </c>
      <c r="F46" s="116">
        <f>'Pre- and Production'!AG586</f>
        <v>0</v>
      </c>
      <c r="G46" s="121">
        <f>'Pre- and Production'!AH586</f>
        <v>64360</v>
      </c>
      <c r="H46" s="117"/>
      <c r="I46" s="101"/>
      <c r="J46" s="101"/>
      <c r="K46" s="80">
        <f>'Pre- and Production'!AL586</f>
        <v>2011</v>
      </c>
      <c r="L46" s="115">
        <f>'Pre- and Production'!AM586</f>
        <v>220</v>
      </c>
      <c r="M46" s="116">
        <f>'Pre- and Production'!AN586</f>
        <v>762</v>
      </c>
      <c r="N46" s="116">
        <f>'Pre- and Production'!AO586</f>
        <v>8</v>
      </c>
      <c r="O46" s="116">
        <f>'Pre- and Production'!AP586</f>
        <v>408</v>
      </c>
      <c r="P46" s="116">
        <f>'Pre- and Production'!AQ586</f>
        <v>0</v>
      </c>
      <c r="Q46" s="121">
        <f>'Pre- and Production'!AR586</f>
        <v>14800</v>
      </c>
      <c r="R46" s="117"/>
    </row>
    <row r="47" spans="1:18">
      <c r="A47" s="80">
        <f>'Pre- and Production'!AB587</f>
        <v>2012</v>
      </c>
      <c r="B47" s="115">
        <f>'Pre- and Production'!AC587</f>
        <v>328</v>
      </c>
      <c r="C47" s="116">
        <f>'Pre- and Production'!AD587</f>
        <v>1815</v>
      </c>
      <c r="D47" s="116">
        <f>'Pre- and Production'!AE587</f>
        <v>40</v>
      </c>
      <c r="E47" s="116">
        <f>'Pre- and Production'!AF587</f>
        <v>568</v>
      </c>
      <c r="F47" s="116">
        <f>'Pre- and Production'!AG587</f>
        <v>0</v>
      </c>
      <c r="G47" s="121">
        <f>'Pre- and Production'!AH587</f>
        <v>132765</v>
      </c>
      <c r="H47" s="117"/>
      <c r="I47" s="101"/>
      <c r="J47" s="101"/>
      <c r="K47" s="80">
        <f>'Pre- and Production'!AL587</f>
        <v>2012</v>
      </c>
      <c r="L47" s="115">
        <f>'Pre- and Production'!AM587</f>
        <v>268</v>
      </c>
      <c r="M47" s="116">
        <f>'Pre- and Production'!AN587</f>
        <v>598</v>
      </c>
      <c r="N47" s="116">
        <f>'Pre- and Production'!AO587</f>
        <v>8</v>
      </c>
      <c r="O47" s="116">
        <f>'Pre- and Production'!AP587</f>
        <v>247</v>
      </c>
      <c r="P47" s="116">
        <f>'Pre- and Production'!AQ587</f>
        <v>0</v>
      </c>
      <c r="Q47" s="121">
        <f>'Pre- and Production'!AR587</f>
        <v>122997.5</v>
      </c>
      <c r="R47" s="117"/>
    </row>
    <row r="48" spans="1:18">
      <c r="A48" s="80">
        <f>'Pre- and Production'!AB588</f>
        <v>2013</v>
      </c>
      <c r="B48" s="115">
        <f>'Pre- and Production'!AC588</f>
        <v>18</v>
      </c>
      <c r="C48" s="116">
        <f>'Pre- and Production'!AD588</f>
        <v>750</v>
      </c>
      <c r="D48" s="116">
        <f>'Pre- and Production'!AE588</f>
        <v>56</v>
      </c>
      <c r="E48" s="116">
        <f>'Pre- and Production'!AF588</f>
        <v>168</v>
      </c>
      <c r="F48" s="116">
        <f>'Pre- and Production'!AG588</f>
        <v>0</v>
      </c>
      <c r="G48" s="121">
        <f>'Pre- and Production'!AH588</f>
        <v>9870</v>
      </c>
      <c r="H48" s="117"/>
      <c r="I48" s="101"/>
      <c r="J48" s="101"/>
      <c r="K48" s="80">
        <f>'Pre- and Production'!AL588</f>
        <v>2013</v>
      </c>
      <c r="L48" s="115">
        <f>'Pre- and Production'!AM588</f>
        <v>8</v>
      </c>
      <c r="M48" s="116">
        <f>'Pre- and Production'!AN588</f>
        <v>697</v>
      </c>
      <c r="N48" s="116">
        <f>'Pre- and Production'!AO588</f>
        <v>32</v>
      </c>
      <c r="O48" s="116">
        <f>'Pre- and Production'!AP588</f>
        <v>140</v>
      </c>
      <c r="P48" s="116">
        <f>'Pre- and Production'!AQ588</f>
        <v>0</v>
      </c>
      <c r="Q48" s="121">
        <f>'Pre- and Production'!AR588</f>
        <v>9205</v>
      </c>
      <c r="R48" s="117"/>
    </row>
    <row r="49" spans="1:18" s="420" customFormat="1">
      <c r="A49" s="80"/>
      <c r="B49" s="115"/>
      <c r="C49" s="116"/>
      <c r="D49" s="116"/>
      <c r="E49" s="116"/>
      <c r="F49" s="116"/>
      <c r="G49" s="121"/>
      <c r="H49" s="117"/>
      <c r="I49" s="101"/>
      <c r="J49" s="101"/>
      <c r="K49" s="80"/>
      <c r="L49" s="115"/>
      <c r="M49" s="116"/>
      <c r="N49" s="116"/>
      <c r="O49" s="116"/>
      <c r="P49" s="116"/>
      <c r="Q49" s="121"/>
      <c r="R49" s="117"/>
    </row>
    <row r="50" spans="1:18">
      <c r="A50" s="80" t="str">
        <f>'Pre- and Production'!AB590</f>
        <v>CONT</v>
      </c>
      <c r="B50" s="115">
        <f>'Pre- and Production'!AC590</f>
        <v>0</v>
      </c>
      <c r="C50" s="116">
        <f>'Pre- and Production'!AD590</f>
        <v>0</v>
      </c>
      <c r="D50" s="116">
        <f>'Pre- and Production'!AE590</f>
        <v>0</v>
      </c>
      <c r="E50" s="116">
        <f>'Pre- and Production'!AF590</f>
        <v>0</v>
      </c>
      <c r="F50" s="116">
        <f>'Pre- and Production'!AG590</f>
        <v>0</v>
      </c>
      <c r="G50" s="121">
        <f>'Pre- and Production'!AH590</f>
        <v>0</v>
      </c>
      <c r="H50" s="117"/>
      <c r="I50" s="101"/>
      <c r="J50" s="101"/>
      <c r="K50" s="80" t="str">
        <f>'Pre- and Production'!AL590</f>
        <v>CONT</v>
      </c>
      <c r="L50" s="115">
        <f>'Pre- and Production'!AM590</f>
        <v>0</v>
      </c>
      <c r="M50" s="116">
        <f>'Pre- and Production'!AN590</f>
        <v>0</v>
      </c>
      <c r="N50" s="116">
        <f>'Pre- and Production'!AO590</f>
        <v>0</v>
      </c>
      <c r="O50" s="116">
        <f>'Pre- and Production'!AP590</f>
        <v>0</v>
      </c>
      <c r="P50" s="116">
        <f>'Pre- and Production'!AQ590</f>
        <v>0</v>
      </c>
      <c r="Q50" s="121">
        <f>'Pre- and Production'!AR590</f>
        <v>0</v>
      </c>
      <c r="R50" s="117"/>
    </row>
    <row r="51" spans="1:18">
      <c r="A51" s="80" t="str">
        <f>'Pre- and Production'!AB591</f>
        <v>STAR</v>
      </c>
      <c r="B51" s="115">
        <f>'Pre- and Production'!AC591</f>
        <v>0</v>
      </c>
      <c r="C51" s="116">
        <f>'Pre- and Production'!AD591</f>
        <v>684</v>
      </c>
      <c r="D51" s="116">
        <f>'Pre- and Production'!AE591</f>
        <v>0</v>
      </c>
      <c r="E51" s="116">
        <f>'Pre- and Production'!AF591</f>
        <v>496</v>
      </c>
      <c r="F51" s="116">
        <f>'Pre- and Production'!AG591</f>
        <v>0</v>
      </c>
      <c r="G51" s="121">
        <f>'Pre- and Production'!AH591</f>
        <v>0</v>
      </c>
      <c r="H51" s="117"/>
      <c r="I51" s="101"/>
      <c r="J51" s="101"/>
      <c r="K51" s="80" t="str">
        <f>'Pre- and Production'!AL591</f>
        <v>STAR</v>
      </c>
      <c r="L51" s="115">
        <f>'Pre- and Production'!AM591</f>
        <v>0</v>
      </c>
      <c r="M51" s="116">
        <f>'Pre- and Production'!AN591</f>
        <v>0</v>
      </c>
      <c r="N51" s="116">
        <f>'Pre- and Production'!AO591</f>
        <v>0</v>
      </c>
      <c r="O51" s="116">
        <f>'Pre- and Production'!AP591</f>
        <v>32</v>
      </c>
      <c r="P51" s="116">
        <f>'Pre- and Production'!AQ591</f>
        <v>0</v>
      </c>
      <c r="Q51" s="121">
        <f>'Pre- and Production'!AR591</f>
        <v>0</v>
      </c>
      <c r="R51" s="117"/>
    </row>
    <row r="52" spans="1:18">
      <c r="A52" s="80"/>
      <c r="B52" s="449" t="str">
        <f>'Pre- and Production'!AC592</f>
        <v>Project Estimated Cost</v>
      </c>
      <c r="C52" s="450"/>
      <c r="D52" s="450"/>
      <c r="E52" s="450"/>
      <c r="F52" s="450"/>
      <c r="G52" s="450"/>
      <c r="H52" s="451"/>
      <c r="I52" s="101"/>
      <c r="J52" s="101"/>
      <c r="K52" s="80"/>
      <c r="L52" s="449" t="str">
        <f>'Pre- and Production'!AM592</f>
        <v>Project Estimated Cost</v>
      </c>
      <c r="M52" s="450"/>
      <c r="N52" s="450"/>
      <c r="O52" s="450"/>
      <c r="P52" s="450"/>
      <c r="Q52" s="450"/>
      <c r="R52" s="451"/>
    </row>
    <row r="53" spans="1:18">
      <c r="A53" s="80"/>
      <c r="B53" s="112" t="str">
        <f>'Pre- and Production'!AC593</f>
        <v>Shop Cost</v>
      </c>
      <c r="C53" s="113" t="str">
        <f>'Pre- and Production'!AD593</f>
        <v>MT Cost</v>
      </c>
      <c r="D53" s="113" t="str">
        <f>'Pre- and Production'!AE593</f>
        <v>CMM</v>
      </c>
      <c r="E53" s="113" t="str">
        <f>'Pre- and Production'!AF593</f>
        <v>Engineering</v>
      </c>
      <c r="F53" s="113" t="str">
        <f>'Pre- and Production'!AG593</f>
        <v>Design</v>
      </c>
      <c r="G53" s="118" t="str">
        <f>'Pre- and Production'!AH593</f>
        <v>M&amp;S Cost</v>
      </c>
      <c r="H53" s="114" t="str">
        <f>'Pre- and Production'!AI593</f>
        <v>Totals</v>
      </c>
      <c r="I53" s="101"/>
      <c r="J53" s="101"/>
      <c r="K53" s="80"/>
      <c r="L53" s="112" t="str">
        <f>'Pre- and Production'!AM593</f>
        <v>Shop Cost</v>
      </c>
      <c r="M53" s="113" t="str">
        <f>'Pre- and Production'!AN593</f>
        <v>MT Cost</v>
      </c>
      <c r="N53" s="113" t="str">
        <f>'Pre- and Production'!AO593</f>
        <v>CMM</v>
      </c>
      <c r="O53" s="113" t="str">
        <f>'Pre- and Production'!AP593</f>
        <v>Engineering</v>
      </c>
      <c r="P53" s="113" t="str">
        <f>'Pre- and Production'!AQ593</f>
        <v>Design</v>
      </c>
      <c r="Q53" s="118" t="str">
        <f>'Pre- and Production'!AR593</f>
        <v>M&amp;S Cost</v>
      </c>
      <c r="R53" s="114" t="str">
        <f>'Pre- and Production'!AS593</f>
        <v>Totals</v>
      </c>
    </row>
    <row r="54" spans="1:18">
      <c r="A54" s="80">
        <f>'Pre- and Production'!AB594</f>
        <v>2009</v>
      </c>
      <c r="B54" s="122">
        <f>'Pre- and Production'!AC594</f>
        <v>0</v>
      </c>
      <c r="C54" s="119">
        <f>'Pre- and Production'!AD594</f>
        <v>0</v>
      </c>
      <c r="D54" s="119">
        <f>'Pre- and Production'!AE594</f>
        <v>0</v>
      </c>
      <c r="E54" s="119">
        <f>'Pre- and Production'!AF594</f>
        <v>0</v>
      </c>
      <c r="F54" s="119">
        <f>'Pre- and Production'!AG594</f>
        <v>0</v>
      </c>
      <c r="G54" s="119">
        <f>'Pre- and Production'!AH594</f>
        <v>0</v>
      </c>
      <c r="H54" s="123">
        <f>'Pre- and Production'!AI594</f>
        <v>0</v>
      </c>
      <c r="I54" s="101"/>
      <c r="J54" s="101"/>
      <c r="K54" s="80">
        <f>'Pre- and Production'!AL594</f>
        <v>2009</v>
      </c>
      <c r="L54" s="122">
        <f>'Pre- and Production'!AM594</f>
        <v>0</v>
      </c>
      <c r="M54" s="119">
        <f>'Pre- and Production'!AN594</f>
        <v>0</v>
      </c>
      <c r="N54" s="119">
        <f>'Pre- and Production'!AO594</f>
        <v>0</v>
      </c>
      <c r="O54" s="119">
        <f>'Pre- and Production'!AP594</f>
        <v>0</v>
      </c>
      <c r="P54" s="119">
        <f>'Pre- and Production'!AQ594</f>
        <v>0</v>
      </c>
      <c r="Q54" s="119">
        <f>'Pre- and Production'!AR594</f>
        <v>0</v>
      </c>
      <c r="R54" s="123">
        <f>'Pre- and Production'!AS594</f>
        <v>0</v>
      </c>
    </row>
    <row r="55" spans="1:18">
      <c r="A55" s="80">
        <f>'Pre- and Production'!AB595</f>
        <v>2010</v>
      </c>
      <c r="B55" s="122">
        <f>'Pre- and Production'!AC595</f>
        <v>0</v>
      </c>
      <c r="C55" s="119">
        <f>'Pre- and Production'!AD595</f>
        <v>0</v>
      </c>
      <c r="D55" s="119">
        <f>'Pre- and Production'!AE595</f>
        <v>0</v>
      </c>
      <c r="E55" s="119">
        <f>'Pre- and Production'!AF595</f>
        <v>21870.000000000004</v>
      </c>
      <c r="F55" s="119">
        <f>'Pre- and Production'!AG595</f>
        <v>0</v>
      </c>
      <c r="G55" s="119">
        <f>'Pre- and Production'!AH595</f>
        <v>0</v>
      </c>
      <c r="H55" s="123">
        <f>'Pre- and Production'!AI595</f>
        <v>21870.000000000004</v>
      </c>
      <c r="I55" s="101"/>
      <c r="J55" s="101"/>
      <c r="K55" s="80">
        <f>'Pre- and Production'!AL595</f>
        <v>2010</v>
      </c>
      <c r="L55" s="122">
        <f>'Pre- and Production'!AM595</f>
        <v>0</v>
      </c>
      <c r="M55" s="119">
        <f>'Pre- and Production'!AN595</f>
        <v>0</v>
      </c>
      <c r="N55" s="119">
        <f>'Pre- and Production'!AO595</f>
        <v>0</v>
      </c>
      <c r="O55" s="119">
        <f>'Pre- and Production'!AP595</f>
        <v>0</v>
      </c>
      <c r="P55" s="119">
        <f>'Pre- and Production'!AQ595</f>
        <v>0</v>
      </c>
      <c r="Q55" s="119">
        <f>'Pre- and Production'!AR595</f>
        <v>0</v>
      </c>
      <c r="R55" s="123">
        <f>'Pre- and Production'!AS595</f>
        <v>0</v>
      </c>
    </row>
    <row r="56" spans="1:18">
      <c r="A56" s="80">
        <f>'Pre- and Production'!AB596</f>
        <v>2011</v>
      </c>
      <c r="B56" s="122">
        <f>'Pre- and Production'!AC596</f>
        <v>56337.120000000003</v>
      </c>
      <c r="C56" s="119">
        <f>'Pre- and Production'!AD596</f>
        <v>151537.23000000001</v>
      </c>
      <c r="D56" s="119">
        <f>'Pre- and Production'!AE596</f>
        <v>4082.4</v>
      </c>
      <c r="E56" s="119">
        <f>'Pre- and Production'!AF596</f>
        <v>174231.00000000003</v>
      </c>
      <c r="F56" s="119">
        <f>'Pre- and Production'!AG596</f>
        <v>0</v>
      </c>
      <c r="G56" s="119">
        <f>'Pre- and Production'!AH596</f>
        <v>64360</v>
      </c>
      <c r="H56" s="123">
        <f>'Pre- and Production'!AI596</f>
        <v>450547.75</v>
      </c>
      <c r="I56" s="101"/>
      <c r="J56" s="101"/>
      <c r="K56" s="80">
        <f>'Pre- and Production'!AL596</f>
        <v>2011</v>
      </c>
      <c r="L56" s="122">
        <f>'Pre- and Production'!AM596</f>
        <v>22453.200000000001</v>
      </c>
      <c r="M56" s="119">
        <f>'Pre- and Production'!AN596</f>
        <v>72214.740000000005</v>
      </c>
      <c r="N56" s="119">
        <f>'Pre- and Production'!AO596</f>
        <v>816.48</v>
      </c>
      <c r="O56" s="119">
        <f>'Pre- and Production'!AP596</f>
        <v>49572.000000000007</v>
      </c>
      <c r="P56" s="119">
        <f>'Pre- and Production'!AQ596</f>
        <v>0</v>
      </c>
      <c r="Q56" s="119">
        <f>'Pre- and Production'!AR596</f>
        <v>14800</v>
      </c>
      <c r="R56" s="123">
        <f>'Pre- and Production'!AS596</f>
        <v>159856.42000000001</v>
      </c>
    </row>
    <row r="57" spans="1:18">
      <c r="A57" s="80">
        <f>'Pre- and Production'!AB597</f>
        <v>2012</v>
      </c>
      <c r="B57" s="122">
        <f>'Pre- and Production'!AC597</f>
        <v>33475.68</v>
      </c>
      <c r="C57" s="119">
        <f>'Pre- and Production'!AD597</f>
        <v>172007.55000000002</v>
      </c>
      <c r="D57" s="119">
        <f>'Pre- and Production'!AE597</f>
        <v>4082.4</v>
      </c>
      <c r="E57" s="119">
        <f>'Pre- and Production'!AF597</f>
        <v>69012.000000000015</v>
      </c>
      <c r="F57" s="119">
        <f>'Pre- and Production'!AG597</f>
        <v>0</v>
      </c>
      <c r="G57" s="119">
        <f>'Pre- and Production'!AH597</f>
        <v>132765</v>
      </c>
      <c r="H57" s="123">
        <f>'Pre- and Production'!AI597</f>
        <v>411342.63</v>
      </c>
      <c r="I57" s="101"/>
      <c r="J57" s="101"/>
      <c r="K57" s="80">
        <f>'Pre- and Production'!AL597</f>
        <v>2012</v>
      </c>
      <c r="L57" s="122">
        <f>'Pre- and Production'!AM597</f>
        <v>27352.080000000002</v>
      </c>
      <c r="M57" s="119">
        <f>'Pre- and Production'!AN597</f>
        <v>56672.460000000006</v>
      </c>
      <c r="N57" s="119">
        <f>'Pre- and Production'!AO597</f>
        <v>816.48</v>
      </c>
      <c r="O57" s="119">
        <f>'Pre- and Production'!AP597</f>
        <v>30010.500000000004</v>
      </c>
      <c r="P57" s="119">
        <f>'Pre- and Production'!AQ597</f>
        <v>0</v>
      </c>
      <c r="Q57" s="119">
        <f>'Pre- and Production'!AR597</f>
        <v>122997.5</v>
      </c>
      <c r="R57" s="123">
        <f>'Pre- and Production'!AS597</f>
        <v>237849.02000000002</v>
      </c>
    </row>
    <row r="58" spans="1:18" s="420" customFormat="1">
      <c r="A58" s="80">
        <f>'Pre- and Production'!AB598</f>
        <v>2013</v>
      </c>
      <c r="B58" s="122">
        <f>'Pre- and Production'!AC598</f>
        <v>1837.08</v>
      </c>
      <c r="C58" s="119">
        <f>'Pre- and Production'!AD598</f>
        <v>71077.500000000015</v>
      </c>
      <c r="D58" s="119">
        <f>'Pre- and Production'!AE598</f>
        <v>5715.3600000000006</v>
      </c>
      <c r="E58" s="119">
        <f>'Pre- and Production'!AF598</f>
        <v>20412.000000000004</v>
      </c>
      <c r="F58" s="119">
        <f>'Pre- and Production'!AG598</f>
        <v>0</v>
      </c>
      <c r="G58" s="119">
        <f>'Pre- and Production'!AH598</f>
        <v>9870</v>
      </c>
      <c r="H58" s="123">
        <f>'Pre- and Production'!AI598</f>
        <v>108911.94000000002</v>
      </c>
      <c r="I58" s="101"/>
      <c r="J58" s="101"/>
      <c r="K58" s="80">
        <f>'Pre- and Production'!AL598</f>
        <v>2013</v>
      </c>
      <c r="L58" s="122">
        <f>'Pre- and Production'!AM598</f>
        <v>816.48</v>
      </c>
      <c r="M58" s="119">
        <f>'Pre- and Production'!AN598</f>
        <v>66054.69</v>
      </c>
      <c r="N58" s="119">
        <f>'Pre- and Production'!AO598</f>
        <v>3265.92</v>
      </c>
      <c r="O58" s="119">
        <f>'Pre- and Production'!AP598</f>
        <v>17010.000000000004</v>
      </c>
      <c r="P58" s="119">
        <f>'Pre- and Production'!AQ598</f>
        <v>0</v>
      </c>
      <c r="Q58" s="119">
        <f>'Pre- and Production'!AR598</f>
        <v>9205</v>
      </c>
      <c r="R58" s="123">
        <f>'Pre- and Production'!AS598</f>
        <v>96352.09</v>
      </c>
    </row>
    <row r="59" spans="1:18" ht="13.5" thickBot="1">
      <c r="A59" s="80">
        <f>'Pre- and Production'!AB599</f>
        <v>2014</v>
      </c>
      <c r="B59" s="124">
        <f>'Pre- and Production'!AC599</f>
        <v>0</v>
      </c>
      <c r="C59" s="120">
        <f>'Pre- and Production'!AD599</f>
        <v>19595.52</v>
      </c>
      <c r="D59" s="120">
        <f>'Pre- and Production'!AE599</f>
        <v>0</v>
      </c>
      <c r="E59" s="120">
        <f>'Pre- and Production'!AF599</f>
        <v>7756.56</v>
      </c>
      <c r="F59" s="120">
        <f>'Pre- and Production'!AG599</f>
        <v>0</v>
      </c>
      <c r="G59" s="120">
        <f>'Pre- and Production'!AH599</f>
        <v>0</v>
      </c>
      <c r="H59" s="125">
        <f>'Pre- and Production'!AI599</f>
        <v>27352.080000000002</v>
      </c>
      <c r="I59" s="101"/>
      <c r="J59" s="101"/>
      <c r="K59" s="80">
        <f>'Pre- and Production'!AL599</f>
        <v>2014</v>
      </c>
      <c r="L59" s="124">
        <f>'Pre- and Production'!AM599</f>
        <v>0</v>
      </c>
      <c r="M59" s="120">
        <f>'Pre- and Production'!AN599</f>
        <v>0</v>
      </c>
      <c r="N59" s="120">
        <f>'Pre- and Production'!AO599</f>
        <v>0</v>
      </c>
      <c r="O59" s="120">
        <f>'Pre- and Production'!AP599</f>
        <v>0</v>
      </c>
      <c r="P59" s="120">
        <f>'Pre- and Production'!AQ599</f>
        <v>0</v>
      </c>
      <c r="Q59" s="120">
        <f>'Pre- and Production'!AR599</f>
        <v>0</v>
      </c>
      <c r="R59" s="125">
        <f>'Pre- and Production'!AS599</f>
        <v>0</v>
      </c>
    </row>
    <row r="60" spans="1:18">
      <c r="A60" s="80"/>
      <c r="B60" s="101"/>
      <c r="C60" s="101"/>
      <c r="D60" s="101"/>
      <c r="E60" s="101"/>
      <c r="F60" s="101"/>
      <c r="G60" s="111" t="str">
        <f>'Pre- and Production'!AH600</f>
        <v>Base Cost</v>
      </c>
      <c r="H60" s="81">
        <f>'Pre- and Production'!AI600</f>
        <v>1020024.4</v>
      </c>
      <c r="I60" s="101"/>
      <c r="J60" s="101"/>
      <c r="K60" s="80"/>
      <c r="L60" s="101"/>
      <c r="M60" s="101"/>
      <c r="N60" s="101"/>
      <c r="O60" s="101"/>
      <c r="P60" s="101"/>
      <c r="Q60" s="111" t="str">
        <f>'Pre- and Production'!AR600</f>
        <v>Contingency</v>
      </c>
      <c r="R60" s="81">
        <f>'Pre- and Production'!AS600</f>
        <v>494057.53</v>
      </c>
    </row>
    <row r="61" spans="1:18">
      <c r="A61" s="80"/>
      <c r="B61" s="101"/>
      <c r="C61" s="101"/>
      <c r="D61" s="101"/>
      <c r="E61" s="101"/>
      <c r="F61" s="101"/>
      <c r="H61" s="101"/>
      <c r="I61" s="101"/>
      <c r="J61" s="101"/>
      <c r="K61" s="80"/>
      <c r="L61" s="101"/>
      <c r="M61" s="101"/>
      <c r="N61" s="101"/>
      <c r="O61" s="101"/>
      <c r="P61" s="101"/>
      <c r="Q61" s="111" t="str">
        <f>'Pre- and Production'!AR601</f>
        <v>Percent</v>
      </c>
      <c r="R61" s="100">
        <f>'Pre- and Production'!AS601</f>
        <v>0.48435854083490554</v>
      </c>
    </row>
  </sheetData>
  <mergeCells count="12">
    <mergeCell ref="B42:H42"/>
    <mergeCell ref="L42:R42"/>
    <mergeCell ref="B52:H52"/>
    <mergeCell ref="L52:R52"/>
    <mergeCell ref="B2:H2"/>
    <mergeCell ref="L2:R2"/>
    <mergeCell ref="B12:H12"/>
    <mergeCell ref="L12:R12"/>
    <mergeCell ref="B22:H22"/>
    <mergeCell ref="L22:R22"/>
    <mergeCell ref="B32:H32"/>
    <mergeCell ref="L32:R32"/>
  </mergeCells>
  <pageMargins left="0.49" right="0.46" top="0.57999999999999996" bottom="0.55000000000000004" header="0.3" footer="0.3"/>
  <pageSetup paperSize="9" scale="75" orientation="landscape" horizontalDpi="4294967293" r:id="rId1"/>
  <headerFooter>
    <oddHeader>&amp;L&amp;16WBS 1.5&amp;C&amp;16HFT INTEGRATION AND GLOBAL SUPPORT COST SUMMARY</oddHeader>
    <oddFooter>&amp;LReleased: 25 August, 2009&amp;C&amp;F&amp;RE Anderssen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X601"/>
  <sheetViews>
    <sheetView zoomScaleNormal="100" workbookViewId="0">
      <pane ySplit="3285" activePane="bottomLeft"/>
      <selection activeCell="S3" sqref="S1:T1048576"/>
      <selection pane="bottomLeft" activeCell="AB386" sqref="AB386"/>
    </sheetView>
  </sheetViews>
  <sheetFormatPr defaultRowHeight="12.75"/>
  <cols>
    <col min="1" max="1" width="54.7109375" bestFit="1" customWidth="1"/>
    <col min="2" max="2" width="16.7109375" bestFit="1" customWidth="1"/>
    <col min="3" max="3" width="8" style="151" bestFit="1" customWidth="1"/>
    <col min="4" max="4" width="6.5703125" style="83" bestFit="1" customWidth="1"/>
    <col min="5" max="5" width="7.85546875" style="109" bestFit="1" customWidth="1"/>
    <col min="6" max="6" width="8.42578125" style="109" bestFit="1" customWidth="1"/>
    <col min="7" max="9" width="8" style="151" bestFit="1" customWidth="1"/>
    <col min="10" max="11" width="8" style="152" bestFit="1" customWidth="1"/>
    <col min="12" max="12" width="6.28515625" style="83" bestFit="1" customWidth="1"/>
    <col min="13" max="13" width="11" style="7" bestFit="1" customWidth="1"/>
    <col min="14" max="14" width="5.28515625" style="153" customWidth="1"/>
    <col min="15" max="15" width="10.7109375" style="7" customWidth="1"/>
    <col min="16" max="16" width="2.5703125" style="7" customWidth="1"/>
    <col min="17" max="17" width="3.7109375" style="54" bestFit="1" customWidth="1"/>
    <col min="18" max="18" width="3.7109375" style="54" customWidth="1"/>
    <col min="19" max="19" width="9.5703125" style="96" hidden="1" customWidth="1"/>
    <col min="20" max="20" width="14.7109375" style="96" hidden="1" customWidth="1"/>
    <col min="21" max="21" width="9.5703125" style="96" customWidth="1"/>
    <col min="22" max="22" width="27.5703125" style="96" bestFit="1" customWidth="1"/>
    <col min="23" max="23" width="14.5703125" style="7" hidden="1" customWidth="1"/>
    <col min="24" max="24" width="12.140625" style="10" hidden="1" customWidth="1"/>
    <col min="25" max="25" width="14.42578125" style="10" hidden="1" customWidth="1"/>
    <col min="26" max="26" width="17.7109375" style="10" hidden="1" customWidth="1"/>
    <col min="27" max="27" width="12.5703125" style="10" hidden="1" customWidth="1"/>
    <col min="28" max="28" width="8.42578125" style="22" bestFit="1" customWidth="1"/>
    <col min="29" max="29" width="11" style="7" bestFit="1" customWidth="1"/>
    <col min="30" max="30" width="9.42578125" style="7" bestFit="1" customWidth="1"/>
    <col min="31" max="31" width="7.85546875" style="7" bestFit="1" customWidth="1"/>
    <col min="32" max="32" width="12.140625" style="7" bestFit="1" customWidth="1"/>
    <col min="33" max="33" width="8.5703125" style="7" bestFit="1" customWidth="1"/>
    <col min="34" max="34" width="11.7109375" style="7" customWidth="1"/>
    <col min="35" max="35" width="12.7109375" style="7" bestFit="1" customWidth="1"/>
    <col min="36" max="37" width="10.42578125" style="7" customWidth="1"/>
    <col min="38" max="38" width="11.28515625" style="109" bestFit="1" customWidth="1"/>
    <col min="39" max="39" width="11" style="7" bestFit="1" customWidth="1"/>
    <col min="40" max="40" width="9.42578125" style="7" bestFit="1" customWidth="1"/>
    <col min="41" max="41" width="7.85546875" style="7" bestFit="1" customWidth="1"/>
    <col min="42" max="42" width="12.140625" style="7" bestFit="1" customWidth="1"/>
    <col min="43" max="43" width="7.85546875" style="7" bestFit="1" customWidth="1"/>
    <col min="44" max="44" width="13.140625" style="7" bestFit="1" customWidth="1"/>
    <col min="45" max="45" width="10.85546875" style="7" bestFit="1" customWidth="1"/>
  </cols>
  <sheetData>
    <row r="1" spans="1:45" ht="15">
      <c r="S1" s="452" t="s">
        <v>167</v>
      </c>
      <c r="T1" s="452"/>
      <c r="V1"/>
      <c r="W1" s="452" t="s">
        <v>168</v>
      </c>
      <c r="X1" s="452"/>
      <c r="Y1" s="452"/>
      <c r="Z1" s="452"/>
      <c r="AA1" s="452"/>
    </row>
    <row r="2" spans="1:45" ht="18">
      <c r="A2" s="8" t="s">
        <v>260</v>
      </c>
      <c r="Q2" s="465" t="s">
        <v>79</v>
      </c>
      <c r="R2" s="466"/>
      <c r="S2" s="466"/>
      <c r="T2" s="466"/>
      <c r="U2" s="466"/>
      <c r="V2" s="466"/>
      <c r="W2" s="466"/>
      <c r="X2" s="466"/>
      <c r="Y2" s="466"/>
      <c r="Z2" s="466"/>
      <c r="AA2" s="466"/>
      <c r="AB2" s="467"/>
      <c r="AC2" s="468" t="s">
        <v>49</v>
      </c>
      <c r="AD2" s="469"/>
      <c r="AE2" s="469"/>
      <c r="AF2" s="469"/>
      <c r="AG2" s="469"/>
      <c r="AH2" s="469"/>
      <c r="AI2" s="470"/>
      <c r="AJ2" s="227"/>
      <c r="AK2" s="227"/>
      <c r="AM2" s="468" t="s">
        <v>50</v>
      </c>
      <c r="AN2" s="469"/>
      <c r="AO2" s="469"/>
      <c r="AP2" s="469"/>
      <c r="AQ2" s="469"/>
      <c r="AR2" s="469"/>
      <c r="AS2" s="470"/>
    </row>
    <row r="3" spans="1:45" ht="118.9" customHeight="1">
      <c r="A3" s="1" t="s">
        <v>0</v>
      </c>
      <c r="B3" s="1" t="s">
        <v>6</v>
      </c>
      <c r="C3" s="134" t="s">
        <v>1</v>
      </c>
      <c r="D3" s="220" t="s">
        <v>2</v>
      </c>
      <c r="E3" s="56" t="s">
        <v>4</v>
      </c>
      <c r="F3" s="56" t="s">
        <v>3</v>
      </c>
      <c r="G3" s="134" t="s">
        <v>11</v>
      </c>
      <c r="H3" s="134" t="s">
        <v>10</v>
      </c>
      <c r="I3" s="134" t="s">
        <v>38</v>
      </c>
      <c r="J3" s="154" t="s">
        <v>29</v>
      </c>
      <c r="K3" s="154" t="s">
        <v>30</v>
      </c>
      <c r="L3" s="220" t="s">
        <v>2</v>
      </c>
      <c r="M3" s="155" t="s">
        <v>62</v>
      </c>
      <c r="N3" s="156" t="s">
        <v>40</v>
      </c>
      <c r="O3" s="157" t="s">
        <v>92</v>
      </c>
      <c r="P3" s="6"/>
      <c r="Q3" s="42" t="s">
        <v>41</v>
      </c>
      <c r="R3" s="69" t="s">
        <v>76</v>
      </c>
      <c r="S3" s="77" t="s">
        <v>78</v>
      </c>
      <c r="T3" s="77" t="s">
        <v>78</v>
      </c>
      <c r="U3" s="141" t="s">
        <v>160</v>
      </c>
      <c r="V3" s="142" t="s">
        <v>170</v>
      </c>
      <c r="W3" s="43" t="s">
        <v>161</v>
      </c>
      <c r="X3" s="44" t="s">
        <v>35</v>
      </c>
      <c r="Y3" s="44" t="s">
        <v>75</v>
      </c>
      <c r="Z3" s="44" t="s">
        <v>36</v>
      </c>
      <c r="AA3" s="44" t="s">
        <v>37</v>
      </c>
      <c r="AB3" s="45" t="s">
        <v>46</v>
      </c>
      <c r="AC3" s="228" t="s">
        <v>14</v>
      </c>
      <c r="AD3" s="229" t="s">
        <v>15</v>
      </c>
      <c r="AE3" s="229" t="s">
        <v>38</v>
      </c>
      <c r="AF3" s="229" t="s">
        <v>31</v>
      </c>
      <c r="AG3" s="229" t="s">
        <v>32</v>
      </c>
      <c r="AH3" s="229" t="s">
        <v>63</v>
      </c>
      <c r="AI3" s="230" t="s">
        <v>12</v>
      </c>
      <c r="AJ3" s="13"/>
      <c r="AK3" s="13"/>
      <c r="AM3" s="228" t="s">
        <v>14</v>
      </c>
      <c r="AN3" s="229" t="s">
        <v>15</v>
      </c>
      <c r="AO3" s="229" t="s">
        <v>38</v>
      </c>
      <c r="AP3" s="229" t="s">
        <v>31</v>
      </c>
      <c r="AQ3" s="229" t="s">
        <v>32</v>
      </c>
      <c r="AR3" s="229" t="s">
        <v>63</v>
      </c>
      <c r="AS3" s="230" t="s">
        <v>12</v>
      </c>
    </row>
    <row r="4" spans="1:45" ht="15.75">
      <c r="A4" s="48" t="s">
        <v>451</v>
      </c>
      <c r="B4" s="2" t="s">
        <v>5</v>
      </c>
      <c r="C4" s="158"/>
      <c r="D4" s="216"/>
      <c r="E4" s="159"/>
      <c r="F4" s="160"/>
      <c r="G4" s="161"/>
      <c r="H4" s="161"/>
      <c r="I4" s="161"/>
      <c r="J4" s="162"/>
      <c r="K4" s="163"/>
      <c r="L4" s="216"/>
      <c r="M4" s="4"/>
      <c r="N4" s="164"/>
      <c r="O4" s="4"/>
      <c r="P4" s="4"/>
      <c r="Q4" s="51"/>
      <c r="R4" s="70"/>
      <c r="S4" s="136"/>
      <c r="T4" s="136"/>
      <c r="U4" s="136"/>
      <c r="V4" s="136"/>
      <c r="W4" s="30"/>
      <c r="X4" s="30"/>
      <c r="Y4" s="30"/>
      <c r="Z4" s="30"/>
      <c r="AA4" s="68" t="s">
        <v>74</v>
      </c>
      <c r="AB4" s="37"/>
      <c r="AC4" s="231"/>
      <c r="AD4" s="231"/>
      <c r="AE4" s="231"/>
      <c r="AF4" s="231"/>
      <c r="AG4" s="231"/>
      <c r="AH4" s="231"/>
      <c r="AI4" s="232"/>
      <c r="AM4" s="233"/>
      <c r="AN4" s="231"/>
      <c r="AO4" s="231"/>
      <c r="AP4" s="231"/>
      <c r="AQ4" s="231"/>
      <c r="AR4" s="231"/>
      <c r="AS4" s="232"/>
    </row>
    <row r="5" spans="1:45" s="20" customFormat="1">
      <c r="A5" s="47" t="s">
        <v>304</v>
      </c>
      <c r="B5" s="20" t="s">
        <v>91</v>
      </c>
      <c r="C5" s="165">
        <v>10</v>
      </c>
      <c r="D5" s="96" t="s">
        <v>59</v>
      </c>
      <c r="E5" s="166">
        <v>400</v>
      </c>
      <c r="F5" s="167">
        <f t="shared" ref="F5:F10" si="0">E5*C5</f>
        <v>4000</v>
      </c>
      <c r="G5" s="168">
        <v>0</v>
      </c>
      <c r="H5" s="168">
        <v>0</v>
      </c>
      <c r="I5" s="168">
        <v>0</v>
      </c>
      <c r="J5" s="168">
        <v>2</v>
      </c>
      <c r="K5" s="169">
        <v>0</v>
      </c>
      <c r="L5" s="96" t="s">
        <v>8</v>
      </c>
      <c r="M5" s="166">
        <f t="shared" ref="M5:M70" si="1">IF(R5="PD",((Shop*G5)+(M_Tech*H5)+(CMM*I5)+(ENG*J5)+(DES*K5))*N5,((Shop_RD*G5)+(MTECH_RD*H5)+(CMM_RD*I5)+(ENG_RD*J5)+(DES_RD*K5))*N5)</f>
        <v>300</v>
      </c>
      <c r="N5" s="92">
        <v>1</v>
      </c>
      <c r="O5" s="170">
        <f t="shared" ref="O5:O22" si="2">M5+(F5*N5)</f>
        <v>4300</v>
      </c>
      <c r="P5" s="170"/>
      <c r="Q5" s="52" t="s">
        <v>47</v>
      </c>
      <c r="R5" s="71" t="s">
        <v>180</v>
      </c>
      <c r="S5" s="137" t="str">
        <f t="shared" ref="S5:S70" si="3">CONCATENATE(Q5,R5,AB5)</f>
        <v>BPT2010</v>
      </c>
      <c r="T5" s="137" t="str">
        <f t="shared" ref="T5:T17" si="4">CONCATENATE(Q5,U5,AB5)</f>
        <v>B1.5.1.1.32010</v>
      </c>
      <c r="U5" s="137" t="s">
        <v>204</v>
      </c>
      <c r="V5" s="137" t="str">
        <f t="shared" ref="V5:V11" si="5">LOOKUP(U5,$B$539:$B$574,$A$539:$A$574)</f>
        <v>Outer Support Cylinder (OSC)</v>
      </c>
      <c r="W5" s="130"/>
      <c r="X5" s="130"/>
      <c r="Y5" s="130"/>
      <c r="Z5" s="130"/>
      <c r="AA5" s="130"/>
      <c r="AB5" s="33">
        <v>2010</v>
      </c>
      <c r="AC5" s="132">
        <f t="shared" ref="AC5:AG10" si="6">IF($Q5="B", (G5*$N5),0)</f>
        <v>0</v>
      </c>
      <c r="AD5" s="132">
        <f t="shared" si="6"/>
        <v>0</v>
      </c>
      <c r="AE5" s="132">
        <f t="shared" si="6"/>
        <v>0</v>
      </c>
      <c r="AF5" s="132">
        <f t="shared" si="6"/>
        <v>2</v>
      </c>
      <c r="AG5" s="132">
        <f t="shared" si="6"/>
        <v>0</v>
      </c>
      <c r="AH5" s="234">
        <f t="shared" ref="AH5:AH10" si="7">IF($Q5="B", (F5*$N5),0)</f>
        <v>4000</v>
      </c>
      <c r="AI5" s="235"/>
      <c r="AJ5" s="92"/>
      <c r="AK5" s="92"/>
      <c r="AL5" s="166"/>
      <c r="AM5" s="131">
        <f t="shared" ref="AM5:AQ10" si="8">IF($Q5="C", (G5*$N5),0)</f>
        <v>0</v>
      </c>
      <c r="AN5" s="132">
        <f t="shared" si="8"/>
        <v>0</v>
      </c>
      <c r="AO5" s="132">
        <f t="shared" si="8"/>
        <v>0</v>
      </c>
      <c r="AP5" s="132">
        <f t="shared" si="8"/>
        <v>0</v>
      </c>
      <c r="AQ5" s="132">
        <f t="shared" si="8"/>
        <v>0</v>
      </c>
      <c r="AR5" s="132">
        <f t="shared" ref="AR5:AR10" si="9">IF($Q5="C", (F5*$N5),0)</f>
        <v>0</v>
      </c>
      <c r="AS5" s="235"/>
    </row>
    <row r="6" spans="1:45" s="20" customFormat="1">
      <c r="A6" s="46" t="s">
        <v>181</v>
      </c>
      <c r="B6" s="20" t="s">
        <v>9</v>
      </c>
      <c r="C6" s="165">
        <v>1</v>
      </c>
      <c r="D6" s="96" t="s">
        <v>9</v>
      </c>
      <c r="E6" s="166">
        <v>1500</v>
      </c>
      <c r="F6" s="167">
        <f>E6*C6</f>
        <v>1500</v>
      </c>
      <c r="G6" s="168">
        <v>0</v>
      </c>
      <c r="H6" s="168">
        <v>0</v>
      </c>
      <c r="I6" s="168">
        <v>0</v>
      </c>
      <c r="J6" s="168">
        <v>0</v>
      </c>
      <c r="K6" s="169">
        <v>0</v>
      </c>
      <c r="L6" s="96" t="s">
        <v>8</v>
      </c>
      <c r="M6" s="166">
        <f t="shared" si="1"/>
        <v>0</v>
      </c>
      <c r="N6" s="92">
        <v>1</v>
      </c>
      <c r="O6" s="170">
        <f t="shared" si="2"/>
        <v>1500</v>
      </c>
      <c r="P6" s="170"/>
      <c r="Q6" s="52" t="s">
        <v>47</v>
      </c>
      <c r="R6" s="71" t="s">
        <v>180</v>
      </c>
      <c r="S6" s="137" t="str">
        <f t="shared" si="3"/>
        <v>BPT2010</v>
      </c>
      <c r="T6" s="137" t="str">
        <f t="shared" si="4"/>
        <v>B1.5.1.1.32010</v>
      </c>
      <c r="U6" s="137" t="s">
        <v>204</v>
      </c>
      <c r="V6" s="137" t="str">
        <f t="shared" si="5"/>
        <v>Outer Support Cylinder (OSC)</v>
      </c>
      <c r="AB6" s="33">
        <v>2010</v>
      </c>
      <c r="AC6" s="132">
        <f t="shared" si="6"/>
        <v>0</v>
      </c>
      <c r="AD6" s="132">
        <f t="shared" si="6"/>
        <v>0</v>
      </c>
      <c r="AE6" s="132">
        <f t="shared" si="6"/>
        <v>0</v>
      </c>
      <c r="AF6" s="132">
        <f t="shared" si="6"/>
        <v>0</v>
      </c>
      <c r="AG6" s="132">
        <f t="shared" si="6"/>
        <v>0</v>
      </c>
      <c r="AH6" s="234">
        <f>IF($Q6="B", (F6*$N6),0)</f>
        <v>1500</v>
      </c>
      <c r="AI6" s="235"/>
      <c r="AJ6" s="92"/>
      <c r="AK6" s="92"/>
      <c r="AL6" s="166"/>
      <c r="AM6" s="131">
        <f t="shared" si="8"/>
        <v>0</v>
      </c>
      <c r="AN6" s="132">
        <f t="shared" si="8"/>
        <v>0</v>
      </c>
      <c r="AO6" s="132">
        <f t="shared" si="8"/>
        <v>0</v>
      </c>
      <c r="AP6" s="132">
        <f t="shared" si="8"/>
        <v>0</v>
      </c>
      <c r="AQ6" s="132">
        <f t="shared" si="8"/>
        <v>0</v>
      </c>
      <c r="AR6" s="132">
        <f>IF($Q6="C", (F6*$N6),0)</f>
        <v>0</v>
      </c>
      <c r="AS6" s="235"/>
    </row>
    <row r="7" spans="1:45" s="20" customFormat="1">
      <c r="A7" s="46" t="s">
        <v>182</v>
      </c>
      <c r="B7" s="20" t="s">
        <v>9</v>
      </c>
      <c r="C7" s="165">
        <f>C5*0.1</f>
        <v>1</v>
      </c>
      <c r="D7" s="96" t="s">
        <v>9</v>
      </c>
      <c r="E7" s="166">
        <f>E5</f>
        <v>400</v>
      </c>
      <c r="F7" s="167">
        <f>E7*C7</f>
        <v>400</v>
      </c>
      <c r="G7" s="168">
        <v>0</v>
      </c>
      <c r="H7" s="168">
        <v>0</v>
      </c>
      <c r="I7" s="168">
        <v>0</v>
      </c>
      <c r="J7" s="168">
        <v>0</v>
      </c>
      <c r="K7" s="169">
        <v>0</v>
      </c>
      <c r="L7" s="96" t="s">
        <v>8</v>
      </c>
      <c r="M7" s="166">
        <f t="shared" si="1"/>
        <v>0</v>
      </c>
      <c r="N7" s="92">
        <v>1</v>
      </c>
      <c r="O7" s="170">
        <f t="shared" si="2"/>
        <v>400</v>
      </c>
      <c r="P7" s="170"/>
      <c r="Q7" s="52" t="s">
        <v>47</v>
      </c>
      <c r="R7" s="71" t="s">
        <v>180</v>
      </c>
      <c r="S7" s="137" t="str">
        <f t="shared" si="3"/>
        <v>BPT2010</v>
      </c>
      <c r="T7" s="137" t="str">
        <f t="shared" si="4"/>
        <v>B1.5.1.1.32010</v>
      </c>
      <c r="U7" s="137" t="s">
        <v>204</v>
      </c>
      <c r="V7" s="137" t="str">
        <f t="shared" si="5"/>
        <v>Outer Support Cylinder (OSC)</v>
      </c>
      <c r="AB7" s="33">
        <v>2010</v>
      </c>
      <c r="AC7" s="132">
        <f t="shared" si="6"/>
        <v>0</v>
      </c>
      <c r="AD7" s="132">
        <f t="shared" si="6"/>
        <v>0</v>
      </c>
      <c r="AE7" s="132">
        <f t="shared" si="6"/>
        <v>0</v>
      </c>
      <c r="AF7" s="132">
        <f t="shared" si="6"/>
        <v>0</v>
      </c>
      <c r="AG7" s="132">
        <f t="shared" si="6"/>
        <v>0</v>
      </c>
      <c r="AH7" s="234">
        <f>IF($Q7="B", (F7*$N7),0)</f>
        <v>400</v>
      </c>
      <c r="AI7" s="235"/>
      <c r="AJ7" s="92"/>
      <c r="AK7" s="92"/>
      <c r="AL7" s="166"/>
      <c r="AM7" s="131">
        <f t="shared" si="8"/>
        <v>0</v>
      </c>
      <c r="AN7" s="132">
        <f t="shared" si="8"/>
        <v>0</v>
      </c>
      <c r="AO7" s="132">
        <f t="shared" si="8"/>
        <v>0</v>
      </c>
      <c r="AP7" s="132">
        <f t="shared" si="8"/>
        <v>0</v>
      </c>
      <c r="AQ7" s="132">
        <f t="shared" si="8"/>
        <v>0</v>
      </c>
      <c r="AR7" s="132">
        <f>IF($Q7="C", (F7*$N7),0)</f>
        <v>0</v>
      </c>
      <c r="AS7" s="235"/>
    </row>
    <row r="8" spans="1:45" s="20" customFormat="1">
      <c r="A8" s="46" t="s">
        <v>54</v>
      </c>
      <c r="B8" s="20" t="s">
        <v>9</v>
      </c>
      <c r="C8" s="165">
        <v>0</v>
      </c>
      <c r="D8" s="96" t="s">
        <v>9</v>
      </c>
      <c r="E8" s="166">
        <v>0</v>
      </c>
      <c r="F8" s="167">
        <f t="shared" si="0"/>
        <v>0</v>
      </c>
      <c r="G8" s="168">
        <v>0</v>
      </c>
      <c r="H8" s="168">
        <v>2</v>
      </c>
      <c r="I8" s="168">
        <v>0</v>
      </c>
      <c r="J8" s="168">
        <v>2</v>
      </c>
      <c r="K8" s="169">
        <v>0</v>
      </c>
      <c r="L8" s="96" t="s">
        <v>8</v>
      </c>
      <c r="M8" s="166">
        <f t="shared" si="1"/>
        <v>534</v>
      </c>
      <c r="N8" s="92">
        <v>1</v>
      </c>
      <c r="O8" s="170">
        <f t="shared" si="2"/>
        <v>534</v>
      </c>
      <c r="P8" s="170"/>
      <c r="Q8" s="52" t="s">
        <v>47</v>
      </c>
      <c r="R8" s="71" t="s">
        <v>180</v>
      </c>
      <c r="S8" s="137" t="str">
        <f t="shared" si="3"/>
        <v>BPT2010</v>
      </c>
      <c r="T8" s="137" t="str">
        <f t="shared" si="4"/>
        <v>B1.5.1.1.32010</v>
      </c>
      <c r="U8" s="137" t="s">
        <v>204</v>
      </c>
      <c r="V8" s="137" t="str">
        <f t="shared" si="5"/>
        <v>Outer Support Cylinder (OSC)</v>
      </c>
      <c r="AB8" s="33">
        <v>2010</v>
      </c>
      <c r="AC8" s="132">
        <f t="shared" si="6"/>
        <v>0</v>
      </c>
      <c r="AD8" s="132">
        <f t="shared" si="6"/>
        <v>2</v>
      </c>
      <c r="AE8" s="132">
        <f t="shared" si="6"/>
        <v>0</v>
      </c>
      <c r="AF8" s="132">
        <f t="shared" si="6"/>
        <v>2</v>
      </c>
      <c r="AG8" s="132">
        <f t="shared" si="6"/>
        <v>0</v>
      </c>
      <c r="AH8" s="234">
        <f t="shared" si="7"/>
        <v>0</v>
      </c>
      <c r="AI8" s="235"/>
      <c r="AJ8" s="92"/>
      <c r="AK8" s="92"/>
      <c r="AL8" s="166"/>
      <c r="AM8" s="131">
        <f t="shared" si="8"/>
        <v>0</v>
      </c>
      <c r="AN8" s="132">
        <f t="shared" si="8"/>
        <v>0</v>
      </c>
      <c r="AO8" s="132">
        <f t="shared" si="8"/>
        <v>0</v>
      </c>
      <c r="AP8" s="132">
        <f t="shared" si="8"/>
        <v>0</v>
      </c>
      <c r="AQ8" s="132">
        <f t="shared" si="8"/>
        <v>0</v>
      </c>
      <c r="AR8" s="132">
        <f t="shared" si="9"/>
        <v>0</v>
      </c>
      <c r="AS8" s="235"/>
    </row>
    <row r="9" spans="1:45" s="133" customFormat="1">
      <c r="A9" s="46" t="s">
        <v>55</v>
      </c>
      <c r="B9" s="20" t="s">
        <v>58</v>
      </c>
      <c r="C9" s="165">
        <v>0.5</v>
      </c>
      <c r="D9" s="96" t="s">
        <v>59</v>
      </c>
      <c r="E9" s="166">
        <v>105</v>
      </c>
      <c r="F9" s="167">
        <f t="shared" si="0"/>
        <v>52.5</v>
      </c>
      <c r="G9" s="168">
        <v>0</v>
      </c>
      <c r="H9" s="168">
        <v>8</v>
      </c>
      <c r="I9" s="168">
        <v>0</v>
      </c>
      <c r="J9" s="168">
        <v>1</v>
      </c>
      <c r="K9" s="169">
        <v>0</v>
      </c>
      <c r="L9" s="96" t="s">
        <v>8</v>
      </c>
      <c r="M9" s="166">
        <f t="shared" si="1"/>
        <v>1086</v>
      </c>
      <c r="N9" s="92">
        <v>1</v>
      </c>
      <c r="O9" s="170">
        <f t="shared" si="2"/>
        <v>1138.5</v>
      </c>
      <c r="P9" s="170"/>
      <c r="Q9" s="52" t="s">
        <v>47</v>
      </c>
      <c r="R9" s="71" t="s">
        <v>180</v>
      </c>
      <c r="S9" s="137" t="str">
        <f t="shared" si="3"/>
        <v>BPT2010</v>
      </c>
      <c r="T9" s="137" t="str">
        <f t="shared" si="4"/>
        <v>B1.5.1.1.32010</v>
      </c>
      <c r="U9" s="137" t="s">
        <v>204</v>
      </c>
      <c r="V9" s="137" t="str">
        <f t="shared" si="5"/>
        <v>Outer Support Cylinder (OSC)</v>
      </c>
      <c r="W9" s="20"/>
      <c r="X9" s="20"/>
      <c r="Y9" s="20"/>
      <c r="Z9" s="20"/>
      <c r="AA9" s="20"/>
      <c r="AB9" s="33">
        <v>2010</v>
      </c>
      <c r="AC9" s="132">
        <f t="shared" si="6"/>
        <v>0</v>
      </c>
      <c r="AD9" s="132">
        <f t="shared" si="6"/>
        <v>8</v>
      </c>
      <c r="AE9" s="132">
        <f t="shared" si="6"/>
        <v>0</v>
      </c>
      <c r="AF9" s="132">
        <f t="shared" si="6"/>
        <v>1</v>
      </c>
      <c r="AG9" s="132">
        <f t="shared" si="6"/>
        <v>0</v>
      </c>
      <c r="AH9" s="234">
        <f t="shared" si="7"/>
        <v>52.5</v>
      </c>
      <c r="AI9" s="235"/>
      <c r="AJ9" s="92"/>
      <c r="AK9" s="92"/>
      <c r="AL9" s="166"/>
      <c r="AM9" s="131">
        <f t="shared" si="8"/>
        <v>0</v>
      </c>
      <c r="AN9" s="132">
        <f t="shared" si="8"/>
        <v>0</v>
      </c>
      <c r="AO9" s="132">
        <f t="shared" si="8"/>
        <v>0</v>
      </c>
      <c r="AP9" s="132">
        <f t="shared" si="8"/>
        <v>0</v>
      </c>
      <c r="AQ9" s="132">
        <f t="shared" si="8"/>
        <v>0</v>
      </c>
      <c r="AR9" s="132">
        <f t="shared" si="9"/>
        <v>0</v>
      </c>
      <c r="AS9" s="236"/>
    </row>
    <row r="10" spans="1:45" s="20" customFormat="1">
      <c r="A10" s="46" t="s">
        <v>61</v>
      </c>
      <c r="B10" s="20" t="s">
        <v>9</v>
      </c>
      <c r="C10" s="165">
        <v>1</v>
      </c>
      <c r="D10" s="96" t="s">
        <v>57</v>
      </c>
      <c r="E10" s="166">
        <v>1500</v>
      </c>
      <c r="F10" s="167">
        <f t="shared" si="0"/>
        <v>1500</v>
      </c>
      <c r="G10" s="168">
        <v>0</v>
      </c>
      <c r="H10" s="168">
        <v>4</v>
      </c>
      <c r="I10" s="168">
        <v>0</v>
      </c>
      <c r="J10" s="168">
        <v>4</v>
      </c>
      <c r="K10" s="169">
        <v>0</v>
      </c>
      <c r="L10" s="96" t="s">
        <v>8</v>
      </c>
      <c r="M10" s="166">
        <f t="shared" si="1"/>
        <v>1068</v>
      </c>
      <c r="N10" s="92">
        <v>1</v>
      </c>
      <c r="O10" s="170">
        <f t="shared" si="2"/>
        <v>2568</v>
      </c>
      <c r="P10" s="170"/>
      <c r="Q10" s="52" t="s">
        <v>47</v>
      </c>
      <c r="R10" s="71" t="s">
        <v>180</v>
      </c>
      <c r="S10" s="137" t="str">
        <f t="shared" si="3"/>
        <v>BPT2010</v>
      </c>
      <c r="T10" s="137" t="str">
        <f t="shared" si="4"/>
        <v>B1.5.1.1.32010</v>
      </c>
      <c r="U10" s="137" t="s">
        <v>204</v>
      </c>
      <c r="V10" s="137" t="str">
        <f t="shared" si="5"/>
        <v>Outer Support Cylinder (OSC)</v>
      </c>
      <c r="AB10" s="33">
        <v>2010</v>
      </c>
      <c r="AC10" s="132">
        <f t="shared" si="6"/>
        <v>0</v>
      </c>
      <c r="AD10" s="132">
        <f t="shared" si="6"/>
        <v>4</v>
      </c>
      <c r="AE10" s="132">
        <f t="shared" si="6"/>
        <v>0</v>
      </c>
      <c r="AF10" s="132">
        <f t="shared" si="6"/>
        <v>4</v>
      </c>
      <c r="AG10" s="132">
        <f t="shared" si="6"/>
        <v>0</v>
      </c>
      <c r="AH10" s="234">
        <f t="shared" si="7"/>
        <v>1500</v>
      </c>
      <c r="AI10" s="235"/>
      <c r="AJ10" s="92"/>
      <c r="AK10" s="92"/>
      <c r="AL10" s="166"/>
      <c r="AM10" s="131">
        <f t="shared" si="8"/>
        <v>0</v>
      </c>
      <c r="AN10" s="132">
        <f t="shared" si="8"/>
        <v>0</v>
      </c>
      <c r="AO10" s="132">
        <f t="shared" si="8"/>
        <v>0</v>
      </c>
      <c r="AP10" s="132">
        <f t="shared" si="8"/>
        <v>0</v>
      </c>
      <c r="AQ10" s="132">
        <f t="shared" si="8"/>
        <v>0</v>
      </c>
      <c r="AR10" s="132">
        <f t="shared" si="9"/>
        <v>0</v>
      </c>
      <c r="AS10" s="235"/>
    </row>
    <row r="11" spans="1:45" s="20" customFormat="1">
      <c r="A11" s="47" t="s">
        <v>305</v>
      </c>
      <c r="B11" s="20" t="s">
        <v>276</v>
      </c>
      <c r="C11" s="165">
        <v>34</v>
      </c>
      <c r="D11" s="96" t="s">
        <v>59</v>
      </c>
      <c r="E11" s="166">
        <v>500</v>
      </c>
      <c r="F11" s="167">
        <f t="shared" ref="F11" si="10">E11*C11</f>
        <v>17000</v>
      </c>
      <c r="G11" s="168">
        <v>0</v>
      </c>
      <c r="H11" s="168">
        <v>0</v>
      </c>
      <c r="I11" s="168">
        <v>0</v>
      </c>
      <c r="J11" s="168">
        <v>2</v>
      </c>
      <c r="K11" s="169">
        <v>0</v>
      </c>
      <c r="L11" s="96" t="s">
        <v>8</v>
      </c>
      <c r="M11" s="166">
        <f t="shared" ref="M11:M16" si="11">IF(R11="PD",((Shop*G11)+(M_Tech*H11)+(CMM*I11)+(ENG*J11)+(DES*K11))*N11,((Shop_RD*G11)+(MTECH_RD*H11)+(CMM_RD*I11)+(ENG_RD*J11)+(DES_RD*K11))*N11)</f>
        <v>300</v>
      </c>
      <c r="N11" s="92">
        <v>1</v>
      </c>
      <c r="O11" s="170">
        <f t="shared" ref="O11:O16" si="12">M11+(F11*N11)</f>
        <v>17300</v>
      </c>
      <c r="P11" s="170"/>
      <c r="Q11" s="52" t="s">
        <v>47</v>
      </c>
      <c r="R11" s="71" t="s">
        <v>180</v>
      </c>
      <c r="S11" s="137" t="str">
        <f t="shared" ref="S11:S16" si="13">CONCATENATE(Q11,R11,AB11)</f>
        <v>BPT2010</v>
      </c>
      <c r="T11" s="137" t="str">
        <f t="shared" ref="T11:T16" si="14">CONCATENATE(Q11,U11,AB11)</f>
        <v>B1.5.1.1.32010</v>
      </c>
      <c r="U11" s="137" t="s">
        <v>204</v>
      </c>
      <c r="V11" s="137" t="str">
        <f t="shared" si="5"/>
        <v>Outer Support Cylinder (OSC)</v>
      </c>
      <c r="W11" s="130"/>
      <c r="X11" s="130"/>
      <c r="Y11" s="130"/>
      <c r="Z11" s="130"/>
      <c r="AA11" s="130"/>
      <c r="AB11" s="33">
        <v>2010</v>
      </c>
      <c r="AC11" s="132">
        <f t="shared" ref="AC11:AC16" si="15">IF($Q11="B", (G11*$N11),0)</f>
        <v>0</v>
      </c>
      <c r="AD11" s="132">
        <f t="shared" ref="AD11:AD16" si="16">IF($Q11="B", (H11*$N11),0)</f>
        <v>0</v>
      </c>
      <c r="AE11" s="132">
        <f t="shared" ref="AE11:AE16" si="17">IF($Q11="B", (I11*$N11),0)</f>
        <v>0</v>
      </c>
      <c r="AF11" s="132">
        <f t="shared" ref="AF11:AF16" si="18">IF($Q11="B", (J11*$N11),0)</f>
        <v>2</v>
      </c>
      <c r="AG11" s="132">
        <f t="shared" ref="AG11:AG16" si="19">IF($Q11="B", (K11*$N11),0)</f>
        <v>0</v>
      </c>
      <c r="AH11" s="234">
        <f t="shared" ref="AH11" si="20">IF($Q11="B", (F11*$N11),0)</f>
        <v>17000</v>
      </c>
      <c r="AI11" s="235"/>
      <c r="AJ11" s="92"/>
      <c r="AK11" s="92"/>
      <c r="AL11" s="166"/>
      <c r="AM11" s="131">
        <f t="shared" ref="AM11:AM16" si="21">IF($Q11="C", (G11*$N11),0)</f>
        <v>0</v>
      </c>
      <c r="AN11" s="132">
        <f t="shared" ref="AN11:AN16" si="22">IF($Q11="C", (H11*$N11),0)</f>
        <v>0</v>
      </c>
      <c r="AO11" s="132">
        <f t="shared" ref="AO11:AO16" si="23">IF($Q11="C", (I11*$N11),0)</f>
        <v>0</v>
      </c>
      <c r="AP11" s="132">
        <f t="shared" ref="AP11:AP16" si="24">IF($Q11="C", (J11*$N11),0)</f>
        <v>0</v>
      </c>
      <c r="AQ11" s="132">
        <f t="shared" ref="AQ11:AQ16" si="25">IF($Q11="C", (K11*$N11),0)</f>
        <v>0</v>
      </c>
      <c r="AR11" s="132">
        <f t="shared" ref="AR11" si="26">IF($Q11="C", (F11*$N11),0)</f>
        <v>0</v>
      </c>
      <c r="AS11" s="235"/>
    </row>
    <row r="12" spans="1:45" s="20" customFormat="1">
      <c r="A12" s="46" t="s">
        <v>181</v>
      </c>
      <c r="B12" s="20" t="s">
        <v>9</v>
      </c>
      <c r="C12" s="165">
        <v>1</v>
      </c>
      <c r="D12" s="96" t="s">
        <v>9</v>
      </c>
      <c r="E12" s="166">
        <v>1500</v>
      </c>
      <c r="F12" s="167">
        <f>E12*C12</f>
        <v>1500</v>
      </c>
      <c r="G12" s="168">
        <v>0</v>
      </c>
      <c r="H12" s="168">
        <v>0</v>
      </c>
      <c r="I12" s="168">
        <v>0</v>
      </c>
      <c r="J12" s="168">
        <v>0</v>
      </c>
      <c r="K12" s="169">
        <v>0</v>
      </c>
      <c r="L12" s="96" t="s">
        <v>8</v>
      </c>
      <c r="M12" s="166">
        <f t="shared" si="11"/>
        <v>0</v>
      </c>
      <c r="N12" s="92">
        <v>1</v>
      </c>
      <c r="O12" s="170">
        <f t="shared" si="12"/>
        <v>1500</v>
      </c>
      <c r="P12" s="170"/>
      <c r="Q12" s="52" t="s">
        <v>47</v>
      </c>
      <c r="R12" s="71" t="s">
        <v>180</v>
      </c>
      <c r="S12" s="137" t="str">
        <f t="shared" si="13"/>
        <v>BPT2010</v>
      </c>
      <c r="T12" s="137" t="str">
        <f t="shared" si="14"/>
        <v>B1.5.1.1.32010</v>
      </c>
      <c r="U12" s="137" t="s">
        <v>204</v>
      </c>
      <c r="V12" s="137" t="str">
        <f t="shared" ref="V12:V16" si="27">LOOKUP(U12,$B$539:$B$574,$A$539:$A$574)</f>
        <v>Outer Support Cylinder (OSC)</v>
      </c>
      <c r="AB12" s="33">
        <v>2010</v>
      </c>
      <c r="AC12" s="132">
        <f t="shared" si="15"/>
        <v>0</v>
      </c>
      <c r="AD12" s="132">
        <f t="shared" si="16"/>
        <v>0</v>
      </c>
      <c r="AE12" s="132">
        <f t="shared" si="17"/>
        <v>0</v>
      </c>
      <c r="AF12" s="132">
        <f t="shared" si="18"/>
        <v>0</v>
      </c>
      <c r="AG12" s="132">
        <f t="shared" si="19"/>
        <v>0</v>
      </c>
      <c r="AH12" s="234">
        <f>IF($Q12="B", (F12*$N12),0)</f>
        <v>1500</v>
      </c>
      <c r="AI12" s="235"/>
      <c r="AJ12" s="92"/>
      <c r="AK12" s="92"/>
      <c r="AL12" s="166"/>
      <c r="AM12" s="131">
        <f t="shared" si="21"/>
        <v>0</v>
      </c>
      <c r="AN12" s="132">
        <f t="shared" si="22"/>
        <v>0</v>
      </c>
      <c r="AO12" s="132">
        <f t="shared" si="23"/>
        <v>0</v>
      </c>
      <c r="AP12" s="132">
        <f t="shared" si="24"/>
        <v>0</v>
      </c>
      <c r="AQ12" s="132">
        <f t="shared" si="25"/>
        <v>0</v>
      </c>
      <c r="AR12" s="132">
        <f>IF($Q12="C", (F12*$N12),0)</f>
        <v>0</v>
      </c>
      <c r="AS12" s="235"/>
    </row>
    <row r="13" spans="1:45" s="20" customFormat="1">
      <c r="A13" s="46" t="s">
        <v>182</v>
      </c>
      <c r="B13" s="20" t="s">
        <v>9</v>
      </c>
      <c r="C13" s="165">
        <f>C11*0.1</f>
        <v>3.4000000000000004</v>
      </c>
      <c r="D13" s="96" t="s">
        <v>9</v>
      </c>
      <c r="E13" s="166">
        <f>E11</f>
        <v>500</v>
      </c>
      <c r="F13" s="167">
        <f>E13*C13</f>
        <v>1700.0000000000002</v>
      </c>
      <c r="G13" s="168">
        <v>0</v>
      </c>
      <c r="H13" s="168">
        <v>0</v>
      </c>
      <c r="I13" s="168">
        <v>0</v>
      </c>
      <c r="J13" s="168">
        <v>0</v>
      </c>
      <c r="K13" s="169">
        <v>0</v>
      </c>
      <c r="L13" s="96" t="s">
        <v>8</v>
      </c>
      <c r="M13" s="166">
        <f t="shared" si="11"/>
        <v>0</v>
      </c>
      <c r="N13" s="92">
        <v>1</v>
      </c>
      <c r="O13" s="170">
        <f t="shared" si="12"/>
        <v>1700.0000000000002</v>
      </c>
      <c r="P13" s="170"/>
      <c r="Q13" s="52" t="s">
        <v>47</v>
      </c>
      <c r="R13" s="71" t="s">
        <v>180</v>
      </c>
      <c r="S13" s="137" t="str">
        <f t="shared" si="13"/>
        <v>BPT2010</v>
      </c>
      <c r="T13" s="137" t="str">
        <f t="shared" si="14"/>
        <v>B1.5.1.1.32010</v>
      </c>
      <c r="U13" s="137" t="s">
        <v>204</v>
      </c>
      <c r="V13" s="137" t="str">
        <f t="shared" si="27"/>
        <v>Outer Support Cylinder (OSC)</v>
      </c>
      <c r="AB13" s="33">
        <v>2010</v>
      </c>
      <c r="AC13" s="132">
        <f t="shared" si="15"/>
        <v>0</v>
      </c>
      <c r="AD13" s="132">
        <f t="shared" si="16"/>
        <v>0</v>
      </c>
      <c r="AE13" s="132">
        <f t="shared" si="17"/>
        <v>0</v>
      </c>
      <c r="AF13" s="132">
        <f t="shared" si="18"/>
        <v>0</v>
      </c>
      <c r="AG13" s="132">
        <f t="shared" si="19"/>
        <v>0</v>
      </c>
      <c r="AH13" s="234">
        <f>IF($Q13="B", (F13*$N13),0)</f>
        <v>1700.0000000000002</v>
      </c>
      <c r="AI13" s="235"/>
      <c r="AJ13" s="92"/>
      <c r="AK13" s="92"/>
      <c r="AL13" s="166"/>
      <c r="AM13" s="131">
        <f t="shared" si="21"/>
        <v>0</v>
      </c>
      <c r="AN13" s="132">
        <f t="shared" si="22"/>
        <v>0</v>
      </c>
      <c r="AO13" s="132">
        <f t="shared" si="23"/>
        <v>0</v>
      </c>
      <c r="AP13" s="132">
        <f t="shared" si="24"/>
        <v>0</v>
      </c>
      <c r="AQ13" s="132">
        <f t="shared" si="25"/>
        <v>0</v>
      </c>
      <c r="AR13" s="132">
        <f>IF($Q13="C", (F13*$N13),0)</f>
        <v>0</v>
      </c>
      <c r="AS13" s="235"/>
    </row>
    <row r="14" spans="1:45" s="20" customFormat="1">
      <c r="A14" s="46" t="s">
        <v>54</v>
      </c>
      <c r="B14" s="20" t="s">
        <v>9</v>
      </c>
      <c r="C14" s="165">
        <v>0</v>
      </c>
      <c r="D14" s="96" t="s">
        <v>9</v>
      </c>
      <c r="E14" s="166">
        <v>0</v>
      </c>
      <c r="F14" s="167">
        <f t="shared" ref="F14:F16" si="28">E14*C14</f>
        <v>0</v>
      </c>
      <c r="G14" s="168">
        <v>0</v>
      </c>
      <c r="H14" s="168">
        <v>2</v>
      </c>
      <c r="I14" s="168">
        <v>0</v>
      </c>
      <c r="J14" s="168">
        <v>2</v>
      </c>
      <c r="K14" s="169">
        <v>0</v>
      </c>
      <c r="L14" s="96" t="s">
        <v>8</v>
      </c>
      <c r="M14" s="166">
        <f t="shared" si="11"/>
        <v>534</v>
      </c>
      <c r="N14" s="92">
        <v>1</v>
      </c>
      <c r="O14" s="170">
        <f t="shared" si="12"/>
        <v>534</v>
      </c>
      <c r="P14" s="170"/>
      <c r="Q14" s="52" t="s">
        <v>47</v>
      </c>
      <c r="R14" s="71" t="s">
        <v>180</v>
      </c>
      <c r="S14" s="137" t="str">
        <f t="shared" si="13"/>
        <v>BPT2010</v>
      </c>
      <c r="T14" s="137" t="str">
        <f t="shared" si="14"/>
        <v>B1.5.1.1.32010</v>
      </c>
      <c r="U14" s="137" t="s">
        <v>204</v>
      </c>
      <c r="V14" s="137" t="str">
        <f t="shared" si="27"/>
        <v>Outer Support Cylinder (OSC)</v>
      </c>
      <c r="AB14" s="33">
        <v>2010</v>
      </c>
      <c r="AC14" s="132">
        <f t="shared" si="15"/>
        <v>0</v>
      </c>
      <c r="AD14" s="132">
        <f t="shared" si="16"/>
        <v>2</v>
      </c>
      <c r="AE14" s="132">
        <f t="shared" si="17"/>
        <v>0</v>
      </c>
      <c r="AF14" s="132">
        <f t="shared" si="18"/>
        <v>2</v>
      </c>
      <c r="AG14" s="132">
        <f t="shared" si="19"/>
        <v>0</v>
      </c>
      <c r="AH14" s="234">
        <f t="shared" ref="AH14:AH16" si="29">IF($Q14="B", (F14*$N14),0)</f>
        <v>0</v>
      </c>
      <c r="AI14" s="235"/>
      <c r="AJ14" s="92"/>
      <c r="AK14" s="92"/>
      <c r="AL14" s="166"/>
      <c r="AM14" s="131">
        <f t="shared" si="21"/>
        <v>0</v>
      </c>
      <c r="AN14" s="132">
        <f t="shared" si="22"/>
        <v>0</v>
      </c>
      <c r="AO14" s="132">
        <f t="shared" si="23"/>
        <v>0</v>
      </c>
      <c r="AP14" s="132">
        <f t="shared" si="24"/>
        <v>0</v>
      </c>
      <c r="AQ14" s="132">
        <f t="shared" si="25"/>
        <v>0</v>
      </c>
      <c r="AR14" s="132">
        <f t="shared" ref="AR14:AR16" si="30">IF($Q14="C", (F14*$N14),0)</f>
        <v>0</v>
      </c>
      <c r="AS14" s="235"/>
    </row>
    <row r="15" spans="1:45" s="133" customFormat="1">
      <c r="A15" s="46" t="s">
        <v>55</v>
      </c>
      <c r="B15" s="20" t="s">
        <v>58</v>
      </c>
      <c r="C15" s="165">
        <v>0.5</v>
      </c>
      <c r="D15" s="96" t="s">
        <v>59</v>
      </c>
      <c r="E15" s="166">
        <v>105</v>
      </c>
      <c r="F15" s="167">
        <f t="shared" si="28"/>
        <v>52.5</v>
      </c>
      <c r="G15" s="168">
        <v>0</v>
      </c>
      <c r="H15" s="168">
        <v>8</v>
      </c>
      <c r="I15" s="168">
        <v>0</v>
      </c>
      <c r="J15" s="168">
        <v>1</v>
      </c>
      <c r="K15" s="169">
        <v>0</v>
      </c>
      <c r="L15" s="96" t="s">
        <v>8</v>
      </c>
      <c r="M15" s="166">
        <f t="shared" si="11"/>
        <v>1086</v>
      </c>
      <c r="N15" s="92">
        <v>1</v>
      </c>
      <c r="O15" s="170">
        <f t="shared" si="12"/>
        <v>1138.5</v>
      </c>
      <c r="P15" s="170"/>
      <c r="Q15" s="52" t="s">
        <v>47</v>
      </c>
      <c r="R15" s="71" t="s">
        <v>180</v>
      </c>
      <c r="S15" s="137" t="str">
        <f t="shared" si="13"/>
        <v>BPT2010</v>
      </c>
      <c r="T15" s="137" t="str">
        <f t="shared" si="14"/>
        <v>B1.5.1.1.32010</v>
      </c>
      <c r="U15" s="137" t="s">
        <v>204</v>
      </c>
      <c r="V15" s="137" t="str">
        <f t="shared" si="27"/>
        <v>Outer Support Cylinder (OSC)</v>
      </c>
      <c r="W15" s="20"/>
      <c r="X15" s="20"/>
      <c r="Y15" s="20"/>
      <c r="Z15" s="20"/>
      <c r="AA15" s="20"/>
      <c r="AB15" s="33">
        <v>2010</v>
      </c>
      <c r="AC15" s="132">
        <f t="shared" si="15"/>
        <v>0</v>
      </c>
      <c r="AD15" s="132">
        <f t="shared" si="16"/>
        <v>8</v>
      </c>
      <c r="AE15" s="132">
        <f t="shared" si="17"/>
        <v>0</v>
      </c>
      <c r="AF15" s="132">
        <f t="shared" si="18"/>
        <v>1</v>
      </c>
      <c r="AG15" s="132">
        <f t="shared" si="19"/>
        <v>0</v>
      </c>
      <c r="AH15" s="234">
        <f t="shared" si="29"/>
        <v>52.5</v>
      </c>
      <c r="AI15" s="235"/>
      <c r="AJ15" s="92"/>
      <c r="AK15" s="92"/>
      <c r="AL15" s="166"/>
      <c r="AM15" s="131">
        <f t="shared" si="21"/>
        <v>0</v>
      </c>
      <c r="AN15" s="132">
        <f t="shared" si="22"/>
        <v>0</v>
      </c>
      <c r="AO15" s="132">
        <f t="shared" si="23"/>
        <v>0</v>
      </c>
      <c r="AP15" s="132">
        <f t="shared" si="24"/>
        <v>0</v>
      </c>
      <c r="AQ15" s="132">
        <f t="shared" si="25"/>
        <v>0</v>
      </c>
      <c r="AR15" s="132">
        <f t="shared" si="30"/>
        <v>0</v>
      </c>
      <c r="AS15" s="236"/>
    </row>
    <row r="16" spans="1:45" s="20" customFormat="1">
      <c r="A16" s="46" t="s">
        <v>61</v>
      </c>
      <c r="B16" s="20" t="s">
        <v>9</v>
      </c>
      <c r="C16" s="165">
        <v>1</v>
      </c>
      <c r="D16" s="96" t="s">
        <v>57</v>
      </c>
      <c r="E16" s="166">
        <v>1500</v>
      </c>
      <c r="F16" s="167">
        <f t="shared" si="28"/>
        <v>1500</v>
      </c>
      <c r="G16" s="168">
        <v>0</v>
      </c>
      <c r="H16" s="168">
        <v>4</v>
      </c>
      <c r="I16" s="168">
        <v>0</v>
      </c>
      <c r="J16" s="168">
        <v>4</v>
      </c>
      <c r="K16" s="169">
        <v>0</v>
      </c>
      <c r="L16" s="96" t="s">
        <v>8</v>
      </c>
      <c r="M16" s="166">
        <f t="shared" si="11"/>
        <v>1068</v>
      </c>
      <c r="N16" s="92">
        <v>1</v>
      </c>
      <c r="O16" s="170">
        <f t="shared" si="12"/>
        <v>2568</v>
      </c>
      <c r="P16" s="170"/>
      <c r="Q16" s="52" t="s">
        <v>47</v>
      </c>
      <c r="R16" s="71" t="s">
        <v>180</v>
      </c>
      <c r="S16" s="137" t="str">
        <f t="shared" si="13"/>
        <v>BPT2010</v>
      </c>
      <c r="T16" s="137" t="str">
        <f t="shared" si="14"/>
        <v>B1.5.1.1.32010</v>
      </c>
      <c r="U16" s="137" t="s">
        <v>204</v>
      </c>
      <c r="V16" s="137" t="str">
        <f t="shared" si="27"/>
        <v>Outer Support Cylinder (OSC)</v>
      </c>
      <c r="AB16" s="33">
        <v>2010</v>
      </c>
      <c r="AC16" s="132">
        <f t="shared" si="15"/>
        <v>0</v>
      </c>
      <c r="AD16" s="132">
        <f t="shared" si="16"/>
        <v>4</v>
      </c>
      <c r="AE16" s="132">
        <f t="shared" si="17"/>
        <v>0</v>
      </c>
      <c r="AF16" s="132">
        <f t="shared" si="18"/>
        <v>4</v>
      </c>
      <c r="AG16" s="132">
        <f t="shared" si="19"/>
        <v>0</v>
      </c>
      <c r="AH16" s="234">
        <f t="shared" si="29"/>
        <v>1500</v>
      </c>
      <c r="AI16" s="235"/>
      <c r="AJ16" s="92"/>
      <c r="AK16" s="92"/>
      <c r="AL16" s="166"/>
      <c r="AM16" s="131">
        <f t="shared" si="21"/>
        <v>0</v>
      </c>
      <c r="AN16" s="132">
        <f t="shared" si="22"/>
        <v>0</v>
      </c>
      <c r="AO16" s="132">
        <f t="shared" si="23"/>
        <v>0</v>
      </c>
      <c r="AP16" s="132">
        <f t="shared" si="24"/>
        <v>0</v>
      </c>
      <c r="AQ16" s="132">
        <f t="shared" si="25"/>
        <v>0</v>
      </c>
      <c r="AR16" s="132">
        <f t="shared" si="30"/>
        <v>0</v>
      </c>
      <c r="AS16" s="235"/>
    </row>
    <row r="17" spans="1:45" s="20" customFormat="1">
      <c r="A17" s="47" t="s">
        <v>308</v>
      </c>
      <c r="B17" s="20" t="s">
        <v>91</v>
      </c>
      <c r="C17" s="165">
        <v>29</v>
      </c>
      <c r="D17" s="96" t="s">
        <v>59</v>
      </c>
      <c r="E17" s="166">
        <v>400</v>
      </c>
      <c r="F17" s="167">
        <f t="shared" ref="F17:F22" si="31">E17*C17</f>
        <v>11600</v>
      </c>
      <c r="G17" s="168">
        <v>0</v>
      </c>
      <c r="H17" s="168">
        <v>0</v>
      </c>
      <c r="I17" s="168">
        <v>0</v>
      </c>
      <c r="J17" s="168">
        <v>2</v>
      </c>
      <c r="K17" s="169">
        <v>0</v>
      </c>
      <c r="L17" s="96" t="s">
        <v>8</v>
      </c>
      <c r="M17" s="166">
        <f t="shared" si="1"/>
        <v>243.00000000000003</v>
      </c>
      <c r="N17" s="92">
        <v>1</v>
      </c>
      <c r="O17" s="170">
        <f t="shared" si="2"/>
        <v>11843</v>
      </c>
      <c r="P17" s="170"/>
      <c r="Q17" s="52" t="s">
        <v>47</v>
      </c>
      <c r="R17" s="71" t="s">
        <v>77</v>
      </c>
      <c r="S17" s="137" t="str">
        <f t="shared" si="3"/>
        <v>BPD2011</v>
      </c>
      <c r="T17" s="137" t="str">
        <f t="shared" si="4"/>
        <v>B1.5.1.1.22011</v>
      </c>
      <c r="U17" s="137" t="s">
        <v>202</v>
      </c>
      <c r="V17" s="137" t="str">
        <f t="shared" ref="V17:V22" si="32">LOOKUP(U17,$B$539:$B$574,$A$539:$A$574)</f>
        <v>East Support Cylinder (ESC)</v>
      </c>
      <c r="W17" s="130"/>
      <c r="X17" s="130"/>
      <c r="Y17" s="130"/>
      <c r="Z17" s="130"/>
      <c r="AA17" s="130"/>
      <c r="AB17" s="33">
        <v>2011</v>
      </c>
      <c r="AC17" s="132">
        <f t="shared" ref="AC17:AC22" si="33">IF($Q17="B", (G17*$N17),0)</f>
        <v>0</v>
      </c>
      <c r="AD17" s="132">
        <f t="shared" ref="AD17:AD22" si="34">IF($Q17="B", (H17*$N17),0)</f>
        <v>0</v>
      </c>
      <c r="AE17" s="132">
        <f t="shared" ref="AE17:AE22" si="35">IF($Q17="B", (I17*$N17),0)</f>
        <v>0</v>
      </c>
      <c r="AF17" s="132">
        <f t="shared" ref="AF17:AF22" si="36">IF($Q17="B", (J17*$N17),0)</f>
        <v>2</v>
      </c>
      <c r="AG17" s="132">
        <f t="shared" ref="AG17:AG22" si="37">IF($Q17="B", (K17*$N17),0)</f>
        <v>0</v>
      </c>
      <c r="AH17" s="234">
        <f t="shared" ref="AH17:AH22" si="38">IF($Q17="B", (F17*$N17),0)</f>
        <v>11600</v>
      </c>
      <c r="AI17" s="235"/>
      <c r="AJ17" s="92"/>
      <c r="AK17" s="92"/>
      <c r="AL17" s="166"/>
      <c r="AM17" s="131">
        <f t="shared" ref="AM17:AM22" si="39">IF($Q17="C", (G17*$N17),0)</f>
        <v>0</v>
      </c>
      <c r="AN17" s="132">
        <f t="shared" ref="AN17:AN22" si="40">IF($Q17="C", (H17*$N17),0)</f>
        <v>0</v>
      </c>
      <c r="AO17" s="132">
        <f t="shared" ref="AO17:AO22" si="41">IF($Q17="C", (I17*$N17),0)</f>
        <v>0</v>
      </c>
      <c r="AP17" s="132">
        <f t="shared" ref="AP17:AP22" si="42">IF($Q17="C", (J17*$N17),0)</f>
        <v>0</v>
      </c>
      <c r="AQ17" s="132">
        <f t="shared" ref="AQ17:AQ22" si="43">IF($Q17="C", (K17*$N17),0)</f>
        <v>0</v>
      </c>
      <c r="AR17" s="132">
        <f t="shared" ref="AR17:AR22" si="44">IF($Q17="C", (F17*$N17),0)</f>
        <v>0</v>
      </c>
      <c r="AS17" s="235"/>
    </row>
    <row r="18" spans="1:45" s="20" customFormat="1">
      <c r="A18" s="46" t="s">
        <v>181</v>
      </c>
      <c r="B18" s="20" t="s">
        <v>9</v>
      </c>
      <c r="C18" s="165">
        <v>1</v>
      </c>
      <c r="D18" s="96" t="s">
        <v>9</v>
      </c>
      <c r="E18" s="166">
        <v>1500</v>
      </c>
      <c r="F18" s="167">
        <f t="shared" si="31"/>
        <v>1500</v>
      </c>
      <c r="G18" s="168">
        <v>0</v>
      </c>
      <c r="H18" s="168">
        <v>0</v>
      </c>
      <c r="I18" s="168">
        <v>0</v>
      </c>
      <c r="J18" s="168">
        <v>0</v>
      </c>
      <c r="K18" s="169">
        <v>0</v>
      </c>
      <c r="L18" s="96" t="s">
        <v>8</v>
      </c>
      <c r="M18" s="166">
        <f t="shared" si="1"/>
        <v>0</v>
      </c>
      <c r="N18" s="92">
        <v>1</v>
      </c>
      <c r="O18" s="170">
        <f t="shared" si="2"/>
        <v>1500</v>
      </c>
      <c r="P18" s="170"/>
      <c r="Q18" s="52" t="s">
        <v>47</v>
      </c>
      <c r="R18" s="71" t="s">
        <v>77</v>
      </c>
      <c r="S18" s="137" t="s">
        <v>200</v>
      </c>
      <c r="T18" s="137" t="s">
        <v>200</v>
      </c>
      <c r="U18" s="137" t="s">
        <v>202</v>
      </c>
      <c r="V18" s="137" t="str">
        <f t="shared" si="32"/>
        <v>East Support Cylinder (ESC)</v>
      </c>
      <c r="AB18" s="33">
        <v>2011</v>
      </c>
      <c r="AC18" s="132">
        <f t="shared" si="33"/>
        <v>0</v>
      </c>
      <c r="AD18" s="132">
        <f t="shared" si="34"/>
        <v>0</v>
      </c>
      <c r="AE18" s="132">
        <f t="shared" si="35"/>
        <v>0</v>
      </c>
      <c r="AF18" s="132">
        <f t="shared" si="36"/>
        <v>0</v>
      </c>
      <c r="AG18" s="132">
        <f t="shared" si="37"/>
        <v>0</v>
      </c>
      <c r="AH18" s="234">
        <f t="shared" si="38"/>
        <v>1500</v>
      </c>
      <c r="AI18" s="235"/>
      <c r="AJ18" s="92"/>
      <c r="AK18" s="92"/>
      <c r="AL18" s="166"/>
      <c r="AM18" s="131">
        <f t="shared" si="39"/>
        <v>0</v>
      </c>
      <c r="AN18" s="132">
        <f t="shared" si="40"/>
        <v>0</v>
      </c>
      <c r="AO18" s="132">
        <f t="shared" si="41"/>
        <v>0</v>
      </c>
      <c r="AP18" s="132">
        <f t="shared" si="42"/>
        <v>0</v>
      </c>
      <c r="AQ18" s="132">
        <f t="shared" si="43"/>
        <v>0</v>
      </c>
      <c r="AR18" s="132">
        <f t="shared" si="44"/>
        <v>0</v>
      </c>
      <c r="AS18" s="235"/>
    </row>
    <row r="19" spans="1:45" s="20" customFormat="1">
      <c r="A19" s="46" t="s">
        <v>182</v>
      </c>
      <c r="B19" s="20" t="s">
        <v>9</v>
      </c>
      <c r="C19" s="165">
        <f>C17*0.1</f>
        <v>2.9000000000000004</v>
      </c>
      <c r="D19" s="96" t="s">
        <v>9</v>
      </c>
      <c r="E19" s="166">
        <f>E17</f>
        <v>400</v>
      </c>
      <c r="F19" s="167">
        <f t="shared" si="31"/>
        <v>1160.0000000000002</v>
      </c>
      <c r="G19" s="168">
        <v>0</v>
      </c>
      <c r="H19" s="168">
        <v>0</v>
      </c>
      <c r="I19" s="168">
        <v>0</v>
      </c>
      <c r="J19" s="168">
        <v>0</v>
      </c>
      <c r="K19" s="169">
        <v>0</v>
      </c>
      <c r="L19" s="96" t="s">
        <v>8</v>
      </c>
      <c r="M19" s="166">
        <f t="shared" si="1"/>
        <v>0</v>
      </c>
      <c r="N19" s="92">
        <v>1</v>
      </c>
      <c r="O19" s="170">
        <f t="shared" si="2"/>
        <v>1160.0000000000002</v>
      </c>
      <c r="P19" s="170"/>
      <c r="Q19" s="52" t="s">
        <v>47</v>
      </c>
      <c r="R19" s="71" t="s">
        <v>77</v>
      </c>
      <c r="S19" s="137" t="s">
        <v>200</v>
      </c>
      <c r="T19" s="137" t="s">
        <v>200</v>
      </c>
      <c r="U19" s="137" t="s">
        <v>202</v>
      </c>
      <c r="V19" s="137" t="str">
        <f t="shared" si="32"/>
        <v>East Support Cylinder (ESC)</v>
      </c>
      <c r="AB19" s="33">
        <v>2011</v>
      </c>
      <c r="AC19" s="132">
        <f t="shared" si="33"/>
        <v>0</v>
      </c>
      <c r="AD19" s="132">
        <f t="shared" si="34"/>
        <v>0</v>
      </c>
      <c r="AE19" s="132">
        <f t="shared" si="35"/>
        <v>0</v>
      </c>
      <c r="AF19" s="132">
        <f t="shared" si="36"/>
        <v>0</v>
      </c>
      <c r="AG19" s="132">
        <f t="shared" si="37"/>
        <v>0</v>
      </c>
      <c r="AH19" s="234">
        <f t="shared" si="38"/>
        <v>1160.0000000000002</v>
      </c>
      <c r="AI19" s="235"/>
      <c r="AJ19" s="92"/>
      <c r="AK19" s="92"/>
      <c r="AL19" s="166"/>
      <c r="AM19" s="131">
        <f t="shared" si="39"/>
        <v>0</v>
      </c>
      <c r="AN19" s="132">
        <f t="shared" si="40"/>
        <v>0</v>
      </c>
      <c r="AO19" s="132">
        <f t="shared" si="41"/>
        <v>0</v>
      </c>
      <c r="AP19" s="132">
        <f t="shared" si="42"/>
        <v>0</v>
      </c>
      <c r="AQ19" s="132">
        <f t="shared" si="43"/>
        <v>0</v>
      </c>
      <c r="AR19" s="132">
        <f t="shared" si="44"/>
        <v>0</v>
      </c>
      <c r="AS19" s="235"/>
    </row>
    <row r="20" spans="1:45" s="20" customFormat="1">
      <c r="A20" s="46" t="s">
        <v>54</v>
      </c>
      <c r="B20" s="20" t="s">
        <v>9</v>
      </c>
      <c r="C20" s="165">
        <v>0</v>
      </c>
      <c r="D20" s="96" t="s">
        <v>9</v>
      </c>
      <c r="E20" s="166">
        <v>0</v>
      </c>
      <c r="F20" s="167">
        <f t="shared" si="31"/>
        <v>0</v>
      </c>
      <c r="G20" s="168">
        <v>0</v>
      </c>
      <c r="H20" s="168">
        <v>2</v>
      </c>
      <c r="I20" s="168">
        <v>0</v>
      </c>
      <c r="J20" s="168">
        <v>2</v>
      </c>
      <c r="K20" s="169">
        <v>0</v>
      </c>
      <c r="L20" s="96" t="s">
        <v>8</v>
      </c>
      <c r="M20" s="166">
        <f t="shared" si="1"/>
        <v>432.54000000000008</v>
      </c>
      <c r="N20" s="92">
        <v>1</v>
      </c>
      <c r="O20" s="170">
        <f t="shared" si="2"/>
        <v>432.54000000000008</v>
      </c>
      <c r="P20" s="170"/>
      <c r="Q20" s="52" t="s">
        <v>47</v>
      </c>
      <c r="R20" s="71" t="s">
        <v>77</v>
      </c>
      <c r="S20" s="137" t="s">
        <v>200</v>
      </c>
      <c r="T20" s="137" t="s">
        <v>200</v>
      </c>
      <c r="U20" s="137" t="s">
        <v>202</v>
      </c>
      <c r="V20" s="137" t="str">
        <f t="shared" si="32"/>
        <v>East Support Cylinder (ESC)</v>
      </c>
      <c r="AB20" s="33">
        <v>2011</v>
      </c>
      <c r="AC20" s="132">
        <f t="shared" si="33"/>
        <v>0</v>
      </c>
      <c r="AD20" s="132">
        <f t="shared" si="34"/>
        <v>2</v>
      </c>
      <c r="AE20" s="132">
        <f t="shared" si="35"/>
        <v>0</v>
      </c>
      <c r="AF20" s="132">
        <f t="shared" si="36"/>
        <v>2</v>
      </c>
      <c r="AG20" s="132">
        <f t="shared" si="37"/>
        <v>0</v>
      </c>
      <c r="AH20" s="234">
        <f t="shared" si="38"/>
        <v>0</v>
      </c>
      <c r="AI20" s="235"/>
      <c r="AJ20" s="92"/>
      <c r="AK20" s="92"/>
      <c r="AL20" s="166"/>
      <c r="AM20" s="131">
        <f t="shared" si="39"/>
        <v>0</v>
      </c>
      <c r="AN20" s="132">
        <f t="shared" si="40"/>
        <v>0</v>
      </c>
      <c r="AO20" s="132">
        <f t="shared" si="41"/>
        <v>0</v>
      </c>
      <c r="AP20" s="132">
        <f t="shared" si="42"/>
        <v>0</v>
      </c>
      <c r="AQ20" s="132">
        <f t="shared" si="43"/>
        <v>0</v>
      </c>
      <c r="AR20" s="132">
        <f t="shared" si="44"/>
        <v>0</v>
      </c>
      <c r="AS20" s="235"/>
    </row>
    <row r="21" spans="1:45" s="133" customFormat="1">
      <c r="A21" s="46" t="s">
        <v>55</v>
      </c>
      <c r="B21" s="20" t="s">
        <v>58</v>
      </c>
      <c r="C21" s="165">
        <v>0.5</v>
      </c>
      <c r="D21" s="96" t="s">
        <v>59</v>
      </c>
      <c r="E21" s="166">
        <v>105</v>
      </c>
      <c r="F21" s="167">
        <f t="shared" si="31"/>
        <v>52.5</v>
      </c>
      <c r="G21" s="168">
        <v>0</v>
      </c>
      <c r="H21" s="168">
        <v>8</v>
      </c>
      <c r="I21" s="168">
        <v>0</v>
      </c>
      <c r="J21" s="168">
        <v>1</v>
      </c>
      <c r="K21" s="169">
        <v>0</v>
      </c>
      <c r="L21" s="96" t="s">
        <v>8</v>
      </c>
      <c r="M21" s="166">
        <f t="shared" si="1"/>
        <v>879.66000000000008</v>
      </c>
      <c r="N21" s="92">
        <v>1</v>
      </c>
      <c r="O21" s="170">
        <f t="shared" si="2"/>
        <v>932.16000000000008</v>
      </c>
      <c r="P21" s="170"/>
      <c r="Q21" s="52" t="s">
        <v>47</v>
      </c>
      <c r="R21" s="71" t="s">
        <v>77</v>
      </c>
      <c r="S21" s="137" t="s">
        <v>200</v>
      </c>
      <c r="T21" s="137" t="s">
        <v>200</v>
      </c>
      <c r="U21" s="137" t="s">
        <v>202</v>
      </c>
      <c r="V21" s="137" t="str">
        <f t="shared" si="32"/>
        <v>East Support Cylinder (ESC)</v>
      </c>
      <c r="W21" s="20"/>
      <c r="X21" s="20"/>
      <c r="Y21" s="20"/>
      <c r="Z21" s="20"/>
      <c r="AA21" s="20"/>
      <c r="AB21" s="33">
        <v>2011</v>
      </c>
      <c r="AC21" s="132">
        <f t="shared" si="33"/>
        <v>0</v>
      </c>
      <c r="AD21" s="132">
        <f t="shared" si="34"/>
        <v>8</v>
      </c>
      <c r="AE21" s="132">
        <f t="shared" si="35"/>
        <v>0</v>
      </c>
      <c r="AF21" s="132">
        <f t="shared" si="36"/>
        <v>1</v>
      </c>
      <c r="AG21" s="132">
        <f t="shared" si="37"/>
        <v>0</v>
      </c>
      <c r="AH21" s="234">
        <f t="shared" si="38"/>
        <v>52.5</v>
      </c>
      <c r="AI21" s="235"/>
      <c r="AJ21" s="92"/>
      <c r="AK21" s="92"/>
      <c r="AL21" s="166"/>
      <c r="AM21" s="131">
        <f t="shared" si="39"/>
        <v>0</v>
      </c>
      <c r="AN21" s="132">
        <f t="shared" si="40"/>
        <v>0</v>
      </c>
      <c r="AO21" s="132">
        <f t="shared" si="41"/>
        <v>0</v>
      </c>
      <c r="AP21" s="132">
        <f t="shared" si="42"/>
        <v>0</v>
      </c>
      <c r="AQ21" s="132">
        <f t="shared" si="43"/>
        <v>0</v>
      </c>
      <c r="AR21" s="132">
        <f t="shared" si="44"/>
        <v>0</v>
      </c>
      <c r="AS21" s="236"/>
    </row>
    <row r="22" spans="1:45" s="20" customFormat="1">
      <c r="A22" s="46" t="s">
        <v>61</v>
      </c>
      <c r="B22" s="20" t="s">
        <v>9</v>
      </c>
      <c r="C22" s="165">
        <v>1</v>
      </c>
      <c r="D22" s="96" t="s">
        <v>57</v>
      </c>
      <c r="E22" s="166">
        <v>1500</v>
      </c>
      <c r="F22" s="167">
        <f t="shared" si="31"/>
        <v>1500</v>
      </c>
      <c r="G22" s="168">
        <v>0</v>
      </c>
      <c r="H22" s="168">
        <v>4</v>
      </c>
      <c r="I22" s="168">
        <v>0</v>
      </c>
      <c r="J22" s="168">
        <v>4</v>
      </c>
      <c r="K22" s="169">
        <v>0</v>
      </c>
      <c r="L22" s="96" t="s">
        <v>8</v>
      </c>
      <c r="M22" s="166">
        <f t="shared" si="1"/>
        <v>865.08000000000015</v>
      </c>
      <c r="N22" s="92">
        <v>1</v>
      </c>
      <c r="O22" s="170">
        <f t="shared" si="2"/>
        <v>2365.08</v>
      </c>
      <c r="P22" s="170"/>
      <c r="Q22" s="52" t="s">
        <v>47</v>
      </c>
      <c r="R22" s="71" t="s">
        <v>77</v>
      </c>
      <c r="S22" s="137" t="s">
        <v>200</v>
      </c>
      <c r="T22" s="137" t="s">
        <v>200</v>
      </c>
      <c r="U22" s="137" t="s">
        <v>202</v>
      </c>
      <c r="V22" s="137" t="str">
        <f t="shared" si="32"/>
        <v>East Support Cylinder (ESC)</v>
      </c>
      <c r="AB22" s="33">
        <v>2011</v>
      </c>
      <c r="AC22" s="132">
        <f t="shared" si="33"/>
        <v>0</v>
      </c>
      <c r="AD22" s="132">
        <f t="shared" si="34"/>
        <v>4</v>
      </c>
      <c r="AE22" s="132">
        <f t="shared" si="35"/>
        <v>0</v>
      </c>
      <c r="AF22" s="132">
        <f t="shared" si="36"/>
        <v>4</v>
      </c>
      <c r="AG22" s="132">
        <f t="shared" si="37"/>
        <v>0</v>
      </c>
      <c r="AH22" s="234">
        <f t="shared" si="38"/>
        <v>1500</v>
      </c>
      <c r="AI22" s="235"/>
      <c r="AJ22" s="92"/>
      <c r="AK22" s="92"/>
      <c r="AL22" s="166"/>
      <c r="AM22" s="131">
        <f t="shared" si="39"/>
        <v>0</v>
      </c>
      <c r="AN22" s="132">
        <f t="shared" si="40"/>
        <v>0</v>
      </c>
      <c r="AO22" s="132">
        <f t="shared" si="41"/>
        <v>0</v>
      </c>
      <c r="AP22" s="132">
        <f t="shared" si="42"/>
        <v>0</v>
      </c>
      <c r="AQ22" s="132">
        <f t="shared" si="43"/>
        <v>0</v>
      </c>
      <c r="AR22" s="132">
        <f t="shared" si="44"/>
        <v>0</v>
      </c>
      <c r="AS22" s="235"/>
    </row>
    <row r="23" spans="1:45" s="20" customFormat="1">
      <c r="A23" s="47" t="s">
        <v>309</v>
      </c>
      <c r="B23" s="20" t="s">
        <v>276</v>
      </c>
      <c r="C23" s="165">
        <v>143</v>
      </c>
      <c r="D23" s="96" t="s">
        <v>59</v>
      </c>
      <c r="E23" s="166">
        <v>500</v>
      </c>
      <c r="F23" s="167">
        <f t="shared" ref="F23:F34" si="45">E23*C23</f>
        <v>71500</v>
      </c>
      <c r="G23" s="168">
        <v>0</v>
      </c>
      <c r="H23" s="168">
        <v>0</v>
      </c>
      <c r="I23" s="168">
        <v>0</v>
      </c>
      <c r="J23" s="168">
        <v>4</v>
      </c>
      <c r="K23" s="169">
        <v>0</v>
      </c>
      <c r="L23" s="96" t="s">
        <v>8</v>
      </c>
      <c r="M23" s="166">
        <f t="shared" ref="M23:M34" si="46">IF(R23="PD",((Shop*G23)+(M_Tech*H23)+(CMM*I23)+(ENG*J23)+(DES*K23))*N23,((Shop_RD*G23)+(MTECH_RD*H23)+(CMM_RD*I23)+(ENG_RD*J23)+(DES_RD*K23))*N23)</f>
        <v>486.00000000000006</v>
      </c>
      <c r="N23" s="92">
        <v>1</v>
      </c>
      <c r="O23" s="170">
        <f t="shared" ref="O23:O34" si="47">M23+(F23*N23)</f>
        <v>71986</v>
      </c>
      <c r="P23" s="170"/>
      <c r="Q23" s="52" t="s">
        <v>47</v>
      </c>
      <c r="R23" s="71" t="s">
        <v>77</v>
      </c>
      <c r="S23" s="137" t="s">
        <v>200</v>
      </c>
      <c r="T23" s="137" t="s">
        <v>200</v>
      </c>
      <c r="U23" s="137" t="s">
        <v>202</v>
      </c>
      <c r="V23" s="137" t="str">
        <f t="shared" ref="V23:V34" si="48">LOOKUP(U23,$B$539:$B$574,$A$539:$A$574)</f>
        <v>East Support Cylinder (ESC)</v>
      </c>
      <c r="W23" s="130"/>
      <c r="X23" s="130"/>
      <c r="Y23" s="130"/>
      <c r="Z23" s="130"/>
      <c r="AA23" s="130"/>
      <c r="AB23" s="33">
        <v>2011</v>
      </c>
      <c r="AC23" s="132">
        <f t="shared" ref="AC23:AC34" si="49">IF($Q23="B", (G23*$N23),0)</f>
        <v>0</v>
      </c>
      <c r="AD23" s="132">
        <f t="shared" ref="AD23:AD34" si="50">IF($Q23="B", (H23*$N23),0)</f>
        <v>0</v>
      </c>
      <c r="AE23" s="132">
        <f t="shared" ref="AE23:AE34" si="51">IF($Q23="B", (I23*$N23),0)</f>
        <v>0</v>
      </c>
      <c r="AF23" s="132">
        <f t="shared" ref="AF23:AF34" si="52">IF($Q23="B", (J23*$N23),0)</f>
        <v>4</v>
      </c>
      <c r="AG23" s="132">
        <f t="shared" ref="AG23:AG34" si="53">IF($Q23="B", (K23*$N23),0)</f>
        <v>0</v>
      </c>
      <c r="AH23" s="234">
        <f t="shared" ref="AH23:AH34" si="54">IF($Q23="B", (F23*$N23),0)</f>
        <v>71500</v>
      </c>
      <c r="AI23" s="235"/>
      <c r="AJ23" s="92"/>
      <c r="AK23" s="92"/>
      <c r="AL23" s="166"/>
      <c r="AM23" s="131">
        <f t="shared" ref="AM23:AM34" si="55">IF($Q23="C", (G23*$N23),0)</f>
        <v>0</v>
      </c>
      <c r="AN23" s="132">
        <f t="shared" ref="AN23:AN34" si="56">IF($Q23="C", (H23*$N23),0)</f>
        <v>0</v>
      </c>
      <c r="AO23" s="132">
        <f t="shared" ref="AO23:AO34" si="57">IF($Q23="C", (I23*$N23),0)</f>
        <v>0</v>
      </c>
      <c r="AP23" s="132">
        <f t="shared" ref="AP23:AP34" si="58">IF($Q23="C", (J23*$N23),0)</f>
        <v>0</v>
      </c>
      <c r="AQ23" s="132">
        <f t="shared" ref="AQ23:AQ34" si="59">IF($Q23="C", (K23*$N23),0)</f>
        <v>0</v>
      </c>
      <c r="AR23" s="132">
        <f t="shared" ref="AR23:AR34" si="60">IF($Q23="C", (F23*$N23),0)</f>
        <v>0</v>
      </c>
      <c r="AS23" s="235"/>
    </row>
    <row r="24" spans="1:45" s="20" customFormat="1">
      <c r="A24" s="46" t="s">
        <v>181</v>
      </c>
      <c r="B24" s="20" t="s">
        <v>9</v>
      </c>
      <c r="C24" s="165">
        <v>1</v>
      </c>
      <c r="D24" s="96" t="s">
        <v>9</v>
      </c>
      <c r="E24" s="166">
        <v>1500</v>
      </c>
      <c r="F24" s="167">
        <f t="shared" si="45"/>
        <v>1500</v>
      </c>
      <c r="G24" s="168">
        <v>0</v>
      </c>
      <c r="H24" s="168">
        <v>0</v>
      </c>
      <c r="I24" s="168">
        <v>0</v>
      </c>
      <c r="J24" s="168">
        <v>0</v>
      </c>
      <c r="K24" s="169">
        <v>0</v>
      </c>
      <c r="L24" s="96" t="s">
        <v>8</v>
      </c>
      <c r="M24" s="166">
        <f t="shared" si="46"/>
        <v>0</v>
      </c>
      <c r="N24" s="92">
        <v>1</v>
      </c>
      <c r="O24" s="170">
        <f t="shared" si="47"/>
        <v>1500</v>
      </c>
      <c r="P24" s="170"/>
      <c r="Q24" s="52" t="s">
        <v>47</v>
      </c>
      <c r="R24" s="71" t="s">
        <v>77</v>
      </c>
      <c r="S24" s="137" t="s">
        <v>200</v>
      </c>
      <c r="T24" s="137" t="s">
        <v>200</v>
      </c>
      <c r="U24" s="137" t="s">
        <v>202</v>
      </c>
      <c r="V24" s="137" t="str">
        <f t="shared" si="48"/>
        <v>East Support Cylinder (ESC)</v>
      </c>
      <c r="AB24" s="33">
        <v>2011</v>
      </c>
      <c r="AC24" s="132">
        <f t="shared" si="49"/>
        <v>0</v>
      </c>
      <c r="AD24" s="132">
        <f t="shared" si="50"/>
        <v>0</v>
      </c>
      <c r="AE24" s="132">
        <f t="shared" si="51"/>
        <v>0</v>
      </c>
      <c r="AF24" s="132">
        <f t="shared" si="52"/>
        <v>0</v>
      </c>
      <c r="AG24" s="132">
        <f t="shared" si="53"/>
        <v>0</v>
      </c>
      <c r="AH24" s="234">
        <f t="shared" si="54"/>
        <v>1500</v>
      </c>
      <c r="AI24" s="235"/>
      <c r="AJ24" s="92"/>
      <c r="AK24" s="92"/>
      <c r="AL24" s="166"/>
      <c r="AM24" s="131">
        <f t="shared" si="55"/>
        <v>0</v>
      </c>
      <c r="AN24" s="132">
        <f t="shared" si="56"/>
        <v>0</v>
      </c>
      <c r="AO24" s="132">
        <f t="shared" si="57"/>
        <v>0</v>
      </c>
      <c r="AP24" s="132">
        <f t="shared" si="58"/>
        <v>0</v>
      </c>
      <c r="AQ24" s="132">
        <f t="shared" si="59"/>
        <v>0</v>
      </c>
      <c r="AR24" s="132">
        <f t="shared" si="60"/>
        <v>0</v>
      </c>
      <c r="AS24" s="235"/>
    </row>
    <row r="25" spans="1:45" s="20" customFormat="1">
      <c r="A25" s="46" t="s">
        <v>182</v>
      </c>
      <c r="B25" s="20" t="s">
        <v>9</v>
      </c>
      <c r="C25" s="165">
        <f>C23*0.1</f>
        <v>14.3</v>
      </c>
      <c r="D25" s="96" t="s">
        <v>9</v>
      </c>
      <c r="E25" s="166">
        <f>E23</f>
        <v>500</v>
      </c>
      <c r="F25" s="167">
        <f t="shared" si="45"/>
        <v>7150</v>
      </c>
      <c r="G25" s="168">
        <v>0</v>
      </c>
      <c r="H25" s="168">
        <v>0</v>
      </c>
      <c r="I25" s="168">
        <v>0</v>
      </c>
      <c r="J25" s="168">
        <v>0</v>
      </c>
      <c r="K25" s="169">
        <v>0</v>
      </c>
      <c r="L25" s="96" t="s">
        <v>8</v>
      </c>
      <c r="M25" s="166">
        <f t="shared" si="46"/>
        <v>0</v>
      </c>
      <c r="N25" s="92">
        <v>1</v>
      </c>
      <c r="O25" s="170">
        <f t="shared" si="47"/>
        <v>7150</v>
      </c>
      <c r="P25" s="170"/>
      <c r="Q25" s="52" t="s">
        <v>47</v>
      </c>
      <c r="R25" s="71" t="s">
        <v>77</v>
      </c>
      <c r="S25" s="137" t="s">
        <v>200</v>
      </c>
      <c r="T25" s="137" t="s">
        <v>200</v>
      </c>
      <c r="U25" s="137" t="s">
        <v>202</v>
      </c>
      <c r="V25" s="137" t="str">
        <f t="shared" si="48"/>
        <v>East Support Cylinder (ESC)</v>
      </c>
      <c r="AB25" s="33">
        <v>2011</v>
      </c>
      <c r="AC25" s="132">
        <f t="shared" si="49"/>
        <v>0</v>
      </c>
      <c r="AD25" s="132">
        <f t="shared" si="50"/>
        <v>0</v>
      </c>
      <c r="AE25" s="132">
        <f t="shared" si="51"/>
        <v>0</v>
      </c>
      <c r="AF25" s="132">
        <f t="shared" si="52"/>
        <v>0</v>
      </c>
      <c r="AG25" s="132">
        <f t="shared" si="53"/>
        <v>0</v>
      </c>
      <c r="AH25" s="234">
        <f t="shared" si="54"/>
        <v>7150</v>
      </c>
      <c r="AI25" s="235"/>
      <c r="AJ25" s="92"/>
      <c r="AK25" s="92"/>
      <c r="AL25" s="166"/>
      <c r="AM25" s="131">
        <f t="shared" si="55"/>
        <v>0</v>
      </c>
      <c r="AN25" s="132">
        <f t="shared" si="56"/>
        <v>0</v>
      </c>
      <c r="AO25" s="132">
        <f t="shared" si="57"/>
        <v>0</v>
      </c>
      <c r="AP25" s="132">
        <f t="shared" si="58"/>
        <v>0</v>
      </c>
      <c r="AQ25" s="132">
        <f t="shared" si="59"/>
        <v>0</v>
      </c>
      <c r="AR25" s="132">
        <f t="shared" si="60"/>
        <v>0</v>
      </c>
      <c r="AS25" s="235"/>
    </row>
    <row r="26" spans="1:45" s="20" customFormat="1">
      <c r="A26" s="46" t="s">
        <v>54</v>
      </c>
      <c r="B26" s="20" t="s">
        <v>9</v>
      </c>
      <c r="C26" s="165">
        <v>0</v>
      </c>
      <c r="D26" s="96" t="s">
        <v>9</v>
      </c>
      <c r="E26" s="166">
        <v>0</v>
      </c>
      <c r="F26" s="167">
        <f t="shared" si="45"/>
        <v>0</v>
      </c>
      <c r="G26" s="168">
        <v>0</v>
      </c>
      <c r="H26" s="168">
        <v>2</v>
      </c>
      <c r="I26" s="168">
        <v>0</v>
      </c>
      <c r="J26" s="168">
        <v>2</v>
      </c>
      <c r="K26" s="169">
        <v>0</v>
      </c>
      <c r="L26" s="96" t="s">
        <v>8</v>
      </c>
      <c r="M26" s="166">
        <f t="shared" si="46"/>
        <v>432.54000000000008</v>
      </c>
      <c r="N26" s="92">
        <v>1</v>
      </c>
      <c r="O26" s="170">
        <f t="shared" si="47"/>
        <v>432.54000000000008</v>
      </c>
      <c r="P26" s="170"/>
      <c r="Q26" s="52" t="s">
        <v>47</v>
      </c>
      <c r="R26" s="71" t="s">
        <v>77</v>
      </c>
      <c r="S26" s="137" t="s">
        <v>200</v>
      </c>
      <c r="T26" s="137" t="s">
        <v>200</v>
      </c>
      <c r="U26" s="137" t="s">
        <v>202</v>
      </c>
      <c r="V26" s="137" t="str">
        <f t="shared" si="48"/>
        <v>East Support Cylinder (ESC)</v>
      </c>
      <c r="AB26" s="33">
        <v>2011</v>
      </c>
      <c r="AC26" s="132">
        <f t="shared" si="49"/>
        <v>0</v>
      </c>
      <c r="AD26" s="132">
        <f t="shared" si="50"/>
        <v>2</v>
      </c>
      <c r="AE26" s="132">
        <f t="shared" si="51"/>
        <v>0</v>
      </c>
      <c r="AF26" s="132">
        <f t="shared" si="52"/>
        <v>2</v>
      </c>
      <c r="AG26" s="132">
        <f t="shared" si="53"/>
        <v>0</v>
      </c>
      <c r="AH26" s="234">
        <f t="shared" si="54"/>
        <v>0</v>
      </c>
      <c r="AI26" s="235"/>
      <c r="AJ26" s="92"/>
      <c r="AK26" s="92"/>
      <c r="AL26" s="166"/>
      <c r="AM26" s="131">
        <f t="shared" si="55"/>
        <v>0</v>
      </c>
      <c r="AN26" s="132">
        <f t="shared" si="56"/>
        <v>0</v>
      </c>
      <c r="AO26" s="132">
        <f t="shared" si="57"/>
        <v>0</v>
      </c>
      <c r="AP26" s="132">
        <f t="shared" si="58"/>
        <v>0</v>
      </c>
      <c r="AQ26" s="132">
        <f t="shared" si="59"/>
        <v>0</v>
      </c>
      <c r="AR26" s="132">
        <f t="shared" si="60"/>
        <v>0</v>
      </c>
      <c r="AS26" s="235"/>
    </row>
    <row r="27" spans="1:45" s="133" customFormat="1">
      <c r="A27" s="46" t="s">
        <v>55</v>
      </c>
      <c r="B27" s="20" t="s">
        <v>58</v>
      </c>
      <c r="C27" s="165">
        <v>0.5</v>
      </c>
      <c r="D27" s="96" t="s">
        <v>59</v>
      </c>
      <c r="E27" s="166">
        <v>105</v>
      </c>
      <c r="F27" s="167">
        <f t="shared" si="45"/>
        <v>52.5</v>
      </c>
      <c r="G27" s="168">
        <v>0</v>
      </c>
      <c r="H27" s="168">
        <v>8</v>
      </c>
      <c r="I27" s="168">
        <v>0</v>
      </c>
      <c r="J27" s="168">
        <v>1</v>
      </c>
      <c r="K27" s="169">
        <v>0</v>
      </c>
      <c r="L27" s="96" t="s">
        <v>8</v>
      </c>
      <c r="M27" s="166">
        <f t="shared" si="46"/>
        <v>879.66000000000008</v>
      </c>
      <c r="N27" s="92">
        <v>1</v>
      </c>
      <c r="O27" s="170">
        <f t="shared" si="47"/>
        <v>932.16000000000008</v>
      </c>
      <c r="P27" s="170"/>
      <c r="Q27" s="52" t="s">
        <v>47</v>
      </c>
      <c r="R27" s="71" t="s">
        <v>77</v>
      </c>
      <c r="S27" s="137" t="s">
        <v>200</v>
      </c>
      <c r="T27" s="137" t="s">
        <v>200</v>
      </c>
      <c r="U27" s="137" t="s">
        <v>202</v>
      </c>
      <c r="V27" s="137" t="str">
        <f t="shared" si="48"/>
        <v>East Support Cylinder (ESC)</v>
      </c>
      <c r="W27" s="20"/>
      <c r="X27" s="20"/>
      <c r="Y27" s="20"/>
      <c r="Z27" s="20"/>
      <c r="AA27" s="20"/>
      <c r="AB27" s="33">
        <v>2011</v>
      </c>
      <c r="AC27" s="132">
        <f t="shared" si="49"/>
        <v>0</v>
      </c>
      <c r="AD27" s="132">
        <f t="shared" si="50"/>
        <v>8</v>
      </c>
      <c r="AE27" s="132">
        <f t="shared" si="51"/>
        <v>0</v>
      </c>
      <c r="AF27" s="132">
        <f t="shared" si="52"/>
        <v>1</v>
      </c>
      <c r="AG27" s="132">
        <f t="shared" si="53"/>
        <v>0</v>
      </c>
      <c r="AH27" s="234">
        <f t="shared" si="54"/>
        <v>52.5</v>
      </c>
      <c r="AI27" s="235"/>
      <c r="AJ27" s="92"/>
      <c r="AK27" s="92"/>
      <c r="AL27" s="166"/>
      <c r="AM27" s="131">
        <f t="shared" si="55"/>
        <v>0</v>
      </c>
      <c r="AN27" s="132">
        <f t="shared" si="56"/>
        <v>0</v>
      </c>
      <c r="AO27" s="132">
        <f t="shared" si="57"/>
        <v>0</v>
      </c>
      <c r="AP27" s="132">
        <f t="shared" si="58"/>
        <v>0</v>
      </c>
      <c r="AQ27" s="132">
        <f t="shared" si="59"/>
        <v>0</v>
      </c>
      <c r="AR27" s="132">
        <f t="shared" si="60"/>
        <v>0</v>
      </c>
      <c r="AS27" s="236"/>
    </row>
    <row r="28" spans="1:45" s="20" customFormat="1">
      <c r="A28" s="46" t="s">
        <v>61</v>
      </c>
      <c r="B28" s="20" t="s">
        <v>9</v>
      </c>
      <c r="C28" s="165">
        <v>1</v>
      </c>
      <c r="D28" s="96" t="s">
        <v>57</v>
      </c>
      <c r="E28" s="166">
        <v>1500</v>
      </c>
      <c r="F28" s="167">
        <f t="shared" si="45"/>
        <v>1500</v>
      </c>
      <c r="G28" s="168">
        <v>0</v>
      </c>
      <c r="H28" s="168">
        <v>4</v>
      </c>
      <c r="I28" s="168">
        <v>0</v>
      </c>
      <c r="J28" s="168">
        <v>4</v>
      </c>
      <c r="K28" s="169">
        <v>0</v>
      </c>
      <c r="L28" s="96" t="s">
        <v>8</v>
      </c>
      <c r="M28" s="166">
        <f t="shared" si="46"/>
        <v>865.08000000000015</v>
      </c>
      <c r="N28" s="92">
        <v>1</v>
      </c>
      <c r="O28" s="170">
        <f t="shared" si="47"/>
        <v>2365.08</v>
      </c>
      <c r="P28" s="170"/>
      <c r="Q28" s="52" t="s">
        <v>47</v>
      </c>
      <c r="R28" s="71" t="s">
        <v>77</v>
      </c>
      <c r="S28" s="137" t="s">
        <v>200</v>
      </c>
      <c r="T28" s="137" t="s">
        <v>200</v>
      </c>
      <c r="U28" s="137" t="s">
        <v>202</v>
      </c>
      <c r="V28" s="137" t="str">
        <f t="shared" si="48"/>
        <v>East Support Cylinder (ESC)</v>
      </c>
      <c r="AB28" s="33">
        <v>2011</v>
      </c>
      <c r="AC28" s="132">
        <f t="shared" si="49"/>
        <v>0</v>
      </c>
      <c r="AD28" s="132">
        <f t="shared" si="50"/>
        <v>4</v>
      </c>
      <c r="AE28" s="132">
        <f t="shared" si="51"/>
        <v>0</v>
      </c>
      <c r="AF28" s="132">
        <f t="shared" si="52"/>
        <v>4</v>
      </c>
      <c r="AG28" s="132">
        <f t="shared" si="53"/>
        <v>0</v>
      </c>
      <c r="AH28" s="234">
        <f t="shared" si="54"/>
        <v>1500</v>
      </c>
      <c r="AI28" s="235"/>
      <c r="AJ28" s="92"/>
      <c r="AK28" s="92"/>
      <c r="AL28" s="166"/>
      <c r="AM28" s="131">
        <f t="shared" si="55"/>
        <v>0</v>
      </c>
      <c r="AN28" s="132">
        <f t="shared" si="56"/>
        <v>0</v>
      </c>
      <c r="AO28" s="132">
        <f t="shared" si="57"/>
        <v>0</v>
      </c>
      <c r="AP28" s="132">
        <f t="shared" si="58"/>
        <v>0</v>
      </c>
      <c r="AQ28" s="132">
        <f t="shared" si="59"/>
        <v>0</v>
      </c>
      <c r="AR28" s="132">
        <f t="shared" si="60"/>
        <v>0</v>
      </c>
      <c r="AS28" s="235"/>
    </row>
    <row r="29" spans="1:45" s="20" customFormat="1">
      <c r="A29" s="47" t="s">
        <v>312</v>
      </c>
      <c r="B29" s="20" t="s">
        <v>91</v>
      </c>
      <c r="C29" s="165">
        <v>12</v>
      </c>
      <c r="D29" s="96" t="s">
        <v>59</v>
      </c>
      <c r="E29" s="166">
        <v>400</v>
      </c>
      <c r="F29" s="167">
        <f t="shared" si="45"/>
        <v>4800</v>
      </c>
      <c r="G29" s="168">
        <v>0</v>
      </c>
      <c r="H29" s="168">
        <v>0</v>
      </c>
      <c r="I29" s="168">
        <v>0</v>
      </c>
      <c r="J29" s="168">
        <v>2</v>
      </c>
      <c r="K29" s="169">
        <v>0</v>
      </c>
      <c r="L29" s="96" t="s">
        <v>8</v>
      </c>
      <c r="M29" s="166">
        <f t="shared" si="46"/>
        <v>243.00000000000003</v>
      </c>
      <c r="N29" s="92">
        <v>1</v>
      </c>
      <c r="O29" s="170">
        <f t="shared" si="47"/>
        <v>5043</v>
      </c>
      <c r="P29" s="170"/>
      <c r="Q29" s="52" t="s">
        <v>48</v>
      </c>
      <c r="R29" s="71" t="s">
        <v>77</v>
      </c>
      <c r="S29" s="137" t="s">
        <v>200</v>
      </c>
      <c r="T29" s="137" t="s">
        <v>200</v>
      </c>
      <c r="U29" s="137" t="s">
        <v>202</v>
      </c>
      <c r="V29" s="137" t="str">
        <f t="shared" si="48"/>
        <v>East Support Cylinder (ESC)</v>
      </c>
      <c r="W29" s="130"/>
      <c r="X29" s="130"/>
      <c r="Y29" s="130"/>
      <c r="Z29" s="130"/>
      <c r="AA29" s="130"/>
      <c r="AB29" s="33">
        <v>2012</v>
      </c>
      <c r="AC29" s="132">
        <f t="shared" si="49"/>
        <v>0</v>
      </c>
      <c r="AD29" s="132">
        <f t="shared" si="50"/>
        <v>0</v>
      </c>
      <c r="AE29" s="132">
        <f t="shared" si="51"/>
        <v>0</v>
      </c>
      <c r="AF29" s="132">
        <f t="shared" si="52"/>
        <v>0</v>
      </c>
      <c r="AG29" s="132">
        <f t="shared" si="53"/>
        <v>0</v>
      </c>
      <c r="AH29" s="234">
        <f t="shared" si="54"/>
        <v>0</v>
      </c>
      <c r="AI29" s="235"/>
      <c r="AJ29" s="92"/>
      <c r="AK29" s="92"/>
      <c r="AL29" s="166"/>
      <c r="AM29" s="131">
        <f t="shared" si="55"/>
        <v>0</v>
      </c>
      <c r="AN29" s="132">
        <f t="shared" si="56"/>
        <v>0</v>
      </c>
      <c r="AO29" s="132">
        <f t="shared" si="57"/>
        <v>0</v>
      </c>
      <c r="AP29" s="132">
        <f t="shared" si="58"/>
        <v>2</v>
      </c>
      <c r="AQ29" s="132">
        <f t="shared" si="59"/>
        <v>0</v>
      </c>
      <c r="AR29" s="132">
        <f t="shared" si="60"/>
        <v>4800</v>
      </c>
      <c r="AS29" s="235"/>
    </row>
    <row r="30" spans="1:45" s="20" customFormat="1">
      <c r="A30" s="46" t="s">
        <v>181</v>
      </c>
      <c r="B30" s="20" t="s">
        <v>9</v>
      </c>
      <c r="C30" s="165">
        <v>1</v>
      </c>
      <c r="D30" s="96" t="s">
        <v>9</v>
      </c>
      <c r="E30" s="166">
        <v>1500</v>
      </c>
      <c r="F30" s="167">
        <f t="shared" si="45"/>
        <v>1500</v>
      </c>
      <c r="G30" s="168">
        <v>0</v>
      </c>
      <c r="H30" s="168">
        <v>0</v>
      </c>
      <c r="I30" s="168">
        <v>0</v>
      </c>
      <c r="J30" s="168">
        <v>0</v>
      </c>
      <c r="K30" s="169">
        <v>0</v>
      </c>
      <c r="L30" s="96" t="s">
        <v>8</v>
      </c>
      <c r="M30" s="166">
        <f t="shared" si="46"/>
        <v>0</v>
      </c>
      <c r="N30" s="92">
        <v>1</v>
      </c>
      <c r="O30" s="170">
        <f t="shared" si="47"/>
        <v>1500</v>
      </c>
      <c r="P30" s="170"/>
      <c r="Q30" s="52" t="s">
        <v>48</v>
      </c>
      <c r="R30" s="71" t="s">
        <v>77</v>
      </c>
      <c r="S30" s="137" t="s">
        <v>200</v>
      </c>
      <c r="T30" s="137" t="s">
        <v>200</v>
      </c>
      <c r="U30" s="137" t="s">
        <v>202</v>
      </c>
      <c r="V30" s="137" t="str">
        <f t="shared" si="48"/>
        <v>East Support Cylinder (ESC)</v>
      </c>
      <c r="AB30" s="33">
        <v>2012</v>
      </c>
      <c r="AC30" s="132">
        <f t="shared" si="49"/>
        <v>0</v>
      </c>
      <c r="AD30" s="132">
        <f t="shared" si="50"/>
        <v>0</v>
      </c>
      <c r="AE30" s="132">
        <f t="shared" si="51"/>
        <v>0</v>
      </c>
      <c r="AF30" s="132">
        <f t="shared" si="52"/>
        <v>0</v>
      </c>
      <c r="AG30" s="132">
        <f t="shared" si="53"/>
        <v>0</v>
      </c>
      <c r="AH30" s="234">
        <f t="shared" si="54"/>
        <v>0</v>
      </c>
      <c r="AI30" s="235"/>
      <c r="AJ30" s="92"/>
      <c r="AK30" s="92"/>
      <c r="AL30" s="166"/>
      <c r="AM30" s="131">
        <f t="shared" si="55"/>
        <v>0</v>
      </c>
      <c r="AN30" s="132">
        <f t="shared" si="56"/>
        <v>0</v>
      </c>
      <c r="AO30" s="132">
        <f t="shared" si="57"/>
        <v>0</v>
      </c>
      <c r="AP30" s="132">
        <f t="shared" si="58"/>
        <v>0</v>
      </c>
      <c r="AQ30" s="132">
        <f t="shared" si="59"/>
        <v>0</v>
      </c>
      <c r="AR30" s="132">
        <f t="shared" si="60"/>
        <v>1500</v>
      </c>
      <c r="AS30" s="235"/>
    </row>
    <row r="31" spans="1:45" s="20" customFormat="1">
      <c r="A31" s="46" t="s">
        <v>182</v>
      </c>
      <c r="B31" s="20" t="s">
        <v>9</v>
      </c>
      <c r="C31" s="165">
        <f>C29*0.1</f>
        <v>1.2000000000000002</v>
      </c>
      <c r="D31" s="96" t="s">
        <v>9</v>
      </c>
      <c r="E31" s="166">
        <f>E29</f>
        <v>400</v>
      </c>
      <c r="F31" s="167">
        <f t="shared" si="45"/>
        <v>480.00000000000006</v>
      </c>
      <c r="G31" s="168">
        <v>0</v>
      </c>
      <c r="H31" s="168">
        <v>0</v>
      </c>
      <c r="I31" s="168">
        <v>0</v>
      </c>
      <c r="J31" s="168">
        <v>0</v>
      </c>
      <c r="K31" s="169">
        <v>0</v>
      </c>
      <c r="L31" s="96" t="s">
        <v>8</v>
      </c>
      <c r="M31" s="166">
        <f t="shared" si="46"/>
        <v>0</v>
      </c>
      <c r="N31" s="92">
        <v>1</v>
      </c>
      <c r="O31" s="170">
        <f t="shared" si="47"/>
        <v>480.00000000000006</v>
      </c>
      <c r="P31" s="170"/>
      <c r="Q31" s="52" t="s">
        <v>48</v>
      </c>
      <c r="R31" s="71" t="s">
        <v>77</v>
      </c>
      <c r="S31" s="137" t="s">
        <v>200</v>
      </c>
      <c r="T31" s="137" t="s">
        <v>200</v>
      </c>
      <c r="U31" s="137" t="s">
        <v>202</v>
      </c>
      <c r="V31" s="137" t="str">
        <f t="shared" si="48"/>
        <v>East Support Cylinder (ESC)</v>
      </c>
      <c r="AB31" s="33">
        <v>2012</v>
      </c>
      <c r="AC31" s="132">
        <f t="shared" si="49"/>
        <v>0</v>
      </c>
      <c r="AD31" s="132">
        <f t="shared" si="50"/>
        <v>0</v>
      </c>
      <c r="AE31" s="132">
        <f t="shared" si="51"/>
        <v>0</v>
      </c>
      <c r="AF31" s="132">
        <f t="shared" si="52"/>
        <v>0</v>
      </c>
      <c r="AG31" s="132">
        <f t="shared" si="53"/>
        <v>0</v>
      </c>
      <c r="AH31" s="234">
        <f t="shared" si="54"/>
        <v>0</v>
      </c>
      <c r="AI31" s="235"/>
      <c r="AJ31" s="92"/>
      <c r="AK31" s="92"/>
      <c r="AL31" s="166"/>
      <c r="AM31" s="131">
        <f t="shared" si="55"/>
        <v>0</v>
      </c>
      <c r="AN31" s="132">
        <f t="shared" si="56"/>
        <v>0</v>
      </c>
      <c r="AO31" s="132">
        <f t="shared" si="57"/>
        <v>0</v>
      </c>
      <c r="AP31" s="132">
        <f t="shared" si="58"/>
        <v>0</v>
      </c>
      <c r="AQ31" s="132">
        <f t="shared" si="59"/>
        <v>0</v>
      </c>
      <c r="AR31" s="132">
        <f t="shared" si="60"/>
        <v>480.00000000000006</v>
      </c>
      <c r="AS31" s="235"/>
    </row>
    <row r="32" spans="1:45" s="20" customFormat="1">
      <c r="A32" s="46" t="s">
        <v>54</v>
      </c>
      <c r="B32" s="20" t="s">
        <v>9</v>
      </c>
      <c r="C32" s="165">
        <v>0</v>
      </c>
      <c r="D32" s="96" t="s">
        <v>9</v>
      </c>
      <c r="E32" s="166">
        <v>0</v>
      </c>
      <c r="F32" s="167">
        <f t="shared" si="45"/>
        <v>0</v>
      </c>
      <c r="G32" s="168">
        <v>0</v>
      </c>
      <c r="H32" s="168">
        <v>2</v>
      </c>
      <c r="I32" s="168">
        <v>0</v>
      </c>
      <c r="J32" s="168">
        <v>2</v>
      </c>
      <c r="K32" s="169">
        <v>0</v>
      </c>
      <c r="L32" s="96" t="s">
        <v>8</v>
      </c>
      <c r="M32" s="166">
        <f t="shared" si="46"/>
        <v>432.54000000000008</v>
      </c>
      <c r="N32" s="92">
        <v>1</v>
      </c>
      <c r="O32" s="170">
        <f t="shared" si="47"/>
        <v>432.54000000000008</v>
      </c>
      <c r="P32" s="170"/>
      <c r="Q32" s="52" t="s">
        <v>48</v>
      </c>
      <c r="R32" s="71" t="s">
        <v>77</v>
      </c>
      <c r="S32" s="137" t="s">
        <v>200</v>
      </c>
      <c r="T32" s="137" t="s">
        <v>200</v>
      </c>
      <c r="U32" s="137" t="s">
        <v>202</v>
      </c>
      <c r="V32" s="137" t="str">
        <f t="shared" si="48"/>
        <v>East Support Cylinder (ESC)</v>
      </c>
      <c r="AB32" s="33">
        <v>2012</v>
      </c>
      <c r="AC32" s="132">
        <f t="shared" si="49"/>
        <v>0</v>
      </c>
      <c r="AD32" s="132">
        <f t="shared" si="50"/>
        <v>0</v>
      </c>
      <c r="AE32" s="132">
        <f t="shared" si="51"/>
        <v>0</v>
      </c>
      <c r="AF32" s="132">
        <f t="shared" si="52"/>
        <v>0</v>
      </c>
      <c r="AG32" s="132">
        <f t="shared" si="53"/>
        <v>0</v>
      </c>
      <c r="AH32" s="234">
        <f t="shared" si="54"/>
        <v>0</v>
      </c>
      <c r="AI32" s="235"/>
      <c r="AJ32" s="92"/>
      <c r="AK32" s="92"/>
      <c r="AL32" s="166"/>
      <c r="AM32" s="131">
        <f t="shared" si="55"/>
        <v>0</v>
      </c>
      <c r="AN32" s="132">
        <f t="shared" si="56"/>
        <v>2</v>
      </c>
      <c r="AO32" s="132">
        <f t="shared" si="57"/>
        <v>0</v>
      </c>
      <c r="AP32" s="132">
        <f t="shared" si="58"/>
        <v>2</v>
      </c>
      <c r="AQ32" s="132">
        <f t="shared" si="59"/>
        <v>0</v>
      </c>
      <c r="AR32" s="132">
        <f t="shared" si="60"/>
        <v>0</v>
      </c>
      <c r="AS32" s="235"/>
    </row>
    <row r="33" spans="1:45" s="133" customFormat="1">
      <c r="A33" s="46" t="s">
        <v>55</v>
      </c>
      <c r="B33" s="20" t="s">
        <v>58</v>
      </c>
      <c r="C33" s="165">
        <v>0.5</v>
      </c>
      <c r="D33" s="96" t="s">
        <v>59</v>
      </c>
      <c r="E33" s="166">
        <v>105</v>
      </c>
      <c r="F33" s="167">
        <f t="shared" si="45"/>
        <v>52.5</v>
      </c>
      <c r="G33" s="168">
        <v>0</v>
      </c>
      <c r="H33" s="168">
        <v>8</v>
      </c>
      <c r="I33" s="168">
        <v>0</v>
      </c>
      <c r="J33" s="168">
        <v>1</v>
      </c>
      <c r="K33" s="169">
        <v>0</v>
      </c>
      <c r="L33" s="96" t="s">
        <v>8</v>
      </c>
      <c r="M33" s="166">
        <f t="shared" si="46"/>
        <v>879.66000000000008</v>
      </c>
      <c r="N33" s="92">
        <v>1</v>
      </c>
      <c r="O33" s="170">
        <f t="shared" si="47"/>
        <v>932.16000000000008</v>
      </c>
      <c r="P33" s="170"/>
      <c r="Q33" s="52" t="s">
        <v>48</v>
      </c>
      <c r="R33" s="71" t="s">
        <v>77</v>
      </c>
      <c r="S33" s="137" t="s">
        <v>200</v>
      </c>
      <c r="T33" s="137" t="s">
        <v>200</v>
      </c>
      <c r="U33" s="137" t="s">
        <v>202</v>
      </c>
      <c r="V33" s="137" t="str">
        <f t="shared" si="48"/>
        <v>East Support Cylinder (ESC)</v>
      </c>
      <c r="W33" s="20"/>
      <c r="X33" s="20"/>
      <c r="Y33" s="20"/>
      <c r="Z33" s="20"/>
      <c r="AA33" s="20"/>
      <c r="AB33" s="33">
        <v>2012</v>
      </c>
      <c r="AC33" s="132">
        <f t="shared" si="49"/>
        <v>0</v>
      </c>
      <c r="AD33" s="132">
        <f t="shared" si="50"/>
        <v>0</v>
      </c>
      <c r="AE33" s="132">
        <f t="shared" si="51"/>
        <v>0</v>
      </c>
      <c r="AF33" s="132">
        <f t="shared" si="52"/>
        <v>0</v>
      </c>
      <c r="AG33" s="132">
        <f t="shared" si="53"/>
        <v>0</v>
      </c>
      <c r="AH33" s="234">
        <f t="shared" si="54"/>
        <v>0</v>
      </c>
      <c r="AI33" s="235"/>
      <c r="AJ33" s="92"/>
      <c r="AK33" s="92"/>
      <c r="AL33" s="166"/>
      <c r="AM33" s="131">
        <f t="shared" si="55"/>
        <v>0</v>
      </c>
      <c r="AN33" s="132">
        <f t="shared" si="56"/>
        <v>8</v>
      </c>
      <c r="AO33" s="132">
        <f t="shared" si="57"/>
        <v>0</v>
      </c>
      <c r="AP33" s="132">
        <f t="shared" si="58"/>
        <v>1</v>
      </c>
      <c r="AQ33" s="132">
        <f t="shared" si="59"/>
        <v>0</v>
      </c>
      <c r="AR33" s="132">
        <f t="shared" si="60"/>
        <v>52.5</v>
      </c>
      <c r="AS33" s="236"/>
    </row>
    <row r="34" spans="1:45" s="20" customFormat="1">
      <c r="A34" s="46" t="s">
        <v>61</v>
      </c>
      <c r="B34" s="20" t="s">
        <v>9</v>
      </c>
      <c r="C34" s="165">
        <v>1</v>
      </c>
      <c r="D34" s="96" t="s">
        <v>57</v>
      </c>
      <c r="E34" s="166">
        <v>1500</v>
      </c>
      <c r="F34" s="167">
        <f t="shared" si="45"/>
        <v>1500</v>
      </c>
      <c r="G34" s="168">
        <v>0</v>
      </c>
      <c r="H34" s="168">
        <v>4</v>
      </c>
      <c r="I34" s="168">
        <v>0</v>
      </c>
      <c r="J34" s="168">
        <v>4</v>
      </c>
      <c r="K34" s="169">
        <v>0</v>
      </c>
      <c r="L34" s="96" t="s">
        <v>8</v>
      </c>
      <c r="M34" s="166">
        <f t="shared" si="46"/>
        <v>865.08000000000015</v>
      </c>
      <c r="N34" s="92">
        <v>1</v>
      </c>
      <c r="O34" s="170">
        <f t="shared" si="47"/>
        <v>2365.08</v>
      </c>
      <c r="P34" s="170"/>
      <c r="Q34" s="52" t="s">
        <v>48</v>
      </c>
      <c r="R34" s="71" t="s">
        <v>77</v>
      </c>
      <c r="S34" s="137" t="s">
        <v>200</v>
      </c>
      <c r="T34" s="137" t="s">
        <v>200</v>
      </c>
      <c r="U34" s="137" t="s">
        <v>202</v>
      </c>
      <c r="V34" s="137" t="str">
        <f t="shared" si="48"/>
        <v>East Support Cylinder (ESC)</v>
      </c>
      <c r="AB34" s="33">
        <v>2012</v>
      </c>
      <c r="AC34" s="132">
        <f t="shared" si="49"/>
        <v>0</v>
      </c>
      <c r="AD34" s="132">
        <f t="shared" si="50"/>
        <v>0</v>
      </c>
      <c r="AE34" s="132">
        <f t="shared" si="51"/>
        <v>0</v>
      </c>
      <c r="AF34" s="132">
        <f t="shared" si="52"/>
        <v>0</v>
      </c>
      <c r="AG34" s="132">
        <f t="shared" si="53"/>
        <v>0</v>
      </c>
      <c r="AH34" s="234">
        <f t="shared" si="54"/>
        <v>0</v>
      </c>
      <c r="AI34" s="235"/>
      <c r="AJ34" s="92"/>
      <c r="AK34" s="92"/>
      <c r="AL34" s="166"/>
      <c r="AM34" s="131">
        <f t="shared" si="55"/>
        <v>0</v>
      </c>
      <c r="AN34" s="132">
        <f t="shared" si="56"/>
        <v>4</v>
      </c>
      <c r="AO34" s="132">
        <f t="shared" si="57"/>
        <v>0</v>
      </c>
      <c r="AP34" s="132">
        <f t="shared" si="58"/>
        <v>4</v>
      </c>
      <c r="AQ34" s="132">
        <f t="shared" si="59"/>
        <v>0</v>
      </c>
      <c r="AR34" s="132">
        <f t="shared" si="60"/>
        <v>1500</v>
      </c>
      <c r="AS34" s="235"/>
    </row>
    <row r="35" spans="1:45" s="20" customFormat="1">
      <c r="A35" s="47" t="s">
        <v>313</v>
      </c>
      <c r="B35" s="20" t="s">
        <v>276</v>
      </c>
      <c r="C35" s="165">
        <v>85</v>
      </c>
      <c r="D35" s="96" t="s">
        <v>59</v>
      </c>
      <c r="E35" s="166">
        <v>500</v>
      </c>
      <c r="F35" s="167">
        <f t="shared" ref="F35:F46" si="61">E35*C35</f>
        <v>42500</v>
      </c>
      <c r="G35" s="168">
        <v>0</v>
      </c>
      <c r="H35" s="168">
        <v>0</v>
      </c>
      <c r="I35" s="168">
        <v>0</v>
      </c>
      <c r="J35" s="168">
        <v>4</v>
      </c>
      <c r="K35" s="169">
        <v>0</v>
      </c>
      <c r="L35" s="96" t="s">
        <v>8</v>
      </c>
      <c r="M35" s="166">
        <f t="shared" ref="M35:M46" si="62">IF(R35="PD",((Shop*G35)+(M_Tech*H35)+(CMM*I35)+(ENG*J35)+(DES*K35))*N35,((Shop_RD*G35)+(MTECH_RD*H35)+(CMM_RD*I35)+(ENG_RD*J35)+(DES_RD*K35))*N35)</f>
        <v>486.00000000000006</v>
      </c>
      <c r="N35" s="92">
        <v>1</v>
      </c>
      <c r="O35" s="170">
        <f t="shared" ref="O35:O46" si="63">M35+(F35*N35)</f>
        <v>42986</v>
      </c>
      <c r="P35" s="170"/>
      <c r="Q35" s="52" t="s">
        <v>48</v>
      </c>
      <c r="R35" s="71" t="s">
        <v>77</v>
      </c>
      <c r="S35" s="137" t="str">
        <f t="shared" ref="S35:S46" si="64">CONCATENATE(Q35,R35,AB35)</f>
        <v>CPD2012</v>
      </c>
      <c r="T35" s="137" t="str">
        <f t="shared" ref="T35:T46" si="65">CONCATENATE(Q35,U35,AB35)</f>
        <v>C1.5.1.22012</v>
      </c>
      <c r="U35" s="137" t="s">
        <v>208</v>
      </c>
      <c r="V35" s="137" t="str">
        <f t="shared" ref="V35:V46" si="66">LOOKUP(U35,$B$539:$B$574,$A$539:$A$574)</f>
        <v>Middle Support Cylinder (MSC)</v>
      </c>
      <c r="W35" s="130"/>
      <c r="X35" s="130"/>
      <c r="Y35" s="130"/>
      <c r="Z35" s="130"/>
      <c r="AA35" s="130"/>
      <c r="AB35" s="33">
        <v>2012</v>
      </c>
      <c r="AC35" s="132">
        <f t="shared" ref="AC35:AC46" si="67">IF($Q35="B", (G35*$N35),0)</f>
        <v>0</v>
      </c>
      <c r="AD35" s="132">
        <f t="shared" ref="AD35:AD46" si="68">IF($Q35="B", (H35*$N35),0)</f>
        <v>0</v>
      </c>
      <c r="AE35" s="132">
        <f t="shared" ref="AE35:AE46" si="69">IF($Q35="B", (I35*$N35),0)</f>
        <v>0</v>
      </c>
      <c r="AF35" s="132">
        <f t="shared" ref="AF35:AF46" si="70">IF($Q35="B", (J35*$N35),0)</f>
        <v>0</v>
      </c>
      <c r="AG35" s="132">
        <f t="shared" ref="AG35:AG46" si="71">IF($Q35="B", (K35*$N35),0)</f>
        <v>0</v>
      </c>
      <c r="AH35" s="234">
        <f t="shared" ref="AH35:AH46" si="72">IF($Q35="B", (F35*$N35),0)</f>
        <v>0</v>
      </c>
      <c r="AI35" s="235"/>
      <c r="AJ35" s="92"/>
      <c r="AK35" s="92"/>
      <c r="AL35" s="166"/>
      <c r="AM35" s="131">
        <f t="shared" ref="AM35:AM46" si="73">IF($Q35="C", (G35*$N35),0)</f>
        <v>0</v>
      </c>
      <c r="AN35" s="132">
        <f t="shared" ref="AN35:AN46" si="74">IF($Q35="C", (H35*$N35),0)</f>
        <v>0</v>
      </c>
      <c r="AO35" s="132">
        <f t="shared" ref="AO35:AO46" si="75">IF($Q35="C", (I35*$N35),0)</f>
        <v>0</v>
      </c>
      <c r="AP35" s="132">
        <f t="shared" ref="AP35:AP46" si="76">IF($Q35="C", (J35*$N35),0)</f>
        <v>4</v>
      </c>
      <c r="AQ35" s="132">
        <f t="shared" ref="AQ35:AQ46" si="77">IF($Q35="C", (K35*$N35),0)</f>
        <v>0</v>
      </c>
      <c r="AR35" s="132">
        <f t="shared" ref="AR35:AR46" si="78">IF($Q35="C", (F35*$N35),0)</f>
        <v>42500</v>
      </c>
      <c r="AS35" s="235"/>
    </row>
    <row r="36" spans="1:45" s="20" customFormat="1">
      <c r="A36" s="46" t="s">
        <v>181</v>
      </c>
      <c r="B36" s="20" t="s">
        <v>9</v>
      </c>
      <c r="C36" s="165">
        <v>1</v>
      </c>
      <c r="D36" s="96" t="s">
        <v>9</v>
      </c>
      <c r="E36" s="166">
        <v>1500</v>
      </c>
      <c r="F36" s="167">
        <f t="shared" si="61"/>
        <v>1500</v>
      </c>
      <c r="G36" s="168">
        <v>0</v>
      </c>
      <c r="H36" s="168">
        <v>0</v>
      </c>
      <c r="I36" s="168">
        <v>0</v>
      </c>
      <c r="J36" s="168">
        <v>0</v>
      </c>
      <c r="K36" s="169">
        <v>0</v>
      </c>
      <c r="L36" s="96" t="s">
        <v>8</v>
      </c>
      <c r="M36" s="166">
        <f t="shared" si="62"/>
        <v>0</v>
      </c>
      <c r="N36" s="92">
        <v>1</v>
      </c>
      <c r="O36" s="170">
        <f t="shared" si="63"/>
        <v>1500</v>
      </c>
      <c r="P36" s="170"/>
      <c r="Q36" s="52" t="s">
        <v>48</v>
      </c>
      <c r="R36" s="71" t="s">
        <v>77</v>
      </c>
      <c r="S36" s="137" t="str">
        <f t="shared" si="64"/>
        <v>CPD2012</v>
      </c>
      <c r="T36" s="137" t="str">
        <f t="shared" si="65"/>
        <v>C1.5.1.22012</v>
      </c>
      <c r="U36" s="137" t="s">
        <v>208</v>
      </c>
      <c r="V36" s="137" t="str">
        <f t="shared" si="66"/>
        <v>Middle Support Cylinder (MSC)</v>
      </c>
      <c r="AB36" s="33">
        <v>2012</v>
      </c>
      <c r="AC36" s="132">
        <f t="shared" si="67"/>
        <v>0</v>
      </c>
      <c r="AD36" s="132">
        <f t="shared" si="68"/>
        <v>0</v>
      </c>
      <c r="AE36" s="132">
        <f t="shared" si="69"/>
        <v>0</v>
      </c>
      <c r="AF36" s="132">
        <f t="shared" si="70"/>
        <v>0</v>
      </c>
      <c r="AG36" s="132">
        <f t="shared" si="71"/>
        <v>0</v>
      </c>
      <c r="AH36" s="234">
        <f t="shared" si="72"/>
        <v>0</v>
      </c>
      <c r="AI36" s="235"/>
      <c r="AJ36" s="92"/>
      <c r="AK36" s="92"/>
      <c r="AL36" s="166"/>
      <c r="AM36" s="131">
        <f t="shared" si="73"/>
        <v>0</v>
      </c>
      <c r="AN36" s="132">
        <f t="shared" si="74"/>
        <v>0</v>
      </c>
      <c r="AO36" s="132">
        <f t="shared" si="75"/>
        <v>0</v>
      </c>
      <c r="AP36" s="132">
        <f t="shared" si="76"/>
        <v>0</v>
      </c>
      <c r="AQ36" s="132">
        <f t="shared" si="77"/>
        <v>0</v>
      </c>
      <c r="AR36" s="132">
        <f t="shared" si="78"/>
        <v>1500</v>
      </c>
      <c r="AS36" s="235"/>
    </row>
    <row r="37" spans="1:45" s="20" customFormat="1">
      <c r="A37" s="46" t="s">
        <v>182</v>
      </c>
      <c r="B37" s="20" t="s">
        <v>9</v>
      </c>
      <c r="C37" s="165">
        <f>C35*0.1</f>
        <v>8.5</v>
      </c>
      <c r="D37" s="96" t="s">
        <v>9</v>
      </c>
      <c r="E37" s="166">
        <f>E35</f>
        <v>500</v>
      </c>
      <c r="F37" s="167">
        <f t="shared" si="61"/>
        <v>4250</v>
      </c>
      <c r="G37" s="168">
        <v>0</v>
      </c>
      <c r="H37" s="168">
        <v>0</v>
      </c>
      <c r="I37" s="168">
        <v>0</v>
      </c>
      <c r="J37" s="168">
        <v>0</v>
      </c>
      <c r="K37" s="169">
        <v>0</v>
      </c>
      <c r="L37" s="96" t="s">
        <v>8</v>
      </c>
      <c r="M37" s="166">
        <f t="shared" si="62"/>
        <v>0</v>
      </c>
      <c r="N37" s="92">
        <v>1</v>
      </c>
      <c r="O37" s="170">
        <f t="shared" si="63"/>
        <v>4250</v>
      </c>
      <c r="P37" s="170"/>
      <c r="Q37" s="52" t="s">
        <v>48</v>
      </c>
      <c r="R37" s="71" t="s">
        <v>77</v>
      </c>
      <c r="S37" s="137" t="str">
        <f t="shared" si="64"/>
        <v>CPD2012</v>
      </c>
      <c r="T37" s="137" t="str">
        <f t="shared" si="65"/>
        <v>C1.5.1.22012</v>
      </c>
      <c r="U37" s="137" t="s">
        <v>208</v>
      </c>
      <c r="V37" s="137" t="str">
        <f t="shared" si="66"/>
        <v>Middle Support Cylinder (MSC)</v>
      </c>
      <c r="AB37" s="33">
        <v>2012</v>
      </c>
      <c r="AC37" s="132">
        <f t="shared" si="67"/>
        <v>0</v>
      </c>
      <c r="AD37" s="132">
        <f t="shared" si="68"/>
        <v>0</v>
      </c>
      <c r="AE37" s="132">
        <f t="shared" si="69"/>
        <v>0</v>
      </c>
      <c r="AF37" s="132">
        <f t="shared" si="70"/>
        <v>0</v>
      </c>
      <c r="AG37" s="132">
        <f t="shared" si="71"/>
        <v>0</v>
      </c>
      <c r="AH37" s="234">
        <f t="shared" si="72"/>
        <v>0</v>
      </c>
      <c r="AI37" s="235"/>
      <c r="AJ37" s="92"/>
      <c r="AK37" s="92"/>
      <c r="AL37" s="166"/>
      <c r="AM37" s="131">
        <f t="shared" si="73"/>
        <v>0</v>
      </c>
      <c r="AN37" s="132">
        <f t="shared" si="74"/>
        <v>0</v>
      </c>
      <c r="AO37" s="132">
        <f t="shared" si="75"/>
        <v>0</v>
      </c>
      <c r="AP37" s="132">
        <f t="shared" si="76"/>
        <v>0</v>
      </c>
      <c r="AQ37" s="132">
        <f t="shared" si="77"/>
        <v>0</v>
      </c>
      <c r="AR37" s="132">
        <f t="shared" si="78"/>
        <v>4250</v>
      </c>
      <c r="AS37" s="235"/>
    </row>
    <row r="38" spans="1:45" s="20" customFormat="1">
      <c r="A38" s="46" t="s">
        <v>54</v>
      </c>
      <c r="B38" s="20" t="s">
        <v>9</v>
      </c>
      <c r="C38" s="165">
        <v>0</v>
      </c>
      <c r="D38" s="96" t="s">
        <v>9</v>
      </c>
      <c r="E38" s="166">
        <v>0</v>
      </c>
      <c r="F38" s="167">
        <f t="shared" si="61"/>
        <v>0</v>
      </c>
      <c r="G38" s="168">
        <v>0</v>
      </c>
      <c r="H38" s="168">
        <v>2</v>
      </c>
      <c r="I38" s="168">
        <v>0</v>
      </c>
      <c r="J38" s="168">
        <v>2</v>
      </c>
      <c r="K38" s="169">
        <v>0</v>
      </c>
      <c r="L38" s="96" t="s">
        <v>8</v>
      </c>
      <c r="M38" s="166">
        <f t="shared" si="62"/>
        <v>432.54000000000008</v>
      </c>
      <c r="N38" s="92">
        <v>1</v>
      </c>
      <c r="O38" s="170">
        <f t="shared" si="63"/>
        <v>432.54000000000008</v>
      </c>
      <c r="P38" s="170"/>
      <c r="Q38" s="52" t="s">
        <v>48</v>
      </c>
      <c r="R38" s="71" t="s">
        <v>77</v>
      </c>
      <c r="S38" s="137" t="str">
        <f t="shared" si="64"/>
        <v>CPD2012</v>
      </c>
      <c r="T38" s="137" t="str">
        <f t="shared" si="65"/>
        <v>C1.5.1.22012</v>
      </c>
      <c r="U38" s="137" t="s">
        <v>208</v>
      </c>
      <c r="V38" s="137" t="str">
        <f t="shared" si="66"/>
        <v>Middle Support Cylinder (MSC)</v>
      </c>
      <c r="AB38" s="33">
        <v>2012</v>
      </c>
      <c r="AC38" s="132">
        <f t="shared" si="67"/>
        <v>0</v>
      </c>
      <c r="AD38" s="132">
        <f t="shared" si="68"/>
        <v>0</v>
      </c>
      <c r="AE38" s="132">
        <f t="shared" si="69"/>
        <v>0</v>
      </c>
      <c r="AF38" s="132">
        <f t="shared" si="70"/>
        <v>0</v>
      </c>
      <c r="AG38" s="132">
        <f t="shared" si="71"/>
        <v>0</v>
      </c>
      <c r="AH38" s="234">
        <f t="shared" si="72"/>
        <v>0</v>
      </c>
      <c r="AI38" s="235"/>
      <c r="AJ38" s="92"/>
      <c r="AK38" s="92"/>
      <c r="AL38" s="166"/>
      <c r="AM38" s="131">
        <f t="shared" si="73"/>
        <v>0</v>
      </c>
      <c r="AN38" s="132">
        <f t="shared" si="74"/>
        <v>2</v>
      </c>
      <c r="AO38" s="132">
        <f t="shared" si="75"/>
        <v>0</v>
      </c>
      <c r="AP38" s="132">
        <f t="shared" si="76"/>
        <v>2</v>
      </c>
      <c r="AQ38" s="132">
        <f t="shared" si="77"/>
        <v>0</v>
      </c>
      <c r="AR38" s="132">
        <f t="shared" si="78"/>
        <v>0</v>
      </c>
      <c r="AS38" s="235"/>
    </row>
    <row r="39" spans="1:45" s="133" customFormat="1">
      <c r="A39" s="46" t="s">
        <v>55</v>
      </c>
      <c r="B39" s="20" t="s">
        <v>58</v>
      </c>
      <c r="C39" s="165">
        <v>0.5</v>
      </c>
      <c r="D39" s="96" t="s">
        <v>59</v>
      </c>
      <c r="E39" s="166">
        <v>105</v>
      </c>
      <c r="F39" s="167">
        <f t="shared" si="61"/>
        <v>52.5</v>
      </c>
      <c r="G39" s="168">
        <v>0</v>
      </c>
      <c r="H39" s="168">
        <v>8</v>
      </c>
      <c r="I39" s="168">
        <v>0</v>
      </c>
      <c r="J39" s="168">
        <v>1</v>
      </c>
      <c r="K39" s="169">
        <v>0</v>
      </c>
      <c r="L39" s="96" t="s">
        <v>8</v>
      </c>
      <c r="M39" s="166">
        <f t="shared" si="62"/>
        <v>879.66000000000008</v>
      </c>
      <c r="N39" s="92">
        <v>1</v>
      </c>
      <c r="O39" s="170">
        <f t="shared" si="63"/>
        <v>932.16000000000008</v>
      </c>
      <c r="P39" s="170"/>
      <c r="Q39" s="52" t="s">
        <v>48</v>
      </c>
      <c r="R39" s="71" t="s">
        <v>77</v>
      </c>
      <c r="S39" s="137" t="str">
        <f t="shared" si="64"/>
        <v>CPD2012</v>
      </c>
      <c r="T39" s="137" t="str">
        <f t="shared" si="65"/>
        <v>C1.5.1.22012</v>
      </c>
      <c r="U39" s="137" t="s">
        <v>208</v>
      </c>
      <c r="V39" s="137" t="str">
        <f t="shared" si="66"/>
        <v>Middle Support Cylinder (MSC)</v>
      </c>
      <c r="W39" s="20"/>
      <c r="X39" s="20"/>
      <c r="Y39" s="20"/>
      <c r="Z39" s="20"/>
      <c r="AA39" s="20"/>
      <c r="AB39" s="33">
        <v>2012</v>
      </c>
      <c r="AC39" s="132">
        <f t="shared" si="67"/>
        <v>0</v>
      </c>
      <c r="AD39" s="132">
        <f t="shared" si="68"/>
        <v>0</v>
      </c>
      <c r="AE39" s="132">
        <f t="shared" si="69"/>
        <v>0</v>
      </c>
      <c r="AF39" s="132">
        <f t="shared" si="70"/>
        <v>0</v>
      </c>
      <c r="AG39" s="132">
        <f t="shared" si="71"/>
        <v>0</v>
      </c>
      <c r="AH39" s="234">
        <f t="shared" si="72"/>
        <v>0</v>
      </c>
      <c r="AI39" s="235"/>
      <c r="AJ39" s="92"/>
      <c r="AK39" s="92"/>
      <c r="AL39" s="166"/>
      <c r="AM39" s="131">
        <f t="shared" si="73"/>
        <v>0</v>
      </c>
      <c r="AN39" s="132">
        <f t="shared" si="74"/>
        <v>8</v>
      </c>
      <c r="AO39" s="132">
        <f t="shared" si="75"/>
        <v>0</v>
      </c>
      <c r="AP39" s="132">
        <f t="shared" si="76"/>
        <v>1</v>
      </c>
      <c r="AQ39" s="132">
        <f t="shared" si="77"/>
        <v>0</v>
      </c>
      <c r="AR39" s="132">
        <f t="shared" si="78"/>
        <v>52.5</v>
      </c>
      <c r="AS39" s="236"/>
    </row>
    <row r="40" spans="1:45" s="20" customFormat="1">
      <c r="A40" s="46" t="s">
        <v>61</v>
      </c>
      <c r="B40" s="20" t="s">
        <v>9</v>
      </c>
      <c r="C40" s="165">
        <v>1</v>
      </c>
      <c r="D40" s="96" t="s">
        <v>57</v>
      </c>
      <c r="E40" s="166">
        <v>1500</v>
      </c>
      <c r="F40" s="167">
        <f t="shared" si="61"/>
        <v>1500</v>
      </c>
      <c r="G40" s="168">
        <v>0</v>
      </c>
      <c r="H40" s="168">
        <v>4</v>
      </c>
      <c r="I40" s="168">
        <v>0</v>
      </c>
      <c r="J40" s="168">
        <v>4</v>
      </c>
      <c r="K40" s="169">
        <v>0</v>
      </c>
      <c r="L40" s="96" t="s">
        <v>8</v>
      </c>
      <c r="M40" s="166">
        <f t="shared" si="62"/>
        <v>865.08000000000015</v>
      </c>
      <c r="N40" s="92">
        <v>1</v>
      </c>
      <c r="O40" s="170">
        <f t="shared" si="63"/>
        <v>2365.08</v>
      </c>
      <c r="P40" s="170"/>
      <c r="Q40" s="52" t="s">
        <v>48</v>
      </c>
      <c r="R40" s="71" t="s">
        <v>77</v>
      </c>
      <c r="S40" s="137" t="str">
        <f t="shared" si="64"/>
        <v>CPD2012</v>
      </c>
      <c r="T40" s="137" t="str">
        <f t="shared" si="65"/>
        <v>C1.5.1.22012</v>
      </c>
      <c r="U40" s="137" t="s">
        <v>208</v>
      </c>
      <c r="V40" s="137" t="str">
        <f t="shared" si="66"/>
        <v>Middle Support Cylinder (MSC)</v>
      </c>
      <c r="AB40" s="33">
        <v>2012</v>
      </c>
      <c r="AC40" s="132">
        <f t="shared" si="67"/>
        <v>0</v>
      </c>
      <c r="AD40" s="132">
        <f t="shared" si="68"/>
        <v>0</v>
      </c>
      <c r="AE40" s="132">
        <f t="shared" si="69"/>
        <v>0</v>
      </c>
      <c r="AF40" s="132">
        <f t="shared" si="70"/>
        <v>0</v>
      </c>
      <c r="AG40" s="132">
        <f t="shared" si="71"/>
        <v>0</v>
      </c>
      <c r="AH40" s="234">
        <f t="shared" si="72"/>
        <v>0</v>
      </c>
      <c r="AI40" s="235"/>
      <c r="AJ40" s="92"/>
      <c r="AK40" s="92"/>
      <c r="AL40" s="166"/>
      <c r="AM40" s="131">
        <f t="shared" si="73"/>
        <v>0</v>
      </c>
      <c r="AN40" s="132">
        <f t="shared" si="74"/>
        <v>4</v>
      </c>
      <c r="AO40" s="132">
        <f t="shared" si="75"/>
        <v>0</v>
      </c>
      <c r="AP40" s="132">
        <f t="shared" si="76"/>
        <v>4</v>
      </c>
      <c r="AQ40" s="132">
        <f t="shared" si="77"/>
        <v>0</v>
      </c>
      <c r="AR40" s="132">
        <f t="shared" si="78"/>
        <v>1500</v>
      </c>
      <c r="AS40" s="235"/>
    </row>
    <row r="41" spans="1:45" s="20" customFormat="1">
      <c r="A41" s="47" t="s">
        <v>310</v>
      </c>
      <c r="B41" s="20" t="s">
        <v>91</v>
      </c>
      <c r="C41" s="165">
        <v>12</v>
      </c>
      <c r="D41" s="96" t="s">
        <v>59</v>
      </c>
      <c r="E41" s="166">
        <v>400</v>
      </c>
      <c r="F41" s="167">
        <f t="shared" si="61"/>
        <v>4800</v>
      </c>
      <c r="G41" s="168">
        <v>0</v>
      </c>
      <c r="H41" s="168">
        <v>0</v>
      </c>
      <c r="I41" s="168">
        <v>0</v>
      </c>
      <c r="J41" s="168">
        <v>2</v>
      </c>
      <c r="K41" s="169">
        <v>0</v>
      </c>
      <c r="L41" s="96" t="s">
        <v>8</v>
      </c>
      <c r="M41" s="166">
        <f t="shared" si="62"/>
        <v>243.00000000000003</v>
      </c>
      <c r="N41" s="92">
        <v>1</v>
      </c>
      <c r="O41" s="170">
        <f t="shared" si="63"/>
        <v>5043</v>
      </c>
      <c r="P41" s="170"/>
      <c r="Q41" s="52" t="s">
        <v>47</v>
      </c>
      <c r="R41" s="71" t="s">
        <v>77</v>
      </c>
      <c r="S41" s="137" t="str">
        <f t="shared" si="64"/>
        <v>BPD2012</v>
      </c>
      <c r="T41" s="137" t="str">
        <f t="shared" si="65"/>
        <v>B1.5.1.22012</v>
      </c>
      <c r="U41" s="137" t="s">
        <v>208</v>
      </c>
      <c r="V41" s="137" t="str">
        <f t="shared" si="66"/>
        <v>Middle Support Cylinder (MSC)</v>
      </c>
      <c r="W41" s="130"/>
      <c r="X41" s="130"/>
      <c r="Y41" s="130"/>
      <c r="Z41" s="130"/>
      <c r="AA41" s="130"/>
      <c r="AB41" s="33">
        <v>2012</v>
      </c>
      <c r="AC41" s="132">
        <f t="shared" si="67"/>
        <v>0</v>
      </c>
      <c r="AD41" s="132">
        <f t="shared" si="68"/>
        <v>0</v>
      </c>
      <c r="AE41" s="132">
        <f t="shared" si="69"/>
        <v>0</v>
      </c>
      <c r="AF41" s="132">
        <f t="shared" si="70"/>
        <v>2</v>
      </c>
      <c r="AG41" s="132">
        <f t="shared" si="71"/>
        <v>0</v>
      </c>
      <c r="AH41" s="234">
        <f t="shared" si="72"/>
        <v>4800</v>
      </c>
      <c r="AI41" s="235"/>
      <c r="AJ41" s="92"/>
      <c r="AK41" s="92"/>
      <c r="AL41" s="166"/>
      <c r="AM41" s="131">
        <f t="shared" si="73"/>
        <v>0</v>
      </c>
      <c r="AN41" s="132">
        <f t="shared" si="74"/>
        <v>0</v>
      </c>
      <c r="AO41" s="132">
        <f t="shared" si="75"/>
        <v>0</v>
      </c>
      <c r="AP41" s="132">
        <f t="shared" si="76"/>
        <v>0</v>
      </c>
      <c r="AQ41" s="132">
        <f t="shared" si="77"/>
        <v>0</v>
      </c>
      <c r="AR41" s="132">
        <f t="shared" si="78"/>
        <v>0</v>
      </c>
      <c r="AS41" s="235"/>
    </row>
    <row r="42" spans="1:45" s="20" customFormat="1">
      <c r="A42" s="46" t="s">
        <v>181</v>
      </c>
      <c r="B42" s="20" t="s">
        <v>9</v>
      </c>
      <c r="C42" s="165">
        <v>1</v>
      </c>
      <c r="D42" s="96" t="s">
        <v>9</v>
      </c>
      <c r="E42" s="166">
        <v>1500</v>
      </c>
      <c r="F42" s="167">
        <f t="shared" si="61"/>
        <v>1500</v>
      </c>
      <c r="G42" s="168">
        <v>0</v>
      </c>
      <c r="H42" s="168">
        <v>0</v>
      </c>
      <c r="I42" s="168">
        <v>0</v>
      </c>
      <c r="J42" s="168">
        <v>0</v>
      </c>
      <c r="K42" s="169">
        <v>0</v>
      </c>
      <c r="L42" s="96" t="s">
        <v>8</v>
      </c>
      <c r="M42" s="166">
        <f t="shared" si="62"/>
        <v>0</v>
      </c>
      <c r="N42" s="92">
        <v>1</v>
      </c>
      <c r="O42" s="170">
        <f t="shared" si="63"/>
        <v>1500</v>
      </c>
      <c r="P42" s="170"/>
      <c r="Q42" s="52" t="s">
        <v>47</v>
      </c>
      <c r="R42" s="71" t="s">
        <v>77</v>
      </c>
      <c r="S42" s="137" t="str">
        <f t="shared" si="64"/>
        <v>BPD2012</v>
      </c>
      <c r="T42" s="137" t="str">
        <f t="shared" si="65"/>
        <v>B1.5.1.22012</v>
      </c>
      <c r="U42" s="137" t="s">
        <v>208</v>
      </c>
      <c r="V42" s="137" t="str">
        <f t="shared" si="66"/>
        <v>Middle Support Cylinder (MSC)</v>
      </c>
      <c r="AB42" s="33">
        <v>2012</v>
      </c>
      <c r="AC42" s="132">
        <f t="shared" si="67"/>
        <v>0</v>
      </c>
      <c r="AD42" s="132">
        <f t="shared" si="68"/>
        <v>0</v>
      </c>
      <c r="AE42" s="132">
        <f t="shared" si="69"/>
        <v>0</v>
      </c>
      <c r="AF42" s="132">
        <f t="shared" si="70"/>
        <v>0</v>
      </c>
      <c r="AG42" s="132">
        <f t="shared" si="71"/>
        <v>0</v>
      </c>
      <c r="AH42" s="234">
        <f t="shared" si="72"/>
        <v>1500</v>
      </c>
      <c r="AI42" s="235"/>
      <c r="AJ42" s="92"/>
      <c r="AK42" s="92"/>
      <c r="AL42" s="166"/>
      <c r="AM42" s="131">
        <f t="shared" si="73"/>
        <v>0</v>
      </c>
      <c r="AN42" s="132">
        <f t="shared" si="74"/>
        <v>0</v>
      </c>
      <c r="AO42" s="132">
        <f t="shared" si="75"/>
        <v>0</v>
      </c>
      <c r="AP42" s="132">
        <f t="shared" si="76"/>
        <v>0</v>
      </c>
      <c r="AQ42" s="132">
        <f t="shared" si="77"/>
        <v>0</v>
      </c>
      <c r="AR42" s="132">
        <f t="shared" si="78"/>
        <v>0</v>
      </c>
      <c r="AS42" s="235"/>
    </row>
    <row r="43" spans="1:45" s="20" customFormat="1">
      <c r="A43" s="46" t="s">
        <v>182</v>
      </c>
      <c r="B43" s="20" t="s">
        <v>9</v>
      </c>
      <c r="C43" s="165">
        <f>C41*0.1</f>
        <v>1.2000000000000002</v>
      </c>
      <c r="D43" s="96" t="s">
        <v>9</v>
      </c>
      <c r="E43" s="166">
        <f>E41</f>
        <v>400</v>
      </c>
      <c r="F43" s="167">
        <f t="shared" si="61"/>
        <v>480.00000000000006</v>
      </c>
      <c r="G43" s="168">
        <v>0</v>
      </c>
      <c r="H43" s="168">
        <v>0</v>
      </c>
      <c r="I43" s="168">
        <v>0</v>
      </c>
      <c r="J43" s="168">
        <v>0</v>
      </c>
      <c r="K43" s="169">
        <v>0</v>
      </c>
      <c r="L43" s="96" t="s">
        <v>8</v>
      </c>
      <c r="M43" s="166">
        <f t="shared" si="62"/>
        <v>0</v>
      </c>
      <c r="N43" s="92">
        <v>1</v>
      </c>
      <c r="O43" s="170">
        <f t="shared" si="63"/>
        <v>480.00000000000006</v>
      </c>
      <c r="P43" s="170"/>
      <c r="Q43" s="52" t="s">
        <v>47</v>
      </c>
      <c r="R43" s="71" t="s">
        <v>77</v>
      </c>
      <c r="S43" s="137" t="str">
        <f t="shared" si="64"/>
        <v>BPD2012</v>
      </c>
      <c r="T43" s="137" t="str">
        <f t="shared" si="65"/>
        <v>B1.5.1.22012</v>
      </c>
      <c r="U43" s="137" t="s">
        <v>208</v>
      </c>
      <c r="V43" s="137" t="str">
        <f t="shared" si="66"/>
        <v>Middle Support Cylinder (MSC)</v>
      </c>
      <c r="AB43" s="33">
        <v>2012</v>
      </c>
      <c r="AC43" s="132">
        <f t="shared" si="67"/>
        <v>0</v>
      </c>
      <c r="AD43" s="132">
        <f t="shared" si="68"/>
        <v>0</v>
      </c>
      <c r="AE43" s="132">
        <f t="shared" si="69"/>
        <v>0</v>
      </c>
      <c r="AF43" s="132">
        <f t="shared" si="70"/>
        <v>0</v>
      </c>
      <c r="AG43" s="132">
        <f t="shared" si="71"/>
        <v>0</v>
      </c>
      <c r="AH43" s="234">
        <f t="shared" si="72"/>
        <v>480.00000000000006</v>
      </c>
      <c r="AI43" s="235"/>
      <c r="AJ43" s="92"/>
      <c r="AK43" s="92"/>
      <c r="AL43" s="166"/>
      <c r="AM43" s="131">
        <f t="shared" si="73"/>
        <v>0</v>
      </c>
      <c r="AN43" s="132">
        <f t="shared" si="74"/>
        <v>0</v>
      </c>
      <c r="AO43" s="132">
        <f t="shared" si="75"/>
        <v>0</v>
      </c>
      <c r="AP43" s="132">
        <f t="shared" si="76"/>
        <v>0</v>
      </c>
      <c r="AQ43" s="132">
        <f t="shared" si="77"/>
        <v>0</v>
      </c>
      <c r="AR43" s="132">
        <f t="shared" si="78"/>
        <v>0</v>
      </c>
      <c r="AS43" s="235"/>
    </row>
    <row r="44" spans="1:45" s="20" customFormat="1">
      <c r="A44" s="46" t="s">
        <v>54</v>
      </c>
      <c r="B44" s="20" t="s">
        <v>9</v>
      </c>
      <c r="C44" s="165">
        <v>0</v>
      </c>
      <c r="D44" s="96" t="s">
        <v>9</v>
      </c>
      <c r="E44" s="166">
        <v>0</v>
      </c>
      <c r="F44" s="167">
        <f t="shared" si="61"/>
        <v>0</v>
      </c>
      <c r="G44" s="168">
        <v>0</v>
      </c>
      <c r="H44" s="168">
        <v>2</v>
      </c>
      <c r="I44" s="168">
        <v>0</v>
      </c>
      <c r="J44" s="168">
        <v>2</v>
      </c>
      <c r="K44" s="169">
        <v>0</v>
      </c>
      <c r="L44" s="96" t="s">
        <v>8</v>
      </c>
      <c r="M44" s="166">
        <f t="shared" si="62"/>
        <v>432.54000000000008</v>
      </c>
      <c r="N44" s="92">
        <v>1</v>
      </c>
      <c r="O44" s="170">
        <f t="shared" si="63"/>
        <v>432.54000000000008</v>
      </c>
      <c r="P44" s="170"/>
      <c r="Q44" s="52" t="s">
        <v>47</v>
      </c>
      <c r="R44" s="71" t="s">
        <v>77</v>
      </c>
      <c r="S44" s="137" t="str">
        <f t="shared" si="64"/>
        <v>BPD2012</v>
      </c>
      <c r="T44" s="137" t="str">
        <f t="shared" si="65"/>
        <v>B1.5.1.22012</v>
      </c>
      <c r="U44" s="137" t="s">
        <v>208</v>
      </c>
      <c r="V44" s="137" t="str">
        <f t="shared" si="66"/>
        <v>Middle Support Cylinder (MSC)</v>
      </c>
      <c r="AB44" s="33">
        <v>2012</v>
      </c>
      <c r="AC44" s="132">
        <f t="shared" si="67"/>
        <v>0</v>
      </c>
      <c r="AD44" s="132">
        <f t="shared" si="68"/>
        <v>2</v>
      </c>
      <c r="AE44" s="132">
        <f t="shared" si="69"/>
        <v>0</v>
      </c>
      <c r="AF44" s="132">
        <f t="shared" si="70"/>
        <v>2</v>
      </c>
      <c r="AG44" s="132">
        <f t="shared" si="71"/>
        <v>0</v>
      </c>
      <c r="AH44" s="234">
        <f t="shared" si="72"/>
        <v>0</v>
      </c>
      <c r="AI44" s="235"/>
      <c r="AJ44" s="92"/>
      <c r="AK44" s="92"/>
      <c r="AL44" s="166"/>
      <c r="AM44" s="131">
        <f t="shared" si="73"/>
        <v>0</v>
      </c>
      <c r="AN44" s="132">
        <f t="shared" si="74"/>
        <v>0</v>
      </c>
      <c r="AO44" s="132">
        <f t="shared" si="75"/>
        <v>0</v>
      </c>
      <c r="AP44" s="132">
        <f t="shared" si="76"/>
        <v>0</v>
      </c>
      <c r="AQ44" s="132">
        <f t="shared" si="77"/>
        <v>0</v>
      </c>
      <c r="AR44" s="132">
        <f t="shared" si="78"/>
        <v>0</v>
      </c>
      <c r="AS44" s="235"/>
    </row>
    <row r="45" spans="1:45" s="133" customFormat="1">
      <c r="A45" s="46" t="s">
        <v>55</v>
      </c>
      <c r="B45" s="20" t="s">
        <v>58</v>
      </c>
      <c r="C45" s="165">
        <v>0.5</v>
      </c>
      <c r="D45" s="96" t="s">
        <v>59</v>
      </c>
      <c r="E45" s="166">
        <v>105</v>
      </c>
      <c r="F45" s="167">
        <f t="shared" si="61"/>
        <v>52.5</v>
      </c>
      <c r="G45" s="168">
        <v>0</v>
      </c>
      <c r="H45" s="168">
        <v>8</v>
      </c>
      <c r="I45" s="168">
        <v>0</v>
      </c>
      <c r="J45" s="168">
        <v>1</v>
      </c>
      <c r="K45" s="169">
        <v>0</v>
      </c>
      <c r="L45" s="96" t="s">
        <v>8</v>
      </c>
      <c r="M45" s="166">
        <f t="shared" si="62"/>
        <v>879.66000000000008</v>
      </c>
      <c r="N45" s="92">
        <v>1</v>
      </c>
      <c r="O45" s="170">
        <f t="shared" si="63"/>
        <v>932.16000000000008</v>
      </c>
      <c r="P45" s="170"/>
      <c r="Q45" s="52" t="s">
        <v>47</v>
      </c>
      <c r="R45" s="71" t="s">
        <v>77</v>
      </c>
      <c r="S45" s="137" t="str">
        <f t="shared" si="64"/>
        <v>BPD2012</v>
      </c>
      <c r="T45" s="137" t="str">
        <f t="shared" si="65"/>
        <v>B1.5.1.22012</v>
      </c>
      <c r="U45" s="137" t="s">
        <v>208</v>
      </c>
      <c r="V45" s="137" t="str">
        <f t="shared" si="66"/>
        <v>Middle Support Cylinder (MSC)</v>
      </c>
      <c r="W45" s="20"/>
      <c r="X45" s="20"/>
      <c r="Y45" s="20"/>
      <c r="Z45" s="20"/>
      <c r="AA45" s="20"/>
      <c r="AB45" s="33">
        <v>2012</v>
      </c>
      <c r="AC45" s="132">
        <f t="shared" si="67"/>
        <v>0</v>
      </c>
      <c r="AD45" s="132">
        <f t="shared" si="68"/>
        <v>8</v>
      </c>
      <c r="AE45" s="132">
        <f t="shared" si="69"/>
        <v>0</v>
      </c>
      <c r="AF45" s="132">
        <f t="shared" si="70"/>
        <v>1</v>
      </c>
      <c r="AG45" s="132">
        <f t="shared" si="71"/>
        <v>0</v>
      </c>
      <c r="AH45" s="234">
        <f t="shared" si="72"/>
        <v>52.5</v>
      </c>
      <c r="AI45" s="235"/>
      <c r="AJ45" s="92"/>
      <c r="AK45" s="92"/>
      <c r="AL45" s="166"/>
      <c r="AM45" s="131">
        <f t="shared" si="73"/>
        <v>0</v>
      </c>
      <c r="AN45" s="132">
        <f t="shared" si="74"/>
        <v>0</v>
      </c>
      <c r="AO45" s="132">
        <f t="shared" si="75"/>
        <v>0</v>
      </c>
      <c r="AP45" s="132">
        <f t="shared" si="76"/>
        <v>0</v>
      </c>
      <c r="AQ45" s="132">
        <f t="shared" si="77"/>
        <v>0</v>
      </c>
      <c r="AR45" s="132">
        <f t="shared" si="78"/>
        <v>0</v>
      </c>
      <c r="AS45" s="236"/>
    </row>
    <row r="46" spans="1:45" s="20" customFormat="1">
      <c r="A46" s="46" t="s">
        <v>61</v>
      </c>
      <c r="B46" s="20" t="s">
        <v>9</v>
      </c>
      <c r="C46" s="165">
        <v>1</v>
      </c>
      <c r="D46" s="96" t="s">
        <v>57</v>
      </c>
      <c r="E46" s="166">
        <v>1500</v>
      </c>
      <c r="F46" s="167">
        <f t="shared" si="61"/>
        <v>1500</v>
      </c>
      <c r="G46" s="168">
        <v>0</v>
      </c>
      <c r="H46" s="168">
        <v>4</v>
      </c>
      <c r="I46" s="168">
        <v>0</v>
      </c>
      <c r="J46" s="168">
        <v>4</v>
      </c>
      <c r="K46" s="169">
        <v>0</v>
      </c>
      <c r="L46" s="96" t="s">
        <v>8</v>
      </c>
      <c r="M46" s="166">
        <f t="shared" si="62"/>
        <v>865.08000000000015</v>
      </c>
      <c r="N46" s="92">
        <v>1</v>
      </c>
      <c r="O46" s="170">
        <f t="shared" si="63"/>
        <v>2365.08</v>
      </c>
      <c r="P46" s="170"/>
      <c r="Q46" s="52" t="s">
        <v>47</v>
      </c>
      <c r="R46" s="71" t="s">
        <v>77</v>
      </c>
      <c r="S46" s="137" t="str">
        <f t="shared" si="64"/>
        <v>BPD2012</v>
      </c>
      <c r="T46" s="137" t="str">
        <f t="shared" si="65"/>
        <v>B1.5.1.22012</v>
      </c>
      <c r="U46" s="137" t="s">
        <v>208</v>
      </c>
      <c r="V46" s="137" t="str">
        <f t="shared" si="66"/>
        <v>Middle Support Cylinder (MSC)</v>
      </c>
      <c r="AB46" s="33">
        <v>2012</v>
      </c>
      <c r="AC46" s="132">
        <f t="shared" si="67"/>
        <v>0</v>
      </c>
      <c r="AD46" s="132">
        <f t="shared" si="68"/>
        <v>4</v>
      </c>
      <c r="AE46" s="132">
        <f t="shared" si="69"/>
        <v>0</v>
      </c>
      <c r="AF46" s="132">
        <f t="shared" si="70"/>
        <v>4</v>
      </c>
      <c r="AG46" s="132">
        <f t="shared" si="71"/>
        <v>0</v>
      </c>
      <c r="AH46" s="234">
        <f t="shared" si="72"/>
        <v>1500</v>
      </c>
      <c r="AI46" s="235"/>
      <c r="AJ46" s="92"/>
      <c r="AK46" s="92"/>
      <c r="AL46" s="166"/>
      <c r="AM46" s="131">
        <f t="shared" si="73"/>
        <v>0</v>
      </c>
      <c r="AN46" s="132">
        <f t="shared" si="74"/>
        <v>0</v>
      </c>
      <c r="AO46" s="132">
        <f t="shared" si="75"/>
        <v>0</v>
      </c>
      <c r="AP46" s="132">
        <f t="shared" si="76"/>
        <v>0</v>
      </c>
      <c r="AQ46" s="132">
        <f t="shared" si="77"/>
        <v>0</v>
      </c>
      <c r="AR46" s="132">
        <f t="shared" si="78"/>
        <v>0</v>
      </c>
      <c r="AS46" s="235"/>
    </row>
    <row r="47" spans="1:45" s="20" customFormat="1">
      <c r="A47" s="47" t="s">
        <v>311</v>
      </c>
      <c r="B47" s="20" t="s">
        <v>276</v>
      </c>
      <c r="C47" s="165">
        <v>85</v>
      </c>
      <c r="D47" s="96" t="s">
        <v>59</v>
      </c>
      <c r="E47" s="166">
        <v>500</v>
      </c>
      <c r="F47" s="167">
        <f t="shared" ref="F47:F58" si="79">E47*C47</f>
        <v>42500</v>
      </c>
      <c r="G47" s="168">
        <v>0</v>
      </c>
      <c r="H47" s="168">
        <v>0</v>
      </c>
      <c r="I47" s="168">
        <v>0</v>
      </c>
      <c r="J47" s="168">
        <v>4</v>
      </c>
      <c r="K47" s="169">
        <v>0</v>
      </c>
      <c r="L47" s="96" t="s">
        <v>8</v>
      </c>
      <c r="M47" s="166">
        <f t="shared" ref="M47:M58" si="80">IF(R47="PD",((Shop*G47)+(M_Tech*H47)+(CMM*I47)+(ENG*J47)+(DES*K47))*N47,((Shop_RD*G47)+(MTECH_RD*H47)+(CMM_RD*I47)+(ENG_RD*J47)+(DES_RD*K47))*N47)</f>
        <v>486.00000000000006</v>
      </c>
      <c r="N47" s="92">
        <v>1</v>
      </c>
      <c r="O47" s="170">
        <f t="shared" ref="O47:O58" si="81">M47+(F47*N47)</f>
        <v>42986</v>
      </c>
      <c r="P47" s="170"/>
      <c r="Q47" s="52" t="s">
        <v>47</v>
      </c>
      <c r="R47" s="71" t="s">
        <v>77</v>
      </c>
      <c r="S47" s="137" t="str">
        <f t="shared" ref="S47:S58" si="82">CONCATENATE(Q47,R47,AB47)</f>
        <v>BPD2012</v>
      </c>
      <c r="T47" s="137" t="str">
        <f t="shared" ref="T47:T58" si="83">CONCATENATE(Q47,U47,AB47)</f>
        <v>B1.5.1.22012</v>
      </c>
      <c r="U47" s="137" t="s">
        <v>208</v>
      </c>
      <c r="V47" s="137" t="str">
        <f t="shared" ref="V47:V52" si="84">LOOKUP(U47,$B$539:$B$574,$A$539:$A$574)</f>
        <v>Middle Support Cylinder (MSC)</v>
      </c>
      <c r="W47" s="130"/>
      <c r="X47" s="130"/>
      <c r="Y47" s="130"/>
      <c r="Z47" s="130"/>
      <c r="AA47" s="130"/>
      <c r="AB47" s="33">
        <v>2012</v>
      </c>
      <c r="AC47" s="132">
        <f t="shared" ref="AC47:AC58" si="85">IF($Q47="B", (G47*$N47),0)</f>
        <v>0</v>
      </c>
      <c r="AD47" s="132">
        <f t="shared" ref="AD47:AD58" si="86">IF($Q47="B", (H47*$N47),0)</f>
        <v>0</v>
      </c>
      <c r="AE47" s="132">
        <f t="shared" ref="AE47:AE58" si="87">IF($Q47="B", (I47*$N47),0)</f>
        <v>0</v>
      </c>
      <c r="AF47" s="132">
        <f t="shared" ref="AF47:AF58" si="88">IF($Q47="B", (J47*$N47),0)</f>
        <v>4</v>
      </c>
      <c r="AG47" s="132">
        <f t="shared" ref="AG47:AG58" si="89">IF($Q47="B", (K47*$N47),0)</f>
        <v>0</v>
      </c>
      <c r="AH47" s="234">
        <f t="shared" ref="AH47:AH58" si="90">IF($Q47="B", (F47*$N47),0)</f>
        <v>42500</v>
      </c>
      <c r="AI47" s="235"/>
      <c r="AJ47" s="92"/>
      <c r="AK47" s="92"/>
      <c r="AL47" s="166"/>
      <c r="AM47" s="131">
        <f t="shared" ref="AM47:AM58" si="91">IF($Q47="C", (G47*$N47),0)</f>
        <v>0</v>
      </c>
      <c r="AN47" s="132">
        <f t="shared" ref="AN47:AN58" si="92">IF($Q47="C", (H47*$N47),0)</f>
        <v>0</v>
      </c>
      <c r="AO47" s="132">
        <f t="shared" ref="AO47:AO58" si="93">IF($Q47="C", (I47*$N47),0)</f>
        <v>0</v>
      </c>
      <c r="AP47" s="132">
        <f t="shared" ref="AP47:AP58" si="94">IF($Q47="C", (J47*$N47),0)</f>
        <v>0</v>
      </c>
      <c r="AQ47" s="132">
        <f t="shared" ref="AQ47:AQ58" si="95">IF($Q47="C", (K47*$N47),0)</f>
        <v>0</v>
      </c>
      <c r="AR47" s="132">
        <f t="shared" ref="AR47:AR58" si="96">IF($Q47="C", (F47*$N47),0)</f>
        <v>0</v>
      </c>
      <c r="AS47" s="235"/>
    </row>
    <row r="48" spans="1:45" s="20" customFormat="1">
      <c r="A48" s="46" t="s">
        <v>181</v>
      </c>
      <c r="B48" s="20" t="s">
        <v>9</v>
      </c>
      <c r="C48" s="165">
        <v>1</v>
      </c>
      <c r="D48" s="96" t="s">
        <v>9</v>
      </c>
      <c r="E48" s="166">
        <v>1500</v>
      </c>
      <c r="F48" s="167">
        <f t="shared" si="79"/>
        <v>1500</v>
      </c>
      <c r="G48" s="168">
        <v>0</v>
      </c>
      <c r="H48" s="168">
        <v>0</v>
      </c>
      <c r="I48" s="168">
        <v>0</v>
      </c>
      <c r="J48" s="168">
        <v>0</v>
      </c>
      <c r="K48" s="169">
        <v>0</v>
      </c>
      <c r="L48" s="96" t="s">
        <v>8</v>
      </c>
      <c r="M48" s="166">
        <f t="shared" si="80"/>
        <v>0</v>
      </c>
      <c r="N48" s="92">
        <v>1</v>
      </c>
      <c r="O48" s="170">
        <f t="shared" si="81"/>
        <v>1500</v>
      </c>
      <c r="P48" s="170"/>
      <c r="Q48" s="52" t="s">
        <v>47</v>
      </c>
      <c r="R48" s="71" t="s">
        <v>77</v>
      </c>
      <c r="S48" s="137" t="str">
        <f t="shared" si="82"/>
        <v>BPD2012</v>
      </c>
      <c r="T48" s="137" t="str">
        <f t="shared" si="83"/>
        <v>B1.5.1.22012</v>
      </c>
      <c r="U48" s="137" t="s">
        <v>208</v>
      </c>
      <c r="V48" s="137" t="str">
        <f t="shared" si="84"/>
        <v>Middle Support Cylinder (MSC)</v>
      </c>
      <c r="AB48" s="33">
        <v>2012</v>
      </c>
      <c r="AC48" s="132">
        <f t="shared" si="85"/>
        <v>0</v>
      </c>
      <c r="AD48" s="132">
        <f t="shared" si="86"/>
        <v>0</v>
      </c>
      <c r="AE48" s="132">
        <f t="shared" si="87"/>
        <v>0</v>
      </c>
      <c r="AF48" s="132">
        <f t="shared" si="88"/>
        <v>0</v>
      </c>
      <c r="AG48" s="132">
        <f t="shared" si="89"/>
        <v>0</v>
      </c>
      <c r="AH48" s="234">
        <f t="shared" si="90"/>
        <v>1500</v>
      </c>
      <c r="AI48" s="235"/>
      <c r="AJ48" s="92"/>
      <c r="AK48" s="92"/>
      <c r="AL48" s="166"/>
      <c r="AM48" s="131">
        <f t="shared" si="91"/>
        <v>0</v>
      </c>
      <c r="AN48" s="132">
        <f t="shared" si="92"/>
        <v>0</v>
      </c>
      <c r="AO48" s="132">
        <f t="shared" si="93"/>
        <v>0</v>
      </c>
      <c r="AP48" s="132">
        <f t="shared" si="94"/>
        <v>0</v>
      </c>
      <c r="AQ48" s="132">
        <f t="shared" si="95"/>
        <v>0</v>
      </c>
      <c r="AR48" s="132">
        <f t="shared" si="96"/>
        <v>0</v>
      </c>
      <c r="AS48" s="235"/>
    </row>
    <row r="49" spans="1:45" s="20" customFormat="1">
      <c r="A49" s="46" t="s">
        <v>182</v>
      </c>
      <c r="B49" s="20" t="s">
        <v>9</v>
      </c>
      <c r="C49" s="165">
        <f>C47*0.1</f>
        <v>8.5</v>
      </c>
      <c r="D49" s="96" t="s">
        <v>9</v>
      </c>
      <c r="E49" s="166">
        <f>E47</f>
        <v>500</v>
      </c>
      <c r="F49" s="167">
        <f t="shared" si="79"/>
        <v>4250</v>
      </c>
      <c r="G49" s="168">
        <v>0</v>
      </c>
      <c r="H49" s="168">
        <v>0</v>
      </c>
      <c r="I49" s="168">
        <v>0</v>
      </c>
      <c r="J49" s="168">
        <v>0</v>
      </c>
      <c r="K49" s="169">
        <v>0</v>
      </c>
      <c r="L49" s="96" t="s">
        <v>8</v>
      </c>
      <c r="M49" s="166">
        <f t="shared" si="80"/>
        <v>0</v>
      </c>
      <c r="N49" s="92">
        <v>1</v>
      </c>
      <c r="O49" s="170">
        <f t="shared" si="81"/>
        <v>4250</v>
      </c>
      <c r="P49" s="170"/>
      <c r="Q49" s="52" t="s">
        <v>47</v>
      </c>
      <c r="R49" s="71" t="s">
        <v>77</v>
      </c>
      <c r="S49" s="137" t="str">
        <f t="shared" si="82"/>
        <v>BPD2012</v>
      </c>
      <c r="T49" s="137" t="str">
        <f t="shared" si="83"/>
        <v>B1.5.1.22012</v>
      </c>
      <c r="U49" s="137" t="s">
        <v>208</v>
      </c>
      <c r="V49" s="137" t="str">
        <f t="shared" si="84"/>
        <v>Middle Support Cylinder (MSC)</v>
      </c>
      <c r="AB49" s="33">
        <v>2012</v>
      </c>
      <c r="AC49" s="132">
        <f t="shared" si="85"/>
        <v>0</v>
      </c>
      <c r="AD49" s="132">
        <f t="shared" si="86"/>
        <v>0</v>
      </c>
      <c r="AE49" s="132">
        <f t="shared" si="87"/>
        <v>0</v>
      </c>
      <c r="AF49" s="132">
        <f t="shared" si="88"/>
        <v>0</v>
      </c>
      <c r="AG49" s="132">
        <f t="shared" si="89"/>
        <v>0</v>
      </c>
      <c r="AH49" s="234">
        <f t="shared" si="90"/>
        <v>4250</v>
      </c>
      <c r="AI49" s="235"/>
      <c r="AJ49" s="92"/>
      <c r="AK49" s="92"/>
      <c r="AL49" s="166"/>
      <c r="AM49" s="131">
        <f t="shared" si="91"/>
        <v>0</v>
      </c>
      <c r="AN49" s="132">
        <f t="shared" si="92"/>
        <v>0</v>
      </c>
      <c r="AO49" s="132">
        <f t="shared" si="93"/>
        <v>0</v>
      </c>
      <c r="AP49" s="132">
        <f t="shared" si="94"/>
        <v>0</v>
      </c>
      <c r="AQ49" s="132">
        <f t="shared" si="95"/>
        <v>0</v>
      </c>
      <c r="AR49" s="132">
        <f t="shared" si="96"/>
        <v>0</v>
      </c>
      <c r="AS49" s="235"/>
    </row>
    <row r="50" spans="1:45" s="20" customFormat="1">
      <c r="A50" s="46" t="s">
        <v>54</v>
      </c>
      <c r="B50" s="20" t="s">
        <v>9</v>
      </c>
      <c r="C50" s="165">
        <v>0</v>
      </c>
      <c r="D50" s="96" t="s">
        <v>9</v>
      </c>
      <c r="E50" s="166">
        <v>0</v>
      </c>
      <c r="F50" s="167">
        <f t="shared" si="79"/>
        <v>0</v>
      </c>
      <c r="G50" s="168">
        <v>0</v>
      </c>
      <c r="H50" s="168">
        <v>2</v>
      </c>
      <c r="I50" s="168">
        <v>0</v>
      </c>
      <c r="J50" s="168">
        <v>2</v>
      </c>
      <c r="K50" s="169">
        <v>0</v>
      </c>
      <c r="L50" s="96" t="s">
        <v>8</v>
      </c>
      <c r="M50" s="166">
        <f t="shared" si="80"/>
        <v>432.54000000000008</v>
      </c>
      <c r="N50" s="92">
        <v>1</v>
      </c>
      <c r="O50" s="170">
        <f t="shared" si="81"/>
        <v>432.54000000000008</v>
      </c>
      <c r="P50" s="170"/>
      <c r="Q50" s="52" t="s">
        <v>47</v>
      </c>
      <c r="R50" s="71" t="s">
        <v>77</v>
      </c>
      <c r="S50" s="137" t="str">
        <f t="shared" si="82"/>
        <v>BPD2012</v>
      </c>
      <c r="T50" s="137" t="str">
        <f t="shared" si="83"/>
        <v>B1.5.1.22012</v>
      </c>
      <c r="U50" s="137" t="s">
        <v>208</v>
      </c>
      <c r="V50" s="137" t="str">
        <f t="shared" si="84"/>
        <v>Middle Support Cylinder (MSC)</v>
      </c>
      <c r="AB50" s="33">
        <v>2012</v>
      </c>
      <c r="AC50" s="132">
        <f t="shared" si="85"/>
        <v>0</v>
      </c>
      <c r="AD50" s="132">
        <f t="shared" si="86"/>
        <v>2</v>
      </c>
      <c r="AE50" s="132">
        <f t="shared" si="87"/>
        <v>0</v>
      </c>
      <c r="AF50" s="132">
        <f t="shared" si="88"/>
        <v>2</v>
      </c>
      <c r="AG50" s="132">
        <f t="shared" si="89"/>
        <v>0</v>
      </c>
      <c r="AH50" s="234">
        <f t="shared" si="90"/>
        <v>0</v>
      </c>
      <c r="AI50" s="235"/>
      <c r="AJ50" s="92"/>
      <c r="AK50" s="92"/>
      <c r="AL50" s="166"/>
      <c r="AM50" s="131">
        <f t="shared" si="91"/>
        <v>0</v>
      </c>
      <c r="AN50" s="132">
        <f t="shared" si="92"/>
        <v>0</v>
      </c>
      <c r="AO50" s="132">
        <f t="shared" si="93"/>
        <v>0</v>
      </c>
      <c r="AP50" s="132">
        <f t="shared" si="94"/>
        <v>0</v>
      </c>
      <c r="AQ50" s="132">
        <f t="shared" si="95"/>
        <v>0</v>
      </c>
      <c r="AR50" s="132">
        <f t="shared" si="96"/>
        <v>0</v>
      </c>
      <c r="AS50" s="235"/>
    </row>
    <row r="51" spans="1:45" s="133" customFormat="1">
      <c r="A51" s="46" t="s">
        <v>55</v>
      </c>
      <c r="B51" s="20" t="s">
        <v>58</v>
      </c>
      <c r="C51" s="165">
        <v>0.5</v>
      </c>
      <c r="D51" s="96" t="s">
        <v>59</v>
      </c>
      <c r="E51" s="166">
        <v>105</v>
      </c>
      <c r="F51" s="167">
        <f t="shared" si="79"/>
        <v>52.5</v>
      </c>
      <c r="G51" s="168">
        <v>0</v>
      </c>
      <c r="H51" s="168">
        <v>8</v>
      </c>
      <c r="I51" s="168">
        <v>0</v>
      </c>
      <c r="J51" s="168">
        <v>1</v>
      </c>
      <c r="K51" s="169">
        <v>0</v>
      </c>
      <c r="L51" s="96" t="s">
        <v>8</v>
      </c>
      <c r="M51" s="166">
        <f t="shared" si="80"/>
        <v>879.66000000000008</v>
      </c>
      <c r="N51" s="92">
        <v>1</v>
      </c>
      <c r="O51" s="170">
        <f t="shared" si="81"/>
        <v>932.16000000000008</v>
      </c>
      <c r="P51" s="170"/>
      <c r="Q51" s="52" t="s">
        <v>47</v>
      </c>
      <c r="R51" s="71" t="s">
        <v>77</v>
      </c>
      <c r="S51" s="137" t="str">
        <f t="shared" si="82"/>
        <v>BPD2012</v>
      </c>
      <c r="T51" s="137" t="str">
        <f t="shared" si="83"/>
        <v>B1.5.1.22012</v>
      </c>
      <c r="U51" s="137" t="s">
        <v>208</v>
      </c>
      <c r="V51" s="137" t="str">
        <f t="shared" si="84"/>
        <v>Middle Support Cylinder (MSC)</v>
      </c>
      <c r="W51" s="20"/>
      <c r="X51" s="20"/>
      <c r="Y51" s="20"/>
      <c r="Z51" s="20"/>
      <c r="AA51" s="20"/>
      <c r="AB51" s="33">
        <v>2012</v>
      </c>
      <c r="AC51" s="132">
        <f t="shared" si="85"/>
        <v>0</v>
      </c>
      <c r="AD51" s="132">
        <f t="shared" si="86"/>
        <v>8</v>
      </c>
      <c r="AE51" s="132">
        <f t="shared" si="87"/>
        <v>0</v>
      </c>
      <c r="AF51" s="132">
        <f t="shared" si="88"/>
        <v>1</v>
      </c>
      <c r="AG51" s="132">
        <f t="shared" si="89"/>
        <v>0</v>
      </c>
      <c r="AH51" s="234">
        <f t="shared" si="90"/>
        <v>52.5</v>
      </c>
      <c r="AI51" s="235"/>
      <c r="AJ51" s="92"/>
      <c r="AK51" s="92"/>
      <c r="AL51" s="166"/>
      <c r="AM51" s="131">
        <f t="shared" si="91"/>
        <v>0</v>
      </c>
      <c r="AN51" s="132">
        <f t="shared" si="92"/>
        <v>0</v>
      </c>
      <c r="AO51" s="132">
        <f t="shared" si="93"/>
        <v>0</v>
      </c>
      <c r="AP51" s="132">
        <f t="shared" si="94"/>
        <v>0</v>
      </c>
      <c r="AQ51" s="132">
        <f t="shared" si="95"/>
        <v>0</v>
      </c>
      <c r="AR51" s="132">
        <f t="shared" si="96"/>
        <v>0</v>
      </c>
      <c r="AS51" s="236"/>
    </row>
    <row r="52" spans="1:45" s="20" customFormat="1">
      <c r="A52" s="46" t="s">
        <v>61</v>
      </c>
      <c r="B52" s="20" t="s">
        <v>9</v>
      </c>
      <c r="C52" s="165">
        <v>1</v>
      </c>
      <c r="D52" s="96" t="s">
        <v>57</v>
      </c>
      <c r="E52" s="166">
        <v>1500</v>
      </c>
      <c r="F52" s="167">
        <f t="shared" si="79"/>
        <v>1500</v>
      </c>
      <c r="G52" s="168">
        <v>0</v>
      </c>
      <c r="H52" s="168">
        <v>4</v>
      </c>
      <c r="I52" s="168">
        <v>0</v>
      </c>
      <c r="J52" s="168">
        <v>4</v>
      </c>
      <c r="K52" s="169">
        <v>0</v>
      </c>
      <c r="L52" s="96" t="s">
        <v>8</v>
      </c>
      <c r="M52" s="166">
        <f t="shared" si="80"/>
        <v>865.08000000000015</v>
      </c>
      <c r="N52" s="92">
        <v>1</v>
      </c>
      <c r="O52" s="170">
        <f t="shared" si="81"/>
        <v>2365.08</v>
      </c>
      <c r="P52" s="170"/>
      <c r="Q52" s="52" t="s">
        <v>47</v>
      </c>
      <c r="R52" s="71" t="s">
        <v>77</v>
      </c>
      <c r="S52" s="137" t="str">
        <f t="shared" si="82"/>
        <v>BPD2012</v>
      </c>
      <c r="T52" s="137" t="str">
        <f t="shared" si="83"/>
        <v>B1.5.1.22012</v>
      </c>
      <c r="U52" s="137" t="s">
        <v>208</v>
      </c>
      <c r="V52" s="137" t="str">
        <f t="shared" si="84"/>
        <v>Middle Support Cylinder (MSC)</v>
      </c>
      <c r="AB52" s="33">
        <v>2012</v>
      </c>
      <c r="AC52" s="132">
        <f t="shared" si="85"/>
        <v>0</v>
      </c>
      <c r="AD52" s="132">
        <f t="shared" si="86"/>
        <v>4</v>
      </c>
      <c r="AE52" s="132">
        <f t="shared" si="87"/>
        <v>0</v>
      </c>
      <c r="AF52" s="132">
        <f t="shared" si="88"/>
        <v>4</v>
      </c>
      <c r="AG52" s="132">
        <f t="shared" si="89"/>
        <v>0</v>
      </c>
      <c r="AH52" s="234">
        <f t="shared" si="90"/>
        <v>1500</v>
      </c>
      <c r="AI52" s="235"/>
      <c r="AJ52" s="92"/>
      <c r="AK52" s="92"/>
      <c r="AL52" s="166"/>
      <c r="AM52" s="131">
        <f t="shared" si="91"/>
        <v>0</v>
      </c>
      <c r="AN52" s="132">
        <f t="shared" si="92"/>
        <v>0</v>
      </c>
      <c r="AO52" s="132">
        <f t="shared" si="93"/>
        <v>0</v>
      </c>
      <c r="AP52" s="132">
        <f t="shared" si="94"/>
        <v>0</v>
      </c>
      <c r="AQ52" s="132">
        <f t="shared" si="95"/>
        <v>0</v>
      </c>
      <c r="AR52" s="132">
        <f t="shared" si="96"/>
        <v>0</v>
      </c>
      <c r="AS52" s="235"/>
    </row>
    <row r="53" spans="1:45" s="20" customFormat="1">
      <c r="A53" s="47" t="s">
        <v>314</v>
      </c>
      <c r="B53" s="20" t="s">
        <v>91</v>
      </c>
      <c r="C53" s="165">
        <v>12</v>
      </c>
      <c r="D53" s="96" t="s">
        <v>59</v>
      </c>
      <c r="E53" s="166">
        <v>400</v>
      </c>
      <c r="F53" s="167">
        <f t="shared" si="79"/>
        <v>4800</v>
      </c>
      <c r="G53" s="168">
        <v>0</v>
      </c>
      <c r="H53" s="168">
        <v>0</v>
      </c>
      <c r="I53" s="168">
        <v>0</v>
      </c>
      <c r="J53" s="168">
        <v>2</v>
      </c>
      <c r="K53" s="169">
        <v>0</v>
      </c>
      <c r="L53" s="96" t="s">
        <v>8</v>
      </c>
      <c r="M53" s="166">
        <f t="shared" si="80"/>
        <v>243.00000000000003</v>
      </c>
      <c r="N53" s="92">
        <v>1</v>
      </c>
      <c r="O53" s="170">
        <f t="shared" si="81"/>
        <v>5043</v>
      </c>
      <c r="P53" s="170"/>
      <c r="Q53" s="52" t="s">
        <v>48</v>
      </c>
      <c r="R53" s="71" t="s">
        <v>77</v>
      </c>
      <c r="S53" s="137" t="str">
        <f t="shared" si="82"/>
        <v>CPD2012</v>
      </c>
      <c r="T53" s="137" t="str">
        <f t="shared" si="83"/>
        <v>C1.5.1.22012</v>
      </c>
      <c r="U53" s="137" t="s">
        <v>208</v>
      </c>
      <c r="V53" s="137" t="str">
        <f t="shared" ref="V53:V58" si="97">LOOKUP(U53,$B$539:$B$574,$A$539:$A$574)</f>
        <v>Middle Support Cylinder (MSC)</v>
      </c>
      <c r="W53" s="130"/>
      <c r="X53" s="130"/>
      <c r="Y53" s="130"/>
      <c r="Z53" s="130"/>
      <c r="AA53" s="130"/>
      <c r="AB53" s="33">
        <v>2012</v>
      </c>
      <c r="AC53" s="132">
        <f t="shared" si="85"/>
        <v>0</v>
      </c>
      <c r="AD53" s="132">
        <f t="shared" si="86"/>
        <v>0</v>
      </c>
      <c r="AE53" s="132">
        <f t="shared" si="87"/>
        <v>0</v>
      </c>
      <c r="AF53" s="132">
        <f t="shared" si="88"/>
        <v>0</v>
      </c>
      <c r="AG53" s="132">
        <f t="shared" si="89"/>
        <v>0</v>
      </c>
      <c r="AH53" s="234">
        <f t="shared" si="90"/>
        <v>0</v>
      </c>
      <c r="AI53" s="235"/>
      <c r="AJ53" s="92"/>
      <c r="AK53" s="92"/>
      <c r="AL53" s="166"/>
      <c r="AM53" s="131">
        <f t="shared" si="91"/>
        <v>0</v>
      </c>
      <c r="AN53" s="132">
        <f t="shared" si="92"/>
        <v>0</v>
      </c>
      <c r="AO53" s="132">
        <f t="shared" si="93"/>
        <v>0</v>
      </c>
      <c r="AP53" s="132">
        <f t="shared" si="94"/>
        <v>2</v>
      </c>
      <c r="AQ53" s="132">
        <f t="shared" si="95"/>
        <v>0</v>
      </c>
      <c r="AR53" s="132">
        <f t="shared" si="96"/>
        <v>4800</v>
      </c>
      <c r="AS53" s="235"/>
    </row>
    <row r="54" spans="1:45" s="20" customFormat="1">
      <c r="A54" s="46" t="s">
        <v>181</v>
      </c>
      <c r="B54" s="20" t="s">
        <v>9</v>
      </c>
      <c r="C54" s="165">
        <v>1</v>
      </c>
      <c r="D54" s="96" t="s">
        <v>9</v>
      </c>
      <c r="E54" s="166">
        <v>1500</v>
      </c>
      <c r="F54" s="167">
        <f t="shared" si="79"/>
        <v>1500</v>
      </c>
      <c r="G54" s="168">
        <v>0</v>
      </c>
      <c r="H54" s="168">
        <v>0</v>
      </c>
      <c r="I54" s="168">
        <v>0</v>
      </c>
      <c r="J54" s="168">
        <v>0</v>
      </c>
      <c r="K54" s="169">
        <v>0</v>
      </c>
      <c r="L54" s="96" t="s">
        <v>8</v>
      </c>
      <c r="M54" s="166">
        <f t="shared" si="80"/>
        <v>0</v>
      </c>
      <c r="N54" s="92">
        <v>1</v>
      </c>
      <c r="O54" s="170">
        <f t="shared" si="81"/>
        <v>1500</v>
      </c>
      <c r="P54" s="170"/>
      <c r="Q54" s="52" t="s">
        <v>48</v>
      </c>
      <c r="R54" s="71" t="s">
        <v>77</v>
      </c>
      <c r="S54" s="137" t="str">
        <f t="shared" si="82"/>
        <v>CPD2012</v>
      </c>
      <c r="T54" s="137" t="str">
        <f t="shared" si="83"/>
        <v>C1.5.1.22012</v>
      </c>
      <c r="U54" s="137" t="s">
        <v>208</v>
      </c>
      <c r="V54" s="137" t="str">
        <f t="shared" si="97"/>
        <v>Middle Support Cylinder (MSC)</v>
      </c>
      <c r="AB54" s="33">
        <v>2012</v>
      </c>
      <c r="AC54" s="132">
        <f t="shared" si="85"/>
        <v>0</v>
      </c>
      <c r="AD54" s="132">
        <f t="shared" si="86"/>
        <v>0</v>
      </c>
      <c r="AE54" s="132">
        <f t="shared" si="87"/>
        <v>0</v>
      </c>
      <c r="AF54" s="132">
        <f t="shared" si="88"/>
        <v>0</v>
      </c>
      <c r="AG54" s="132">
        <f t="shared" si="89"/>
        <v>0</v>
      </c>
      <c r="AH54" s="234">
        <f t="shared" si="90"/>
        <v>0</v>
      </c>
      <c r="AI54" s="235"/>
      <c r="AJ54" s="92"/>
      <c r="AK54" s="92"/>
      <c r="AL54" s="166"/>
      <c r="AM54" s="131">
        <f t="shared" si="91"/>
        <v>0</v>
      </c>
      <c r="AN54" s="132">
        <f t="shared" si="92"/>
        <v>0</v>
      </c>
      <c r="AO54" s="132">
        <f t="shared" si="93"/>
        <v>0</v>
      </c>
      <c r="AP54" s="132">
        <f t="shared" si="94"/>
        <v>0</v>
      </c>
      <c r="AQ54" s="132">
        <f t="shared" si="95"/>
        <v>0</v>
      </c>
      <c r="AR54" s="132">
        <f t="shared" si="96"/>
        <v>1500</v>
      </c>
      <c r="AS54" s="235"/>
    </row>
    <row r="55" spans="1:45" s="20" customFormat="1">
      <c r="A55" s="46" t="s">
        <v>182</v>
      </c>
      <c r="B55" s="20" t="s">
        <v>9</v>
      </c>
      <c r="C55" s="165">
        <f>C53*0.1</f>
        <v>1.2000000000000002</v>
      </c>
      <c r="D55" s="96" t="s">
        <v>9</v>
      </c>
      <c r="E55" s="166">
        <f>E53</f>
        <v>400</v>
      </c>
      <c r="F55" s="167">
        <f t="shared" si="79"/>
        <v>480.00000000000006</v>
      </c>
      <c r="G55" s="168">
        <v>0</v>
      </c>
      <c r="H55" s="168">
        <v>0</v>
      </c>
      <c r="I55" s="168">
        <v>0</v>
      </c>
      <c r="J55" s="168">
        <v>0</v>
      </c>
      <c r="K55" s="169">
        <v>0</v>
      </c>
      <c r="L55" s="96" t="s">
        <v>8</v>
      </c>
      <c r="M55" s="166">
        <f t="shared" si="80"/>
        <v>0</v>
      </c>
      <c r="N55" s="92">
        <v>1</v>
      </c>
      <c r="O55" s="170">
        <f t="shared" si="81"/>
        <v>480.00000000000006</v>
      </c>
      <c r="P55" s="170"/>
      <c r="Q55" s="52" t="s">
        <v>48</v>
      </c>
      <c r="R55" s="71" t="s">
        <v>77</v>
      </c>
      <c r="S55" s="137" t="str">
        <f t="shared" si="82"/>
        <v>CPD2012</v>
      </c>
      <c r="T55" s="137" t="str">
        <f t="shared" si="83"/>
        <v>C1.5.1.22012</v>
      </c>
      <c r="U55" s="137" t="s">
        <v>208</v>
      </c>
      <c r="V55" s="137" t="str">
        <f t="shared" si="97"/>
        <v>Middle Support Cylinder (MSC)</v>
      </c>
      <c r="AB55" s="33">
        <v>2012</v>
      </c>
      <c r="AC55" s="132">
        <f t="shared" si="85"/>
        <v>0</v>
      </c>
      <c r="AD55" s="132">
        <f t="shared" si="86"/>
        <v>0</v>
      </c>
      <c r="AE55" s="132">
        <f t="shared" si="87"/>
        <v>0</v>
      </c>
      <c r="AF55" s="132">
        <f t="shared" si="88"/>
        <v>0</v>
      </c>
      <c r="AG55" s="132">
        <f t="shared" si="89"/>
        <v>0</v>
      </c>
      <c r="AH55" s="234">
        <f t="shared" si="90"/>
        <v>0</v>
      </c>
      <c r="AI55" s="235"/>
      <c r="AJ55" s="92"/>
      <c r="AK55" s="92"/>
      <c r="AL55" s="166"/>
      <c r="AM55" s="131">
        <f t="shared" si="91"/>
        <v>0</v>
      </c>
      <c r="AN55" s="132">
        <f t="shared" si="92"/>
        <v>0</v>
      </c>
      <c r="AO55" s="132">
        <f t="shared" si="93"/>
        <v>0</v>
      </c>
      <c r="AP55" s="132">
        <f t="shared" si="94"/>
        <v>0</v>
      </c>
      <c r="AQ55" s="132">
        <f t="shared" si="95"/>
        <v>0</v>
      </c>
      <c r="AR55" s="132">
        <f t="shared" si="96"/>
        <v>480.00000000000006</v>
      </c>
      <c r="AS55" s="235"/>
    </row>
    <row r="56" spans="1:45" s="20" customFormat="1">
      <c r="A56" s="46" t="s">
        <v>54</v>
      </c>
      <c r="B56" s="20" t="s">
        <v>9</v>
      </c>
      <c r="C56" s="165">
        <v>0</v>
      </c>
      <c r="D56" s="96" t="s">
        <v>9</v>
      </c>
      <c r="E56" s="166">
        <v>0</v>
      </c>
      <c r="F56" s="167">
        <f t="shared" si="79"/>
        <v>0</v>
      </c>
      <c r="G56" s="168">
        <v>0</v>
      </c>
      <c r="H56" s="168">
        <v>2</v>
      </c>
      <c r="I56" s="168">
        <v>0</v>
      </c>
      <c r="J56" s="168">
        <v>2</v>
      </c>
      <c r="K56" s="169">
        <v>0</v>
      </c>
      <c r="L56" s="96" t="s">
        <v>8</v>
      </c>
      <c r="M56" s="166">
        <f t="shared" si="80"/>
        <v>432.54000000000008</v>
      </c>
      <c r="N56" s="92">
        <v>1</v>
      </c>
      <c r="O56" s="170">
        <f t="shared" si="81"/>
        <v>432.54000000000008</v>
      </c>
      <c r="P56" s="170"/>
      <c r="Q56" s="52" t="s">
        <v>48</v>
      </c>
      <c r="R56" s="71" t="s">
        <v>77</v>
      </c>
      <c r="S56" s="137" t="str">
        <f t="shared" si="82"/>
        <v>CPD2012</v>
      </c>
      <c r="T56" s="137" t="str">
        <f t="shared" si="83"/>
        <v>C1.5.1.22012</v>
      </c>
      <c r="U56" s="137" t="s">
        <v>208</v>
      </c>
      <c r="V56" s="137" t="str">
        <f t="shared" si="97"/>
        <v>Middle Support Cylinder (MSC)</v>
      </c>
      <c r="AB56" s="33">
        <v>2012</v>
      </c>
      <c r="AC56" s="132">
        <f t="shared" si="85"/>
        <v>0</v>
      </c>
      <c r="AD56" s="132">
        <f t="shared" si="86"/>
        <v>0</v>
      </c>
      <c r="AE56" s="132">
        <f t="shared" si="87"/>
        <v>0</v>
      </c>
      <c r="AF56" s="132">
        <f t="shared" si="88"/>
        <v>0</v>
      </c>
      <c r="AG56" s="132">
        <f t="shared" si="89"/>
        <v>0</v>
      </c>
      <c r="AH56" s="234">
        <f t="shared" si="90"/>
        <v>0</v>
      </c>
      <c r="AI56" s="235"/>
      <c r="AJ56" s="92"/>
      <c r="AK56" s="92"/>
      <c r="AL56" s="166"/>
      <c r="AM56" s="131">
        <f t="shared" si="91"/>
        <v>0</v>
      </c>
      <c r="AN56" s="132">
        <f t="shared" si="92"/>
        <v>2</v>
      </c>
      <c r="AO56" s="132">
        <f t="shared" si="93"/>
        <v>0</v>
      </c>
      <c r="AP56" s="132">
        <f t="shared" si="94"/>
        <v>2</v>
      </c>
      <c r="AQ56" s="132">
        <f t="shared" si="95"/>
        <v>0</v>
      </c>
      <c r="AR56" s="132">
        <f t="shared" si="96"/>
        <v>0</v>
      </c>
      <c r="AS56" s="235"/>
    </row>
    <row r="57" spans="1:45" s="133" customFormat="1">
      <c r="A57" s="46" t="s">
        <v>55</v>
      </c>
      <c r="B57" s="20" t="s">
        <v>58</v>
      </c>
      <c r="C57" s="165">
        <v>0.5</v>
      </c>
      <c r="D57" s="96" t="s">
        <v>59</v>
      </c>
      <c r="E57" s="166">
        <v>105</v>
      </c>
      <c r="F57" s="167">
        <f t="shared" si="79"/>
        <v>52.5</v>
      </c>
      <c r="G57" s="168">
        <v>0</v>
      </c>
      <c r="H57" s="168">
        <v>8</v>
      </c>
      <c r="I57" s="168">
        <v>0</v>
      </c>
      <c r="J57" s="168">
        <v>1</v>
      </c>
      <c r="K57" s="169">
        <v>0</v>
      </c>
      <c r="L57" s="96" t="s">
        <v>8</v>
      </c>
      <c r="M57" s="166">
        <f t="shared" si="80"/>
        <v>879.66000000000008</v>
      </c>
      <c r="N57" s="92">
        <v>1</v>
      </c>
      <c r="O57" s="170">
        <f t="shared" si="81"/>
        <v>932.16000000000008</v>
      </c>
      <c r="P57" s="170"/>
      <c r="Q57" s="52" t="s">
        <v>48</v>
      </c>
      <c r="R57" s="71" t="s">
        <v>77</v>
      </c>
      <c r="S57" s="137" t="str">
        <f t="shared" si="82"/>
        <v>CPD2012</v>
      </c>
      <c r="T57" s="137" t="str">
        <f t="shared" si="83"/>
        <v>C1.5.1.22012</v>
      </c>
      <c r="U57" s="137" t="s">
        <v>208</v>
      </c>
      <c r="V57" s="137" t="str">
        <f t="shared" si="97"/>
        <v>Middle Support Cylinder (MSC)</v>
      </c>
      <c r="W57" s="20"/>
      <c r="X57" s="20"/>
      <c r="Y57" s="20"/>
      <c r="Z57" s="20"/>
      <c r="AA57" s="20"/>
      <c r="AB57" s="33">
        <v>2012</v>
      </c>
      <c r="AC57" s="132">
        <f t="shared" si="85"/>
        <v>0</v>
      </c>
      <c r="AD57" s="132">
        <f t="shared" si="86"/>
        <v>0</v>
      </c>
      <c r="AE57" s="132">
        <f t="shared" si="87"/>
        <v>0</v>
      </c>
      <c r="AF57" s="132">
        <f t="shared" si="88"/>
        <v>0</v>
      </c>
      <c r="AG57" s="132">
        <f t="shared" si="89"/>
        <v>0</v>
      </c>
      <c r="AH57" s="234">
        <f t="shared" si="90"/>
        <v>0</v>
      </c>
      <c r="AI57" s="235"/>
      <c r="AJ57" s="92"/>
      <c r="AK57" s="92"/>
      <c r="AL57" s="166"/>
      <c r="AM57" s="131">
        <f t="shared" si="91"/>
        <v>0</v>
      </c>
      <c r="AN57" s="132">
        <f t="shared" si="92"/>
        <v>8</v>
      </c>
      <c r="AO57" s="132">
        <f t="shared" si="93"/>
        <v>0</v>
      </c>
      <c r="AP57" s="132">
        <f t="shared" si="94"/>
        <v>1</v>
      </c>
      <c r="AQ57" s="132">
        <f t="shared" si="95"/>
        <v>0</v>
      </c>
      <c r="AR57" s="132">
        <f t="shared" si="96"/>
        <v>52.5</v>
      </c>
      <c r="AS57" s="236"/>
    </row>
    <row r="58" spans="1:45" s="20" customFormat="1">
      <c r="A58" s="46" t="s">
        <v>61</v>
      </c>
      <c r="B58" s="20" t="s">
        <v>9</v>
      </c>
      <c r="C58" s="165">
        <v>1</v>
      </c>
      <c r="D58" s="96" t="s">
        <v>57</v>
      </c>
      <c r="E58" s="166">
        <v>1500</v>
      </c>
      <c r="F58" s="167">
        <f t="shared" si="79"/>
        <v>1500</v>
      </c>
      <c r="G58" s="168">
        <v>0</v>
      </c>
      <c r="H58" s="168">
        <v>4</v>
      </c>
      <c r="I58" s="168">
        <v>0</v>
      </c>
      <c r="J58" s="168">
        <v>4</v>
      </c>
      <c r="K58" s="169">
        <v>0</v>
      </c>
      <c r="L58" s="96" t="s">
        <v>8</v>
      </c>
      <c r="M58" s="166">
        <f t="shared" si="80"/>
        <v>865.08000000000015</v>
      </c>
      <c r="N58" s="92">
        <v>1</v>
      </c>
      <c r="O58" s="170">
        <f t="shared" si="81"/>
        <v>2365.08</v>
      </c>
      <c r="P58" s="170"/>
      <c r="Q58" s="52" t="s">
        <v>48</v>
      </c>
      <c r="R58" s="71" t="s">
        <v>77</v>
      </c>
      <c r="S58" s="137" t="str">
        <f t="shared" si="82"/>
        <v>CPD2012</v>
      </c>
      <c r="T58" s="137" t="str">
        <f t="shared" si="83"/>
        <v>C1.5.1.22012</v>
      </c>
      <c r="U58" s="137" t="s">
        <v>208</v>
      </c>
      <c r="V58" s="137" t="str">
        <f t="shared" si="97"/>
        <v>Middle Support Cylinder (MSC)</v>
      </c>
      <c r="AB58" s="33">
        <v>2012</v>
      </c>
      <c r="AC58" s="132">
        <f t="shared" si="85"/>
        <v>0</v>
      </c>
      <c r="AD58" s="132">
        <f t="shared" si="86"/>
        <v>0</v>
      </c>
      <c r="AE58" s="132">
        <f t="shared" si="87"/>
        <v>0</v>
      </c>
      <c r="AF58" s="132">
        <f t="shared" si="88"/>
        <v>0</v>
      </c>
      <c r="AG58" s="132">
        <f t="shared" si="89"/>
        <v>0</v>
      </c>
      <c r="AH58" s="234">
        <f t="shared" si="90"/>
        <v>0</v>
      </c>
      <c r="AI58" s="235"/>
      <c r="AJ58" s="92"/>
      <c r="AK58" s="92"/>
      <c r="AL58" s="166"/>
      <c r="AM58" s="131">
        <f t="shared" si="91"/>
        <v>0</v>
      </c>
      <c r="AN58" s="132">
        <f t="shared" si="92"/>
        <v>4</v>
      </c>
      <c r="AO58" s="132">
        <f t="shared" si="93"/>
        <v>0</v>
      </c>
      <c r="AP58" s="132">
        <f t="shared" si="94"/>
        <v>4</v>
      </c>
      <c r="AQ58" s="132">
        <f t="shared" si="95"/>
        <v>0</v>
      </c>
      <c r="AR58" s="132">
        <f t="shared" si="96"/>
        <v>1500</v>
      </c>
      <c r="AS58" s="235"/>
    </row>
    <row r="59" spans="1:45" s="20" customFormat="1">
      <c r="A59" s="47" t="s">
        <v>315</v>
      </c>
      <c r="B59" s="20" t="s">
        <v>276</v>
      </c>
      <c r="C59" s="165">
        <v>85</v>
      </c>
      <c r="D59" s="96" t="s">
        <v>59</v>
      </c>
      <c r="E59" s="166">
        <v>500</v>
      </c>
      <c r="F59" s="167">
        <f t="shared" ref="F59:F64" si="98">E59*C59</f>
        <v>42500</v>
      </c>
      <c r="G59" s="168">
        <v>0</v>
      </c>
      <c r="H59" s="168">
        <v>0</v>
      </c>
      <c r="I59" s="168">
        <v>0</v>
      </c>
      <c r="J59" s="168">
        <v>4</v>
      </c>
      <c r="K59" s="169">
        <v>0</v>
      </c>
      <c r="L59" s="96" t="s">
        <v>8</v>
      </c>
      <c r="M59" s="166">
        <f t="shared" ref="M59:M64" si="99">IF(R59="PD",((Shop*G59)+(M_Tech*H59)+(CMM*I59)+(ENG*J59)+(DES*K59))*N59,((Shop_RD*G59)+(MTECH_RD*H59)+(CMM_RD*I59)+(ENG_RD*J59)+(DES_RD*K59))*N59)</f>
        <v>486.00000000000006</v>
      </c>
      <c r="N59" s="92">
        <v>1</v>
      </c>
      <c r="O59" s="170">
        <f t="shared" ref="O59:O64" si="100">M59+(F59*N59)</f>
        <v>42986</v>
      </c>
      <c r="P59" s="170"/>
      <c r="Q59" s="52" t="s">
        <v>48</v>
      </c>
      <c r="R59" s="71" t="s">
        <v>77</v>
      </c>
      <c r="S59" s="137" t="str">
        <f t="shared" ref="S59:S64" si="101">CONCATENATE(Q59,R59,AB59)</f>
        <v>CPD2012</v>
      </c>
      <c r="T59" s="137" t="str">
        <f t="shared" ref="T59:T64" si="102">CONCATENATE(Q59,U59,AB59)</f>
        <v>C1.5.1.22012</v>
      </c>
      <c r="U59" s="137" t="s">
        <v>208</v>
      </c>
      <c r="V59" s="137" t="str">
        <f t="shared" ref="V59:V64" si="103">LOOKUP(U59,$B$539:$B$574,$A$539:$A$574)</f>
        <v>Middle Support Cylinder (MSC)</v>
      </c>
      <c r="W59" s="130"/>
      <c r="X59" s="130"/>
      <c r="Y59" s="130"/>
      <c r="Z59" s="130"/>
      <c r="AA59" s="130"/>
      <c r="AB59" s="33">
        <v>2012</v>
      </c>
      <c r="AC59" s="132">
        <f t="shared" ref="AC59:AC64" si="104">IF($Q59="B", (G59*$N59),0)</f>
        <v>0</v>
      </c>
      <c r="AD59" s="132">
        <f t="shared" ref="AD59:AD64" si="105">IF($Q59="B", (H59*$N59),0)</f>
        <v>0</v>
      </c>
      <c r="AE59" s="132">
        <f t="shared" ref="AE59:AE64" si="106">IF($Q59="B", (I59*$N59),0)</f>
        <v>0</v>
      </c>
      <c r="AF59" s="132">
        <f t="shared" ref="AF59:AF64" si="107">IF($Q59="B", (J59*$N59),0)</f>
        <v>0</v>
      </c>
      <c r="AG59" s="132">
        <f t="shared" ref="AG59:AG64" si="108">IF($Q59="B", (K59*$N59),0)</f>
        <v>0</v>
      </c>
      <c r="AH59" s="234">
        <f t="shared" ref="AH59:AH64" si="109">IF($Q59="B", (F59*$N59),0)</f>
        <v>0</v>
      </c>
      <c r="AI59" s="235"/>
      <c r="AJ59" s="92"/>
      <c r="AK59" s="92"/>
      <c r="AL59" s="166"/>
      <c r="AM59" s="131">
        <f t="shared" ref="AM59:AM64" si="110">IF($Q59="C", (G59*$N59),0)</f>
        <v>0</v>
      </c>
      <c r="AN59" s="132">
        <f t="shared" ref="AN59:AN64" si="111">IF($Q59="C", (H59*$N59),0)</f>
        <v>0</v>
      </c>
      <c r="AO59" s="132">
        <f t="shared" ref="AO59:AO64" si="112">IF($Q59="C", (I59*$N59),0)</f>
        <v>0</v>
      </c>
      <c r="AP59" s="132">
        <f t="shared" ref="AP59:AP64" si="113">IF($Q59="C", (J59*$N59),0)</f>
        <v>4</v>
      </c>
      <c r="AQ59" s="132">
        <f t="shared" ref="AQ59:AQ64" si="114">IF($Q59="C", (K59*$N59),0)</f>
        <v>0</v>
      </c>
      <c r="AR59" s="132">
        <f t="shared" ref="AR59:AR64" si="115">IF($Q59="C", (F59*$N59),0)</f>
        <v>42500</v>
      </c>
      <c r="AS59" s="235"/>
    </row>
    <row r="60" spans="1:45" s="20" customFormat="1">
      <c r="A60" s="46" t="s">
        <v>181</v>
      </c>
      <c r="B60" s="20" t="s">
        <v>9</v>
      </c>
      <c r="C60" s="165">
        <v>1</v>
      </c>
      <c r="D60" s="96" t="s">
        <v>9</v>
      </c>
      <c r="E60" s="166">
        <v>1500</v>
      </c>
      <c r="F60" s="167">
        <f t="shared" si="98"/>
        <v>1500</v>
      </c>
      <c r="G60" s="168">
        <v>0</v>
      </c>
      <c r="H60" s="168">
        <v>0</v>
      </c>
      <c r="I60" s="168">
        <v>0</v>
      </c>
      <c r="J60" s="168">
        <v>0</v>
      </c>
      <c r="K60" s="169">
        <v>0</v>
      </c>
      <c r="L60" s="96" t="s">
        <v>8</v>
      </c>
      <c r="M60" s="166">
        <f t="shared" si="99"/>
        <v>0</v>
      </c>
      <c r="N60" s="92">
        <v>1</v>
      </c>
      <c r="O60" s="170">
        <f t="shared" si="100"/>
        <v>1500</v>
      </c>
      <c r="P60" s="170"/>
      <c r="Q60" s="52" t="s">
        <v>48</v>
      </c>
      <c r="R60" s="71" t="s">
        <v>77</v>
      </c>
      <c r="S60" s="137" t="str">
        <f t="shared" si="101"/>
        <v>CPD2012</v>
      </c>
      <c r="T60" s="137" t="str">
        <f t="shared" si="102"/>
        <v>C1.5.1.22012</v>
      </c>
      <c r="U60" s="137" t="s">
        <v>208</v>
      </c>
      <c r="V60" s="137" t="str">
        <f t="shared" si="103"/>
        <v>Middle Support Cylinder (MSC)</v>
      </c>
      <c r="AB60" s="33">
        <v>2012</v>
      </c>
      <c r="AC60" s="132">
        <f t="shared" si="104"/>
        <v>0</v>
      </c>
      <c r="AD60" s="132">
        <f t="shared" si="105"/>
        <v>0</v>
      </c>
      <c r="AE60" s="132">
        <f t="shared" si="106"/>
        <v>0</v>
      </c>
      <c r="AF60" s="132">
        <f t="shared" si="107"/>
        <v>0</v>
      </c>
      <c r="AG60" s="132">
        <f t="shared" si="108"/>
        <v>0</v>
      </c>
      <c r="AH60" s="234">
        <f t="shared" si="109"/>
        <v>0</v>
      </c>
      <c r="AI60" s="235"/>
      <c r="AJ60" s="92"/>
      <c r="AK60" s="92"/>
      <c r="AL60" s="166"/>
      <c r="AM60" s="131">
        <f t="shared" si="110"/>
        <v>0</v>
      </c>
      <c r="AN60" s="132">
        <f t="shared" si="111"/>
        <v>0</v>
      </c>
      <c r="AO60" s="132">
        <f t="shared" si="112"/>
        <v>0</v>
      </c>
      <c r="AP60" s="132">
        <f t="shared" si="113"/>
        <v>0</v>
      </c>
      <c r="AQ60" s="132">
        <f t="shared" si="114"/>
        <v>0</v>
      </c>
      <c r="AR60" s="132">
        <f t="shared" si="115"/>
        <v>1500</v>
      </c>
      <c r="AS60" s="235"/>
    </row>
    <row r="61" spans="1:45" s="20" customFormat="1">
      <c r="A61" s="46" t="s">
        <v>182</v>
      </c>
      <c r="B61" s="20" t="s">
        <v>9</v>
      </c>
      <c r="C61" s="165">
        <f>C59*0.1</f>
        <v>8.5</v>
      </c>
      <c r="D61" s="96" t="s">
        <v>9</v>
      </c>
      <c r="E61" s="166">
        <f>E59</f>
        <v>500</v>
      </c>
      <c r="F61" s="167">
        <f t="shared" si="98"/>
        <v>4250</v>
      </c>
      <c r="G61" s="168">
        <v>0</v>
      </c>
      <c r="H61" s="168">
        <v>0</v>
      </c>
      <c r="I61" s="168">
        <v>0</v>
      </c>
      <c r="J61" s="168">
        <v>0</v>
      </c>
      <c r="K61" s="169">
        <v>0</v>
      </c>
      <c r="L61" s="96" t="s">
        <v>8</v>
      </c>
      <c r="M61" s="166">
        <f t="shared" si="99"/>
        <v>0</v>
      </c>
      <c r="N61" s="92">
        <v>1</v>
      </c>
      <c r="O61" s="170">
        <f t="shared" si="100"/>
        <v>4250</v>
      </c>
      <c r="P61" s="170"/>
      <c r="Q61" s="52" t="s">
        <v>48</v>
      </c>
      <c r="R61" s="71" t="s">
        <v>77</v>
      </c>
      <c r="S61" s="137" t="str">
        <f t="shared" si="101"/>
        <v>CPD2012</v>
      </c>
      <c r="T61" s="137" t="str">
        <f t="shared" si="102"/>
        <v>C1.5.1.22012</v>
      </c>
      <c r="U61" s="137" t="s">
        <v>208</v>
      </c>
      <c r="V61" s="137" t="str">
        <f t="shared" si="103"/>
        <v>Middle Support Cylinder (MSC)</v>
      </c>
      <c r="AB61" s="33">
        <v>2012</v>
      </c>
      <c r="AC61" s="132">
        <f t="shared" si="104"/>
        <v>0</v>
      </c>
      <c r="AD61" s="132">
        <f t="shared" si="105"/>
        <v>0</v>
      </c>
      <c r="AE61" s="132">
        <f t="shared" si="106"/>
        <v>0</v>
      </c>
      <c r="AF61" s="132">
        <f t="shared" si="107"/>
        <v>0</v>
      </c>
      <c r="AG61" s="132">
        <f t="shared" si="108"/>
        <v>0</v>
      </c>
      <c r="AH61" s="234">
        <f t="shared" si="109"/>
        <v>0</v>
      </c>
      <c r="AI61" s="235"/>
      <c r="AJ61" s="92"/>
      <c r="AK61" s="92"/>
      <c r="AL61" s="166"/>
      <c r="AM61" s="131">
        <f t="shared" si="110"/>
        <v>0</v>
      </c>
      <c r="AN61" s="132">
        <f t="shared" si="111"/>
        <v>0</v>
      </c>
      <c r="AO61" s="132">
        <f t="shared" si="112"/>
        <v>0</v>
      </c>
      <c r="AP61" s="132">
        <f t="shared" si="113"/>
        <v>0</v>
      </c>
      <c r="AQ61" s="132">
        <f t="shared" si="114"/>
        <v>0</v>
      </c>
      <c r="AR61" s="132">
        <f t="shared" si="115"/>
        <v>4250</v>
      </c>
      <c r="AS61" s="235"/>
    </row>
    <row r="62" spans="1:45" s="20" customFormat="1">
      <c r="A62" s="46" t="s">
        <v>54</v>
      </c>
      <c r="B62" s="20" t="s">
        <v>9</v>
      </c>
      <c r="C62" s="165">
        <v>0</v>
      </c>
      <c r="D62" s="96" t="s">
        <v>9</v>
      </c>
      <c r="E62" s="166">
        <v>0</v>
      </c>
      <c r="F62" s="167">
        <f t="shared" si="98"/>
        <v>0</v>
      </c>
      <c r="G62" s="168">
        <v>0</v>
      </c>
      <c r="H62" s="168">
        <v>2</v>
      </c>
      <c r="I62" s="168">
        <v>0</v>
      </c>
      <c r="J62" s="168">
        <v>2</v>
      </c>
      <c r="K62" s="169">
        <v>0</v>
      </c>
      <c r="L62" s="96" t="s">
        <v>8</v>
      </c>
      <c r="M62" s="166">
        <f t="shared" si="99"/>
        <v>432.54000000000008</v>
      </c>
      <c r="N62" s="92">
        <v>1</v>
      </c>
      <c r="O62" s="170">
        <f t="shared" si="100"/>
        <v>432.54000000000008</v>
      </c>
      <c r="P62" s="170"/>
      <c r="Q62" s="52" t="s">
        <v>48</v>
      </c>
      <c r="R62" s="71" t="s">
        <v>77</v>
      </c>
      <c r="S62" s="137" t="str">
        <f t="shared" si="101"/>
        <v>CPD2012</v>
      </c>
      <c r="T62" s="137" t="str">
        <f t="shared" si="102"/>
        <v>C1.5.1.22012</v>
      </c>
      <c r="U62" s="137" t="s">
        <v>208</v>
      </c>
      <c r="V62" s="137" t="str">
        <f t="shared" si="103"/>
        <v>Middle Support Cylinder (MSC)</v>
      </c>
      <c r="AB62" s="33">
        <v>2012</v>
      </c>
      <c r="AC62" s="132">
        <f t="shared" si="104"/>
        <v>0</v>
      </c>
      <c r="AD62" s="132">
        <f t="shared" si="105"/>
        <v>0</v>
      </c>
      <c r="AE62" s="132">
        <f t="shared" si="106"/>
        <v>0</v>
      </c>
      <c r="AF62" s="132">
        <f t="shared" si="107"/>
        <v>0</v>
      </c>
      <c r="AG62" s="132">
        <f t="shared" si="108"/>
        <v>0</v>
      </c>
      <c r="AH62" s="234">
        <f t="shared" si="109"/>
        <v>0</v>
      </c>
      <c r="AI62" s="235"/>
      <c r="AJ62" s="92"/>
      <c r="AK62" s="92"/>
      <c r="AL62" s="166"/>
      <c r="AM62" s="131">
        <f t="shared" si="110"/>
        <v>0</v>
      </c>
      <c r="AN62" s="132">
        <f t="shared" si="111"/>
        <v>2</v>
      </c>
      <c r="AO62" s="132">
        <f t="shared" si="112"/>
        <v>0</v>
      </c>
      <c r="AP62" s="132">
        <f t="shared" si="113"/>
        <v>2</v>
      </c>
      <c r="AQ62" s="132">
        <f t="shared" si="114"/>
        <v>0</v>
      </c>
      <c r="AR62" s="132">
        <f t="shared" si="115"/>
        <v>0</v>
      </c>
      <c r="AS62" s="235"/>
    </row>
    <row r="63" spans="1:45" s="133" customFormat="1">
      <c r="A63" s="46" t="s">
        <v>55</v>
      </c>
      <c r="B63" s="20" t="s">
        <v>58</v>
      </c>
      <c r="C63" s="165">
        <v>0.5</v>
      </c>
      <c r="D63" s="96" t="s">
        <v>59</v>
      </c>
      <c r="E63" s="166">
        <v>105</v>
      </c>
      <c r="F63" s="167">
        <f t="shared" si="98"/>
        <v>52.5</v>
      </c>
      <c r="G63" s="168">
        <v>0</v>
      </c>
      <c r="H63" s="168">
        <v>8</v>
      </c>
      <c r="I63" s="168">
        <v>0</v>
      </c>
      <c r="J63" s="168">
        <v>1</v>
      </c>
      <c r="K63" s="169">
        <v>0</v>
      </c>
      <c r="L63" s="96" t="s">
        <v>8</v>
      </c>
      <c r="M63" s="166">
        <f t="shared" si="99"/>
        <v>879.66000000000008</v>
      </c>
      <c r="N63" s="92">
        <v>1</v>
      </c>
      <c r="O63" s="170">
        <f t="shared" si="100"/>
        <v>932.16000000000008</v>
      </c>
      <c r="P63" s="170"/>
      <c r="Q63" s="52" t="s">
        <v>48</v>
      </c>
      <c r="R63" s="71" t="s">
        <v>77</v>
      </c>
      <c r="S63" s="137" t="str">
        <f t="shared" si="101"/>
        <v>CPD2012</v>
      </c>
      <c r="T63" s="137" t="str">
        <f t="shared" si="102"/>
        <v>C1.5.1.22012</v>
      </c>
      <c r="U63" s="137" t="s">
        <v>208</v>
      </c>
      <c r="V63" s="137" t="str">
        <f t="shared" si="103"/>
        <v>Middle Support Cylinder (MSC)</v>
      </c>
      <c r="W63" s="20"/>
      <c r="X63" s="20"/>
      <c r="Y63" s="20"/>
      <c r="Z63" s="20"/>
      <c r="AA63" s="20"/>
      <c r="AB63" s="33">
        <v>2012</v>
      </c>
      <c r="AC63" s="132">
        <f t="shared" si="104"/>
        <v>0</v>
      </c>
      <c r="AD63" s="132">
        <f t="shared" si="105"/>
        <v>0</v>
      </c>
      <c r="AE63" s="132">
        <f t="shared" si="106"/>
        <v>0</v>
      </c>
      <c r="AF63" s="132">
        <f t="shared" si="107"/>
        <v>0</v>
      </c>
      <c r="AG63" s="132">
        <f t="shared" si="108"/>
        <v>0</v>
      </c>
      <c r="AH63" s="234">
        <f t="shared" si="109"/>
        <v>0</v>
      </c>
      <c r="AI63" s="235"/>
      <c r="AJ63" s="92"/>
      <c r="AK63" s="92"/>
      <c r="AL63" s="166"/>
      <c r="AM63" s="131">
        <f t="shared" si="110"/>
        <v>0</v>
      </c>
      <c r="AN63" s="132">
        <f t="shared" si="111"/>
        <v>8</v>
      </c>
      <c r="AO63" s="132">
        <f t="shared" si="112"/>
        <v>0</v>
      </c>
      <c r="AP63" s="132">
        <f t="shared" si="113"/>
        <v>1</v>
      </c>
      <c r="AQ63" s="132">
        <f t="shared" si="114"/>
        <v>0</v>
      </c>
      <c r="AR63" s="132">
        <f t="shared" si="115"/>
        <v>52.5</v>
      </c>
      <c r="AS63" s="236"/>
    </row>
    <row r="64" spans="1:45" s="20" customFormat="1">
      <c r="A64" s="46" t="s">
        <v>61</v>
      </c>
      <c r="B64" s="20" t="s">
        <v>9</v>
      </c>
      <c r="C64" s="165">
        <v>1</v>
      </c>
      <c r="D64" s="96" t="s">
        <v>57</v>
      </c>
      <c r="E64" s="166">
        <v>1500</v>
      </c>
      <c r="F64" s="167">
        <f t="shared" si="98"/>
        <v>1500</v>
      </c>
      <c r="G64" s="168">
        <v>0</v>
      </c>
      <c r="H64" s="168">
        <v>4</v>
      </c>
      <c r="I64" s="168">
        <v>0</v>
      </c>
      <c r="J64" s="168">
        <v>4</v>
      </c>
      <c r="K64" s="169">
        <v>0</v>
      </c>
      <c r="L64" s="96" t="s">
        <v>8</v>
      </c>
      <c r="M64" s="166">
        <f t="shared" si="99"/>
        <v>865.08000000000015</v>
      </c>
      <c r="N64" s="92">
        <v>1</v>
      </c>
      <c r="O64" s="170">
        <f t="shared" si="100"/>
        <v>2365.08</v>
      </c>
      <c r="P64" s="170"/>
      <c r="Q64" s="52" t="s">
        <v>48</v>
      </c>
      <c r="R64" s="71" t="s">
        <v>77</v>
      </c>
      <c r="S64" s="137" t="str">
        <f t="shared" si="101"/>
        <v>CPD2012</v>
      </c>
      <c r="T64" s="137" t="str">
        <f t="shared" si="102"/>
        <v>C1.5.1.22012</v>
      </c>
      <c r="U64" s="137" t="s">
        <v>208</v>
      </c>
      <c r="V64" s="137" t="str">
        <f t="shared" si="103"/>
        <v>Middle Support Cylinder (MSC)</v>
      </c>
      <c r="AB64" s="33">
        <v>2012</v>
      </c>
      <c r="AC64" s="132">
        <f t="shared" si="104"/>
        <v>0</v>
      </c>
      <c r="AD64" s="132">
        <f t="shared" si="105"/>
        <v>0</v>
      </c>
      <c r="AE64" s="132">
        <f t="shared" si="106"/>
        <v>0</v>
      </c>
      <c r="AF64" s="132">
        <f t="shared" si="107"/>
        <v>0</v>
      </c>
      <c r="AG64" s="132">
        <f t="shared" si="108"/>
        <v>0</v>
      </c>
      <c r="AH64" s="234">
        <f t="shared" si="109"/>
        <v>0</v>
      </c>
      <c r="AI64" s="235"/>
      <c r="AJ64" s="92"/>
      <c r="AK64" s="92"/>
      <c r="AL64" s="166"/>
      <c r="AM64" s="131">
        <f t="shared" si="110"/>
        <v>0</v>
      </c>
      <c r="AN64" s="132">
        <f t="shared" si="111"/>
        <v>4</v>
      </c>
      <c r="AO64" s="132">
        <f t="shared" si="112"/>
        <v>0</v>
      </c>
      <c r="AP64" s="132">
        <f t="shared" si="113"/>
        <v>4</v>
      </c>
      <c r="AQ64" s="132">
        <f t="shared" si="114"/>
        <v>0</v>
      </c>
      <c r="AR64" s="132">
        <f t="shared" si="115"/>
        <v>1500</v>
      </c>
      <c r="AS64" s="235"/>
    </row>
    <row r="65" spans="1:45" s="20" customFormat="1">
      <c r="A65" s="47" t="s">
        <v>88</v>
      </c>
      <c r="B65" s="20" t="s">
        <v>183</v>
      </c>
      <c r="C65" s="165">
        <v>3</v>
      </c>
      <c r="D65" s="96" t="s">
        <v>57</v>
      </c>
      <c r="E65" s="166">
        <v>500</v>
      </c>
      <c r="F65" s="167">
        <f t="shared" ref="F65:F70" si="116">E65*C65</f>
        <v>1500</v>
      </c>
      <c r="G65" s="168">
        <v>0</v>
      </c>
      <c r="H65" s="168">
        <v>1</v>
      </c>
      <c r="I65" s="168">
        <v>0</v>
      </c>
      <c r="J65" s="168">
        <v>0</v>
      </c>
      <c r="K65" s="169">
        <v>0</v>
      </c>
      <c r="L65" s="96" t="s">
        <v>8</v>
      </c>
      <c r="M65" s="166">
        <f t="shared" si="1"/>
        <v>351</v>
      </c>
      <c r="N65" s="92">
        <v>3</v>
      </c>
      <c r="O65" s="170">
        <f t="shared" ref="O65:O70" si="117">M65+(F65*N65)</f>
        <v>4851</v>
      </c>
      <c r="P65" s="170"/>
      <c r="Q65" s="52" t="s">
        <v>47</v>
      </c>
      <c r="R65" s="71" t="s">
        <v>180</v>
      </c>
      <c r="S65" s="137" t="str">
        <f t="shared" si="3"/>
        <v>BPT2010</v>
      </c>
      <c r="T65" s="137" t="str">
        <f t="shared" ref="T65:T70" si="118">CONCATENATE(Q65,U65,AB65)</f>
        <v>B1.5.1.1.22010</v>
      </c>
      <c r="U65" s="137" t="s">
        <v>202</v>
      </c>
      <c r="V65" s="137" t="str">
        <f t="shared" ref="V65:V70" si="119">LOOKUP(U65,$B$539:$B$574,$A$539:$A$574)</f>
        <v>East Support Cylinder (ESC)</v>
      </c>
      <c r="AB65" s="33">
        <v>2010</v>
      </c>
      <c r="AC65" s="132">
        <f t="shared" ref="AC65:AG70" si="120">IF($Q65="B", (G65*$N65),0)</f>
        <v>0</v>
      </c>
      <c r="AD65" s="132">
        <f t="shared" si="120"/>
        <v>3</v>
      </c>
      <c r="AE65" s="132">
        <f t="shared" si="120"/>
        <v>0</v>
      </c>
      <c r="AF65" s="132">
        <f t="shared" si="120"/>
        <v>0</v>
      </c>
      <c r="AG65" s="132">
        <f t="shared" si="120"/>
        <v>0</v>
      </c>
      <c r="AH65" s="234">
        <f t="shared" ref="AH65:AH70" si="121">IF($Q65="B", (F65*$N65),0)</f>
        <v>4500</v>
      </c>
      <c r="AI65" s="235"/>
      <c r="AJ65" s="92"/>
      <c r="AK65" s="92"/>
      <c r="AL65" s="166"/>
      <c r="AM65" s="131">
        <f t="shared" ref="AM65:AQ70" si="122">IF($Q65="C", (G65*$N65),0)</f>
        <v>0</v>
      </c>
      <c r="AN65" s="132">
        <f t="shared" si="122"/>
        <v>0</v>
      </c>
      <c r="AO65" s="132">
        <f t="shared" si="122"/>
        <v>0</v>
      </c>
      <c r="AP65" s="132">
        <f t="shared" si="122"/>
        <v>0</v>
      </c>
      <c r="AQ65" s="132">
        <f t="shared" si="122"/>
        <v>0</v>
      </c>
      <c r="AR65" s="132">
        <f t="shared" ref="AR65:AR70" si="123">IF($Q65="C", (F65*$N65),0)</f>
        <v>0</v>
      </c>
      <c r="AS65" s="235"/>
    </row>
    <row r="66" spans="1:45" s="20" customFormat="1">
      <c r="A66" s="47" t="s">
        <v>184</v>
      </c>
      <c r="B66" s="20" t="s">
        <v>183</v>
      </c>
      <c r="C66" s="165">
        <v>5</v>
      </c>
      <c r="D66" s="96" t="s">
        <v>57</v>
      </c>
      <c r="E66" s="166">
        <v>500</v>
      </c>
      <c r="F66" s="167">
        <f t="shared" si="116"/>
        <v>2500</v>
      </c>
      <c r="G66" s="168">
        <v>0</v>
      </c>
      <c r="H66" s="168">
        <v>1</v>
      </c>
      <c r="I66" s="168">
        <v>0</v>
      </c>
      <c r="J66" s="168">
        <v>0</v>
      </c>
      <c r="K66" s="169">
        <v>0</v>
      </c>
      <c r="L66" s="96" t="s">
        <v>8</v>
      </c>
      <c r="M66" s="166">
        <f t="shared" si="1"/>
        <v>284.31000000000006</v>
      </c>
      <c r="N66" s="92">
        <v>3</v>
      </c>
      <c r="O66" s="170">
        <f t="shared" si="117"/>
        <v>7784.31</v>
      </c>
      <c r="P66" s="170"/>
      <c r="Q66" s="52" t="s">
        <v>47</v>
      </c>
      <c r="R66" s="71" t="s">
        <v>77</v>
      </c>
      <c r="S66" s="137" t="str">
        <f t="shared" si="3"/>
        <v>BPD2011</v>
      </c>
      <c r="T66" s="137" t="str">
        <f t="shared" si="118"/>
        <v>B1.5.1.22011</v>
      </c>
      <c r="U66" s="137" t="s">
        <v>208</v>
      </c>
      <c r="V66" s="137" t="str">
        <f t="shared" si="119"/>
        <v>Middle Support Cylinder (MSC)</v>
      </c>
      <c r="AB66" s="33">
        <v>2011</v>
      </c>
      <c r="AC66" s="132">
        <f t="shared" si="120"/>
        <v>0</v>
      </c>
      <c r="AD66" s="132">
        <f t="shared" si="120"/>
        <v>3</v>
      </c>
      <c r="AE66" s="132">
        <f t="shared" si="120"/>
        <v>0</v>
      </c>
      <c r="AF66" s="132">
        <f t="shared" si="120"/>
        <v>0</v>
      </c>
      <c r="AG66" s="132">
        <f t="shared" si="120"/>
        <v>0</v>
      </c>
      <c r="AH66" s="234">
        <f t="shared" si="121"/>
        <v>7500</v>
      </c>
      <c r="AI66" s="235"/>
      <c r="AJ66" s="92"/>
      <c r="AK66" s="92"/>
      <c r="AL66" s="166"/>
      <c r="AM66" s="131">
        <f t="shared" si="122"/>
        <v>0</v>
      </c>
      <c r="AN66" s="132">
        <f t="shared" si="122"/>
        <v>0</v>
      </c>
      <c r="AO66" s="132">
        <f t="shared" si="122"/>
        <v>0</v>
      </c>
      <c r="AP66" s="132">
        <f t="shared" si="122"/>
        <v>0</v>
      </c>
      <c r="AQ66" s="132">
        <f t="shared" si="122"/>
        <v>0</v>
      </c>
      <c r="AR66" s="132">
        <f t="shared" si="123"/>
        <v>0</v>
      </c>
      <c r="AS66" s="235"/>
    </row>
    <row r="67" spans="1:45" s="20" customFormat="1">
      <c r="A67" s="47" t="s">
        <v>184</v>
      </c>
      <c r="B67" s="20" t="s">
        <v>183</v>
      </c>
      <c r="C67" s="165">
        <v>5</v>
      </c>
      <c r="D67" s="96" t="s">
        <v>57</v>
      </c>
      <c r="E67" s="166">
        <v>500</v>
      </c>
      <c r="F67" s="167">
        <f t="shared" si="116"/>
        <v>2500</v>
      </c>
      <c r="G67" s="168">
        <v>0</v>
      </c>
      <c r="H67" s="168">
        <v>1</v>
      </c>
      <c r="I67" s="168">
        <v>0</v>
      </c>
      <c r="J67" s="168">
        <v>0</v>
      </c>
      <c r="K67" s="169">
        <v>0</v>
      </c>
      <c r="L67" s="96" t="s">
        <v>8</v>
      </c>
      <c r="M67" s="166">
        <f t="shared" si="1"/>
        <v>284.31000000000006</v>
      </c>
      <c r="N67" s="92">
        <v>3</v>
      </c>
      <c r="O67" s="170">
        <f t="shared" si="117"/>
        <v>7784.31</v>
      </c>
      <c r="P67" s="170"/>
      <c r="Q67" s="52" t="s">
        <v>47</v>
      </c>
      <c r="R67" s="71" t="s">
        <v>77</v>
      </c>
      <c r="S67" s="137" t="str">
        <f t="shared" si="3"/>
        <v>BPD2012</v>
      </c>
      <c r="T67" s="137" t="str">
        <f t="shared" si="118"/>
        <v>B1.5.1.22012</v>
      </c>
      <c r="U67" s="137" t="s">
        <v>208</v>
      </c>
      <c r="V67" s="137" t="str">
        <f t="shared" si="119"/>
        <v>Middle Support Cylinder (MSC)</v>
      </c>
      <c r="AB67" s="33">
        <v>2012</v>
      </c>
      <c r="AC67" s="132">
        <f t="shared" si="120"/>
        <v>0</v>
      </c>
      <c r="AD67" s="132">
        <f t="shared" si="120"/>
        <v>3</v>
      </c>
      <c r="AE67" s="132">
        <f t="shared" si="120"/>
        <v>0</v>
      </c>
      <c r="AF67" s="132">
        <f t="shared" si="120"/>
        <v>0</v>
      </c>
      <c r="AG67" s="132">
        <f t="shared" si="120"/>
        <v>0</v>
      </c>
      <c r="AH67" s="234">
        <f t="shared" si="121"/>
        <v>7500</v>
      </c>
      <c r="AI67" s="235"/>
      <c r="AJ67" s="92"/>
      <c r="AK67" s="92"/>
      <c r="AL67" s="166"/>
      <c r="AM67" s="131">
        <f t="shared" si="122"/>
        <v>0</v>
      </c>
      <c r="AN67" s="132">
        <f t="shared" si="122"/>
        <v>0</v>
      </c>
      <c r="AO67" s="132">
        <f t="shared" si="122"/>
        <v>0</v>
      </c>
      <c r="AP67" s="132">
        <f t="shared" si="122"/>
        <v>0</v>
      </c>
      <c r="AQ67" s="132">
        <f t="shared" si="122"/>
        <v>0</v>
      </c>
      <c r="AR67" s="132">
        <f t="shared" si="123"/>
        <v>0</v>
      </c>
      <c r="AS67" s="235"/>
    </row>
    <row r="68" spans="1:45" s="133" customFormat="1">
      <c r="A68" s="47" t="s">
        <v>316</v>
      </c>
      <c r="B68" s="20" t="s">
        <v>187</v>
      </c>
      <c r="C68" s="165">
        <v>1</v>
      </c>
      <c r="D68" s="96" t="s">
        <v>57</v>
      </c>
      <c r="E68" s="166">
        <v>6000</v>
      </c>
      <c r="F68" s="167">
        <f t="shared" si="116"/>
        <v>6000</v>
      </c>
      <c r="G68" s="168">
        <v>0</v>
      </c>
      <c r="H68" s="168">
        <v>4</v>
      </c>
      <c r="I68" s="168">
        <v>0</v>
      </c>
      <c r="J68" s="168">
        <v>0</v>
      </c>
      <c r="K68" s="169">
        <v>0</v>
      </c>
      <c r="L68" s="96" t="s">
        <v>8</v>
      </c>
      <c r="M68" s="166">
        <f t="shared" si="1"/>
        <v>379.08000000000004</v>
      </c>
      <c r="N68" s="92">
        <v>1</v>
      </c>
      <c r="O68" s="170">
        <f t="shared" si="117"/>
        <v>6379.08</v>
      </c>
      <c r="P68" s="170"/>
      <c r="Q68" s="52" t="s">
        <v>47</v>
      </c>
      <c r="R68" s="71" t="s">
        <v>77</v>
      </c>
      <c r="S68" s="137" t="str">
        <f t="shared" si="3"/>
        <v>BPD2011</v>
      </c>
      <c r="T68" s="137" t="str">
        <f t="shared" si="118"/>
        <v>B1.5.1.22011</v>
      </c>
      <c r="U68" s="137" t="s">
        <v>208</v>
      </c>
      <c r="V68" s="137" t="str">
        <f t="shared" si="119"/>
        <v>Middle Support Cylinder (MSC)</v>
      </c>
      <c r="W68" s="20"/>
      <c r="X68" s="20"/>
      <c r="Y68" s="20"/>
      <c r="Z68" s="20"/>
      <c r="AA68" s="20"/>
      <c r="AB68" s="33">
        <v>2011</v>
      </c>
      <c r="AC68" s="132">
        <f t="shared" si="120"/>
        <v>0</v>
      </c>
      <c r="AD68" s="132">
        <f t="shared" si="120"/>
        <v>4</v>
      </c>
      <c r="AE68" s="132">
        <f t="shared" si="120"/>
        <v>0</v>
      </c>
      <c r="AF68" s="132">
        <f t="shared" si="120"/>
        <v>0</v>
      </c>
      <c r="AG68" s="132">
        <f t="shared" si="120"/>
        <v>0</v>
      </c>
      <c r="AH68" s="234">
        <f t="shared" si="121"/>
        <v>6000</v>
      </c>
      <c r="AI68" s="235"/>
      <c r="AJ68" s="92"/>
      <c r="AK68" s="92"/>
      <c r="AL68" s="166"/>
      <c r="AM68" s="131">
        <f t="shared" si="122"/>
        <v>0</v>
      </c>
      <c r="AN68" s="132">
        <f t="shared" si="122"/>
        <v>0</v>
      </c>
      <c r="AO68" s="132">
        <f t="shared" si="122"/>
        <v>0</v>
      </c>
      <c r="AP68" s="132">
        <f t="shared" si="122"/>
        <v>0</v>
      </c>
      <c r="AQ68" s="132">
        <f t="shared" si="122"/>
        <v>0</v>
      </c>
      <c r="AR68" s="132">
        <f t="shared" si="123"/>
        <v>0</v>
      </c>
      <c r="AS68" s="236"/>
    </row>
    <row r="69" spans="1:45" s="133" customFormat="1">
      <c r="A69" s="47" t="s">
        <v>317</v>
      </c>
      <c r="B69" s="20" t="s">
        <v>187</v>
      </c>
      <c r="C69" s="165">
        <v>1</v>
      </c>
      <c r="D69" s="96" t="s">
        <v>57</v>
      </c>
      <c r="E69" s="166">
        <v>5000</v>
      </c>
      <c r="F69" s="167">
        <f t="shared" si="116"/>
        <v>5000</v>
      </c>
      <c r="G69" s="168">
        <v>0</v>
      </c>
      <c r="H69" s="168">
        <v>4</v>
      </c>
      <c r="I69" s="168">
        <v>0</v>
      </c>
      <c r="J69" s="168">
        <v>0</v>
      </c>
      <c r="K69" s="169">
        <v>0</v>
      </c>
      <c r="L69" s="96" t="s">
        <v>8</v>
      </c>
      <c r="M69" s="166">
        <f t="shared" ref="M69" si="124">IF(R69="PD",((Shop*G69)+(M_Tech*H69)+(CMM*I69)+(ENG*J69)+(DES*K69))*N69,((Shop_RD*G69)+(MTECH_RD*H69)+(CMM_RD*I69)+(ENG_RD*J69)+(DES_RD*K69))*N69)</f>
        <v>379.08000000000004</v>
      </c>
      <c r="N69" s="92">
        <v>1</v>
      </c>
      <c r="O69" s="170">
        <f t="shared" si="117"/>
        <v>5379.08</v>
      </c>
      <c r="P69" s="170"/>
      <c r="Q69" s="52" t="s">
        <v>47</v>
      </c>
      <c r="R69" s="71" t="s">
        <v>77</v>
      </c>
      <c r="S69" s="137" t="str">
        <f t="shared" ref="S69" si="125">CONCATENATE(Q69,R69,AB69)</f>
        <v>BPD2012</v>
      </c>
      <c r="T69" s="137" t="str">
        <f t="shared" si="118"/>
        <v>B1.5.1.22012</v>
      </c>
      <c r="U69" s="137" t="s">
        <v>208</v>
      </c>
      <c r="V69" s="137" t="str">
        <f t="shared" si="119"/>
        <v>Middle Support Cylinder (MSC)</v>
      </c>
      <c r="W69" s="20"/>
      <c r="X69" s="20"/>
      <c r="Y69" s="20"/>
      <c r="Z69" s="20"/>
      <c r="AA69" s="20"/>
      <c r="AB69" s="33">
        <v>2012</v>
      </c>
      <c r="AC69" s="132">
        <f t="shared" ref="AC69" si="126">IF($Q69="B", (G69*$N69),0)</f>
        <v>0</v>
      </c>
      <c r="AD69" s="132">
        <f t="shared" ref="AD69" si="127">IF($Q69="B", (H69*$N69),0)</f>
        <v>4</v>
      </c>
      <c r="AE69" s="132">
        <f t="shared" ref="AE69" si="128">IF($Q69="B", (I69*$N69),0)</f>
        <v>0</v>
      </c>
      <c r="AF69" s="132">
        <f t="shared" ref="AF69" si="129">IF($Q69="B", (J69*$N69),0)</f>
        <v>0</v>
      </c>
      <c r="AG69" s="132">
        <f t="shared" ref="AG69" si="130">IF($Q69="B", (K69*$N69),0)</f>
        <v>0</v>
      </c>
      <c r="AH69" s="234">
        <f t="shared" si="121"/>
        <v>5000</v>
      </c>
      <c r="AI69" s="235"/>
      <c r="AJ69" s="92"/>
      <c r="AK69" s="92"/>
      <c r="AL69" s="166"/>
      <c r="AM69" s="131">
        <f t="shared" ref="AM69" si="131">IF($Q69="C", (G69*$N69),0)</f>
        <v>0</v>
      </c>
      <c r="AN69" s="132">
        <f t="shared" ref="AN69" si="132">IF($Q69="C", (H69*$N69),0)</f>
        <v>0</v>
      </c>
      <c r="AO69" s="132">
        <f t="shared" ref="AO69" si="133">IF($Q69="C", (I69*$N69),0)</f>
        <v>0</v>
      </c>
      <c r="AP69" s="132">
        <f t="shared" ref="AP69" si="134">IF($Q69="C", (J69*$N69),0)</f>
        <v>0</v>
      </c>
      <c r="AQ69" s="132">
        <f t="shared" ref="AQ69" si="135">IF($Q69="C", (K69*$N69),0)</f>
        <v>0</v>
      </c>
      <c r="AR69" s="132">
        <f t="shared" si="123"/>
        <v>0</v>
      </c>
      <c r="AS69" s="236"/>
    </row>
    <row r="70" spans="1:45" s="133" customFormat="1">
      <c r="A70" s="47" t="s">
        <v>188</v>
      </c>
      <c r="B70" s="20" t="s">
        <v>187</v>
      </c>
      <c r="C70" s="165">
        <v>1</v>
      </c>
      <c r="D70" s="96" t="s">
        <v>57</v>
      </c>
      <c r="E70" s="166">
        <v>2000</v>
      </c>
      <c r="F70" s="167">
        <f t="shared" si="116"/>
        <v>2000</v>
      </c>
      <c r="G70" s="168">
        <v>0</v>
      </c>
      <c r="H70" s="168">
        <v>4</v>
      </c>
      <c r="I70" s="168">
        <v>0</v>
      </c>
      <c r="J70" s="168">
        <v>0</v>
      </c>
      <c r="K70" s="169">
        <v>0</v>
      </c>
      <c r="L70" s="96" t="s">
        <v>8</v>
      </c>
      <c r="M70" s="166">
        <f t="shared" si="1"/>
        <v>379.08000000000004</v>
      </c>
      <c r="N70" s="92">
        <v>1</v>
      </c>
      <c r="O70" s="170">
        <f t="shared" si="117"/>
        <v>2379.08</v>
      </c>
      <c r="P70" s="170"/>
      <c r="Q70" s="52" t="s">
        <v>48</v>
      </c>
      <c r="R70" s="71" t="s">
        <v>77</v>
      </c>
      <c r="S70" s="137" t="str">
        <f t="shared" si="3"/>
        <v>CPD2012</v>
      </c>
      <c r="T70" s="137" t="str">
        <f t="shared" si="118"/>
        <v>C1.5.1.22012</v>
      </c>
      <c r="U70" s="137" t="s">
        <v>208</v>
      </c>
      <c r="V70" s="137" t="str">
        <f t="shared" si="119"/>
        <v>Middle Support Cylinder (MSC)</v>
      </c>
      <c r="W70" s="20"/>
      <c r="X70" s="20"/>
      <c r="Y70" s="20"/>
      <c r="Z70" s="20"/>
      <c r="AA70" s="20"/>
      <c r="AB70" s="33">
        <v>2012</v>
      </c>
      <c r="AC70" s="132">
        <f t="shared" si="120"/>
        <v>0</v>
      </c>
      <c r="AD70" s="132">
        <f t="shared" si="120"/>
        <v>0</v>
      </c>
      <c r="AE70" s="132">
        <f t="shared" si="120"/>
        <v>0</v>
      </c>
      <c r="AF70" s="132">
        <f t="shared" si="120"/>
        <v>0</v>
      </c>
      <c r="AG70" s="132">
        <f t="shared" si="120"/>
        <v>0</v>
      </c>
      <c r="AH70" s="234">
        <f t="shared" si="121"/>
        <v>0</v>
      </c>
      <c r="AI70" s="235"/>
      <c r="AJ70" s="92"/>
      <c r="AK70" s="92"/>
      <c r="AL70" s="166"/>
      <c r="AM70" s="131">
        <f t="shared" si="122"/>
        <v>0</v>
      </c>
      <c r="AN70" s="132">
        <f t="shared" si="122"/>
        <v>4</v>
      </c>
      <c r="AO70" s="132">
        <f t="shared" si="122"/>
        <v>0</v>
      </c>
      <c r="AP70" s="132">
        <f t="shared" si="122"/>
        <v>0</v>
      </c>
      <c r="AQ70" s="132">
        <f t="shared" si="122"/>
        <v>0</v>
      </c>
      <c r="AR70" s="132">
        <f t="shared" si="123"/>
        <v>2000</v>
      </c>
      <c r="AS70" s="236"/>
    </row>
    <row r="71" spans="1:45">
      <c r="A71" s="21" t="s">
        <v>60</v>
      </c>
      <c r="B71" s="3"/>
      <c r="C71" s="171"/>
      <c r="D71" s="15"/>
      <c r="E71" s="172"/>
      <c r="F71" s="173"/>
      <c r="G71" s="171"/>
      <c r="H71" s="171"/>
      <c r="I71" s="171"/>
      <c r="J71" s="171"/>
      <c r="K71" s="174"/>
      <c r="L71" s="15"/>
      <c r="M71" s="172">
        <f>SUMIF(Q5:Q70,"B",M5:M70)</f>
        <v>17820.900000000009</v>
      </c>
      <c r="N71" s="456" t="s">
        <v>65</v>
      </c>
      <c r="O71" s="457"/>
      <c r="P71" s="458"/>
      <c r="Q71" s="53"/>
      <c r="R71" s="74"/>
      <c r="S71" s="138"/>
      <c r="T71" s="138"/>
      <c r="U71" s="138"/>
      <c r="V71" s="138"/>
      <c r="W71" s="3"/>
      <c r="X71" s="3"/>
      <c r="Y71" s="3"/>
      <c r="Z71" s="3"/>
      <c r="AA71" s="3"/>
      <c r="AB71" s="34"/>
      <c r="AC71" s="5">
        <f>SUM(AC5:AC70)</f>
        <v>0</v>
      </c>
      <c r="AD71" s="5">
        <f>SUM(AD5:AD70)</f>
        <v>101</v>
      </c>
      <c r="AE71" s="5">
        <f>SUM(AE5:AE70)</f>
        <v>0</v>
      </c>
      <c r="AF71" s="5">
        <f>SUM(AF5:AF70)</f>
        <v>58</v>
      </c>
      <c r="AG71" s="5">
        <f>SUM(AG5:AG70)</f>
        <v>0</v>
      </c>
      <c r="AH71" s="172"/>
      <c r="AI71" s="173">
        <f>SUM(AH5:AH70)</f>
        <v>215355</v>
      </c>
      <c r="AJ71" s="172">
        <f>(Shop*AC71)+M_Tech*AD71+CMM*AE71+ENG*AF71+DES*AG71+AI71</f>
        <v>231973.77</v>
      </c>
      <c r="AK71" s="172"/>
      <c r="AL71" s="173">
        <f>Shop*AM71+M_Tech*AN71+CMM*AO71+ENG*AP71+DES*AQ71+AS71</f>
        <v>128816.2</v>
      </c>
      <c r="AM71" s="5">
        <f>SUM(AM5:AM70)</f>
        <v>0</v>
      </c>
      <c r="AN71" s="5">
        <f>SUM(AN5:AN70)</f>
        <v>60</v>
      </c>
      <c r="AO71" s="5">
        <f>SUM(AO5:AO70)</f>
        <v>0</v>
      </c>
      <c r="AP71" s="5">
        <f>SUM(AP5:AP70)</f>
        <v>40</v>
      </c>
      <c r="AQ71" s="5">
        <f>SUM(AQ5:AQ70)</f>
        <v>0</v>
      </c>
      <c r="AR71" s="172"/>
      <c r="AS71" s="173">
        <f>SUM(AR5:AR70)</f>
        <v>118270</v>
      </c>
    </row>
    <row r="72" spans="1:45" s="330" customFormat="1">
      <c r="C72" s="151"/>
      <c r="D72" s="83"/>
      <c r="E72" s="109"/>
      <c r="F72" s="160"/>
      <c r="G72" s="158"/>
      <c r="H72" s="158"/>
      <c r="I72" s="158"/>
      <c r="J72" s="158"/>
      <c r="K72" s="175"/>
      <c r="L72" s="83"/>
      <c r="M72" s="109"/>
      <c r="N72" s="7"/>
      <c r="O72" s="176"/>
      <c r="P72" s="176"/>
      <c r="Q72" s="35"/>
      <c r="R72" s="72"/>
      <c r="S72" s="139"/>
      <c r="T72" s="139"/>
      <c r="U72" s="139"/>
      <c r="V72" s="139"/>
      <c r="AB72" s="36"/>
      <c r="AC72" s="31"/>
      <c r="AD72" s="31"/>
      <c r="AE72" s="31"/>
      <c r="AF72" s="31"/>
      <c r="AG72" s="31"/>
      <c r="AH72" s="237"/>
      <c r="AI72" s="238"/>
      <c r="AJ72" s="6"/>
      <c r="AK72" s="6"/>
      <c r="AL72" s="109"/>
      <c r="AM72" s="32"/>
      <c r="AN72" s="4"/>
      <c r="AO72" s="4"/>
      <c r="AP72" s="4"/>
      <c r="AQ72" s="4"/>
      <c r="AR72" s="4"/>
      <c r="AS72" s="239"/>
    </row>
    <row r="73" spans="1:45" s="20" customFormat="1" ht="15.75">
      <c r="A73" s="49" t="s">
        <v>261</v>
      </c>
      <c r="C73" s="165"/>
      <c r="D73" s="96"/>
      <c r="E73" s="166"/>
      <c r="F73" s="167"/>
      <c r="G73" s="168"/>
      <c r="H73" s="168"/>
      <c r="I73" s="168"/>
      <c r="J73" s="168"/>
      <c r="K73" s="169"/>
      <c r="L73" s="96"/>
      <c r="M73" s="166"/>
      <c r="N73" s="92" t="s">
        <v>279</v>
      </c>
      <c r="O73" s="170"/>
      <c r="P73" s="170"/>
      <c r="Q73" s="52"/>
      <c r="R73" s="71"/>
      <c r="S73" s="137"/>
      <c r="T73" s="137"/>
      <c r="U73" s="137"/>
      <c r="V73" s="137"/>
      <c r="AB73" s="33"/>
      <c r="AC73" s="132"/>
      <c r="AD73" s="132"/>
      <c r="AE73" s="132"/>
      <c r="AF73" s="132"/>
      <c r="AG73" s="132"/>
      <c r="AH73" s="234"/>
      <c r="AI73" s="235"/>
      <c r="AJ73" s="132"/>
      <c r="AK73" s="132"/>
      <c r="AL73" s="166"/>
      <c r="AM73" s="131"/>
      <c r="AN73" s="132"/>
      <c r="AO73" s="132"/>
      <c r="AP73" s="132"/>
      <c r="AQ73" s="132"/>
      <c r="AR73" s="132"/>
      <c r="AS73" s="235"/>
    </row>
    <row r="74" spans="1:45" s="20" customFormat="1">
      <c r="A74" s="47" t="s">
        <v>265</v>
      </c>
      <c r="C74" s="165"/>
      <c r="D74" s="96"/>
      <c r="E74" s="57"/>
      <c r="F74" s="58"/>
      <c r="G74" s="59"/>
      <c r="H74" s="59"/>
      <c r="I74" s="59"/>
      <c r="J74" s="59"/>
      <c r="K74" s="60"/>
      <c r="L74" s="217"/>
      <c r="M74" s="177"/>
      <c r="N74" s="65" t="s">
        <v>279</v>
      </c>
      <c r="O74" s="170"/>
      <c r="P74" s="170"/>
      <c r="Q74" s="52"/>
      <c r="R74" s="71"/>
      <c r="S74" s="137"/>
      <c r="T74" s="137"/>
      <c r="U74" s="137"/>
      <c r="V74" s="137"/>
      <c r="AB74" s="33"/>
      <c r="AC74" s="132"/>
      <c r="AD74" s="132"/>
      <c r="AE74" s="135"/>
      <c r="AF74" s="132"/>
      <c r="AG74" s="132"/>
      <c r="AH74" s="234"/>
      <c r="AI74" s="235"/>
      <c r="AJ74" s="132"/>
      <c r="AK74" s="132"/>
      <c r="AL74" s="166"/>
      <c r="AM74" s="131"/>
      <c r="AN74" s="132"/>
      <c r="AO74" s="132"/>
      <c r="AP74" s="132"/>
      <c r="AQ74" s="132"/>
      <c r="AR74" s="132"/>
      <c r="AS74" s="235"/>
    </row>
    <row r="75" spans="1:45" s="20" customFormat="1">
      <c r="A75" s="46" t="s">
        <v>318</v>
      </c>
      <c r="B75" s="20" t="s">
        <v>34</v>
      </c>
      <c r="C75" s="165">
        <v>0.03</v>
      </c>
      <c r="D75" s="96" t="s">
        <v>9</v>
      </c>
      <c r="E75" s="166">
        <v>0</v>
      </c>
      <c r="F75" s="167">
        <f>E75*C75</f>
        <v>0</v>
      </c>
      <c r="G75" s="168">
        <v>0</v>
      </c>
      <c r="H75" s="168">
        <v>24</v>
      </c>
      <c r="I75" s="168">
        <v>0</v>
      </c>
      <c r="J75" s="168">
        <v>8</v>
      </c>
      <c r="K75" s="169">
        <v>0</v>
      </c>
      <c r="L75" s="96" t="s">
        <v>8</v>
      </c>
      <c r="M75" s="166">
        <f>IF(R75="PD",((Shop*G75)+(M_Tech*H75)+(CMM*I75)+(ENG*J75)+(DES*K75))*N75,((Shop_RD*G75)+(MTECH_RD*H75)+(CMM_RD*I75)+(ENG_RD*J75)+(DES_RD*K75))*N75)</f>
        <v>3246.4800000000005</v>
      </c>
      <c r="N75" s="92">
        <v>1</v>
      </c>
      <c r="O75" s="170">
        <f>M75+(F75*N75)</f>
        <v>3246.4800000000005</v>
      </c>
      <c r="P75" s="170"/>
      <c r="Q75" s="52" t="s">
        <v>47</v>
      </c>
      <c r="R75" s="71" t="s">
        <v>77</v>
      </c>
      <c r="S75" s="137" t="str">
        <f>CONCATENATE(Q75,R75,AB75)</f>
        <v>BPD2011</v>
      </c>
      <c r="T75" s="137" t="str">
        <f>CONCATENATE(Q75,U75,AB75)</f>
        <v>B1.5.1.1.22011</v>
      </c>
      <c r="U75" s="137" t="s">
        <v>202</v>
      </c>
      <c r="V75" s="137" t="str">
        <f>LOOKUP(U75,$B$539:$B$574,$A$539:$A$574)</f>
        <v>East Support Cylinder (ESC)</v>
      </c>
      <c r="AB75" s="33">
        <v>2011</v>
      </c>
      <c r="AC75" s="132">
        <f t="shared" ref="AC75" si="136">IF($Q75="B", (G75*$N75),0)</f>
        <v>0</v>
      </c>
      <c r="AD75" s="132">
        <f t="shared" ref="AD75" si="137">IF($Q75="B", (H75*$N75),0)</f>
        <v>24</v>
      </c>
      <c r="AE75" s="132">
        <f t="shared" ref="AE75" si="138">IF($Q75="B", (I75*$N75),0)</f>
        <v>0</v>
      </c>
      <c r="AF75" s="132">
        <f t="shared" ref="AF75" si="139">IF($Q75="B", (J75*$N75),0)</f>
        <v>8</v>
      </c>
      <c r="AG75" s="132">
        <f t="shared" ref="AG75" si="140">IF($Q75="B", (K75*$N75),0)</f>
        <v>0</v>
      </c>
      <c r="AH75" s="234">
        <f>IF($Q75="B", (F75*$N75),0)</f>
        <v>0</v>
      </c>
      <c r="AI75" s="235"/>
      <c r="AJ75" s="132"/>
      <c r="AK75" s="132"/>
      <c r="AL75" s="166"/>
      <c r="AM75" s="131">
        <f t="shared" ref="AM75" si="141">IF($Q75="C", (G75*$N75),0)</f>
        <v>0</v>
      </c>
      <c r="AN75" s="132">
        <f t="shared" ref="AN75" si="142">IF($Q75="C", (H75*$N75),0)</f>
        <v>0</v>
      </c>
      <c r="AO75" s="132">
        <f t="shared" ref="AO75" si="143">IF($Q75="C", (I75*$N75),0)</f>
        <v>0</v>
      </c>
      <c r="AP75" s="132">
        <f t="shared" ref="AP75" si="144">IF($Q75="C", (J75*$N75),0)</f>
        <v>0</v>
      </c>
      <c r="AQ75" s="132">
        <f t="shared" ref="AQ75" si="145">IF($Q75="C", (K75*$N75),0)</f>
        <v>0</v>
      </c>
      <c r="AR75" s="132">
        <f>IF($Q75="C", (F75*$N75),0)</f>
        <v>0</v>
      </c>
      <c r="AS75" s="235"/>
    </row>
    <row r="76" spans="1:45" s="20" customFormat="1">
      <c r="A76" s="46" t="s">
        <v>319</v>
      </c>
      <c r="B76" s="20" t="s">
        <v>58</v>
      </c>
      <c r="C76" s="165">
        <v>22</v>
      </c>
      <c r="D76" s="96" t="s">
        <v>9</v>
      </c>
      <c r="E76" s="166">
        <v>105</v>
      </c>
      <c r="F76" s="167">
        <f>E76*C76</f>
        <v>2310</v>
      </c>
      <c r="G76" s="168">
        <v>0</v>
      </c>
      <c r="H76" s="168">
        <v>200</v>
      </c>
      <c r="I76" s="168">
        <v>0</v>
      </c>
      <c r="J76" s="168">
        <v>24</v>
      </c>
      <c r="K76" s="169">
        <v>0</v>
      </c>
      <c r="L76" s="96" t="s">
        <v>8</v>
      </c>
      <c r="M76" s="166">
        <f>IF(R76="PD",((Shop*G76)+(M_Tech*H76)+(CMM*I76)+(ENG*J76)+(DES*K76))*N76,((Shop_RD*G76)+(MTECH_RD*H76)+(CMM_RD*I76)+(ENG_RD*J76)+(DES_RD*K76))*N76)</f>
        <v>21870.000000000004</v>
      </c>
      <c r="N76" s="92">
        <v>1</v>
      </c>
      <c r="O76" s="170">
        <f>M76+(F76*N76)</f>
        <v>24180.000000000004</v>
      </c>
      <c r="P76" s="170"/>
      <c r="Q76" s="52" t="s">
        <v>47</v>
      </c>
      <c r="R76" s="71" t="s">
        <v>77</v>
      </c>
      <c r="S76" s="137" t="str">
        <f>CONCATENATE(Q76,R76,AB76)</f>
        <v>BPD2011</v>
      </c>
      <c r="T76" s="137" t="str">
        <f>CONCATENATE(Q76,U76,AB76)</f>
        <v>B1.5.1.1.22011</v>
      </c>
      <c r="U76" s="137" t="s">
        <v>202</v>
      </c>
      <c r="V76" s="137" t="str">
        <f>LOOKUP(U76,$B$539:$B$574,$A$539:$A$574)</f>
        <v>East Support Cylinder (ESC)</v>
      </c>
      <c r="AB76" s="33">
        <v>2011</v>
      </c>
      <c r="AC76" s="132">
        <f t="shared" ref="AC76:AG77" si="146">IF($Q76="B", (G76*$N76),0)</f>
        <v>0</v>
      </c>
      <c r="AD76" s="132">
        <f t="shared" si="146"/>
        <v>200</v>
      </c>
      <c r="AE76" s="132">
        <f t="shared" si="146"/>
        <v>0</v>
      </c>
      <c r="AF76" s="132">
        <f t="shared" si="146"/>
        <v>24</v>
      </c>
      <c r="AG76" s="132">
        <f t="shared" si="146"/>
        <v>0</v>
      </c>
      <c r="AH76" s="234">
        <f>IF($Q76="B", (F76*$N76),0)</f>
        <v>2310</v>
      </c>
      <c r="AI76" s="235"/>
      <c r="AJ76" s="132"/>
      <c r="AK76" s="132"/>
      <c r="AL76" s="166"/>
      <c r="AM76" s="131">
        <f t="shared" ref="AM76:AQ77" si="147">IF($Q76="C", (G76*$N76),0)</f>
        <v>0</v>
      </c>
      <c r="AN76" s="132">
        <f t="shared" si="147"/>
        <v>0</v>
      </c>
      <c r="AO76" s="132">
        <f t="shared" si="147"/>
        <v>0</v>
      </c>
      <c r="AP76" s="132">
        <f t="shared" si="147"/>
        <v>0</v>
      </c>
      <c r="AQ76" s="132">
        <f t="shared" si="147"/>
        <v>0</v>
      </c>
      <c r="AR76" s="132">
        <f>IF($Q76="C", (F76*$N76),0)</f>
        <v>0</v>
      </c>
      <c r="AS76" s="235"/>
    </row>
    <row r="77" spans="1:45" s="20" customFormat="1">
      <c r="A77" s="46" t="s">
        <v>318</v>
      </c>
      <c r="B77" s="20" t="s">
        <v>34</v>
      </c>
      <c r="C77" s="165">
        <v>0.03</v>
      </c>
      <c r="D77" s="96" t="s">
        <v>9</v>
      </c>
      <c r="E77" s="166">
        <v>0</v>
      </c>
      <c r="F77" s="167">
        <f>E77*C77</f>
        <v>0</v>
      </c>
      <c r="G77" s="168">
        <v>0</v>
      </c>
      <c r="H77" s="168">
        <v>24</v>
      </c>
      <c r="I77" s="168">
        <v>0</v>
      </c>
      <c r="J77" s="168">
        <v>8</v>
      </c>
      <c r="K77" s="169">
        <v>0</v>
      </c>
      <c r="L77" s="96" t="s">
        <v>8</v>
      </c>
      <c r="M77" s="166">
        <f>IF(R77="PD",((Shop*G77)+(M_Tech*H77)+(CMM*I77)+(ENG*J77)+(DES*K77))*N77,((Shop_RD*G77)+(MTECH_RD*H77)+(CMM_RD*I77)+(ENG_RD*J77)+(DES_RD*K77))*N77)</f>
        <v>3246.4800000000005</v>
      </c>
      <c r="N77" s="92">
        <v>1</v>
      </c>
      <c r="O77" s="170">
        <f>M77+(F77*N77)</f>
        <v>3246.4800000000005</v>
      </c>
      <c r="P77" s="170"/>
      <c r="Q77" s="52" t="s">
        <v>48</v>
      </c>
      <c r="R77" s="71" t="s">
        <v>77</v>
      </c>
      <c r="S77" s="137" t="str">
        <f>CONCATENATE(Q77,R77,AB77)</f>
        <v>CPD2011</v>
      </c>
      <c r="T77" s="137" t="str">
        <f>CONCATENATE(Q77,U77,AB77)</f>
        <v>C1.5.1.1.22011</v>
      </c>
      <c r="U77" s="137" t="s">
        <v>202</v>
      </c>
      <c r="V77" s="137" t="str">
        <f>LOOKUP(U77,$B$539:$B$574,$A$539:$A$574)</f>
        <v>East Support Cylinder (ESC)</v>
      </c>
      <c r="AB77" s="33">
        <v>2011</v>
      </c>
      <c r="AC77" s="132">
        <f t="shared" si="146"/>
        <v>0</v>
      </c>
      <c r="AD77" s="132">
        <f t="shared" si="146"/>
        <v>0</v>
      </c>
      <c r="AE77" s="132">
        <f t="shared" si="146"/>
        <v>0</v>
      </c>
      <c r="AF77" s="132">
        <f t="shared" si="146"/>
        <v>0</v>
      </c>
      <c r="AG77" s="132">
        <f t="shared" si="146"/>
        <v>0</v>
      </c>
      <c r="AH77" s="234">
        <f>IF($Q77="B", (F77*$N77),0)</f>
        <v>0</v>
      </c>
      <c r="AI77" s="235"/>
      <c r="AJ77" s="132"/>
      <c r="AK77" s="132"/>
      <c r="AL77" s="166"/>
      <c r="AM77" s="131">
        <f t="shared" si="147"/>
        <v>0</v>
      </c>
      <c r="AN77" s="132">
        <f t="shared" si="147"/>
        <v>24</v>
      </c>
      <c r="AO77" s="132">
        <f t="shared" si="147"/>
        <v>0</v>
      </c>
      <c r="AP77" s="132">
        <f t="shared" si="147"/>
        <v>8</v>
      </c>
      <c r="AQ77" s="132">
        <f t="shared" si="147"/>
        <v>0</v>
      </c>
      <c r="AR77" s="132">
        <f>IF($Q77="C", (F77*$N77),0)</f>
        <v>0</v>
      </c>
      <c r="AS77" s="235"/>
    </row>
    <row r="78" spans="1:45" s="20" customFormat="1">
      <c r="A78" s="46" t="s">
        <v>319</v>
      </c>
      <c r="B78" s="20" t="s">
        <v>58</v>
      </c>
      <c r="C78" s="165">
        <v>22</v>
      </c>
      <c r="D78" s="96" t="s">
        <v>9</v>
      </c>
      <c r="E78" s="166">
        <v>105</v>
      </c>
      <c r="F78" s="167">
        <f>E78*C78</f>
        <v>2310</v>
      </c>
      <c r="G78" s="168">
        <v>0</v>
      </c>
      <c r="H78" s="168">
        <v>200</v>
      </c>
      <c r="I78" s="168">
        <v>0</v>
      </c>
      <c r="J78" s="168">
        <v>24</v>
      </c>
      <c r="K78" s="169">
        <v>0</v>
      </c>
      <c r="L78" s="96" t="s">
        <v>8</v>
      </c>
      <c r="M78" s="166">
        <f>IF(R78="PD",((Shop*G78)+(M_Tech*H78)+(CMM*I78)+(ENG*J78)+(DES*K78))*N78,((Shop_RD*G78)+(MTECH_RD*H78)+(CMM_RD*I78)+(ENG_RD*J78)+(DES_RD*K78))*N78)</f>
        <v>21870.000000000004</v>
      </c>
      <c r="N78" s="92">
        <v>1</v>
      </c>
      <c r="O78" s="170">
        <f>M78+(F78*N78)</f>
        <v>24180.000000000004</v>
      </c>
      <c r="P78" s="170"/>
      <c r="Q78" s="52" t="s">
        <v>48</v>
      </c>
      <c r="R78" s="71" t="s">
        <v>77</v>
      </c>
      <c r="S78" s="137" t="str">
        <f>CONCATENATE(Q78,R78,AB78)</f>
        <v>CPD2011</v>
      </c>
      <c r="T78" s="137" t="str">
        <f>CONCATENATE(Q78,U78,AB78)</f>
        <v>C1.5.1.1.22011</v>
      </c>
      <c r="U78" s="137" t="s">
        <v>202</v>
      </c>
      <c r="V78" s="137" t="str">
        <f>LOOKUP(U78,$B$539:$B$574,$A$539:$A$574)</f>
        <v>East Support Cylinder (ESC)</v>
      </c>
      <c r="AB78" s="33">
        <v>2011</v>
      </c>
      <c r="AC78" s="132">
        <f t="shared" ref="AC78" si="148">IF($Q78="B", (G78*$N78),0)</f>
        <v>0</v>
      </c>
      <c r="AD78" s="132">
        <f t="shared" ref="AD78" si="149">IF($Q78="B", (H78*$N78),0)</f>
        <v>0</v>
      </c>
      <c r="AE78" s="132">
        <f t="shared" ref="AE78" si="150">IF($Q78="B", (I78*$N78),0)</f>
        <v>0</v>
      </c>
      <c r="AF78" s="132">
        <f t="shared" ref="AF78" si="151">IF($Q78="B", (J78*$N78),0)</f>
        <v>0</v>
      </c>
      <c r="AG78" s="132">
        <f t="shared" ref="AG78" si="152">IF($Q78="B", (K78*$N78),0)</f>
        <v>0</v>
      </c>
      <c r="AH78" s="234">
        <f>IF($Q78="B", (F78*$N78),0)</f>
        <v>0</v>
      </c>
      <c r="AI78" s="235"/>
      <c r="AJ78" s="132"/>
      <c r="AK78" s="132"/>
      <c r="AL78" s="166"/>
      <c r="AM78" s="131">
        <f t="shared" ref="AM78" si="153">IF($Q78="C", (G78*$N78),0)</f>
        <v>0</v>
      </c>
      <c r="AN78" s="132">
        <f t="shared" ref="AN78" si="154">IF($Q78="C", (H78*$N78),0)</f>
        <v>200</v>
      </c>
      <c r="AO78" s="132">
        <f t="shared" ref="AO78" si="155">IF($Q78="C", (I78*$N78),0)</f>
        <v>0</v>
      </c>
      <c r="AP78" s="132">
        <f t="shared" ref="AP78" si="156">IF($Q78="C", (J78*$N78),0)</f>
        <v>24</v>
      </c>
      <c r="AQ78" s="132">
        <f t="shared" ref="AQ78" si="157">IF($Q78="C", (K78*$N78),0)</f>
        <v>0</v>
      </c>
      <c r="AR78" s="132">
        <f>IF($Q78="C", (F78*$N78),0)</f>
        <v>2310</v>
      </c>
      <c r="AS78" s="235"/>
    </row>
    <row r="79" spans="1:45" s="20" customFormat="1">
      <c r="A79" s="47" t="s">
        <v>320</v>
      </c>
      <c r="C79" s="165"/>
      <c r="D79" s="96"/>
      <c r="E79" s="57"/>
      <c r="F79" s="58"/>
      <c r="G79" s="59"/>
      <c r="H79" s="59"/>
      <c r="I79" s="59"/>
      <c r="J79" s="59"/>
      <c r="K79" s="60"/>
      <c r="L79" s="217" t="s">
        <v>66</v>
      </c>
      <c r="M79" s="177">
        <f>SUMIF(Q75:Q78,"B",M75:M78)</f>
        <v>25116.480000000003</v>
      </c>
      <c r="N79" s="65" t="s">
        <v>65</v>
      </c>
      <c r="O79" s="170"/>
      <c r="P79" s="170"/>
      <c r="Q79" s="52"/>
      <c r="R79" s="71"/>
      <c r="S79" s="137"/>
      <c r="T79" s="137"/>
      <c r="U79" s="137"/>
      <c r="V79" s="137"/>
      <c r="AB79" s="33"/>
      <c r="AC79" s="132"/>
      <c r="AD79" s="132"/>
      <c r="AE79" s="135"/>
      <c r="AF79" s="132"/>
      <c r="AG79" s="132"/>
      <c r="AH79" s="234"/>
      <c r="AI79" s="235"/>
      <c r="AJ79" s="132"/>
      <c r="AK79" s="132"/>
      <c r="AL79" s="166"/>
      <c r="AM79" s="131"/>
      <c r="AN79" s="132"/>
      <c r="AO79" s="132"/>
      <c r="AP79" s="132"/>
      <c r="AQ79" s="132"/>
      <c r="AR79" s="132"/>
      <c r="AS79" s="235"/>
    </row>
    <row r="80" spans="1:45" s="20" customFormat="1">
      <c r="A80" s="46" t="s">
        <v>318</v>
      </c>
      <c r="B80" s="20" t="s">
        <v>34</v>
      </c>
      <c r="C80" s="165">
        <v>0.03</v>
      </c>
      <c r="D80" s="96" t="s">
        <v>9</v>
      </c>
      <c r="E80" s="166">
        <v>0</v>
      </c>
      <c r="F80" s="167">
        <f t="shared" ref="F80:F85" si="158">E80*C80</f>
        <v>0</v>
      </c>
      <c r="G80" s="168">
        <v>0</v>
      </c>
      <c r="H80" s="168">
        <v>8</v>
      </c>
      <c r="I80" s="168">
        <v>0</v>
      </c>
      <c r="J80" s="168">
        <v>2</v>
      </c>
      <c r="K80" s="169">
        <v>0</v>
      </c>
      <c r="L80" s="96" t="s">
        <v>8</v>
      </c>
      <c r="M80" s="166">
        <f t="shared" ref="M80:M85" si="159">IF(R80="PD",((Shop*G80)+(M_Tech*H80)+(CMM*I80)+(ENG*J80)+(DES*K80))*N80,((Shop_RD*G80)+(MTECH_RD*H80)+(CMM_RD*I80)+(ENG_RD*J80)+(DES_RD*K80))*N80)</f>
        <v>1001.1600000000001</v>
      </c>
      <c r="N80" s="92">
        <v>1</v>
      </c>
      <c r="O80" s="170">
        <f t="shared" ref="O80:O85" si="160">M80+(F80*N80)</f>
        <v>1001.1600000000001</v>
      </c>
      <c r="P80" s="170"/>
      <c r="Q80" s="52" t="s">
        <v>47</v>
      </c>
      <c r="R80" s="71" t="s">
        <v>77</v>
      </c>
      <c r="S80" s="137" t="str">
        <f t="shared" ref="S80:S85" si="161">CONCATENATE(Q80,R80,AB80)</f>
        <v>BPD2011</v>
      </c>
      <c r="T80" s="137" t="str">
        <f t="shared" ref="T80:T85" si="162">CONCATENATE(Q80,U80,AB80)</f>
        <v>B1.5.1.1.22011</v>
      </c>
      <c r="U80" s="137" t="s">
        <v>202</v>
      </c>
      <c r="V80" s="137" t="str">
        <f t="shared" ref="V80:V85" si="163">LOOKUP(U80,$B$539:$B$574,$A$539:$A$574)</f>
        <v>East Support Cylinder (ESC)</v>
      </c>
      <c r="AB80" s="33">
        <v>2011</v>
      </c>
      <c r="AC80" s="132">
        <f t="shared" ref="AC80:AC81" si="164">IF($Q80="B", (G80*$N80),0)</f>
        <v>0</v>
      </c>
      <c r="AD80" s="132">
        <f t="shared" ref="AD80:AD81" si="165">IF($Q80="B", (H80*$N80),0)</f>
        <v>8</v>
      </c>
      <c r="AE80" s="132">
        <f t="shared" ref="AE80:AE81" si="166">IF($Q80="B", (I80*$N80),0)</f>
        <v>0</v>
      </c>
      <c r="AF80" s="132">
        <f t="shared" ref="AF80:AF81" si="167">IF($Q80="B", (J80*$N80),0)</f>
        <v>2</v>
      </c>
      <c r="AG80" s="132">
        <f t="shared" ref="AG80:AG81" si="168">IF($Q80="B", (K80*$N80),0)</f>
        <v>0</v>
      </c>
      <c r="AH80" s="234">
        <f t="shared" ref="AH80:AH85" si="169">IF($Q80="B", (F80*$N80),0)</f>
        <v>0</v>
      </c>
      <c r="AI80" s="235"/>
      <c r="AJ80" s="132"/>
      <c r="AK80" s="132"/>
      <c r="AL80" s="166"/>
      <c r="AM80" s="131">
        <f t="shared" ref="AM80:AM81" si="170">IF($Q80="C", (G80*$N80),0)</f>
        <v>0</v>
      </c>
      <c r="AN80" s="132">
        <f t="shared" ref="AN80:AN81" si="171">IF($Q80="C", (H80*$N80),0)</f>
        <v>0</v>
      </c>
      <c r="AO80" s="132">
        <f t="shared" ref="AO80:AO81" si="172">IF($Q80="C", (I80*$N80),0)</f>
        <v>0</v>
      </c>
      <c r="AP80" s="132">
        <f t="shared" ref="AP80:AP81" si="173">IF($Q80="C", (J80*$N80),0)</f>
        <v>0</v>
      </c>
      <c r="AQ80" s="132">
        <f t="shared" ref="AQ80:AQ81" si="174">IF($Q80="C", (K80*$N80),0)</f>
        <v>0</v>
      </c>
      <c r="AR80" s="132">
        <f t="shared" ref="AR80:AR85" si="175">IF($Q80="C", (F80*$N80),0)</f>
        <v>0</v>
      </c>
      <c r="AS80" s="235"/>
    </row>
    <row r="81" spans="1:45" s="20" customFormat="1">
      <c r="A81" s="46" t="s">
        <v>322</v>
      </c>
      <c r="B81" s="20" t="s">
        <v>58</v>
      </c>
      <c r="C81" s="165">
        <v>1</v>
      </c>
      <c r="D81" s="96" t="s">
        <v>9</v>
      </c>
      <c r="E81" s="166">
        <v>105</v>
      </c>
      <c r="F81" s="167">
        <f t="shared" si="158"/>
        <v>105</v>
      </c>
      <c r="G81" s="168">
        <v>0</v>
      </c>
      <c r="H81" s="168">
        <v>8</v>
      </c>
      <c r="I81" s="168">
        <v>0</v>
      </c>
      <c r="J81" s="168">
        <v>1</v>
      </c>
      <c r="K81" s="169">
        <v>0</v>
      </c>
      <c r="L81" s="96" t="s">
        <v>8</v>
      </c>
      <c r="M81" s="166">
        <f t="shared" si="159"/>
        <v>1759.3200000000002</v>
      </c>
      <c r="N81" s="92">
        <v>2</v>
      </c>
      <c r="O81" s="170">
        <f t="shared" si="160"/>
        <v>1969.3200000000002</v>
      </c>
      <c r="P81" s="170"/>
      <c r="Q81" s="52" t="s">
        <v>47</v>
      </c>
      <c r="R81" s="71" t="s">
        <v>77</v>
      </c>
      <c r="S81" s="137" t="str">
        <f t="shared" si="161"/>
        <v>BPD2011</v>
      </c>
      <c r="T81" s="137" t="str">
        <f t="shared" si="162"/>
        <v>B1.5.1.1.22011</v>
      </c>
      <c r="U81" s="137" t="s">
        <v>202</v>
      </c>
      <c r="V81" s="137" t="str">
        <f t="shared" si="163"/>
        <v>East Support Cylinder (ESC)</v>
      </c>
      <c r="AB81" s="33">
        <v>2011</v>
      </c>
      <c r="AC81" s="132">
        <f t="shared" si="164"/>
        <v>0</v>
      </c>
      <c r="AD81" s="132">
        <f t="shared" si="165"/>
        <v>16</v>
      </c>
      <c r="AE81" s="132">
        <f t="shared" si="166"/>
        <v>0</v>
      </c>
      <c r="AF81" s="132">
        <f t="shared" si="167"/>
        <v>2</v>
      </c>
      <c r="AG81" s="132">
        <f t="shared" si="168"/>
        <v>0</v>
      </c>
      <c r="AH81" s="234">
        <f t="shared" si="169"/>
        <v>210</v>
      </c>
      <c r="AI81" s="235"/>
      <c r="AJ81" s="132"/>
      <c r="AK81" s="132"/>
      <c r="AL81" s="166"/>
      <c r="AM81" s="131">
        <f t="shared" si="170"/>
        <v>0</v>
      </c>
      <c r="AN81" s="132">
        <f t="shared" si="171"/>
        <v>0</v>
      </c>
      <c r="AO81" s="132">
        <f t="shared" si="172"/>
        <v>0</v>
      </c>
      <c r="AP81" s="132">
        <f t="shared" si="173"/>
        <v>0</v>
      </c>
      <c r="AQ81" s="132">
        <f t="shared" si="174"/>
        <v>0</v>
      </c>
      <c r="AR81" s="132">
        <f t="shared" si="175"/>
        <v>0</v>
      </c>
      <c r="AS81" s="235"/>
    </row>
    <row r="82" spans="1:45" s="20" customFormat="1">
      <c r="A82" s="46" t="s">
        <v>321</v>
      </c>
      <c r="B82" s="20" t="s">
        <v>58</v>
      </c>
      <c r="C82" s="165">
        <v>1</v>
      </c>
      <c r="D82" s="96" t="s">
        <v>9</v>
      </c>
      <c r="E82" s="166">
        <v>105</v>
      </c>
      <c r="F82" s="167">
        <f t="shared" si="158"/>
        <v>105</v>
      </c>
      <c r="G82" s="168">
        <v>2</v>
      </c>
      <c r="H82" s="168">
        <v>8</v>
      </c>
      <c r="I82" s="168">
        <v>0</v>
      </c>
      <c r="J82" s="168">
        <v>1</v>
      </c>
      <c r="K82" s="169">
        <v>0</v>
      </c>
      <c r="L82" s="96" t="s">
        <v>8</v>
      </c>
      <c r="M82" s="166">
        <f t="shared" si="159"/>
        <v>2167.5600000000004</v>
      </c>
      <c r="N82" s="92">
        <v>2</v>
      </c>
      <c r="O82" s="170">
        <f t="shared" si="160"/>
        <v>2377.5600000000004</v>
      </c>
      <c r="P82" s="170"/>
      <c r="Q82" s="52" t="s">
        <v>47</v>
      </c>
      <c r="R82" s="71" t="s">
        <v>77</v>
      </c>
      <c r="S82" s="137" t="str">
        <f t="shared" si="161"/>
        <v>BPD2011</v>
      </c>
      <c r="T82" s="137" t="str">
        <f t="shared" si="162"/>
        <v>B1.5.1.1.22011</v>
      </c>
      <c r="U82" s="137" t="s">
        <v>202</v>
      </c>
      <c r="V82" s="137" t="str">
        <f t="shared" si="163"/>
        <v>East Support Cylinder (ESC)</v>
      </c>
      <c r="AB82" s="33">
        <v>2011</v>
      </c>
      <c r="AC82" s="132">
        <f t="shared" ref="AC82:AC84" si="176">IF($Q82="B", (G82*$N82),0)</f>
        <v>4</v>
      </c>
      <c r="AD82" s="132">
        <f t="shared" ref="AD82:AD84" si="177">IF($Q82="B", (H82*$N82),0)</f>
        <v>16</v>
      </c>
      <c r="AE82" s="132">
        <f t="shared" ref="AE82:AE84" si="178">IF($Q82="B", (I82*$N82),0)</f>
        <v>0</v>
      </c>
      <c r="AF82" s="132">
        <f t="shared" ref="AF82:AF84" si="179">IF($Q82="B", (J82*$N82),0)</f>
        <v>2</v>
      </c>
      <c r="AG82" s="132">
        <f t="shared" ref="AG82:AG84" si="180">IF($Q82="B", (K82*$N82),0)</f>
        <v>0</v>
      </c>
      <c r="AH82" s="234">
        <f t="shared" si="169"/>
        <v>210</v>
      </c>
      <c r="AI82" s="235"/>
      <c r="AJ82" s="132"/>
      <c r="AK82" s="132"/>
      <c r="AL82" s="166"/>
      <c r="AM82" s="131">
        <f t="shared" ref="AM82:AM84" si="181">IF($Q82="C", (G82*$N82),0)</f>
        <v>0</v>
      </c>
      <c r="AN82" s="132">
        <f t="shared" ref="AN82:AN84" si="182">IF($Q82="C", (H82*$N82),0)</f>
        <v>0</v>
      </c>
      <c r="AO82" s="132">
        <f t="shared" ref="AO82:AO84" si="183">IF($Q82="C", (I82*$N82),0)</f>
        <v>0</v>
      </c>
      <c r="AP82" s="132">
        <f t="shared" ref="AP82:AP84" si="184">IF($Q82="C", (J82*$N82),0)</f>
        <v>0</v>
      </c>
      <c r="AQ82" s="132">
        <f t="shared" ref="AQ82:AQ84" si="185">IF($Q82="C", (K82*$N82),0)</f>
        <v>0</v>
      </c>
      <c r="AR82" s="132">
        <f t="shared" si="175"/>
        <v>0</v>
      </c>
      <c r="AS82" s="235"/>
    </row>
    <row r="83" spans="1:45" s="20" customFormat="1">
      <c r="A83" s="46" t="s">
        <v>323</v>
      </c>
      <c r="B83" s="20" t="s">
        <v>34</v>
      </c>
      <c r="C83" s="165">
        <v>0.03</v>
      </c>
      <c r="D83" s="96" t="s">
        <v>9</v>
      </c>
      <c r="E83" s="166">
        <v>0</v>
      </c>
      <c r="F83" s="167">
        <f t="shared" si="158"/>
        <v>0</v>
      </c>
      <c r="G83" s="168">
        <v>0</v>
      </c>
      <c r="H83" s="168">
        <v>6</v>
      </c>
      <c r="I83" s="168">
        <v>0</v>
      </c>
      <c r="J83" s="168">
        <v>2</v>
      </c>
      <c r="K83" s="169">
        <v>0</v>
      </c>
      <c r="L83" s="96" t="s">
        <v>8</v>
      </c>
      <c r="M83" s="166">
        <f t="shared" si="159"/>
        <v>811.62000000000012</v>
      </c>
      <c r="N83" s="92">
        <v>1</v>
      </c>
      <c r="O83" s="170">
        <f t="shared" si="160"/>
        <v>811.62000000000012</v>
      </c>
      <c r="P83" s="170"/>
      <c r="Q83" s="52" t="s">
        <v>48</v>
      </c>
      <c r="R83" s="71" t="s">
        <v>77</v>
      </c>
      <c r="S83" s="137" t="str">
        <f t="shared" si="161"/>
        <v>CPD2011</v>
      </c>
      <c r="T83" s="137" t="str">
        <f t="shared" si="162"/>
        <v>C1.5.1.1.22011</v>
      </c>
      <c r="U83" s="137" t="s">
        <v>202</v>
      </c>
      <c r="V83" s="137" t="str">
        <f t="shared" si="163"/>
        <v>East Support Cylinder (ESC)</v>
      </c>
      <c r="AB83" s="33">
        <v>2011</v>
      </c>
      <c r="AC83" s="132">
        <f t="shared" si="176"/>
        <v>0</v>
      </c>
      <c r="AD83" s="132">
        <f t="shared" si="177"/>
        <v>0</v>
      </c>
      <c r="AE83" s="132">
        <f t="shared" si="178"/>
        <v>0</v>
      </c>
      <c r="AF83" s="132">
        <f t="shared" si="179"/>
        <v>0</v>
      </c>
      <c r="AG83" s="132">
        <f t="shared" si="180"/>
        <v>0</v>
      </c>
      <c r="AH83" s="234">
        <f t="shared" si="169"/>
        <v>0</v>
      </c>
      <c r="AI83" s="235"/>
      <c r="AJ83" s="132"/>
      <c r="AK83" s="132"/>
      <c r="AL83" s="166"/>
      <c r="AM83" s="131">
        <f t="shared" si="181"/>
        <v>0</v>
      </c>
      <c r="AN83" s="132">
        <f t="shared" si="182"/>
        <v>6</v>
      </c>
      <c r="AO83" s="132">
        <f t="shared" si="183"/>
        <v>0</v>
      </c>
      <c r="AP83" s="132">
        <f t="shared" si="184"/>
        <v>2</v>
      </c>
      <c r="AQ83" s="132">
        <f t="shared" si="185"/>
        <v>0</v>
      </c>
      <c r="AR83" s="132">
        <f t="shared" si="175"/>
        <v>0</v>
      </c>
      <c r="AS83" s="235"/>
    </row>
    <row r="84" spans="1:45" s="20" customFormat="1">
      <c r="A84" s="46" t="s">
        <v>324</v>
      </c>
      <c r="B84" s="20" t="s">
        <v>58</v>
      </c>
      <c r="C84" s="165">
        <v>1</v>
      </c>
      <c r="D84" s="96" t="s">
        <v>9</v>
      </c>
      <c r="E84" s="166">
        <v>105</v>
      </c>
      <c r="F84" s="167">
        <f t="shared" si="158"/>
        <v>105</v>
      </c>
      <c r="G84" s="168">
        <v>0</v>
      </c>
      <c r="H84" s="168">
        <v>8</v>
      </c>
      <c r="I84" s="168">
        <v>0</v>
      </c>
      <c r="J84" s="168">
        <v>0</v>
      </c>
      <c r="K84" s="169">
        <v>0</v>
      </c>
      <c r="L84" s="96" t="s">
        <v>8</v>
      </c>
      <c r="M84" s="166">
        <f t="shared" si="159"/>
        <v>758.16000000000008</v>
      </c>
      <c r="N84" s="92">
        <v>1</v>
      </c>
      <c r="O84" s="170">
        <f t="shared" si="160"/>
        <v>863.16000000000008</v>
      </c>
      <c r="P84" s="170"/>
      <c r="Q84" s="52" t="s">
        <v>48</v>
      </c>
      <c r="R84" s="71" t="s">
        <v>77</v>
      </c>
      <c r="S84" s="137" t="str">
        <f t="shared" si="161"/>
        <v>CPD2011</v>
      </c>
      <c r="T84" s="137" t="str">
        <f t="shared" si="162"/>
        <v>C1.5.1.1.22011</v>
      </c>
      <c r="U84" s="137" t="s">
        <v>202</v>
      </c>
      <c r="V84" s="137" t="str">
        <f t="shared" si="163"/>
        <v>East Support Cylinder (ESC)</v>
      </c>
      <c r="AB84" s="33">
        <v>2011</v>
      </c>
      <c r="AC84" s="132">
        <f t="shared" si="176"/>
        <v>0</v>
      </c>
      <c r="AD84" s="132">
        <f t="shared" si="177"/>
        <v>0</v>
      </c>
      <c r="AE84" s="132">
        <f t="shared" si="178"/>
        <v>0</v>
      </c>
      <c r="AF84" s="132">
        <f t="shared" si="179"/>
        <v>0</v>
      </c>
      <c r="AG84" s="132">
        <f t="shared" si="180"/>
        <v>0</v>
      </c>
      <c r="AH84" s="234">
        <f t="shared" si="169"/>
        <v>0</v>
      </c>
      <c r="AI84" s="235"/>
      <c r="AJ84" s="132"/>
      <c r="AK84" s="132"/>
      <c r="AL84" s="166"/>
      <c r="AM84" s="131">
        <f t="shared" si="181"/>
        <v>0</v>
      </c>
      <c r="AN84" s="132">
        <f t="shared" si="182"/>
        <v>8</v>
      </c>
      <c r="AO84" s="132">
        <f t="shared" si="183"/>
        <v>0</v>
      </c>
      <c r="AP84" s="132">
        <f t="shared" si="184"/>
        <v>0</v>
      </c>
      <c r="AQ84" s="132">
        <f t="shared" si="185"/>
        <v>0</v>
      </c>
      <c r="AR84" s="132">
        <f t="shared" si="175"/>
        <v>105</v>
      </c>
      <c r="AS84" s="235"/>
    </row>
    <row r="85" spans="1:45" s="20" customFormat="1">
      <c r="A85" s="46" t="s">
        <v>325</v>
      </c>
      <c r="B85" s="20" t="s">
        <v>58</v>
      </c>
      <c r="C85" s="165">
        <v>1</v>
      </c>
      <c r="D85" s="96" t="s">
        <v>9</v>
      </c>
      <c r="E85" s="166">
        <v>105</v>
      </c>
      <c r="F85" s="167">
        <f t="shared" si="158"/>
        <v>105</v>
      </c>
      <c r="G85" s="168">
        <v>2</v>
      </c>
      <c r="H85" s="168">
        <v>8</v>
      </c>
      <c r="I85" s="168">
        <v>0</v>
      </c>
      <c r="J85" s="168">
        <v>0</v>
      </c>
      <c r="K85" s="169">
        <v>0</v>
      </c>
      <c r="L85" s="96" t="s">
        <v>8</v>
      </c>
      <c r="M85" s="166">
        <f t="shared" si="159"/>
        <v>962.28000000000009</v>
      </c>
      <c r="N85" s="92">
        <v>1</v>
      </c>
      <c r="O85" s="170">
        <f t="shared" si="160"/>
        <v>1067.2800000000002</v>
      </c>
      <c r="P85" s="170"/>
      <c r="Q85" s="52" t="s">
        <v>48</v>
      </c>
      <c r="R85" s="71" t="s">
        <v>77</v>
      </c>
      <c r="S85" s="137" t="str">
        <f t="shared" si="161"/>
        <v>CPD2011</v>
      </c>
      <c r="T85" s="137" t="str">
        <f t="shared" si="162"/>
        <v>C1.5.1.1.22011</v>
      </c>
      <c r="U85" s="137" t="s">
        <v>202</v>
      </c>
      <c r="V85" s="137" t="str">
        <f t="shared" si="163"/>
        <v>East Support Cylinder (ESC)</v>
      </c>
      <c r="AB85" s="33">
        <v>2011</v>
      </c>
      <c r="AC85" s="132">
        <f t="shared" ref="AC85" si="186">IF($Q85="B", (G85*$N85),0)</f>
        <v>0</v>
      </c>
      <c r="AD85" s="132">
        <f t="shared" ref="AD85" si="187">IF($Q85="B", (H85*$N85),0)</f>
        <v>0</v>
      </c>
      <c r="AE85" s="132">
        <f t="shared" ref="AE85" si="188">IF($Q85="B", (I85*$N85),0)</f>
        <v>0</v>
      </c>
      <c r="AF85" s="132">
        <f t="shared" ref="AF85" si="189">IF($Q85="B", (J85*$N85),0)</f>
        <v>0</v>
      </c>
      <c r="AG85" s="132">
        <f t="shared" ref="AG85" si="190">IF($Q85="B", (K85*$N85),0)</f>
        <v>0</v>
      </c>
      <c r="AH85" s="234">
        <f t="shared" si="169"/>
        <v>0</v>
      </c>
      <c r="AI85" s="235"/>
      <c r="AJ85" s="132"/>
      <c r="AK85" s="132"/>
      <c r="AL85" s="166"/>
      <c r="AM85" s="131">
        <f t="shared" ref="AM85" si="191">IF($Q85="C", (G85*$N85),0)</f>
        <v>2</v>
      </c>
      <c r="AN85" s="132">
        <f t="shared" ref="AN85" si="192">IF($Q85="C", (H85*$N85),0)</f>
        <v>8</v>
      </c>
      <c r="AO85" s="132">
        <f t="shared" ref="AO85" si="193">IF($Q85="C", (I85*$N85),0)</f>
        <v>0</v>
      </c>
      <c r="AP85" s="132">
        <f t="shared" ref="AP85" si="194">IF($Q85="C", (J85*$N85),0)</f>
        <v>0</v>
      </c>
      <c r="AQ85" s="132">
        <f t="shared" ref="AQ85" si="195">IF($Q85="C", (K85*$N85),0)</f>
        <v>0</v>
      </c>
      <c r="AR85" s="132">
        <f t="shared" si="175"/>
        <v>105</v>
      </c>
      <c r="AS85" s="235"/>
    </row>
    <row r="86" spans="1:45" s="20" customFormat="1">
      <c r="A86" s="47" t="s">
        <v>329</v>
      </c>
      <c r="C86" s="165"/>
      <c r="D86" s="96"/>
      <c r="E86" s="57"/>
      <c r="F86" s="58"/>
      <c r="G86" s="59"/>
      <c r="H86" s="59"/>
      <c r="I86" s="59"/>
      <c r="J86" s="59"/>
      <c r="K86" s="60"/>
      <c r="L86" s="217" t="s">
        <v>66</v>
      </c>
      <c r="M86" s="177">
        <f>SUMIF(Q80:Q85,"B",M80:M85)</f>
        <v>4928.0400000000009</v>
      </c>
      <c r="N86" s="65" t="s">
        <v>65</v>
      </c>
      <c r="O86" s="170"/>
      <c r="P86" s="170"/>
      <c r="Q86" s="52"/>
      <c r="R86" s="71"/>
      <c r="S86" s="137"/>
      <c r="T86" s="137"/>
      <c r="U86" s="137"/>
      <c r="V86" s="137"/>
      <c r="AB86" s="33"/>
      <c r="AC86" s="132"/>
      <c r="AD86" s="132"/>
      <c r="AE86" s="135"/>
      <c r="AF86" s="132"/>
      <c r="AG86" s="132"/>
      <c r="AH86" s="234"/>
      <c r="AI86" s="235"/>
      <c r="AJ86" s="132"/>
      <c r="AK86" s="132"/>
      <c r="AL86" s="166"/>
      <c r="AM86" s="131"/>
      <c r="AN86" s="132"/>
      <c r="AO86" s="132"/>
      <c r="AP86" s="132"/>
      <c r="AQ86" s="132"/>
      <c r="AR86" s="132"/>
      <c r="AS86" s="235"/>
    </row>
    <row r="87" spans="1:45" s="20" customFormat="1">
      <c r="A87" s="46" t="s">
        <v>318</v>
      </c>
      <c r="B87" s="20" t="s">
        <v>34</v>
      </c>
      <c r="C87" s="165">
        <v>0.03</v>
      </c>
      <c r="D87" s="96" t="s">
        <v>9</v>
      </c>
      <c r="E87" s="166">
        <v>0</v>
      </c>
      <c r="F87" s="167">
        <f t="shared" ref="F87:F94" si="196">E87*C87</f>
        <v>0</v>
      </c>
      <c r="G87" s="168">
        <v>0</v>
      </c>
      <c r="H87" s="168">
        <v>16</v>
      </c>
      <c r="I87" s="168">
        <v>0</v>
      </c>
      <c r="J87" s="168">
        <v>8</v>
      </c>
      <c r="K87" s="169">
        <v>0</v>
      </c>
      <c r="L87" s="96" t="s">
        <v>8</v>
      </c>
      <c r="M87" s="166">
        <f t="shared" ref="M87:M94" si="197">IF(R87="PD",((Shop*G87)+(M_Tech*H87)+(CMM*I87)+(ENG*J87)+(DES*K87))*N87,((Shop_RD*G87)+(MTECH_RD*H87)+(CMM_RD*I87)+(ENG_RD*J87)+(DES_RD*K87))*N87)</f>
        <v>2488.3200000000002</v>
      </c>
      <c r="N87" s="92">
        <v>1</v>
      </c>
      <c r="O87" s="170">
        <f t="shared" ref="O87:O94" si="198">M87+(F87*N87)</f>
        <v>2488.3200000000002</v>
      </c>
      <c r="P87" s="170"/>
      <c r="Q87" s="52" t="s">
        <v>47</v>
      </c>
      <c r="R87" s="71" t="s">
        <v>77</v>
      </c>
      <c r="S87" s="137" t="str">
        <f t="shared" ref="S87:S94" si="199">CONCATENATE(Q87,R87,AB87)</f>
        <v>BPD2011</v>
      </c>
      <c r="T87" s="137" t="str">
        <f t="shared" ref="T87:T94" si="200">CONCATENATE(Q87,U87,AB87)</f>
        <v>B1.5.1.1.22011</v>
      </c>
      <c r="U87" s="137" t="s">
        <v>202</v>
      </c>
      <c r="V87" s="137" t="str">
        <f t="shared" ref="V87:V94" si="201">LOOKUP(U87,$B$539:$B$574,$A$539:$A$574)</f>
        <v>East Support Cylinder (ESC)</v>
      </c>
      <c r="AB87" s="33">
        <v>2011</v>
      </c>
      <c r="AC87" s="132">
        <f t="shared" ref="AC87:AC89" si="202">IF($Q87="B", (G87*$N87),0)</f>
        <v>0</v>
      </c>
      <c r="AD87" s="132">
        <f t="shared" ref="AD87:AD89" si="203">IF($Q87="B", (H87*$N87),0)</f>
        <v>16</v>
      </c>
      <c r="AE87" s="132">
        <f t="shared" ref="AE87:AE89" si="204">IF($Q87="B", (I87*$N87),0)</f>
        <v>0</v>
      </c>
      <c r="AF87" s="132">
        <f t="shared" ref="AF87:AF89" si="205">IF($Q87="B", (J87*$N87),0)</f>
        <v>8</v>
      </c>
      <c r="AG87" s="132">
        <f t="shared" ref="AG87:AG89" si="206">IF($Q87="B", (K87*$N87),0)</f>
        <v>0</v>
      </c>
      <c r="AH87" s="234">
        <f t="shared" ref="AH87:AH94" si="207">IF($Q87="B", (F87*$N87),0)</f>
        <v>0</v>
      </c>
      <c r="AI87" s="235"/>
      <c r="AJ87" s="132"/>
      <c r="AK87" s="132"/>
      <c r="AL87" s="166"/>
      <c r="AM87" s="131">
        <f t="shared" ref="AM87:AM89" si="208">IF($Q87="C", (G87*$N87),0)</f>
        <v>0</v>
      </c>
      <c r="AN87" s="132">
        <f t="shared" ref="AN87:AN89" si="209">IF($Q87="C", (H87*$N87),0)</f>
        <v>0</v>
      </c>
      <c r="AO87" s="132">
        <f t="shared" ref="AO87:AO89" si="210">IF($Q87="C", (I87*$N87),0)</f>
        <v>0</v>
      </c>
      <c r="AP87" s="132">
        <f t="shared" ref="AP87:AP89" si="211">IF($Q87="C", (J87*$N87),0)</f>
        <v>0</v>
      </c>
      <c r="AQ87" s="132">
        <f t="shared" ref="AQ87:AQ89" si="212">IF($Q87="C", (K87*$N87),0)</f>
        <v>0</v>
      </c>
      <c r="AR87" s="132">
        <f t="shared" ref="AR87:AR94" si="213">IF($Q87="C", (F87*$N87),0)</f>
        <v>0</v>
      </c>
      <c r="AS87" s="235"/>
    </row>
    <row r="88" spans="1:45" s="20" customFormat="1">
      <c r="A88" s="46" t="s">
        <v>326</v>
      </c>
      <c r="B88" s="20" t="s">
        <v>58</v>
      </c>
      <c r="C88" s="165">
        <v>1</v>
      </c>
      <c r="D88" s="96" t="s">
        <v>9</v>
      </c>
      <c r="E88" s="166">
        <v>105</v>
      </c>
      <c r="F88" s="167">
        <f t="shared" si="196"/>
        <v>105</v>
      </c>
      <c r="G88" s="168">
        <v>0</v>
      </c>
      <c r="H88" s="168">
        <v>24</v>
      </c>
      <c r="I88" s="168">
        <v>0</v>
      </c>
      <c r="J88" s="168">
        <v>0</v>
      </c>
      <c r="K88" s="169">
        <v>0</v>
      </c>
      <c r="L88" s="96" t="s">
        <v>8</v>
      </c>
      <c r="M88" s="166">
        <f t="shared" si="197"/>
        <v>2274.4800000000005</v>
      </c>
      <c r="N88" s="92">
        <v>1</v>
      </c>
      <c r="O88" s="170">
        <f t="shared" si="198"/>
        <v>2379.4800000000005</v>
      </c>
      <c r="P88" s="170"/>
      <c r="Q88" s="52" t="s">
        <v>47</v>
      </c>
      <c r="R88" s="71" t="s">
        <v>77</v>
      </c>
      <c r="S88" s="137" t="str">
        <f t="shared" si="199"/>
        <v>BPD2011</v>
      </c>
      <c r="T88" s="137" t="str">
        <f t="shared" si="200"/>
        <v>B1.5.1.1.22011</v>
      </c>
      <c r="U88" s="137" t="s">
        <v>202</v>
      </c>
      <c r="V88" s="137" t="str">
        <f t="shared" si="201"/>
        <v>East Support Cylinder (ESC)</v>
      </c>
      <c r="AB88" s="33">
        <v>2011</v>
      </c>
      <c r="AC88" s="132">
        <f t="shared" si="202"/>
        <v>0</v>
      </c>
      <c r="AD88" s="132">
        <f t="shared" si="203"/>
        <v>24</v>
      </c>
      <c r="AE88" s="132">
        <f t="shared" si="204"/>
        <v>0</v>
      </c>
      <c r="AF88" s="132">
        <f t="shared" si="205"/>
        <v>0</v>
      </c>
      <c r="AG88" s="132">
        <f t="shared" si="206"/>
        <v>0</v>
      </c>
      <c r="AH88" s="234">
        <f t="shared" si="207"/>
        <v>105</v>
      </c>
      <c r="AI88" s="235"/>
      <c r="AJ88" s="132"/>
      <c r="AK88" s="132"/>
      <c r="AL88" s="166"/>
      <c r="AM88" s="131">
        <f t="shared" si="208"/>
        <v>0</v>
      </c>
      <c r="AN88" s="132">
        <f t="shared" si="209"/>
        <v>0</v>
      </c>
      <c r="AO88" s="132">
        <f t="shared" si="210"/>
        <v>0</v>
      </c>
      <c r="AP88" s="132">
        <f t="shared" si="211"/>
        <v>0</v>
      </c>
      <c r="AQ88" s="132">
        <f t="shared" si="212"/>
        <v>0</v>
      </c>
      <c r="AR88" s="132">
        <f t="shared" si="213"/>
        <v>0</v>
      </c>
      <c r="AS88" s="235"/>
    </row>
    <row r="89" spans="1:45" s="20" customFormat="1">
      <c r="A89" s="46" t="s">
        <v>327</v>
      </c>
      <c r="B89" s="20" t="s">
        <v>58</v>
      </c>
      <c r="C89" s="165">
        <v>2</v>
      </c>
      <c r="D89" s="96" t="s">
        <v>9</v>
      </c>
      <c r="E89" s="166">
        <v>105</v>
      </c>
      <c r="F89" s="167">
        <f t="shared" si="196"/>
        <v>210</v>
      </c>
      <c r="G89" s="168">
        <v>4</v>
      </c>
      <c r="H89" s="168">
        <v>16</v>
      </c>
      <c r="I89" s="168">
        <v>0</v>
      </c>
      <c r="J89" s="168">
        <v>1</v>
      </c>
      <c r="K89" s="169">
        <v>0</v>
      </c>
      <c r="L89" s="96" t="s">
        <v>8</v>
      </c>
      <c r="M89" s="166">
        <f t="shared" si="197"/>
        <v>2046.0600000000002</v>
      </c>
      <c r="N89" s="92">
        <v>1</v>
      </c>
      <c r="O89" s="170">
        <f t="shared" si="198"/>
        <v>2256.0600000000004</v>
      </c>
      <c r="P89" s="170"/>
      <c r="Q89" s="52" t="s">
        <v>47</v>
      </c>
      <c r="R89" s="71" t="s">
        <v>77</v>
      </c>
      <c r="S89" s="137" t="str">
        <f t="shared" si="199"/>
        <v>BPD2011</v>
      </c>
      <c r="T89" s="137" t="str">
        <f t="shared" si="200"/>
        <v>B1.5.1.1.22011</v>
      </c>
      <c r="U89" s="137" t="s">
        <v>202</v>
      </c>
      <c r="V89" s="137" t="str">
        <f t="shared" si="201"/>
        <v>East Support Cylinder (ESC)</v>
      </c>
      <c r="AB89" s="33">
        <v>2011</v>
      </c>
      <c r="AC89" s="132">
        <f t="shared" si="202"/>
        <v>4</v>
      </c>
      <c r="AD89" s="132">
        <f t="shared" si="203"/>
        <v>16</v>
      </c>
      <c r="AE89" s="132">
        <f t="shared" si="204"/>
        <v>0</v>
      </c>
      <c r="AF89" s="132">
        <f t="shared" si="205"/>
        <v>1</v>
      </c>
      <c r="AG89" s="132">
        <f t="shared" si="206"/>
        <v>0</v>
      </c>
      <c r="AH89" s="234">
        <f t="shared" si="207"/>
        <v>210</v>
      </c>
      <c r="AI89" s="235"/>
      <c r="AJ89" s="132"/>
      <c r="AK89" s="132"/>
      <c r="AL89" s="166"/>
      <c r="AM89" s="131">
        <f t="shared" si="208"/>
        <v>0</v>
      </c>
      <c r="AN89" s="132">
        <f t="shared" si="209"/>
        <v>0</v>
      </c>
      <c r="AO89" s="132">
        <f t="shared" si="210"/>
        <v>0</v>
      </c>
      <c r="AP89" s="132">
        <f t="shared" si="211"/>
        <v>0</v>
      </c>
      <c r="AQ89" s="132">
        <f t="shared" si="212"/>
        <v>0</v>
      </c>
      <c r="AR89" s="132">
        <f t="shared" si="213"/>
        <v>0</v>
      </c>
      <c r="AS89" s="235"/>
    </row>
    <row r="90" spans="1:45" s="20" customFormat="1">
      <c r="A90" s="46" t="s">
        <v>328</v>
      </c>
      <c r="B90" s="20" t="s">
        <v>58</v>
      </c>
      <c r="C90" s="165">
        <v>1</v>
      </c>
      <c r="D90" s="96" t="s">
        <v>9</v>
      </c>
      <c r="E90" s="166">
        <v>105</v>
      </c>
      <c r="F90" s="167">
        <f t="shared" si="196"/>
        <v>105</v>
      </c>
      <c r="G90" s="168">
        <v>2</v>
      </c>
      <c r="H90" s="168">
        <v>8</v>
      </c>
      <c r="I90" s="168">
        <v>0</v>
      </c>
      <c r="J90" s="168">
        <v>1</v>
      </c>
      <c r="K90" s="169">
        <v>0</v>
      </c>
      <c r="L90" s="96" t="s">
        <v>8</v>
      </c>
      <c r="M90" s="166">
        <f t="shared" si="197"/>
        <v>1083.7800000000002</v>
      </c>
      <c r="N90" s="92">
        <v>1</v>
      </c>
      <c r="O90" s="170">
        <f t="shared" si="198"/>
        <v>1188.7800000000002</v>
      </c>
      <c r="P90" s="170"/>
      <c r="Q90" s="52" t="s">
        <v>47</v>
      </c>
      <c r="R90" s="71" t="s">
        <v>77</v>
      </c>
      <c r="S90" s="137" t="str">
        <f t="shared" si="199"/>
        <v>BPD2011</v>
      </c>
      <c r="T90" s="137" t="str">
        <f t="shared" si="200"/>
        <v>B1.5.1.1.22011</v>
      </c>
      <c r="U90" s="137" t="s">
        <v>202</v>
      </c>
      <c r="V90" s="137" t="str">
        <f t="shared" si="201"/>
        <v>East Support Cylinder (ESC)</v>
      </c>
      <c r="AB90" s="33">
        <v>2011</v>
      </c>
      <c r="AC90" s="132">
        <f t="shared" ref="AC90:AC93" si="214">IF($Q90="B", (G90*$N90),0)</f>
        <v>2</v>
      </c>
      <c r="AD90" s="132">
        <f t="shared" ref="AD90:AD93" si="215">IF($Q90="B", (H90*$N90),0)</f>
        <v>8</v>
      </c>
      <c r="AE90" s="132">
        <f t="shared" ref="AE90:AE93" si="216">IF($Q90="B", (I90*$N90),0)</f>
        <v>0</v>
      </c>
      <c r="AF90" s="132">
        <f t="shared" ref="AF90:AF93" si="217">IF($Q90="B", (J90*$N90),0)</f>
        <v>1</v>
      </c>
      <c r="AG90" s="132">
        <f t="shared" ref="AG90:AG93" si="218">IF($Q90="B", (K90*$N90),0)</f>
        <v>0</v>
      </c>
      <c r="AH90" s="234">
        <f t="shared" si="207"/>
        <v>105</v>
      </c>
      <c r="AI90" s="235"/>
      <c r="AJ90" s="132"/>
      <c r="AK90" s="132"/>
      <c r="AL90" s="166"/>
      <c r="AM90" s="131">
        <f t="shared" ref="AM90:AM93" si="219">IF($Q90="C", (G90*$N90),0)</f>
        <v>0</v>
      </c>
      <c r="AN90" s="132">
        <f t="shared" ref="AN90:AN93" si="220">IF($Q90="C", (H90*$N90),0)</f>
        <v>0</v>
      </c>
      <c r="AO90" s="132">
        <f t="shared" ref="AO90:AO93" si="221">IF($Q90="C", (I90*$N90),0)</f>
        <v>0</v>
      </c>
      <c r="AP90" s="132">
        <f t="shared" ref="AP90:AP93" si="222">IF($Q90="C", (J90*$N90),0)</f>
        <v>0</v>
      </c>
      <c r="AQ90" s="132">
        <f t="shared" ref="AQ90:AQ93" si="223">IF($Q90="C", (K90*$N90),0)</f>
        <v>0</v>
      </c>
      <c r="AR90" s="132">
        <f t="shared" si="213"/>
        <v>0</v>
      </c>
      <c r="AS90" s="235"/>
    </row>
    <row r="91" spans="1:45" s="20" customFormat="1">
      <c r="A91" s="46" t="s">
        <v>318</v>
      </c>
      <c r="B91" s="20" t="s">
        <v>34</v>
      </c>
      <c r="C91" s="165">
        <v>0.03</v>
      </c>
      <c r="D91" s="96" t="s">
        <v>9</v>
      </c>
      <c r="E91" s="166">
        <v>0</v>
      </c>
      <c r="F91" s="167">
        <f t="shared" si="196"/>
        <v>0</v>
      </c>
      <c r="G91" s="168">
        <v>0</v>
      </c>
      <c r="H91" s="168">
        <v>16</v>
      </c>
      <c r="I91" s="168">
        <v>0</v>
      </c>
      <c r="J91" s="168">
        <v>8</v>
      </c>
      <c r="K91" s="169">
        <v>0</v>
      </c>
      <c r="L91" s="96" t="s">
        <v>8</v>
      </c>
      <c r="M91" s="166">
        <f t="shared" si="197"/>
        <v>2488.3200000000002</v>
      </c>
      <c r="N91" s="92">
        <v>1</v>
      </c>
      <c r="O91" s="170">
        <f t="shared" si="198"/>
        <v>2488.3200000000002</v>
      </c>
      <c r="P91" s="170"/>
      <c r="Q91" s="52" t="s">
        <v>48</v>
      </c>
      <c r="R91" s="71" t="s">
        <v>77</v>
      </c>
      <c r="S91" s="137" t="str">
        <f t="shared" si="199"/>
        <v>CPD2011</v>
      </c>
      <c r="T91" s="137" t="str">
        <f t="shared" si="200"/>
        <v>C1.5.1.1.22011</v>
      </c>
      <c r="U91" s="137" t="s">
        <v>202</v>
      </c>
      <c r="V91" s="137" t="str">
        <f t="shared" si="201"/>
        <v>East Support Cylinder (ESC)</v>
      </c>
      <c r="AB91" s="33">
        <v>2011</v>
      </c>
      <c r="AC91" s="132">
        <f t="shared" si="214"/>
        <v>0</v>
      </c>
      <c r="AD91" s="132">
        <f t="shared" si="215"/>
        <v>0</v>
      </c>
      <c r="AE91" s="132">
        <f t="shared" si="216"/>
        <v>0</v>
      </c>
      <c r="AF91" s="132">
        <f t="shared" si="217"/>
        <v>0</v>
      </c>
      <c r="AG91" s="132">
        <f t="shared" si="218"/>
        <v>0</v>
      </c>
      <c r="AH91" s="234">
        <f t="shared" si="207"/>
        <v>0</v>
      </c>
      <c r="AI91" s="235"/>
      <c r="AJ91" s="132"/>
      <c r="AK91" s="132"/>
      <c r="AL91" s="166"/>
      <c r="AM91" s="131">
        <f t="shared" si="219"/>
        <v>0</v>
      </c>
      <c r="AN91" s="132">
        <f t="shared" si="220"/>
        <v>16</v>
      </c>
      <c r="AO91" s="132">
        <f t="shared" si="221"/>
        <v>0</v>
      </c>
      <c r="AP91" s="132">
        <f t="shared" si="222"/>
        <v>8</v>
      </c>
      <c r="AQ91" s="132">
        <f t="shared" si="223"/>
        <v>0</v>
      </c>
      <c r="AR91" s="132">
        <f t="shared" si="213"/>
        <v>0</v>
      </c>
      <c r="AS91" s="235"/>
    </row>
    <row r="92" spans="1:45" s="20" customFormat="1">
      <c r="A92" s="46" t="s">
        <v>326</v>
      </c>
      <c r="B92" s="20" t="s">
        <v>58</v>
      </c>
      <c r="C92" s="165">
        <v>1</v>
      </c>
      <c r="D92" s="96" t="s">
        <v>9</v>
      </c>
      <c r="E92" s="166">
        <v>105</v>
      </c>
      <c r="F92" s="167">
        <f t="shared" si="196"/>
        <v>105</v>
      </c>
      <c r="G92" s="168">
        <v>0</v>
      </c>
      <c r="H92" s="168">
        <v>24</v>
      </c>
      <c r="I92" s="168">
        <v>0</v>
      </c>
      <c r="J92" s="168">
        <v>0</v>
      </c>
      <c r="K92" s="169">
        <v>0</v>
      </c>
      <c r="L92" s="96" t="s">
        <v>8</v>
      </c>
      <c r="M92" s="166">
        <f t="shared" si="197"/>
        <v>2274.4800000000005</v>
      </c>
      <c r="N92" s="92">
        <v>1</v>
      </c>
      <c r="O92" s="170">
        <f t="shared" si="198"/>
        <v>2379.4800000000005</v>
      </c>
      <c r="P92" s="170"/>
      <c r="Q92" s="52" t="s">
        <v>48</v>
      </c>
      <c r="R92" s="71" t="s">
        <v>77</v>
      </c>
      <c r="S92" s="137" t="str">
        <f t="shared" si="199"/>
        <v>CPD2011</v>
      </c>
      <c r="T92" s="137" t="str">
        <f t="shared" si="200"/>
        <v>C1.5.1.1.22011</v>
      </c>
      <c r="U92" s="137" t="s">
        <v>202</v>
      </c>
      <c r="V92" s="137" t="str">
        <f t="shared" si="201"/>
        <v>East Support Cylinder (ESC)</v>
      </c>
      <c r="AB92" s="33">
        <v>2011</v>
      </c>
      <c r="AC92" s="132">
        <f t="shared" si="214"/>
        <v>0</v>
      </c>
      <c r="AD92" s="132">
        <f t="shared" si="215"/>
        <v>0</v>
      </c>
      <c r="AE92" s="132">
        <f t="shared" si="216"/>
        <v>0</v>
      </c>
      <c r="AF92" s="132">
        <f t="shared" si="217"/>
        <v>0</v>
      </c>
      <c r="AG92" s="132">
        <f t="shared" si="218"/>
        <v>0</v>
      </c>
      <c r="AH92" s="234">
        <f t="shared" si="207"/>
        <v>0</v>
      </c>
      <c r="AI92" s="235"/>
      <c r="AJ92" s="132"/>
      <c r="AK92" s="132"/>
      <c r="AL92" s="166"/>
      <c r="AM92" s="131">
        <f t="shared" si="219"/>
        <v>0</v>
      </c>
      <c r="AN92" s="132">
        <f t="shared" si="220"/>
        <v>24</v>
      </c>
      <c r="AO92" s="132">
        <f t="shared" si="221"/>
        <v>0</v>
      </c>
      <c r="AP92" s="132">
        <f t="shared" si="222"/>
        <v>0</v>
      </c>
      <c r="AQ92" s="132">
        <f t="shared" si="223"/>
        <v>0</v>
      </c>
      <c r="AR92" s="132">
        <f t="shared" si="213"/>
        <v>105</v>
      </c>
      <c r="AS92" s="235"/>
    </row>
    <row r="93" spans="1:45" s="20" customFormat="1">
      <c r="A93" s="46" t="s">
        <v>327</v>
      </c>
      <c r="B93" s="20" t="s">
        <v>58</v>
      </c>
      <c r="C93" s="165">
        <v>2</v>
      </c>
      <c r="D93" s="96" t="s">
        <v>9</v>
      </c>
      <c r="E93" s="166">
        <v>105</v>
      </c>
      <c r="F93" s="167">
        <f t="shared" si="196"/>
        <v>210</v>
      </c>
      <c r="G93" s="168">
        <v>4</v>
      </c>
      <c r="H93" s="168">
        <v>16</v>
      </c>
      <c r="I93" s="168">
        <v>0</v>
      </c>
      <c r="J93" s="168">
        <v>1</v>
      </c>
      <c r="K93" s="169">
        <v>0</v>
      </c>
      <c r="L93" s="96" t="s">
        <v>8</v>
      </c>
      <c r="M93" s="166">
        <f t="shared" si="197"/>
        <v>2046.0600000000002</v>
      </c>
      <c r="N93" s="92">
        <v>1</v>
      </c>
      <c r="O93" s="170">
        <f t="shared" si="198"/>
        <v>2256.0600000000004</v>
      </c>
      <c r="P93" s="170"/>
      <c r="Q93" s="52" t="s">
        <v>48</v>
      </c>
      <c r="R93" s="71" t="s">
        <v>77</v>
      </c>
      <c r="S93" s="137" t="str">
        <f t="shared" si="199"/>
        <v>CPD2011</v>
      </c>
      <c r="T93" s="137" t="str">
        <f t="shared" si="200"/>
        <v>C1.5.1.1.22011</v>
      </c>
      <c r="U93" s="137" t="s">
        <v>202</v>
      </c>
      <c r="V93" s="137" t="str">
        <f t="shared" si="201"/>
        <v>East Support Cylinder (ESC)</v>
      </c>
      <c r="AB93" s="33">
        <v>2011</v>
      </c>
      <c r="AC93" s="132">
        <f t="shared" si="214"/>
        <v>0</v>
      </c>
      <c r="AD93" s="132">
        <f t="shared" si="215"/>
        <v>0</v>
      </c>
      <c r="AE93" s="132">
        <f t="shared" si="216"/>
        <v>0</v>
      </c>
      <c r="AF93" s="132">
        <f t="shared" si="217"/>
        <v>0</v>
      </c>
      <c r="AG93" s="132">
        <f t="shared" si="218"/>
        <v>0</v>
      </c>
      <c r="AH93" s="234">
        <f t="shared" si="207"/>
        <v>0</v>
      </c>
      <c r="AI93" s="235"/>
      <c r="AJ93" s="132"/>
      <c r="AK93" s="132"/>
      <c r="AL93" s="166"/>
      <c r="AM93" s="131">
        <f t="shared" si="219"/>
        <v>4</v>
      </c>
      <c r="AN93" s="132">
        <f t="shared" si="220"/>
        <v>16</v>
      </c>
      <c r="AO93" s="132">
        <f t="shared" si="221"/>
        <v>0</v>
      </c>
      <c r="AP93" s="132">
        <f t="shared" si="222"/>
        <v>1</v>
      </c>
      <c r="AQ93" s="132">
        <f t="shared" si="223"/>
        <v>0</v>
      </c>
      <c r="AR93" s="132">
        <f t="shared" si="213"/>
        <v>210</v>
      </c>
      <c r="AS93" s="235"/>
    </row>
    <row r="94" spans="1:45" s="20" customFormat="1">
      <c r="A94" s="46" t="s">
        <v>328</v>
      </c>
      <c r="B94" s="20" t="s">
        <v>58</v>
      </c>
      <c r="C94" s="165">
        <v>1</v>
      </c>
      <c r="D94" s="96" t="s">
        <v>9</v>
      </c>
      <c r="E94" s="166">
        <v>105</v>
      </c>
      <c r="F94" s="167">
        <f t="shared" si="196"/>
        <v>105</v>
      </c>
      <c r="G94" s="168">
        <v>2</v>
      </c>
      <c r="H94" s="168">
        <v>8</v>
      </c>
      <c r="I94" s="168">
        <v>0</v>
      </c>
      <c r="J94" s="168">
        <v>1</v>
      </c>
      <c r="K94" s="169">
        <v>0</v>
      </c>
      <c r="L94" s="96" t="s">
        <v>8</v>
      </c>
      <c r="M94" s="166">
        <f t="shared" si="197"/>
        <v>1083.7800000000002</v>
      </c>
      <c r="N94" s="92">
        <v>1</v>
      </c>
      <c r="O94" s="170">
        <f t="shared" si="198"/>
        <v>1188.7800000000002</v>
      </c>
      <c r="P94" s="170"/>
      <c r="Q94" s="52" t="s">
        <v>48</v>
      </c>
      <c r="R94" s="71" t="s">
        <v>77</v>
      </c>
      <c r="S94" s="137" t="str">
        <f t="shared" si="199"/>
        <v>CPD2011</v>
      </c>
      <c r="T94" s="137" t="str">
        <f t="shared" si="200"/>
        <v>C1.5.1.1.22011</v>
      </c>
      <c r="U94" s="137" t="s">
        <v>202</v>
      </c>
      <c r="V94" s="137" t="str">
        <f t="shared" si="201"/>
        <v>East Support Cylinder (ESC)</v>
      </c>
      <c r="AB94" s="33">
        <v>2011</v>
      </c>
      <c r="AC94" s="132">
        <f t="shared" ref="AC94" si="224">IF($Q94="B", (G94*$N94),0)</f>
        <v>0</v>
      </c>
      <c r="AD94" s="132">
        <f t="shared" ref="AD94" si="225">IF($Q94="B", (H94*$N94),0)</f>
        <v>0</v>
      </c>
      <c r="AE94" s="132">
        <f t="shared" ref="AE94" si="226">IF($Q94="B", (I94*$N94),0)</f>
        <v>0</v>
      </c>
      <c r="AF94" s="132">
        <f t="shared" ref="AF94" si="227">IF($Q94="B", (J94*$N94),0)</f>
        <v>0</v>
      </c>
      <c r="AG94" s="132">
        <f t="shared" ref="AG94" si="228">IF($Q94="B", (K94*$N94),0)</f>
        <v>0</v>
      </c>
      <c r="AH94" s="234">
        <f t="shared" si="207"/>
        <v>0</v>
      </c>
      <c r="AI94" s="235"/>
      <c r="AJ94" s="132"/>
      <c r="AK94" s="132"/>
      <c r="AL94" s="166"/>
      <c r="AM94" s="131">
        <f t="shared" ref="AM94" si="229">IF($Q94="C", (G94*$N94),0)</f>
        <v>2</v>
      </c>
      <c r="AN94" s="132">
        <f t="shared" ref="AN94" si="230">IF($Q94="C", (H94*$N94),0)</f>
        <v>8</v>
      </c>
      <c r="AO94" s="132">
        <f t="shared" ref="AO94" si="231">IF($Q94="C", (I94*$N94),0)</f>
        <v>0</v>
      </c>
      <c r="AP94" s="132">
        <f t="shared" ref="AP94" si="232">IF($Q94="C", (J94*$N94),0)</f>
        <v>1</v>
      </c>
      <c r="AQ94" s="132">
        <f t="shared" ref="AQ94" si="233">IF($Q94="C", (K94*$N94),0)</f>
        <v>0</v>
      </c>
      <c r="AR94" s="132">
        <f t="shared" si="213"/>
        <v>105</v>
      </c>
      <c r="AS94" s="235"/>
    </row>
    <row r="95" spans="1:45" s="20" customFormat="1">
      <c r="A95" s="47" t="s">
        <v>330</v>
      </c>
      <c r="C95" s="165"/>
      <c r="D95" s="96"/>
      <c r="E95" s="57"/>
      <c r="F95" s="58"/>
      <c r="G95" s="59"/>
      <c r="H95" s="59"/>
      <c r="I95" s="59"/>
      <c r="J95" s="59"/>
      <c r="K95" s="60"/>
      <c r="L95" s="217" t="s">
        <v>66</v>
      </c>
      <c r="M95" s="177">
        <f>SUMIF(Q87:Q94,"B",M87:M94)</f>
        <v>7892.6400000000012</v>
      </c>
      <c r="N95" s="65" t="s">
        <v>65</v>
      </c>
      <c r="O95" s="170"/>
      <c r="P95" s="170"/>
      <c r="Q95" s="52"/>
      <c r="R95" s="71"/>
      <c r="S95" s="137"/>
      <c r="T95" s="137"/>
      <c r="U95" s="137"/>
      <c r="V95" s="137"/>
      <c r="AB95" s="33"/>
      <c r="AC95" s="132"/>
      <c r="AD95" s="132"/>
      <c r="AE95" s="135"/>
      <c r="AF95" s="132"/>
      <c r="AG95" s="132"/>
      <c r="AH95" s="234"/>
      <c r="AI95" s="235"/>
      <c r="AJ95" s="132"/>
      <c r="AK95" s="132"/>
      <c r="AL95" s="166"/>
      <c r="AM95" s="131"/>
      <c r="AN95" s="132"/>
      <c r="AO95" s="132"/>
      <c r="AP95" s="132"/>
      <c r="AQ95" s="132"/>
      <c r="AR95" s="132"/>
      <c r="AS95" s="235"/>
    </row>
    <row r="96" spans="1:45" s="20" customFormat="1">
      <c r="A96" s="46" t="s">
        <v>339</v>
      </c>
      <c r="B96" s="20" t="s">
        <v>7</v>
      </c>
      <c r="C96" s="165">
        <v>200</v>
      </c>
      <c r="D96" s="96" t="s">
        <v>39</v>
      </c>
      <c r="E96" s="166">
        <v>8</v>
      </c>
      <c r="F96" s="167">
        <f t="shared" ref="F96" si="234">E96*C96</f>
        <v>1600</v>
      </c>
      <c r="G96" s="168">
        <v>40</v>
      </c>
      <c r="H96" s="168">
        <v>0</v>
      </c>
      <c r="I96" s="168">
        <v>0</v>
      </c>
      <c r="J96" s="168">
        <v>0</v>
      </c>
      <c r="K96" s="169">
        <v>0</v>
      </c>
      <c r="L96" s="96" t="s">
        <v>8</v>
      </c>
      <c r="M96" s="166">
        <f t="shared" ref="M96" si="235">IF(R96="PD",((Shop*G96)+(M_Tech*H96)+(CMM*I96)+(ENG*J96)+(DES*K96))*N96,((Shop_RD*G96)+(MTECH_RD*H96)+(CMM_RD*I96)+(ENG_RD*J96)+(DES_RD*K96))*N96)</f>
        <v>4082.4</v>
      </c>
      <c r="N96" s="92">
        <v>1</v>
      </c>
      <c r="O96" s="170">
        <f t="shared" ref="O96" si="236">M96+(F96*N96)</f>
        <v>5682.4</v>
      </c>
      <c r="P96" s="170"/>
      <c r="Q96" s="52" t="s">
        <v>47</v>
      </c>
      <c r="R96" s="71" t="s">
        <v>77</v>
      </c>
      <c r="S96" s="137" t="str">
        <f t="shared" ref="S96" si="237">CONCATENATE(Q96,R96,AB96)</f>
        <v>BPD2011</v>
      </c>
      <c r="T96" s="137" t="str">
        <f t="shared" ref="T96" si="238">CONCATENATE(Q96,U96,AB96)</f>
        <v>B1.5.1.1.22011</v>
      </c>
      <c r="U96" s="137" t="s">
        <v>202</v>
      </c>
      <c r="V96" s="137" t="str">
        <f>LOOKUP(U96,$B$539:$B$574,$A$539:$A$574)</f>
        <v>East Support Cylinder (ESC)</v>
      </c>
      <c r="AB96" s="33">
        <v>2011</v>
      </c>
      <c r="AC96" s="132">
        <f t="shared" ref="AC96" si="239">IF($Q96="B", (G96*$N96),0)</f>
        <v>40</v>
      </c>
      <c r="AD96" s="132">
        <f t="shared" ref="AD96" si="240">IF($Q96="B", (H96*$N96),0)</f>
        <v>0</v>
      </c>
      <c r="AE96" s="132">
        <f t="shared" ref="AE96" si="241">IF($Q96="B", (I96*$N96),0)</f>
        <v>0</v>
      </c>
      <c r="AF96" s="132">
        <f t="shared" ref="AF96" si="242">IF($Q96="B", (J96*$N96),0)</f>
        <v>0</v>
      </c>
      <c r="AG96" s="132">
        <f t="shared" ref="AG96" si="243">IF($Q96="B", (K96*$N96),0)</f>
        <v>0</v>
      </c>
      <c r="AH96" s="234">
        <f t="shared" ref="AH96" si="244">IF($Q96="B", (F96*$N96),0)</f>
        <v>1600</v>
      </c>
      <c r="AI96" s="235"/>
      <c r="AJ96" s="132"/>
      <c r="AK96" s="132"/>
      <c r="AL96" s="166"/>
      <c r="AM96" s="131">
        <f t="shared" ref="AM96" si="245">IF($Q96="C", (G96*$N96),0)</f>
        <v>0</v>
      </c>
      <c r="AN96" s="132">
        <f t="shared" ref="AN96" si="246">IF($Q96="C", (H96*$N96),0)</f>
        <v>0</v>
      </c>
      <c r="AO96" s="132">
        <f t="shared" ref="AO96" si="247">IF($Q96="C", (I96*$N96),0)</f>
        <v>0</v>
      </c>
      <c r="AP96" s="132">
        <f t="shared" ref="AP96" si="248">IF($Q96="C", (J96*$N96),0)</f>
        <v>0</v>
      </c>
      <c r="AQ96" s="132">
        <f t="shared" ref="AQ96" si="249">IF($Q96="C", (K96*$N96),0)</f>
        <v>0</v>
      </c>
      <c r="AR96" s="132">
        <f t="shared" ref="AR96" si="250">IF($Q96="C", (F96*$N96),0)</f>
        <v>0</v>
      </c>
      <c r="AS96" s="235"/>
    </row>
    <row r="97" spans="1:45" s="20" customFormat="1">
      <c r="A97" s="46" t="s">
        <v>278</v>
      </c>
      <c r="B97" s="20" t="s">
        <v>7</v>
      </c>
      <c r="C97" s="165">
        <v>0.1</v>
      </c>
      <c r="D97" s="96" t="s">
        <v>39</v>
      </c>
      <c r="E97" s="166">
        <v>8</v>
      </c>
      <c r="F97" s="167">
        <f t="shared" ref="F97" si="251">E97*C97</f>
        <v>0.8</v>
      </c>
      <c r="G97" s="168">
        <v>0.2</v>
      </c>
      <c r="H97" s="168">
        <v>0</v>
      </c>
      <c r="I97" s="168">
        <v>0</v>
      </c>
      <c r="J97" s="168">
        <v>0</v>
      </c>
      <c r="K97" s="169">
        <v>0</v>
      </c>
      <c r="L97" s="96" t="s">
        <v>8</v>
      </c>
      <c r="M97" s="166">
        <f t="shared" ref="M97" si="252">IF(R97="PD",((Shop*G97)+(M_Tech*H97)+(CMM*I97)+(ENG*J97)+(DES*K97))*N97,((Shop_RD*G97)+(MTECH_RD*H97)+(CMM_RD*I97)+(ENG_RD*J97)+(DES_RD*K97))*N97)</f>
        <v>1020.6000000000001</v>
      </c>
      <c r="N97" s="92">
        <v>50</v>
      </c>
      <c r="O97" s="170">
        <f t="shared" ref="O97" si="253">M97+(F97*N97)</f>
        <v>1060.6000000000001</v>
      </c>
      <c r="P97" s="170"/>
      <c r="Q97" s="52" t="s">
        <v>47</v>
      </c>
      <c r="R97" s="71" t="s">
        <v>77</v>
      </c>
      <c r="S97" s="137" t="str">
        <f t="shared" ref="S97" si="254">CONCATENATE(Q97,R97,AB97)</f>
        <v>BPD2011</v>
      </c>
      <c r="T97" s="137" t="str">
        <f t="shared" ref="T97" si="255">CONCATENATE(Q97,U97,AB97)</f>
        <v>B1.5.1.1.22011</v>
      </c>
      <c r="U97" s="137" t="s">
        <v>202</v>
      </c>
      <c r="V97" s="137" t="str">
        <f>LOOKUP(U97,$B$539:$B$574,$A$539:$A$574)</f>
        <v>East Support Cylinder (ESC)</v>
      </c>
      <c r="AB97" s="33">
        <v>2011</v>
      </c>
      <c r="AC97" s="132">
        <f t="shared" ref="AC97" si="256">IF($Q97="B", (G97*$N97),0)</f>
        <v>10</v>
      </c>
      <c r="AD97" s="132">
        <f t="shared" ref="AD97" si="257">IF($Q97="B", (H97*$N97),0)</f>
        <v>0</v>
      </c>
      <c r="AE97" s="132">
        <f t="shared" ref="AE97" si="258">IF($Q97="B", (I97*$N97),0)</f>
        <v>0</v>
      </c>
      <c r="AF97" s="132">
        <f t="shared" ref="AF97" si="259">IF($Q97="B", (J97*$N97),0)</f>
        <v>0</v>
      </c>
      <c r="AG97" s="132">
        <f t="shared" ref="AG97" si="260">IF($Q97="B", (K97*$N97),0)</f>
        <v>0</v>
      </c>
      <c r="AH97" s="234">
        <f t="shared" ref="AH97" si="261">IF($Q97="B", (F97*$N97),0)</f>
        <v>40</v>
      </c>
      <c r="AI97" s="235"/>
      <c r="AJ97" s="132"/>
      <c r="AK97" s="132"/>
      <c r="AL97" s="166"/>
      <c r="AM97" s="131">
        <f t="shared" ref="AM97" si="262">IF($Q97="C", (G97*$N97),0)</f>
        <v>0</v>
      </c>
      <c r="AN97" s="132">
        <f t="shared" ref="AN97" si="263">IF($Q97="C", (H97*$N97),0)</f>
        <v>0</v>
      </c>
      <c r="AO97" s="132">
        <f t="shared" ref="AO97" si="264">IF($Q97="C", (I97*$N97),0)</f>
        <v>0</v>
      </c>
      <c r="AP97" s="132">
        <f t="shared" ref="AP97" si="265">IF($Q97="C", (J97*$N97),0)</f>
        <v>0</v>
      </c>
      <c r="AQ97" s="132">
        <f t="shared" ref="AQ97" si="266">IF($Q97="C", (K97*$N97),0)</f>
        <v>0</v>
      </c>
      <c r="AR97" s="132">
        <f t="shared" ref="AR97" si="267">IF($Q97="C", (F97*$N97),0)</f>
        <v>0</v>
      </c>
      <c r="AS97" s="235"/>
    </row>
    <row r="98" spans="1:45" s="20" customFormat="1">
      <c r="A98" s="47" t="s">
        <v>331</v>
      </c>
      <c r="C98" s="165"/>
      <c r="D98" s="96"/>
      <c r="E98" s="57"/>
      <c r="F98" s="58"/>
      <c r="G98" s="59"/>
      <c r="H98" s="59"/>
      <c r="I98" s="59"/>
      <c r="J98" s="59"/>
      <c r="K98" s="60"/>
      <c r="L98" s="217" t="s">
        <v>66</v>
      </c>
      <c r="M98" s="177">
        <f>SUMIF(Q96:Q97,"B",M96:M97)</f>
        <v>5103</v>
      </c>
      <c r="N98" s="65" t="s">
        <v>65</v>
      </c>
      <c r="O98" s="170"/>
      <c r="P98" s="170"/>
      <c r="Q98" s="52"/>
      <c r="R98" s="71"/>
      <c r="S98" s="137"/>
      <c r="T98" s="137"/>
      <c r="U98" s="137"/>
      <c r="V98" s="137"/>
      <c r="AB98" s="33"/>
      <c r="AC98" s="132"/>
      <c r="AD98" s="132"/>
      <c r="AE98" s="135"/>
      <c r="AF98" s="132"/>
      <c r="AG98" s="132"/>
      <c r="AH98" s="234"/>
      <c r="AI98" s="235"/>
      <c r="AJ98" s="132"/>
      <c r="AK98" s="132"/>
      <c r="AL98" s="166"/>
      <c r="AM98" s="131"/>
      <c r="AN98" s="132"/>
      <c r="AO98" s="132"/>
      <c r="AP98" s="132"/>
      <c r="AQ98" s="132"/>
      <c r="AR98" s="132"/>
      <c r="AS98" s="235"/>
    </row>
    <row r="99" spans="1:45" s="20" customFormat="1">
      <c r="A99" s="46" t="s">
        <v>333</v>
      </c>
      <c r="B99" s="20" t="s">
        <v>34</v>
      </c>
      <c r="C99" s="165">
        <v>0</v>
      </c>
      <c r="D99" s="96" t="s">
        <v>9</v>
      </c>
      <c r="E99" s="166">
        <v>0</v>
      </c>
      <c r="F99" s="167">
        <f t="shared" ref="F99:F103" si="268">E99*C99</f>
        <v>0</v>
      </c>
      <c r="G99" s="168">
        <v>0</v>
      </c>
      <c r="H99" s="168">
        <v>0</v>
      </c>
      <c r="I99" s="168">
        <v>0</v>
      </c>
      <c r="J99" s="168">
        <v>24</v>
      </c>
      <c r="K99" s="169">
        <v>0</v>
      </c>
      <c r="L99" s="96" t="s">
        <v>8</v>
      </c>
      <c r="M99" s="166">
        <f t="shared" ref="M99:M103" si="269">IF(R99="PD",((Shop*G99)+(M_Tech*H99)+(CMM*I99)+(ENG*J99)+(DES*K99))*N99,((Shop_RD*G99)+(MTECH_RD*H99)+(CMM_RD*I99)+(ENG_RD*J99)+(DES_RD*K99))*N99)</f>
        <v>2916.0000000000005</v>
      </c>
      <c r="N99" s="92">
        <v>1</v>
      </c>
      <c r="O99" s="170">
        <f t="shared" ref="O99:O103" si="270">M99+(F99*N99)</f>
        <v>2916.0000000000005</v>
      </c>
      <c r="P99" s="170"/>
      <c r="Q99" s="52" t="s">
        <v>47</v>
      </c>
      <c r="R99" s="71" t="s">
        <v>77</v>
      </c>
      <c r="S99" s="137" t="str">
        <f t="shared" ref="S99:S103" si="271">CONCATENATE(Q99,R99,AB99)</f>
        <v>BPD2011</v>
      </c>
      <c r="T99" s="137" t="str">
        <f t="shared" ref="T99:T103" si="272">CONCATENATE(Q99,U99,AB99)</f>
        <v>B1.5.1.1.22011</v>
      </c>
      <c r="U99" s="137" t="s">
        <v>202</v>
      </c>
      <c r="V99" s="137" t="str">
        <f>LOOKUP(U99,$B$539:$B$574,$A$539:$A$574)</f>
        <v>East Support Cylinder (ESC)</v>
      </c>
      <c r="AB99" s="33">
        <v>2011</v>
      </c>
      <c r="AC99" s="132">
        <f t="shared" ref="AC99:AG103" si="273">IF($Q99="B", (G99*$N99),0)</f>
        <v>0</v>
      </c>
      <c r="AD99" s="132">
        <f t="shared" si="273"/>
        <v>0</v>
      </c>
      <c r="AE99" s="132">
        <f t="shared" si="273"/>
        <v>0</v>
      </c>
      <c r="AF99" s="132">
        <f t="shared" si="273"/>
        <v>24</v>
      </c>
      <c r="AG99" s="132">
        <f t="shared" si="273"/>
        <v>0</v>
      </c>
      <c r="AH99" s="234">
        <f t="shared" ref="AH99:AH103" si="274">IF($Q99="B", (F99*$N99),0)</f>
        <v>0</v>
      </c>
      <c r="AI99" s="235"/>
      <c r="AJ99" s="132"/>
      <c r="AK99" s="132"/>
      <c r="AL99" s="166"/>
      <c r="AM99" s="131">
        <f t="shared" ref="AM99:AQ103" si="275">IF($Q99="C", (G99*$N99),0)</f>
        <v>0</v>
      </c>
      <c r="AN99" s="132">
        <f t="shared" si="275"/>
        <v>0</v>
      </c>
      <c r="AO99" s="132">
        <f t="shared" si="275"/>
        <v>0</v>
      </c>
      <c r="AP99" s="132">
        <f t="shared" si="275"/>
        <v>0</v>
      </c>
      <c r="AQ99" s="132">
        <f t="shared" si="275"/>
        <v>0</v>
      </c>
      <c r="AR99" s="132">
        <f t="shared" ref="AR99:AR103" si="276">IF($Q99="C", (F99*$N99),0)</f>
        <v>0</v>
      </c>
      <c r="AS99" s="235"/>
    </row>
    <row r="100" spans="1:45" s="20" customFormat="1">
      <c r="A100" s="46" t="s">
        <v>332</v>
      </c>
      <c r="B100" s="20" t="s">
        <v>34</v>
      </c>
      <c r="C100" s="165">
        <v>0</v>
      </c>
      <c r="D100" s="96" t="s">
        <v>9</v>
      </c>
      <c r="E100" s="166">
        <v>0</v>
      </c>
      <c r="F100" s="167">
        <f t="shared" ref="F100:F101" si="277">E100*C100</f>
        <v>0</v>
      </c>
      <c r="G100" s="168">
        <v>40</v>
      </c>
      <c r="H100" s="168">
        <v>8</v>
      </c>
      <c r="I100" s="168">
        <v>0</v>
      </c>
      <c r="J100" s="168">
        <v>0</v>
      </c>
      <c r="K100" s="169">
        <v>0</v>
      </c>
      <c r="L100" s="96" t="s">
        <v>8</v>
      </c>
      <c r="M100" s="166">
        <f t="shared" ref="M100:M101" si="278">IF(R100="PD",((Shop*G100)+(M_Tech*H100)+(CMM*I100)+(ENG*J100)+(DES*K100))*N100,((Shop_RD*G100)+(MTECH_RD*H100)+(CMM_RD*I100)+(ENG_RD*J100)+(DES_RD*K100))*N100)</f>
        <v>4840.5600000000004</v>
      </c>
      <c r="N100" s="92">
        <v>1</v>
      </c>
      <c r="O100" s="170">
        <f t="shared" ref="O100:O101" si="279">M100+(F100*N100)</f>
        <v>4840.5600000000004</v>
      </c>
      <c r="P100" s="170"/>
      <c r="Q100" s="52" t="s">
        <v>47</v>
      </c>
      <c r="R100" s="71" t="s">
        <v>77</v>
      </c>
      <c r="S100" s="137" t="str">
        <f t="shared" ref="S100:S101" si="280">CONCATENATE(Q100,R100,AB100)</f>
        <v>BPD2011</v>
      </c>
      <c r="T100" s="137" t="str">
        <f t="shared" ref="T100:T101" si="281">CONCATENATE(Q100,U100,AB100)</f>
        <v>B1.5.1.1.22011</v>
      </c>
      <c r="U100" s="137" t="s">
        <v>202</v>
      </c>
      <c r="V100" s="137" t="str">
        <f t="shared" ref="V100" si="282">LOOKUP(U100,$B$539:$B$574,$A$539:$A$574)</f>
        <v>East Support Cylinder (ESC)</v>
      </c>
      <c r="AB100" s="33">
        <v>2011</v>
      </c>
      <c r="AC100" s="132">
        <f t="shared" ref="AC100:AC101" si="283">IF($Q100="B", (G100*$N100),0)</f>
        <v>40</v>
      </c>
      <c r="AD100" s="132">
        <f t="shared" ref="AD100:AD101" si="284">IF($Q100="B", (H100*$N100),0)</f>
        <v>8</v>
      </c>
      <c r="AE100" s="132">
        <f t="shared" ref="AE100:AE101" si="285">IF($Q100="B", (I100*$N100),0)</f>
        <v>0</v>
      </c>
      <c r="AF100" s="132">
        <f t="shared" ref="AF100:AF101" si="286">IF($Q100="B", (J100*$N100),0)</f>
        <v>0</v>
      </c>
      <c r="AG100" s="132">
        <f t="shared" ref="AG100:AG101" si="287">IF($Q100="B", (K100*$N100),0)</f>
        <v>0</v>
      </c>
      <c r="AH100" s="234">
        <f t="shared" ref="AH100:AH101" si="288">IF($Q100="B", (F100*$N100),0)</f>
        <v>0</v>
      </c>
      <c r="AI100" s="235"/>
      <c r="AJ100" s="132"/>
      <c r="AK100" s="132"/>
      <c r="AL100" s="166"/>
      <c r="AM100" s="131">
        <f t="shared" ref="AM100:AM101" si="289">IF($Q100="C", (G100*$N100),0)</f>
        <v>0</v>
      </c>
      <c r="AN100" s="132">
        <f t="shared" ref="AN100:AN101" si="290">IF($Q100="C", (H100*$N100),0)</f>
        <v>0</v>
      </c>
      <c r="AO100" s="132">
        <f t="shared" ref="AO100:AO101" si="291">IF($Q100="C", (I100*$N100),0)</f>
        <v>0</v>
      </c>
      <c r="AP100" s="132">
        <f t="shared" ref="AP100:AP101" si="292">IF($Q100="C", (J100*$N100),0)</f>
        <v>0</v>
      </c>
      <c r="AQ100" s="132">
        <f t="shared" ref="AQ100:AQ101" si="293">IF($Q100="C", (K100*$N100),0)</f>
        <v>0</v>
      </c>
      <c r="AR100" s="132">
        <f t="shared" ref="AR100:AR101" si="294">IF($Q100="C", (F100*$N100),0)</f>
        <v>0</v>
      </c>
      <c r="AS100" s="235"/>
    </row>
    <row r="101" spans="1:45" s="20" customFormat="1">
      <c r="A101" s="46" t="s">
        <v>335</v>
      </c>
      <c r="B101" s="20" t="s">
        <v>34</v>
      </c>
      <c r="C101" s="165">
        <v>0</v>
      </c>
      <c r="D101" s="96" t="s">
        <v>9</v>
      </c>
      <c r="E101" s="166">
        <v>0</v>
      </c>
      <c r="F101" s="167">
        <f t="shared" si="277"/>
        <v>0</v>
      </c>
      <c r="G101" s="168">
        <v>0</v>
      </c>
      <c r="H101" s="168">
        <v>0</v>
      </c>
      <c r="I101" s="168">
        <v>0</v>
      </c>
      <c r="J101" s="168">
        <v>16</v>
      </c>
      <c r="K101" s="169">
        <v>0</v>
      </c>
      <c r="L101" s="96" t="s">
        <v>8</v>
      </c>
      <c r="M101" s="166">
        <f t="shared" si="278"/>
        <v>1944.0000000000002</v>
      </c>
      <c r="N101" s="92">
        <v>1</v>
      </c>
      <c r="O101" s="170">
        <f t="shared" si="279"/>
        <v>1944.0000000000002</v>
      </c>
      <c r="P101" s="170"/>
      <c r="Q101" s="52" t="s">
        <v>47</v>
      </c>
      <c r="R101" s="71" t="s">
        <v>77</v>
      </c>
      <c r="S101" s="137" t="str">
        <f t="shared" si="280"/>
        <v>BPD2011</v>
      </c>
      <c r="T101" s="137" t="str">
        <f t="shared" si="281"/>
        <v>B1.5.1.1.22011</v>
      </c>
      <c r="U101" s="137" t="s">
        <v>202</v>
      </c>
      <c r="V101" s="137" t="str">
        <f>LOOKUP(U101,$B$539:$B$574,$A$539:$A$574)</f>
        <v>East Support Cylinder (ESC)</v>
      </c>
      <c r="AB101" s="33">
        <v>2011</v>
      </c>
      <c r="AC101" s="132">
        <f t="shared" si="283"/>
        <v>0</v>
      </c>
      <c r="AD101" s="132">
        <f t="shared" si="284"/>
        <v>0</v>
      </c>
      <c r="AE101" s="132">
        <f t="shared" si="285"/>
        <v>0</v>
      </c>
      <c r="AF101" s="132">
        <f t="shared" si="286"/>
        <v>16</v>
      </c>
      <c r="AG101" s="132">
        <f t="shared" si="287"/>
        <v>0</v>
      </c>
      <c r="AH101" s="234">
        <f t="shared" si="288"/>
        <v>0</v>
      </c>
      <c r="AI101" s="235"/>
      <c r="AJ101" s="132"/>
      <c r="AK101" s="132"/>
      <c r="AL101" s="166"/>
      <c r="AM101" s="131">
        <f t="shared" si="289"/>
        <v>0</v>
      </c>
      <c r="AN101" s="132">
        <f t="shared" si="290"/>
        <v>0</v>
      </c>
      <c r="AO101" s="132">
        <f t="shared" si="291"/>
        <v>0</v>
      </c>
      <c r="AP101" s="132">
        <f t="shared" si="292"/>
        <v>0</v>
      </c>
      <c r="AQ101" s="132">
        <f t="shared" si="293"/>
        <v>0</v>
      </c>
      <c r="AR101" s="132">
        <f t="shared" si="294"/>
        <v>0</v>
      </c>
      <c r="AS101" s="235"/>
    </row>
    <row r="102" spans="1:45" s="20" customFormat="1">
      <c r="A102" s="46" t="s">
        <v>336</v>
      </c>
      <c r="B102" s="20" t="s">
        <v>34</v>
      </c>
      <c r="C102" s="165">
        <v>0</v>
      </c>
      <c r="D102" s="96" t="s">
        <v>9</v>
      </c>
      <c r="E102" s="166">
        <v>0</v>
      </c>
      <c r="F102" s="167">
        <f t="shared" ref="F102" si="295">E102*C102</f>
        <v>0</v>
      </c>
      <c r="G102" s="168">
        <v>32</v>
      </c>
      <c r="H102" s="168">
        <v>8</v>
      </c>
      <c r="I102" s="168">
        <v>0</v>
      </c>
      <c r="J102" s="168">
        <v>0</v>
      </c>
      <c r="K102" s="169">
        <v>0</v>
      </c>
      <c r="L102" s="96" t="s">
        <v>8</v>
      </c>
      <c r="M102" s="166">
        <f t="shared" ref="M102" si="296">IF(R102="PD",((Shop*G102)+(M_Tech*H102)+(CMM*I102)+(ENG*J102)+(DES*K102))*N102,((Shop_RD*G102)+(MTECH_RD*H102)+(CMM_RD*I102)+(ENG_RD*J102)+(DES_RD*K102))*N102)</f>
        <v>4024.08</v>
      </c>
      <c r="N102" s="92">
        <v>1</v>
      </c>
      <c r="O102" s="170">
        <f t="shared" ref="O102" si="297">M102+(F102*N102)</f>
        <v>4024.08</v>
      </c>
      <c r="P102" s="170"/>
      <c r="Q102" s="52" t="s">
        <v>47</v>
      </c>
      <c r="R102" s="71" t="s">
        <v>77</v>
      </c>
      <c r="S102" s="137" t="str">
        <f t="shared" ref="S102" si="298">CONCATENATE(Q102,R102,AB102)</f>
        <v>BPD2011</v>
      </c>
      <c r="T102" s="137" t="str">
        <f t="shared" ref="T102" si="299">CONCATENATE(Q102,U102,AB102)</f>
        <v>B1.5.1.1.22011</v>
      </c>
      <c r="U102" s="137" t="s">
        <v>202</v>
      </c>
      <c r="V102" s="137" t="str">
        <f t="shared" ref="V102" si="300">LOOKUP(U102,$B$539:$B$574,$A$539:$A$574)</f>
        <v>East Support Cylinder (ESC)</v>
      </c>
      <c r="AB102" s="33">
        <v>2011</v>
      </c>
      <c r="AC102" s="132">
        <f t="shared" ref="AC102" si="301">IF($Q102="B", (G102*$N102),0)</f>
        <v>32</v>
      </c>
      <c r="AD102" s="132">
        <f t="shared" ref="AD102" si="302">IF($Q102="B", (H102*$N102),0)</f>
        <v>8</v>
      </c>
      <c r="AE102" s="132">
        <f t="shared" ref="AE102" si="303">IF($Q102="B", (I102*$N102),0)</f>
        <v>0</v>
      </c>
      <c r="AF102" s="132">
        <f t="shared" ref="AF102" si="304">IF($Q102="B", (J102*$N102),0)</f>
        <v>0</v>
      </c>
      <c r="AG102" s="132">
        <f t="shared" ref="AG102" si="305">IF($Q102="B", (K102*$N102),0)</f>
        <v>0</v>
      </c>
      <c r="AH102" s="234">
        <f t="shared" ref="AH102" si="306">IF($Q102="B", (F102*$N102),0)</f>
        <v>0</v>
      </c>
      <c r="AI102" s="235"/>
      <c r="AJ102" s="132"/>
      <c r="AK102" s="132"/>
      <c r="AL102" s="166"/>
      <c r="AM102" s="131">
        <f t="shared" ref="AM102" si="307">IF($Q102="C", (G102*$N102),0)</f>
        <v>0</v>
      </c>
      <c r="AN102" s="132">
        <f t="shared" ref="AN102" si="308">IF($Q102="C", (H102*$N102),0)</f>
        <v>0</v>
      </c>
      <c r="AO102" s="132">
        <f t="shared" ref="AO102" si="309">IF($Q102="C", (I102*$N102),0)</f>
        <v>0</v>
      </c>
      <c r="AP102" s="132">
        <f t="shared" ref="AP102" si="310">IF($Q102="C", (J102*$N102),0)</f>
        <v>0</v>
      </c>
      <c r="AQ102" s="132">
        <f t="shared" ref="AQ102" si="311">IF($Q102="C", (K102*$N102),0)</f>
        <v>0</v>
      </c>
      <c r="AR102" s="132">
        <f t="shared" ref="AR102" si="312">IF($Q102="C", (F102*$N102),0)</f>
        <v>0</v>
      </c>
      <c r="AS102" s="235"/>
    </row>
    <row r="103" spans="1:45" s="20" customFormat="1">
      <c r="A103" s="46" t="s">
        <v>334</v>
      </c>
      <c r="B103" s="20" t="s">
        <v>34</v>
      </c>
      <c r="C103" s="165">
        <v>0</v>
      </c>
      <c r="D103" s="96" t="s">
        <v>9</v>
      </c>
      <c r="E103" s="166">
        <v>0</v>
      </c>
      <c r="F103" s="167">
        <f t="shared" si="268"/>
        <v>0</v>
      </c>
      <c r="G103" s="168">
        <v>0</v>
      </c>
      <c r="H103" s="168">
        <v>24</v>
      </c>
      <c r="I103" s="168">
        <v>8</v>
      </c>
      <c r="J103" s="168">
        <v>4</v>
      </c>
      <c r="K103" s="169">
        <v>0</v>
      </c>
      <c r="L103" s="96" t="s">
        <v>8</v>
      </c>
      <c r="M103" s="166">
        <f t="shared" si="269"/>
        <v>3576.9600000000005</v>
      </c>
      <c r="N103" s="92">
        <v>1</v>
      </c>
      <c r="O103" s="170">
        <f t="shared" si="270"/>
        <v>3576.9600000000005</v>
      </c>
      <c r="P103" s="170"/>
      <c r="Q103" s="52" t="s">
        <v>47</v>
      </c>
      <c r="R103" s="71" t="s">
        <v>77</v>
      </c>
      <c r="S103" s="137" t="str">
        <f t="shared" si="271"/>
        <v>BPD2011</v>
      </c>
      <c r="T103" s="137" t="str">
        <f t="shared" si="272"/>
        <v>B1.5.1.1.22011</v>
      </c>
      <c r="U103" s="137" t="s">
        <v>202</v>
      </c>
      <c r="V103" s="137" t="str">
        <f>LOOKUP(U103,$B$539:$B$574,$A$539:$A$574)</f>
        <v>East Support Cylinder (ESC)</v>
      </c>
      <c r="AB103" s="33">
        <v>2011</v>
      </c>
      <c r="AC103" s="132">
        <f t="shared" si="273"/>
        <v>0</v>
      </c>
      <c r="AD103" s="132">
        <f t="shared" si="273"/>
        <v>24</v>
      </c>
      <c r="AE103" s="132">
        <f t="shared" si="273"/>
        <v>8</v>
      </c>
      <c r="AF103" s="132">
        <f t="shared" si="273"/>
        <v>4</v>
      </c>
      <c r="AG103" s="132">
        <f t="shared" si="273"/>
        <v>0</v>
      </c>
      <c r="AH103" s="234">
        <f t="shared" si="274"/>
        <v>0</v>
      </c>
      <c r="AI103" s="235"/>
      <c r="AJ103" s="132"/>
      <c r="AK103" s="132"/>
      <c r="AL103" s="166"/>
      <c r="AM103" s="131">
        <f t="shared" si="275"/>
        <v>0</v>
      </c>
      <c r="AN103" s="132">
        <f t="shared" si="275"/>
        <v>0</v>
      </c>
      <c r="AO103" s="132">
        <f t="shared" si="275"/>
        <v>0</v>
      </c>
      <c r="AP103" s="132">
        <f t="shared" si="275"/>
        <v>0</v>
      </c>
      <c r="AQ103" s="132">
        <f t="shared" si="275"/>
        <v>0</v>
      </c>
      <c r="AR103" s="132">
        <f t="shared" si="276"/>
        <v>0</v>
      </c>
      <c r="AS103" s="235"/>
    </row>
    <row r="104" spans="1:45" s="20" customFormat="1">
      <c r="A104" s="47" t="s">
        <v>337</v>
      </c>
      <c r="C104" s="165"/>
      <c r="D104" s="96"/>
      <c r="E104" s="57"/>
      <c r="F104" s="58"/>
      <c r="G104" s="59"/>
      <c r="H104" s="59"/>
      <c r="I104" s="59"/>
      <c r="J104" s="59"/>
      <c r="K104" s="60"/>
      <c r="L104" s="217" t="s">
        <v>66</v>
      </c>
      <c r="M104" s="177">
        <f>SUMIF(Q99:Q103,"B",M99:M103)</f>
        <v>17301.600000000002</v>
      </c>
      <c r="N104" s="65" t="s">
        <v>65</v>
      </c>
      <c r="O104" s="170"/>
      <c r="P104" s="170"/>
      <c r="Q104" s="52"/>
      <c r="R104" s="71"/>
      <c r="S104" s="137"/>
      <c r="T104" s="137"/>
      <c r="U104" s="137"/>
      <c r="V104" s="137"/>
      <c r="AB104" s="33"/>
      <c r="AC104" s="132"/>
      <c r="AD104" s="132"/>
      <c r="AE104" s="135"/>
      <c r="AF104" s="132"/>
      <c r="AG104" s="132"/>
      <c r="AH104" s="234"/>
      <c r="AI104" s="235"/>
      <c r="AJ104" s="132"/>
      <c r="AK104" s="132"/>
      <c r="AL104" s="166"/>
      <c r="AM104" s="131"/>
      <c r="AN104" s="132"/>
      <c r="AO104" s="132"/>
      <c r="AP104" s="132"/>
      <c r="AQ104" s="132"/>
      <c r="AR104" s="132"/>
      <c r="AS104" s="235"/>
    </row>
    <row r="105" spans="1:45" s="20" customFormat="1">
      <c r="A105" s="46" t="s">
        <v>338</v>
      </c>
      <c r="B105" s="20" t="s">
        <v>34</v>
      </c>
      <c r="C105" s="165">
        <v>0</v>
      </c>
      <c r="D105" s="96" t="s">
        <v>9</v>
      </c>
      <c r="E105" s="166">
        <v>0</v>
      </c>
      <c r="F105" s="167">
        <f t="shared" ref="F105:F112" si="313">E105*C105</f>
        <v>0</v>
      </c>
      <c r="G105" s="168">
        <v>0</v>
      </c>
      <c r="H105" s="168">
        <v>24</v>
      </c>
      <c r="I105" s="168">
        <v>0</v>
      </c>
      <c r="J105" s="168">
        <v>0</v>
      </c>
      <c r="K105" s="169">
        <v>0</v>
      </c>
      <c r="L105" s="96" t="s">
        <v>8</v>
      </c>
      <c r="M105" s="166">
        <f t="shared" ref="M105:M112" si="314">IF(R105="PD",((Shop*G105)+(M_Tech*H105)+(CMM*I105)+(ENG*J105)+(DES*K105))*N105,((Shop_RD*G105)+(MTECH_RD*H105)+(CMM_RD*I105)+(ENG_RD*J105)+(DES_RD*K105))*N105)</f>
        <v>2274.4800000000005</v>
      </c>
      <c r="N105" s="92">
        <v>1</v>
      </c>
      <c r="O105" s="170">
        <f t="shared" ref="O105:O112" si="315">M105+(F105*N105)</f>
        <v>2274.4800000000005</v>
      </c>
      <c r="P105" s="170"/>
      <c r="Q105" s="52" t="s">
        <v>47</v>
      </c>
      <c r="R105" s="71" t="s">
        <v>77</v>
      </c>
      <c r="S105" s="137" t="str">
        <f t="shared" ref="S105:S112" si="316">CONCATENATE(Q105,R105,AB105)</f>
        <v>BPD2011</v>
      </c>
      <c r="T105" s="137" t="str">
        <f t="shared" ref="T105:T112" si="317">CONCATENATE(Q105,U105,AB105)</f>
        <v>B1.5.1.1.22011</v>
      </c>
      <c r="U105" s="137" t="s">
        <v>202</v>
      </c>
      <c r="V105" s="137" t="str">
        <f t="shared" ref="V105:V112" si="318">LOOKUP(U105,$B$539:$B$574,$A$539:$A$574)</f>
        <v>East Support Cylinder (ESC)</v>
      </c>
      <c r="AB105" s="33">
        <v>2011</v>
      </c>
      <c r="AC105" s="132">
        <f t="shared" ref="AC105:AG108" si="319">IF($Q105="B", (G105*$N105),0)</f>
        <v>0</v>
      </c>
      <c r="AD105" s="132">
        <f t="shared" si="319"/>
        <v>24</v>
      </c>
      <c r="AE105" s="132">
        <f t="shared" si="319"/>
        <v>0</v>
      </c>
      <c r="AF105" s="132">
        <f t="shared" si="319"/>
        <v>0</v>
      </c>
      <c r="AG105" s="132">
        <f t="shared" si="319"/>
        <v>0</v>
      </c>
      <c r="AH105" s="234">
        <f t="shared" ref="AH105:AH112" si="320">IF($Q105="B", (F105*$N105),0)</f>
        <v>0</v>
      </c>
      <c r="AI105" s="235"/>
      <c r="AJ105" s="132"/>
      <c r="AK105" s="132"/>
      <c r="AL105" s="166"/>
      <c r="AM105" s="131">
        <f t="shared" ref="AM105:AQ108" si="321">IF($Q105="C", (G105*$N105),0)</f>
        <v>0</v>
      </c>
      <c r="AN105" s="132">
        <f t="shared" si="321"/>
        <v>0</v>
      </c>
      <c r="AO105" s="132">
        <f t="shared" si="321"/>
        <v>0</v>
      </c>
      <c r="AP105" s="132">
        <f t="shared" si="321"/>
        <v>0</v>
      </c>
      <c r="AQ105" s="132">
        <f t="shared" si="321"/>
        <v>0</v>
      </c>
      <c r="AR105" s="132">
        <f t="shared" ref="AR105:AR112" si="322">IF($Q105="C", (F105*$N105),0)</f>
        <v>0</v>
      </c>
      <c r="AS105" s="235"/>
    </row>
    <row r="106" spans="1:45" s="20" customFormat="1">
      <c r="A106" s="46" t="s">
        <v>340</v>
      </c>
      <c r="B106" s="20" t="s">
        <v>34</v>
      </c>
      <c r="C106" s="165">
        <v>0</v>
      </c>
      <c r="D106" s="96" t="s">
        <v>9</v>
      </c>
      <c r="E106" s="166">
        <v>0</v>
      </c>
      <c r="F106" s="167">
        <f t="shared" si="313"/>
        <v>0</v>
      </c>
      <c r="G106" s="168">
        <v>0</v>
      </c>
      <c r="H106" s="168">
        <v>24</v>
      </c>
      <c r="I106" s="168">
        <v>0</v>
      </c>
      <c r="J106" s="168">
        <v>0</v>
      </c>
      <c r="K106" s="169">
        <v>0</v>
      </c>
      <c r="L106" s="96" t="s">
        <v>8</v>
      </c>
      <c r="M106" s="166">
        <f t="shared" si="314"/>
        <v>2274.4800000000005</v>
      </c>
      <c r="N106" s="92">
        <v>1</v>
      </c>
      <c r="O106" s="170">
        <f t="shared" si="315"/>
        <v>2274.4800000000005</v>
      </c>
      <c r="P106" s="170"/>
      <c r="Q106" s="52" t="s">
        <v>47</v>
      </c>
      <c r="R106" s="71" t="s">
        <v>77</v>
      </c>
      <c r="S106" s="137" t="str">
        <f t="shared" si="316"/>
        <v>BPD2011</v>
      </c>
      <c r="T106" s="137" t="str">
        <f t="shared" si="317"/>
        <v>B1.5.1.1.22011</v>
      </c>
      <c r="U106" s="137" t="s">
        <v>202</v>
      </c>
      <c r="V106" s="137" t="str">
        <f t="shared" si="318"/>
        <v>East Support Cylinder (ESC)</v>
      </c>
      <c r="AB106" s="33">
        <v>2011</v>
      </c>
      <c r="AC106" s="132">
        <f t="shared" si="319"/>
        <v>0</v>
      </c>
      <c r="AD106" s="132">
        <f t="shared" si="319"/>
        <v>24</v>
      </c>
      <c r="AE106" s="132">
        <f t="shared" si="319"/>
        <v>0</v>
      </c>
      <c r="AF106" s="132">
        <f t="shared" si="319"/>
        <v>0</v>
      </c>
      <c r="AG106" s="132">
        <f t="shared" si="319"/>
        <v>0</v>
      </c>
      <c r="AH106" s="234">
        <f t="shared" si="320"/>
        <v>0</v>
      </c>
      <c r="AI106" s="235"/>
      <c r="AJ106" s="132"/>
      <c r="AK106" s="132"/>
      <c r="AL106" s="166"/>
      <c r="AM106" s="131">
        <f t="shared" si="321"/>
        <v>0</v>
      </c>
      <c r="AN106" s="132">
        <f t="shared" si="321"/>
        <v>0</v>
      </c>
      <c r="AO106" s="132">
        <f t="shared" si="321"/>
        <v>0</v>
      </c>
      <c r="AP106" s="132">
        <f t="shared" si="321"/>
        <v>0</v>
      </c>
      <c r="AQ106" s="132">
        <f t="shared" si="321"/>
        <v>0</v>
      </c>
      <c r="AR106" s="132">
        <f t="shared" si="322"/>
        <v>0</v>
      </c>
      <c r="AS106" s="235"/>
    </row>
    <row r="107" spans="1:45" s="20" customFormat="1">
      <c r="A107" s="46" t="s">
        <v>341</v>
      </c>
      <c r="B107" s="20" t="s">
        <v>34</v>
      </c>
      <c r="C107" s="165">
        <v>0</v>
      </c>
      <c r="D107" s="96" t="s">
        <v>9</v>
      </c>
      <c r="E107" s="166">
        <v>0</v>
      </c>
      <c r="F107" s="167">
        <f t="shared" si="313"/>
        <v>0</v>
      </c>
      <c r="G107" s="168">
        <v>0</v>
      </c>
      <c r="H107" s="168">
        <v>24</v>
      </c>
      <c r="I107" s="168">
        <v>0</v>
      </c>
      <c r="J107" s="168">
        <v>0</v>
      </c>
      <c r="K107" s="169">
        <v>0</v>
      </c>
      <c r="L107" s="96" t="s">
        <v>8</v>
      </c>
      <c r="M107" s="166">
        <f t="shared" si="314"/>
        <v>2274.4800000000005</v>
      </c>
      <c r="N107" s="92">
        <v>1</v>
      </c>
      <c r="O107" s="170">
        <f t="shared" si="315"/>
        <v>2274.4800000000005</v>
      </c>
      <c r="P107" s="170"/>
      <c r="Q107" s="52" t="s">
        <v>47</v>
      </c>
      <c r="R107" s="71" t="s">
        <v>77</v>
      </c>
      <c r="S107" s="137" t="str">
        <f t="shared" si="316"/>
        <v>BPD2011</v>
      </c>
      <c r="T107" s="137" t="str">
        <f t="shared" si="317"/>
        <v>B1.5.1.1.22011</v>
      </c>
      <c r="U107" s="137" t="s">
        <v>202</v>
      </c>
      <c r="V107" s="137" t="str">
        <f t="shared" si="318"/>
        <v>East Support Cylinder (ESC)</v>
      </c>
      <c r="AB107" s="33">
        <v>2011</v>
      </c>
      <c r="AC107" s="132">
        <f t="shared" ref="AC107" si="323">IF($Q107="B", (G107*$N107),0)</f>
        <v>0</v>
      </c>
      <c r="AD107" s="132">
        <f t="shared" ref="AD107" si="324">IF($Q107="B", (H107*$N107),0)</f>
        <v>24</v>
      </c>
      <c r="AE107" s="132">
        <f t="shared" ref="AE107" si="325">IF($Q107="B", (I107*$N107),0)</f>
        <v>0</v>
      </c>
      <c r="AF107" s="132">
        <f t="shared" ref="AF107" si="326">IF($Q107="B", (J107*$N107),0)</f>
        <v>0</v>
      </c>
      <c r="AG107" s="132">
        <f t="shared" ref="AG107" si="327">IF($Q107="B", (K107*$N107),0)</f>
        <v>0</v>
      </c>
      <c r="AH107" s="234">
        <f t="shared" si="320"/>
        <v>0</v>
      </c>
      <c r="AI107" s="235"/>
      <c r="AJ107" s="132"/>
      <c r="AK107" s="132"/>
      <c r="AL107" s="166"/>
      <c r="AM107" s="131">
        <f t="shared" ref="AM107" si="328">IF($Q107="C", (G107*$N107),0)</f>
        <v>0</v>
      </c>
      <c r="AN107" s="132">
        <f t="shared" ref="AN107" si="329">IF($Q107="C", (H107*$N107),0)</f>
        <v>0</v>
      </c>
      <c r="AO107" s="132">
        <f t="shared" ref="AO107" si="330">IF($Q107="C", (I107*$N107),0)</f>
        <v>0</v>
      </c>
      <c r="AP107" s="132">
        <f t="shared" ref="AP107" si="331">IF($Q107="C", (J107*$N107),0)</f>
        <v>0</v>
      </c>
      <c r="AQ107" s="132">
        <f t="shared" ref="AQ107" si="332">IF($Q107="C", (K107*$N107),0)</f>
        <v>0</v>
      </c>
      <c r="AR107" s="132">
        <f t="shared" si="322"/>
        <v>0</v>
      </c>
      <c r="AS107" s="235"/>
    </row>
    <row r="108" spans="1:45" s="20" customFormat="1">
      <c r="A108" s="46" t="s">
        <v>342</v>
      </c>
      <c r="B108" s="20" t="s">
        <v>34</v>
      </c>
      <c r="C108" s="165">
        <v>0</v>
      </c>
      <c r="D108" s="96" t="s">
        <v>9</v>
      </c>
      <c r="E108" s="166">
        <v>0</v>
      </c>
      <c r="F108" s="167">
        <f t="shared" si="313"/>
        <v>0</v>
      </c>
      <c r="G108" s="168">
        <v>0</v>
      </c>
      <c r="H108" s="168">
        <v>24</v>
      </c>
      <c r="I108" s="168">
        <v>8</v>
      </c>
      <c r="J108" s="168">
        <v>8</v>
      </c>
      <c r="K108" s="169">
        <v>0</v>
      </c>
      <c r="L108" s="96" t="s">
        <v>8</v>
      </c>
      <c r="M108" s="166">
        <f t="shared" si="314"/>
        <v>4062.9600000000005</v>
      </c>
      <c r="N108" s="92">
        <v>1</v>
      </c>
      <c r="O108" s="170">
        <f t="shared" si="315"/>
        <v>4062.9600000000005</v>
      </c>
      <c r="P108" s="170"/>
      <c r="Q108" s="52" t="s">
        <v>47</v>
      </c>
      <c r="R108" s="71" t="s">
        <v>77</v>
      </c>
      <c r="S108" s="137" t="str">
        <f t="shared" si="316"/>
        <v>BPD2011</v>
      </c>
      <c r="T108" s="137" t="str">
        <f t="shared" si="317"/>
        <v>B1.5.1.1.22011</v>
      </c>
      <c r="U108" s="137" t="s">
        <v>202</v>
      </c>
      <c r="V108" s="137" t="str">
        <f t="shared" si="318"/>
        <v>East Support Cylinder (ESC)</v>
      </c>
      <c r="AB108" s="33">
        <v>2011</v>
      </c>
      <c r="AC108" s="132">
        <f t="shared" si="319"/>
        <v>0</v>
      </c>
      <c r="AD108" s="132">
        <f t="shared" si="319"/>
        <v>24</v>
      </c>
      <c r="AE108" s="132">
        <f t="shared" si="319"/>
        <v>8</v>
      </c>
      <c r="AF108" s="132">
        <f t="shared" si="319"/>
        <v>8</v>
      </c>
      <c r="AG108" s="132">
        <f t="shared" si="319"/>
        <v>0</v>
      </c>
      <c r="AH108" s="234">
        <f t="shared" si="320"/>
        <v>0</v>
      </c>
      <c r="AI108" s="235"/>
      <c r="AJ108" s="132"/>
      <c r="AK108" s="132"/>
      <c r="AL108" s="166"/>
      <c r="AM108" s="131">
        <f t="shared" si="321"/>
        <v>0</v>
      </c>
      <c r="AN108" s="132">
        <f t="shared" si="321"/>
        <v>0</v>
      </c>
      <c r="AO108" s="132">
        <f t="shared" si="321"/>
        <v>0</v>
      </c>
      <c r="AP108" s="132">
        <f t="shared" si="321"/>
        <v>0</v>
      </c>
      <c r="AQ108" s="132">
        <f t="shared" si="321"/>
        <v>0</v>
      </c>
      <c r="AR108" s="132">
        <f t="shared" si="322"/>
        <v>0</v>
      </c>
      <c r="AS108" s="235"/>
    </row>
    <row r="109" spans="1:45" s="20" customFormat="1">
      <c r="A109" s="46" t="s">
        <v>338</v>
      </c>
      <c r="B109" s="20" t="s">
        <v>34</v>
      </c>
      <c r="C109" s="165">
        <v>0</v>
      </c>
      <c r="D109" s="96" t="s">
        <v>9</v>
      </c>
      <c r="E109" s="166">
        <v>0</v>
      </c>
      <c r="F109" s="167">
        <f t="shared" si="313"/>
        <v>0</v>
      </c>
      <c r="G109" s="168">
        <v>0</v>
      </c>
      <c r="H109" s="168">
        <v>24</v>
      </c>
      <c r="I109" s="168">
        <v>0</v>
      </c>
      <c r="J109" s="168">
        <v>0</v>
      </c>
      <c r="K109" s="169">
        <v>0</v>
      </c>
      <c r="L109" s="96" t="s">
        <v>8</v>
      </c>
      <c r="M109" s="166">
        <f t="shared" si="314"/>
        <v>2274.4800000000005</v>
      </c>
      <c r="N109" s="92">
        <v>1</v>
      </c>
      <c r="O109" s="170">
        <f t="shared" si="315"/>
        <v>2274.4800000000005</v>
      </c>
      <c r="P109" s="170"/>
      <c r="Q109" s="52" t="s">
        <v>48</v>
      </c>
      <c r="R109" s="71" t="s">
        <v>77</v>
      </c>
      <c r="S109" s="137" t="str">
        <f t="shared" si="316"/>
        <v>CPD2011</v>
      </c>
      <c r="T109" s="137" t="str">
        <f t="shared" si="317"/>
        <v>C1.5.1.1.22011</v>
      </c>
      <c r="U109" s="137" t="s">
        <v>202</v>
      </c>
      <c r="V109" s="137" t="str">
        <f t="shared" si="318"/>
        <v>East Support Cylinder (ESC)</v>
      </c>
      <c r="AB109" s="33">
        <v>2011</v>
      </c>
      <c r="AC109" s="132">
        <f t="shared" ref="AC109:AC112" si="333">IF($Q109="B", (G109*$N109),0)</f>
        <v>0</v>
      </c>
      <c r="AD109" s="132">
        <f t="shared" ref="AD109:AD112" si="334">IF($Q109="B", (H109*$N109),0)</f>
        <v>0</v>
      </c>
      <c r="AE109" s="132">
        <f t="shared" ref="AE109:AE112" si="335">IF($Q109="B", (I109*$N109),0)</f>
        <v>0</v>
      </c>
      <c r="AF109" s="132">
        <f t="shared" ref="AF109:AF112" si="336">IF($Q109="B", (J109*$N109),0)</f>
        <v>0</v>
      </c>
      <c r="AG109" s="132">
        <f t="shared" ref="AG109:AG112" si="337">IF($Q109="B", (K109*$N109),0)</f>
        <v>0</v>
      </c>
      <c r="AH109" s="234">
        <f t="shared" si="320"/>
        <v>0</v>
      </c>
      <c r="AI109" s="235"/>
      <c r="AJ109" s="132"/>
      <c r="AK109" s="132"/>
      <c r="AL109" s="166"/>
      <c r="AM109" s="131">
        <f t="shared" ref="AM109:AM112" si="338">IF($Q109="C", (G109*$N109),0)</f>
        <v>0</v>
      </c>
      <c r="AN109" s="132">
        <f t="shared" ref="AN109:AN112" si="339">IF($Q109="C", (H109*$N109),0)</f>
        <v>24</v>
      </c>
      <c r="AO109" s="132">
        <f t="shared" ref="AO109:AO112" si="340">IF($Q109="C", (I109*$N109),0)</f>
        <v>0</v>
      </c>
      <c r="AP109" s="132">
        <f t="shared" ref="AP109:AP112" si="341">IF($Q109="C", (J109*$N109),0)</f>
        <v>0</v>
      </c>
      <c r="AQ109" s="132">
        <f t="shared" ref="AQ109:AQ112" si="342">IF($Q109="C", (K109*$N109),0)</f>
        <v>0</v>
      </c>
      <c r="AR109" s="132">
        <f t="shared" si="322"/>
        <v>0</v>
      </c>
      <c r="AS109" s="235"/>
    </row>
    <row r="110" spans="1:45" s="20" customFormat="1">
      <c r="A110" s="46" t="s">
        <v>340</v>
      </c>
      <c r="B110" s="20" t="s">
        <v>34</v>
      </c>
      <c r="C110" s="165">
        <v>0</v>
      </c>
      <c r="D110" s="96" t="s">
        <v>9</v>
      </c>
      <c r="E110" s="166">
        <v>0</v>
      </c>
      <c r="F110" s="167">
        <f t="shared" si="313"/>
        <v>0</v>
      </c>
      <c r="G110" s="168">
        <v>0</v>
      </c>
      <c r="H110" s="168">
        <v>24</v>
      </c>
      <c r="I110" s="168">
        <v>0</v>
      </c>
      <c r="J110" s="168">
        <v>0</v>
      </c>
      <c r="K110" s="169">
        <v>0</v>
      </c>
      <c r="L110" s="96" t="s">
        <v>8</v>
      </c>
      <c r="M110" s="166">
        <f t="shared" si="314"/>
        <v>2274.4800000000005</v>
      </c>
      <c r="N110" s="92">
        <v>1</v>
      </c>
      <c r="O110" s="170">
        <f t="shared" si="315"/>
        <v>2274.4800000000005</v>
      </c>
      <c r="P110" s="170"/>
      <c r="Q110" s="52" t="s">
        <v>48</v>
      </c>
      <c r="R110" s="71" t="s">
        <v>77</v>
      </c>
      <c r="S110" s="137" t="str">
        <f t="shared" si="316"/>
        <v>CPD2011</v>
      </c>
      <c r="T110" s="137" t="str">
        <f t="shared" si="317"/>
        <v>C1.5.1.1.22011</v>
      </c>
      <c r="U110" s="137" t="s">
        <v>202</v>
      </c>
      <c r="V110" s="137" t="str">
        <f t="shared" si="318"/>
        <v>East Support Cylinder (ESC)</v>
      </c>
      <c r="AB110" s="33">
        <v>2011</v>
      </c>
      <c r="AC110" s="132">
        <f t="shared" si="333"/>
        <v>0</v>
      </c>
      <c r="AD110" s="132">
        <f t="shared" si="334"/>
        <v>0</v>
      </c>
      <c r="AE110" s="132">
        <f t="shared" si="335"/>
        <v>0</v>
      </c>
      <c r="AF110" s="132">
        <f t="shared" si="336"/>
        <v>0</v>
      </c>
      <c r="AG110" s="132">
        <f t="shared" si="337"/>
        <v>0</v>
      </c>
      <c r="AH110" s="234">
        <f t="shared" si="320"/>
        <v>0</v>
      </c>
      <c r="AI110" s="235"/>
      <c r="AJ110" s="132"/>
      <c r="AK110" s="132"/>
      <c r="AL110" s="166"/>
      <c r="AM110" s="131">
        <f t="shared" si="338"/>
        <v>0</v>
      </c>
      <c r="AN110" s="132">
        <f t="shared" si="339"/>
        <v>24</v>
      </c>
      <c r="AO110" s="132">
        <f t="shared" si="340"/>
        <v>0</v>
      </c>
      <c r="AP110" s="132">
        <f t="shared" si="341"/>
        <v>0</v>
      </c>
      <c r="AQ110" s="132">
        <f t="shared" si="342"/>
        <v>0</v>
      </c>
      <c r="AR110" s="132">
        <f t="shared" si="322"/>
        <v>0</v>
      </c>
      <c r="AS110" s="235"/>
    </row>
    <row r="111" spans="1:45" s="20" customFormat="1">
      <c r="A111" s="46" t="s">
        <v>341</v>
      </c>
      <c r="B111" s="20" t="s">
        <v>34</v>
      </c>
      <c r="C111" s="165">
        <v>0</v>
      </c>
      <c r="D111" s="96" t="s">
        <v>9</v>
      </c>
      <c r="E111" s="166">
        <v>0</v>
      </c>
      <c r="F111" s="167">
        <f t="shared" si="313"/>
        <v>0</v>
      </c>
      <c r="G111" s="168">
        <v>0</v>
      </c>
      <c r="H111" s="168">
        <v>24</v>
      </c>
      <c r="I111" s="168">
        <v>0</v>
      </c>
      <c r="J111" s="168">
        <v>0</v>
      </c>
      <c r="K111" s="169">
        <v>0</v>
      </c>
      <c r="L111" s="96" t="s">
        <v>8</v>
      </c>
      <c r="M111" s="166">
        <f t="shared" si="314"/>
        <v>2274.4800000000005</v>
      </c>
      <c r="N111" s="92">
        <v>1</v>
      </c>
      <c r="O111" s="170">
        <f t="shared" si="315"/>
        <v>2274.4800000000005</v>
      </c>
      <c r="P111" s="170"/>
      <c r="Q111" s="52" t="s">
        <v>48</v>
      </c>
      <c r="R111" s="71" t="s">
        <v>77</v>
      </c>
      <c r="S111" s="137" t="str">
        <f t="shared" si="316"/>
        <v>CPD2011</v>
      </c>
      <c r="T111" s="137" t="str">
        <f t="shared" si="317"/>
        <v>C1.5.1.1.22011</v>
      </c>
      <c r="U111" s="137" t="s">
        <v>202</v>
      </c>
      <c r="V111" s="137" t="str">
        <f t="shared" si="318"/>
        <v>East Support Cylinder (ESC)</v>
      </c>
      <c r="AB111" s="33">
        <v>2011</v>
      </c>
      <c r="AC111" s="132">
        <f t="shared" si="333"/>
        <v>0</v>
      </c>
      <c r="AD111" s="132">
        <f t="shared" si="334"/>
        <v>0</v>
      </c>
      <c r="AE111" s="132">
        <f t="shared" si="335"/>
        <v>0</v>
      </c>
      <c r="AF111" s="132">
        <f t="shared" si="336"/>
        <v>0</v>
      </c>
      <c r="AG111" s="132">
        <f t="shared" si="337"/>
        <v>0</v>
      </c>
      <c r="AH111" s="234">
        <f t="shared" si="320"/>
        <v>0</v>
      </c>
      <c r="AI111" s="235"/>
      <c r="AJ111" s="132"/>
      <c r="AK111" s="132"/>
      <c r="AL111" s="166"/>
      <c r="AM111" s="131">
        <f t="shared" si="338"/>
        <v>0</v>
      </c>
      <c r="AN111" s="132">
        <f t="shared" si="339"/>
        <v>24</v>
      </c>
      <c r="AO111" s="132">
        <f t="shared" si="340"/>
        <v>0</v>
      </c>
      <c r="AP111" s="132">
        <f t="shared" si="341"/>
        <v>0</v>
      </c>
      <c r="AQ111" s="132">
        <f t="shared" si="342"/>
        <v>0</v>
      </c>
      <c r="AR111" s="132">
        <f t="shared" si="322"/>
        <v>0</v>
      </c>
      <c r="AS111" s="235"/>
    </row>
    <row r="112" spans="1:45" s="20" customFormat="1">
      <c r="A112" s="46" t="s">
        <v>342</v>
      </c>
      <c r="B112" s="20" t="s">
        <v>34</v>
      </c>
      <c r="C112" s="165">
        <v>0</v>
      </c>
      <c r="D112" s="96" t="s">
        <v>9</v>
      </c>
      <c r="E112" s="166">
        <v>0</v>
      </c>
      <c r="F112" s="167">
        <f t="shared" si="313"/>
        <v>0</v>
      </c>
      <c r="G112" s="168">
        <v>0</v>
      </c>
      <c r="H112" s="168">
        <v>24</v>
      </c>
      <c r="I112" s="168">
        <v>8</v>
      </c>
      <c r="J112" s="168">
        <v>8</v>
      </c>
      <c r="K112" s="169">
        <v>0</v>
      </c>
      <c r="L112" s="96" t="s">
        <v>8</v>
      </c>
      <c r="M112" s="166">
        <f t="shared" si="314"/>
        <v>4062.9600000000005</v>
      </c>
      <c r="N112" s="92">
        <v>1</v>
      </c>
      <c r="O112" s="170">
        <f t="shared" si="315"/>
        <v>4062.9600000000005</v>
      </c>
      <c r="P112" s="170"/>
      <c r="Q112" s="52" t="s">
        <v>48</v>
      </c>
      <c r="R112" s="71" t="s">
        <v>77</v>
      </c>
      <c r="S112" s="137" t="str">
        <f t="shared" si="316"/>
        <v>CPD2011</v>
      </c>
      <c r="T112" s="137" t="str">
        <f t="shared" si="317"/>
        <v>C1.5.1.1.22011</v>
      </c>
      <c r="U112" s="137" t="s">
        <v>202</v>
      </c>
      <c r="V112" s="137" t="str">
        <f t="shared" si="318"/>
        <v>East Support Cylinder (ESC)</v>
      </c>
      <c r="AB112" s="33">
        <v>2011</v>
      </c>
      <c r="AC112" s="132">
        <f t="shared" si="333"/>
        <v>0</v>
      </c>
      <c r="AD112" s="132">
        <f t="shared" si="334"/>
        <v>0</v>
      </c>
      <c r="AE112" s="132">
        <f t="shared" si="335"/>
        <v>0</v>
      </c>
      <c r="AF112" s="132">
        <f t="shared" si="336"/>
        <v>0</v>
      </c>
      <c r="AG112" s="132">
        <f t="shared" si="337"/>
        <v>0</v>
      </c>
      <c r="AH112" s="234">
        <f t="shared" si="320"/>
        <v>0</v>
      </c>
      <c r="AI112" s="235"/>
      <c r="AJ112" s="132"/>
      <c r="AK112" s="132"/>
      <c r="AL112" s="166"/>
      <c r="AM112" s="131">
        <f t="shared" si="338"/>
        <v>0</v>
      </c>
      <c r="AN112" s="132">
        <f t="shared" si="339"/>
        <v>24</v>
      </c>
      <c r="AO112" s="132">
        <f t="shared" si="340"/>
        <v>8</v>
      </c>
      <c r="AP112" s="132">
        <f t="shared" si="341"/>
        <v>8</v>
      </c>
      <c r="AQ112" s="132">
        <f t="shared" si="342"/>
        <v>0</v>
      </c>
      <c r="AR112" s="132">
        <f t="shared" si="322"/>
        <v>0</v>
      </c>
      <c r="AS112" s="235"/>
    </row>
    <row r="113" spans="1:45">
      <c r="A113" s="21" t="s">
        <v>343</v>
      </c>
      <c r="B113" s="3"/>
      <c r="C113" s="171"/>
      <c r="D113" s="15"/>
      <c r="E113" s="172"/>
      <c r="F113" s="173"/>
      <c r="G113" s="171"/>
      <c r="H113" s="171"/>
      <c r="I113" s="171"/>
      <c r="J113" s="171"/>
      <c r="K113" s="174"/>
      <c r="L113" s="15"/>
      <c r="M113" s="172">
        <f>SUMIF(Q74:Q112,"B",M74:M112)</f>
        <v>71228.160000000018</v>
      </c>
      <c r="N113" s="456" t="s">
        <v>65</v>
      </c>
      <c r="O113" s="456"/>
      <c r="P113" s="459"/>
      <c r="Q113" s="53"/>
      <c r="R113" s="74"/>
      <c r="S113" s="138"/>
      <c r="T113" s="138"/>
      <c r="U113" s="138"/>
      <c r="V113" s="138"/>
      <c r="W113" s="3"/>
      <c r="X113" s="3"/>
      <c r="Y113" s="3"/>
      <c r="Z113" s="3"/>
      <c r="AA113" s="3"/>
      <c r="AB113" s="34"/>
      <c r="AC113" s="5">
        <f>SUM(AC74:AC112)</f>
        <v>132</v>
      </c>
      <c r="AD113" s="5">
        <f t="shared" ref="AD113:AG113" si="343">SUM(AD74:AD112)</f>
        <v>464</v>
      </c>
      <c r="AE113" s="5">
        <f t="shared" si="343"/>
        <v>16</v>
      </c>
      <c r="AF113" s="5">
        <f t="shared" si="343"/>
        <v>100</v>
      </c>
      <c r="AG113" s="5">
        <f t="shared" si="343"/>
        <v>0</v>
      </c>
      <c r="AH113" s="172"/>
      <c r="AI113" s="173">
        <f>SUM(AH74:AH112)</f>
        <v>4790</v>
      </c>
      <c r="AJ113" s="172">
        <f>(Shop*AC113)+M_Tech*AD113+CMM*AE113+ENG*AF113+DES*AG113+AI113</f>
        <v>76018.16</v>
      </c>
      <c r="AK113" s="172"/>
      <c r="AL113" s="173">
        <f>Shop*AM113+M_Tech*AN113+CMM*AO113+ENG*AP113+DES*AQ113+AS113</f>
        <v>49367.580000000009</v>
      </c>
      <c r="AM113" s="5">
        <f>SUM(AM74:AM112)</f>
        <v>8</v>
      </c>
      <c r="AN113" s="5">
        <f t="shared" ref="AN113" si="344">SUM(AN74:AN112)</f>
        <v>406</v>
      </c>
      <c r="AO113" s="5">
        <f t="shared" ref="AO113" si="345">SUM(AO74:AO112)</f>
        <v>8</v>
      </c>
      <c r="AP113" s="5">
        <f t="shared" ref="AP113" si="346">SUM(AP74:AP112)</f>
        <v>52</v>
      </c>
      <c r="AQ113" s="5">
        <f t="shared" ref="AQ113" si="347">SUM(AQ74:AQ112)</f>
        <v>0</v>
      </c>
      <c r="AR113" s="172"/>
      <c r="AS113" s="173">
        <f>SUM(AR74:AR112)</f>
        <v>2940</v>
      </c>
    </row>
    <row r="114" spans="1:45">
      <c r="F114" s="160"/>
      <c r="G114" s="158"/>
      <c r="H114" s="158"/>
      <c r="I114" s="158"/>
      <c r="J114" s="158"/>
      <c r="K114" s="175"/>
      <c r="L114" s="217" t="s">
        <v>66</v>
      </c>
      <c r="M114" s="177">
        <f>SUMIF(Q105:Q112,"B",M105:M112)</f>
        <v>10886.400000000001</v>
      </c>
      <c r="N114" s="65" t="s">
        <v>65</v>
      </c>
      <c r="O114" s="176"/>
      <c r="P114" s="176"/>
      <c r="Q114" s="35"/>
      <c r="R114" s="72"/>
      <c r="S114" s="139"/>
      <c r="T114" s="139"/>
      <c r="U114" s="139"/>
      <c r="V114" s="139"/>
      <c r="W114"/>
      <c r="X114"/>
      <c r="Y114"/>
      <c r="Z114"/>
      <c r="AA114"/>
      <c r="AB114" s="36"/>
      <c r="AC114" s="31"/>
      <c r="AD114" s="31"/>
      <c r="AE114" s="31"/>
      <c r="AF114" s="31"/>
      <c r="AG114" s="31"/>
      <c r="AH114" s="237"/>
      <c r="AI114" s="238"/>
      <c r="AJ114" s="6"/>
      <c r="AK114" s="6"/>
      <c r="AM114" s="32"/>
      <c r="AN114" s="4"/>
      <c r="AO114" s="4"/>
      <c r="AP114" s="4"/>
      <c r="AQ114" s="4"/>
      <c r="AR114" s="4"/>
      <c r="AS114" s="239"/>
    </row>
    <row r="115" spans="1:45" s="20" customFormat="1" ht="15.75">
      <c r="A115" s="49" t="s">
        <v>280</v>
      </c>
      <c r="C115" s="165"/>
      <c r="D115" s="96"/>
      <c r="E115" s="166"/>
      <c r="F115" s="167"/>
      <c r="G115" s="168"/>
      <c r="H115" s="168"/>
      <c r="I115" s="168"/>
      <c r="J115" s="168"/>
      <c r="K115" s="169"/>
      <c r="L115" s="96"/>
      <c r="M115" s="166"/>
      <c r="N115" s="92" t="s">
        <v>279</v>
      </c>
      <c r="O115" s="170"/>
      <c r="P115" s="170"/>
      <c r="Q115" s="52"/>
      <c r="R115" s="71"/>
      <c r="S115" s="137"/>
      <c r="T115" s="137"/>
      <c r="U115" s="137"/>
      <c r="V115" s="137"/>
      <c r="AB115" s="33"/>
      <c r="AC115" s="132"/>
      <c r="AD115" s="132"/>
      <c r="AE115" s="132"/>
      <c r="AF115" s="132"/>
      <c r="AG115" s="132"/>
      <c r="AH115" s="234"/>
      <c r="AI115" s="235"/>
      <c r="AJ115" s="132"/>
      <c r="AK115" s="132"/>
      <c r="AL115" s="166"/>
      <c r="AM115" s="131"/>
      <c r="AN115" s="132"/>
      <c r="AO115" s="132"/>
      <c r="AP115" s="132"/>
      <c r="AQ115" s="132"/>
      <c r="AR115" s="132"/>
      <c r="AS115" s="235"/>
    </row>
    <row r="116" spans="1:45" s="19" customFormat="1">
      <c r="A116" s="47" t="s">
        <v>360</v>
      </c>
      <c r="B116" s="20"/>
      <c r="C116" s="151"/>
      <c r="D116" s="96"/>
      <c r="E116" s="109"/>
      <c r="F116" s="160"/>
      <c r="G116" s="168"/>
      <c r="H116" s="158"/>
      <c r="I116" s="158"/>
      <c r="J116" s="158"/>
      <c r="K116" s="175"/>
      <c r="L116" s="217"/>
      <c r="M116" s="177"/>
      <c r="N116" s="65" t="s">
        <v>279</v>
      </c>
      <c r="O116" s="177"/>
      <c r="P116" s="176"/>
      <c r="Q116" s="52"/>
      <c r="R116" s="71"/>
      <c r="S116" s="137"/>
      <c r="T116" s="137"/>
      <c r="U116" s="137"/>
      <c r="V116" s="137"/>
      <c r="W116" s="335"/>
      <c r="X116" s="335"/>
      <c r="Y116" s="335"/>
      <c r="Z116" s="335"/>
      <c r="AA116" s="335"/>
      <c r="AB116" s="33"/>
      <c r="AC116" s="4"/>
      <c r="AD116" s="4"/>
      <c r="AE116" s="4"/>
      <c r="AF116" s="4"/>
      <c r="AG116" s="4"/>
      <c r="AH116" s="159"/>
      <c r="AI116" s="240"/>
      <c r="AJ116" s="241"/>
      <c r="AK116" s="241"/>
      <c r="AL116" s="109"/>
      <c r="AM116" s="32"/>
      <c r="AN116" s="4"/>
      <c r="AO116" s="4"/>
      <c r="AP116" s="4"/>
      <c r="AQ116" s="4"/>
      <c r="AR116" s="4"/>
      <c r="AS116" s="240"/>
    </row>
    <row r="117" spans="1:45" s="61" customFormat="1">
      <c r="A117" s="46" t="s">
        <v>358</v>
      </c>
      <c r="C117" s="178"/>
      <c r="E117" s="179"/>
      <c r="F117" s="180"/>
      <c r="G117" s="181"/>
      <c r="H117" s="181"/>
      <c r="I117" s="181"/>
      <c r="J117" s="181"/>
      <c r="K117" s="182"/>
      <c r="M117" s="179"/>
      <c r="N117" s="400" t="s">
        <v>279</v>
      </c>
      <c r="O117" s="183"/>
      <c r="P117" s="183"/>
      <c r="Q117" s="62"/>
      <c r="R117" s="73"/>
      <c r="S117" s="137"/>
      <c r="T117" s="137"/>
      <c r="U117" s="75"/>
      <c r="V117" s="75"/>
      <c r="W117" s="335"/>
      <c r="X117" s="335"/>
      <c r="Y117" s="335"/>
      <c r="Z117" s="335"/>
      <c r="AA117" s="335"/>
      <c r="AB117" s="63"/>
      <c r="AC117" s="4"/>
      <c r="AD117" s="4"/>
      <c r="AE117" s="4"/>
      <c r="AF117" s="4"/>
      <c r="AG117" s="4"/>
      <c r="AH117" s="159"/>
      <c r="AI117" s="239"/>
      <c r="AJ117" s="4"/>
      <c r="AK117" s="4"/>
      <c r="AL117" s="109"/>
      <c r="AM117" s="32"/>
      <c r="AN117" s="4"/>
      <c r="AO117" s="4"/>
      <c r="AP117" s="4"/>
      <c r="AQ117" s="4"/>
      <c r="AR117" s="4"/>
      <c r="AS117" s="239"/>
    </row>
    <row r="118" spans="1:45" s="133" customFormat="1">
      <c r="A118" s="64" t="s">
        <v>345</v>
      </c>
      <c r="B118" s="20" t="s">
        <v>34</v>
      </c>
      <c r="C118" s="165">
        <v>0</v>
      </c>
      <c r="D118" s="96" t="s">
        <v>9</v>
      </c>
      <c r="E118" s="166">
        <v>0</v>
      </c>
      <c r="F118" s="167">
        <f>E118*C118</f>
        <v>0</v>
      </c>
      <c r="G118" s="168">
        <v>0</v>
      </c>
      <c r="H118" s="168">
        <v>0</v>
      </c>
      <c r="I118" s="168">
        <v>0</v>
      </c>
      <c r="J118" s="168">
        <v>160</v>
      </c>
      <c r="K118" s="169">
        <v>0</v>
      </c>
      <c r="L118" s="96" t="s">
        <v>8</v>
      </c>
      <c r="M118" s="166">
        <f t="shared" ref="M118:M123" si="348">IF(R118="PD",((Shop*G118)+(M_Tech*H118)+(CMM*I118)+(ENG*J118)+(DES*K118))*N118,((Shop_RD*G118)+(MTECH_RD*H118)+(CMM_RD*I118)+(ENG_RD*J118)+(DES_RD*K118))*N118)</f>
        <v>24000</v>
      </c>
      <c r="N118" s="92">
        <v>1</v>
      </c>
      <c r="O118" s="170">
        <f t="shared" ref="O118:O123" si="349">M118+(F118*N118)</f>
        <v>24000</v>
      </c>
      <c r="P118" s="170"/>
      <c r="Q118" s="52" t="s">
        <v>47</v>
      </c>
      <c r="R118" s="71" t="s">
        <v>180</v>
      </c>
      <c r="S118" s="137" t="str">
        <f t="shared" ref="S118:S123" si="350">CONCATENATE(Q118,R118,AB118)</f>
        <v>BPT2010</v>
      </c>
      <c r="T118" s="137" t="str">
        <f t="shared" ref="T118:T123" si="351">CONCATENATE(Q118,U118,AB118)</f>
        <v>B1.5.1.1.32010</v>
      </c>
      <c r="U118" s="137" t="s">
        <v>204</v>
      </c>
      <c r="V118" s="137" t="str">
        <f t="shared" ref="V118:V123" si="352">LOOKUP(U118,$B$539:$B$574,$A$539:$A$574)</f>
        <v>Outer Support Cylinder (OSC)</v>
      </c>
      <c r="W118" s="20"/>
      <c r="X118" s="20"/>
      <c r="Y118" s="20"/>
      <c r="Z118" s="20"/>
      <c r="AA118" s="20"/>
      <c r="AB118" s="487">
        <v>2010</v>
      </c>
      <c r="AC118" s="132">
        <f t="shared" ref="AC118:AC123" si="353">IF($Q118="B", (G118*$N118),0)</f>
        <v>0</v>
      </c>
      <c r="AD118" s="132">
        <f t="shared" ref="AD118:AD123" si="354">IF($Q118="B", (H118*$N118),0)</f>
        <v>0</v>
      </c>
      <c r="AE118" s="132">
        <f t="shared" ref="AE118:AE123" si="355">IF($Q118="B", (I118*$N118),0)</f>
        <v>0</v>
      </c>
      <c r="AF118" s="132">
        <f t="shared" ref="AF118:AF123" si="356">IF($Q118="B", (J118*$N118),0)</f>
        <v>160</v>
      </c>
      <c r="AG118" s="132">
        <f t="shared" ref="AG118:AG123" si="357">IF($Q118="B", (K118*$N118),0)</f>
        <v>0</v>
      </c>
      <c r="AH118" s="234">
        <f t="shared" ref="AH118:AH123" si="358">IF($Q118="B", (F118*$N118),0)</f>
        <v>0</v>
      </c>
      <c r="AI118" s="236"/>
      <c r="AJ118" s="242"/>
      <c r="AK118" s="242"/>
      <c r="AL118" s="166"/>
      <c r="AM118" s="131">
        <f t="shared" ref="AM118:AM123" si="359">IF($Q118="C", (G118*$N118),0)</f>
        <v>0</v>
      </c>
      <c r="AN118" s="132">
        <f t="shared" ref="AN118:AN123" si="360">IF($Q118="C", (H118*$N118),0)</f>
        <v>0</v>
      </c>
      <c r="AO118" s="132">
        <f t="shared" ref="AO118:AO123" si="361">IF($Q118="C", (I118*$N118),0)</f>
        <v>0</v>
      </c>
      <c r="AP118" s="132">
        <f t="shared" ref="AP118:AP123" si="362">IF($Q118="C", (J118*$N118),0)</f>
        <v>0</v>
      </c>
      <c r="AQ118" s="132">
        <f t="shared" ref="AQ118:AQ123" si="363">IF($Q118="C", (K118*$N118),0)</f>
        <v>0</v>
      </c>
      <c r="AR118" s="132">
        <f t="shared" ref="AR118:AR123" si="364">IF($Q118="C", (F118*$N118),0)</f>
        <v>0</v>
      </c>
      <c r="AS118" s="236"/>
    </row>
    <row r="119" spans="1:45" s="133" customFormat="1">
      <c r="A119" s="64" t="s">
        <v>100</v>
      </c>
      <c r="B119" s="20" t="s">
        <v>34</v>
      </c>
      <c r="C119" s="165">
        <v>0</v>
      </c>
      <c r="D119" s="96" t="s">
        <v>9</v>
      </c>
      <c r="E119" s="166">
        <v>0</v>
      </c>
      <c r="F119" s="167">
        <f>E119*C119</f>
        <v>0</v>
      </c>
      <c r="G119" s="168">
        <v>2</v>
      </c>
      <c r="H119" s="168">
        <v>8</v>
      </c>
      <c r="I119" s="168">
        <v>0</v>
      </c>
      <c r="J119" s="168">
        <v>0</v>
      </c>
      <c r="K119" s="169">
        <v>0</v>
      </c>
      <c r="L119" s="96" t="s">
        <v>8</v>
      </c>
      <c r="M119" s="166">
        <f t="shared" ref="M119:M120" si="365">IF(R119="PD",((Shop*G119)+(M_Tech*H119)+(CMM*I119)+(ENG*J119)+(DES*K119))*N119,((Shop_RD*G119)+(MTECH_RD*H119)+(CMM_RD*I119)+(ENG_RD*J119)+(DES_RD*K119))*N119)</f>
        <v>1188</v>
      </c>
      <c r="N119" s="92">
        <v>1</v>
      </c>
      <c r="O119" s="170">
        <f t="shared" ref="O119:O120" si="366">M119+(F119*N119)</f>
        <v>1188</v>
      </c>
      <c r="P119" s="170"/>
      <c r="Q119" s="52" t="s">
        <v>47</v>
      </c>
      <c r="R119" s="71" t="s">
        <v>180</v>
      </c>
      <c r="S119" s="137" t="str">
        <f t="shared" ref="S119:S120" si="367">CONCATENATE(Q119,R119,AB119)</f>
        <v>BPT2010</v>
      </c>
      <c r="T119" s="137" t="str">
        <f t="shared" ref="T119:T120" si="368">CONCATENATE(Q119,U119,AB119)</f>
        <v>B1.5.1.1.32010</v>
      </c>
      <c r="U119" s="137" t="s">
        <v>204</v>
      </c>
      <c r="V119" s="137" t="str">
        <f t="shared" si="352"/>
        <v>Outer Support Cylinder (OSC)</v>
      </c>
      <c r="W119" s="20"/>
      <c r="X119" s="20"/>
      <c r="Y119" s="20"/>
      <c r="Z119" s="20"/>
      <c r="AA119" s="20"/>
      <c r="AB119" s="33">
        <v>2010</v>
      </c>
      <c r="AC119" s="132">
        <f t="shared" ref="AC119:AC120" si="369">IF($Q119="B", (G119*$N119),0)</f>
        <v>2</v>
      </c>
      <c r="AD119" s="132">
        <f t="shared" ref="AD119:AD120" si="370">IF($Q119="B", (H119*$N119),0)</f>
        <v>8</v>
      </c>
      <c r="AE119" s="132">
        <f t="shared" ref="AE119:AE120" si="371">IF($Q119="B", (I119*$N119),0)</f>
        <v>0</v>
      </c>
      <c r="AF119" s="132">
        <f t="shared" ref="AF119:AF120" si="372">IF($Q119="B", (J119*$N119),0)</f>
        <v>0</v>
      </c>
      <c r="AG119" s="132">
        <f t="shared" ref="AG119:AG120" si="373">IF($Q119="B", (K119*$N119),0)</f>
        <v>0</v>
      </c>
      <c r="AH119" s="234">
        <f t="shared" ref="AH119:AH120" si="374">IF($Q119="B", (F119*$N119),0)</f>
        <v>0</v>
      </c>
      <c r="AI119" s="236"/>
      <c r="AJ119" s="242"/>
      <c r="AK119" s="242"/>
      <c r="AL119" s="166"/>
      <c r="AM119" s="131">
        <f t="shared" ref="AM119:AM120" si="375">IF($Q119="C", (G119*$N119),0)</f>
        <v>0</v>
      </c>
      <c r="AN119" s="132">
        <f t="shared" ref="AN119:AN120" si="376">IF($Q119="C", (H119*$N119),0)</f>
        <v>0</v>
      </c>
      <c r="AO119" s="132">
        <f t="shared" ref="AO119:AO120" si="377">IF($Q119="C", (I119*$N119),0)</f>
        <v>0</v>
      </c>
      <c r="AP119" s="132">
        <f t="shared" ref="AP119:AP120" si="378">IF($Q119="C", (J119*$N119),0)</f>
        <v>0</v>
      </c>
      <c r="AQ119" s="132">
        <f t="shared" ref="AQ119:AQ120" si="379">IF($Q119="C", (K119*$N119),0)</f>
        <v>0</v>
      </c>
      <c r="AR119" s="132">
        <f t="shared" ref="AR119:AR120" si="380">IF($Q119="C", (F119*$N119),0)</f>
        <v>0</v>
      </c>
      <c r="AS119" s="236"/>
    </row>
    <row r="120" spans="1:45" s="133" customFormat="1">
      <c r="A120" s="64" t="s">
        <v>362</v>
      </c>
      <c r="B120" s="20" t="s">
        <v>34</v>
      </c>
      <c r="C120" s="165">
        <v>0</v>
      </c>
      <c r="D120" s="96" t="s">
        <v>9</v>
      </c>
      <c r="E120" s="166">
        <v>0</v>
      </c>
      <c r="F120" s="167">
        <f>E120*C120</f>
        <v>0</v>
      </c>
      <c r="G120" s="168">
        <v>24</v>
      </c>
      <c r="H120" s="168">
        <v>8</v>
      </c>
      <c r="I120" s="168">
        <v>0</v>
      </c>
      <c r="J120" s="168">
        <v>0</v>
      </c>
      <c r="K120" s="169">
        <v>0</v>
      </c>
      <c r="L120" s="96" t="s">
        <v>8</v>
      </c>
      <c r="M120" s="166">
        <f t="shared" si="365"/>
        <v>3960</v>
      </c>
      <c r="N120" s="92">
        <v>1</v>
      </c>
      <c r="O120" s="170">
        <f t="shared" si="366"/>
        <v>3960</v>
      </c>
      <c r="P120" s="170"/>
      <c r="Q120" s="52" t="s">
        <v>47</v>
      </c>
      <c r="R120" s="71" t="s">
        <v>180</v>
      </c>
      <c r="S120" s="137" t="str">
        <f t="shared" si="367"/>
        <v>BPT2010</v>
      </c>
      <c r="T120" s="137" t="str">
        <f t="shared" si="368"/>
        <v>B1.5.1.1.32010</v>
      </c>
      <c r="U120" s="137" t="s">
        <v>204</v>
      </c>
      <c r="V120" s="137" t="str">
        <f t="shared" si="352"/>
        <v>Outer Support Cylinder (OSC)</v>
      </c>
      <c r="W120" s="20"/>
      <c r="X120" s="20"/>
      <c r="Y120" s="20"/>
      <c r="Z120" s="20"/>
      <c r="AA120" s="20"/>
      <c r="AB120" s="33">
        <v>2010</v>
      </c>
      <c r="AC120" s="132">
        <f t="shared" si="369"/>
        <v>24</v>
      </c>
      <c r="AD120" s="132">
        <f t="shared" si="370"/>
        <v>8</v>
      </c>
      <c r="AE120" s="132">
        <f t="shared" si="371"/>
        <v>0</v>
      </c>
      <c r="AF120" s="132">
        <f t="shared" si="372"/>
        <v>0</v>
      </c>
      <c r="AG120" s="132">
        <f t="shared" si="373"/>
        <v>0</v>
      </c>
      <c r="AH120" s="234">
        <f t="shared" si="374"/>
        <v>0</v>
      </c>
      <c r="AI120" s="236"/>
      <c r="AJ120" s="242"/>
      <c r="AK120" s="242"/>
      <c r="AL120" s="166"/>
      <c r="AM120" s="131">
        <f t="shared" si="375"/>
        <v>0</v>
      </c>
      <c r="AN120" s="132">
        <f t="shared" si="376"/>
        <v>0</v>
      </c>
      <c r="AO120" s="132">
        <f t="shared" si="377"/>
        <v>0</v>
      </c>
      <c r="AP120" s="132">
        <f t="shared" si="378"/>
        <v>0</v>
      </c>
      <c r="AQ120" s="132">
        <f t="shared" si="379"/>
        <v>0</v>
      </c>
      <c r="AR120" s="132">
        <f t="shared" si="380"/>
        <v>0</v>
      </c>
      <c r="AS120" s="236"/>
    </row>
    <row r="121" spans="1:45" s="133" customFormat="1">
      <c r="A121" s="64" t="s">
        <v>95</v>
      </c>
      <c r="B121" s="20" t="s">
        <v>96</v>
      </c>
      <c r="C121" s="165">
        <v>1</v>
      </c>
      <c r="D121" s="96" t="s">
        <v>9</v>
      </c>
      <c r="E121" s="166">
        <v>1200</v>
      </c>
      <c r="F121" s="167">
        <f t="shared" ref="F121" si="381">E121*C121</f>
        <v>1200</v>
      </c>
      <c r="G121" s="168">
        <v>4</v>
      </c>
      <c r="H121" s="168">
        <v>0</v>
      </c>
      <c r="I121" s="168">
        <v>0</v>
      </c>
      <c r="J121" s="168">
        <v>0</v>
      </c>
      <c r="K121" s="169">
        <v>0</v>
      </c>
      <c r="L121" s="96" t="s">
        <v>8</v>
      </c>
      <c r="M121" s="166">
        <f t="shared" si="348"/>
        <v>504</v>
      </c>
      <c r="N121" s="92">
        <v>1</v>
      </c>
      <c r="O121" s="170">
        <f t="shared" si="349"/>
        <v>1704</v>
      </c>
      <c r="P121" s="170"/>
      <c r="Q121" s="52" t="s">
        <v>47</v>
      </c>
      <c r="R121" s="71" t="s">
        <v>180</v>
      </c>
      <c r="S121" s="137" t="str">
        <f t="shared" si="350"/>
        <v>BPT2010</v>
      </c>
      <c r="T121" s="137" t="str">
        <f t="shared" si="351"/>
        <v>B1.5.1.1.32010</v>
      </c>
      <c r="U121" s="137" t="s">
        <v>204</v>
      </c>
      <c r="V121" s="137" t="str">
        <f t="shared" si="352"/>
        <v>Outer Support Cylinder (OSC)</v>
      </c>
      <c r="W121" s="20"/>
      <c r="X121" s="20"/>
      <c r="Y121" s="20"/>
      <c r="Z121" s="20"/>
      <c r="AA121" s="20"/>
      <c r="AB121" s="33">
        <v>2010</v>
      </c>
      <c r="AC121" s="132">
        <f t="shared" si="353"/>
        <v>4</v>
      </c>
      <c r="AD121" s="132">
        <f t="shared" si="354"/>
        <v>0</v>
      </c>
      <c r="AE121" s="132">
        <f t="shared" si="355"/>
        <v>0</v>
      </c>
      <c r="AF121" s="132">
        <f t="shared" si="356"/>
        <v>0</v>
      </c>
      <c r="AG121" s="132">
        <f t="shared" si="357"/>
        <v>0</v>
      </c>
      <c r="AH121" s="234">
        <f t="shared" si="358"/>
        <v>1200</v>
      </c>
      <c r="AI121" s="236"/>
      <c r="AJ121" s="242"/>
      <c r="AK121" s="242"/>
      <c r="AL121" s="166"/>
      <c r="AM121" s="131">
        <f t="shared" si="359"/>
        <v>0</v>
      </c>
      <c r="AN121" s="132">
        <f t="shared" si="360"/>
        <v>0</v>
      </c>
      <c r="AO121" s="132">
        <f t="shared" si="361"/>
        <v>0</v>
      </c>
      <c r="AP121" s="132">
        <f t="shared" si="362"/>
        <v>0</v>
      </c>
      <c r="AQ121" s="132">
        <f t="shared" si="363"/>
        <v>0</v>
      </c>
      <c r="AR121" s="132">
        <f t="shared" si="364"/>
        <v>0</v>
      </c>
      <c r="AS121" s="236"/>
    </row>
    <row r="122" spans="1:45" s="133" customFormat="1">
      <c r="A122" s="64" t="s">
        <v>98</v>
      </c>
      <c r="B122" s="20" t="s">
        <v>34</v>
      </c>
      <c r="C122" s="165">
        <v>0</v>
      </c>
      <c r="D122" s="96" t="s">
        <v>9</v>
      </c>
      <c r="E122" s="166">
        <v>0</v>
      </c>
      <c r="F122" s="167">
        <f>E122*C122</f>
        <v>0</v>
      </c>
      <c r="G122" s="168">
        <v>16</v>
      </c>
      <c r="H122" s="168">
        <v>8</v>
      </c>
      <c r="I122" s="168">
        <v>0</v>
      </c>
      <c r="J122" s="168">
        <v>0</v>
      </c>
      <c r="K122" s="169">
        <v>0</v>
      </c>
      <c r="L122" s="96" t="s">
        <v>8</v>
      </c>
      <c r="M122" s="166">
        <f t="shared" si="348"/>
        <v>2391.12</v>
      </c>
      <c r="N122" s="92">
        <v>1</v>
      </c>
      <c r="O122" s="170">
        <f t="shared" si="349"/>
        <v>2391.12</v>
      </c>
      <c r="P122" s="170"/>
      <c r="Q122" s="52" t="s">
        <v>48</v>
      </c>
      <c r="R122" s="71" t="s">
        <v>77</v>
      </c>
      <c r="S122" s="137" t="str">
        <f t="shared" si="350"/>
        <v>CPD2011</v>
      </c>
      <c r="T122" s="137" t="str">
        <f t="shared" si="351"/>
        <v>C1.5.1.1.32011</v>
      </c>
      <c r="U122" s="137" t="s">
        <v>204</v>
      </c>
      <c r="V122" s="137" t="str">
        <f t="shared" si="352"/>
        <v>Outer Support Cylinder (OSC)</v>
      </c>
      <c r="W122" s="20"/>
      <c r="X122" s="20"/>
      <c r="Y122" s="20"/>
      <c r="Z122" s="20"/>
      <c r="AA122" s="20"/>
      <c r="AB122" s="33">
        <v>2011</v>
      </c>
      <c r="AC122" s="132">
        <f t="shared" si="353"/>
        <v>0</v>
      </c>
      <c r="AD122" s="132">
        <f t="shared" si="354"/>
        <v>0</v>
      </c>
      <c r="AE122" s="132">
        <f t="shared" si="355"/>
        <v>0</v>
      </c>
      <c r="AF122" s="132">
        <f t="shared" si="356"/>
        <v>0</v>
      </c>
      <c r="AG122" s="132">
        <f t="shared" si="357"/>
        <v>0</v>
      </c>
      <c r="AH122" s="234">
        <f t="shared" si="358"/>
        <v>0</v>
      </c>
      <c r="AI122" s="236"/>
      <c r="AJ122" s="242"/>
      <c r="AK122" s="242"/>
      <c r="AL122" s="166"/>
      <c r="AM122" s="131">
        <f t="shared" si="359"/>
        <v>16</v>
      </c>
      <c r="AN122" s="132">
        <f t="shared" si="360"/>
        <v>8</v>
      </c>
      <c r="AO122" s="132">
        <f t="shared" si="361"/>
        <v>0</v>
      </c>
      <c r="AP122" s="132">
        <f t="shared" si="362"/>
        <v>0</v>
      </c>
      <c r="AQ122" s="132">
        <f t="shared" si="363"/>
        <v>0</v>
      </c>
      <c r="AR122" s="132">
        <f t="shared" si="364"/>
        <v>0</v>
      </c>
      <c r="AS122" s="236"/>
    </row>
    <row r="123" spans="1:45" s="133" customFormat="1">
      <c r="A123" s="64" t="s">
        <v>99</v>
      </c>
      <c r="B123" s="20" t="s">
        <v>96</v>
      </c>
      <c r="C123" s="165">
        <v>1</v>
      </c>
      <c r="D123" s="96" t="s">
        <v>9</v>
      </c>
      <c r="E123" s="166">
        <v>1200</v>
      </c>
      <c r="F123" s="167">
        <f>E123*C123</f>
        <v>1200</v>
      </c>
      <c r="G123" s="168">
        <v>4</v>
      </c>
      <c r="H123" s="168">
        <v>0</v>
      </c>
      <c r="I123" s="168">
        <v>0</v>
      </c>
      <c r="J123" s="168">
        <v>0</v>
      </c>
      <c r="K123" s="169">
        <v>0</v>
      </c>
      <c r="L123" s="96" t="s">
        <v>8</v>
      </c>
      <c r="M123" s="166">
        <f t="shared" si="348"/>
        <v>408.24</v>
      </c>
      <c r="N123" s="92">
        <v>1</v>
      </c>
      <c r="O123" s="170">
        <f t="shared" si="349"/>
        <v>1608.24</v>
      </c>
      <c r="P123" s="170"/>
      <c r="Q123" s="52" t="s">
        <v>48</v>
      </c>
      <c r="R123" s="71" t="s">
        <v>77</v>
      </c>
      <c r="S123" s="137" t="str">
        <f t="shared" si="350"/>
        <v>CPD2011</v>
      </c>
      <c r="T123" s="137" t="str">
        <f t="shared" si="351"/>
        <v>C1.5.1.1.32011</v>
      </c>
      <c r="U123" s="137" t="s">
        <v>204</v>
      </c>
      <c r="V123" s="137" t="str">
        <f t="shared" si="352"/>
        <v>Outer Support Cylinder (OSC)</v>
      </c>
      <c r="W123" s="20"/>
      <c r="X123" s="20"/>
      <c r="Y123" s="20"/>
      <c r="Z123" s="20"/>
      <c r="AA123" s="20"/>
      <c r="AB123" s="33">
        <v>2011</v>
      </c>
      <c r="AC123" s="132">
        <f t="shared" si="353"/>
        <v>0</v>
      </c>
      <c r="AD123" s="132">
        <f t="shared" si="354"/>
        <v>0</v>
      </c>
      <c r="AE123" s="132">
        <f t="shared" si="355"/>
        <v>0</v>
      </c>
      <c r="AF123" s="132">
        <f t="shared" si="356"/>
        <v>0</v>
      </c>
      <c r="AG123" s="132">
        <f t="shared" si="357"/>
        <v>0</v>
      </c>
      <c r="AH123" s="234">
        <f t="shared" si="358"/>
        <v>0</v>
      </c>
      <c r="AI123" s="236"/>
      <c r="AJ123" s="242"/>
      <c r="AK123" s="242"/>
      <c r="AL123" s="166"/>
      <c r="AM123" s="131">
        <f t="shared" si="359"/>
        <v>4</v>
      </c>
      <c r="AN123" s="132">
        <f t="shared" si="360"/>
        <v>0</v>
      </c>
      <c r="AO123" s="132">
        <f t="shared" si="361"/>
        <v>0</v>
      </c>
      <c r="AP123" s="132">
        <f t="shared" si="362"/>
        <v>0</v>
      </c>
      <c r="AQ123" s="132">
        <f t="shared" si="363"/>
        <v>0</v>
      </c>
      <c r="AR123" s="132">
        <f t="shared" si="364"/>
        <v>1200</v>
      </c>
      <c r="AS123" s="236"/>
    </row>
    <row r="124" spans="1:45" s="61" customFormat="1">
      <c r="A124" s="46" t="s">
        <v>363</v>
      </c>
      <c r="C124" s="178"/>
      <c r="E124" s="179"/>
      <c r="F124" s="180"/>
      <c r="G124" s="181"/>
      <c r="H124" s="181"/>
      <c r="I124" s="181"/>
      <c r="J124" s="181"/>
      <c r="K124" s="182"/>
      <c r="L124" s="217" t="s">
        <v>66</v>
      </c>
      <c r="M124" s="177">
        <f>SUMIF(Q118:Q123,"B",M118:M123)</f>
        <v>29652</v>
      </c>
      <c r="N124" s="65" t="s">
        <v>66</v>
      </c>
      <c r="O124" s="177">
        <f>SUMIF(Q112:Q116,"B",O112:O116)</f>
        <v>0</v>
      </c>
      <c r="P124" s="183"/>
      <c r="Q124" s="62"/>
      <c r="R124" s="73"/>
      <c r="S124" s="137"/>
      <c r="T124" s="137"/>
      <c r="U124" s="75"/>
      <c r="V124" s="75"/>
      <c r="W124" s="335"/>
      <c r="X124" s="335"/>
      <c r="Y124" s="335"/>
      <c r="Z124" s="335"/>
      <c r="AA124" s="335"/>
      <c r="AB124" s="63"/>
      <c r="AC124" s="4"/>
      <c r="AD124" s="4"/>
      <c r="AE124" s="4"/>
      <c r="AF124" s="4"/>
      <c r="AG124" s="4"/>
      <c r="AH124" s="159"/>
      <c r="AI124" s="239"/>
      <c r="AJ124" s="4"/>
      <c r="AK124" s="4"/>
      <c r="AL124" s="109"/>
      <c r="AM124" s="32"/>
      <c r="AN124" s="4"/>
      <c r="AO124" s="4"/>
      <c r="AP124" s="4"/>
      <c r="AQ124" s="4"/>
      <c r="AR124" s="4"/>
      <c r="AS124" s="239"/>
    </row>
    <row r="125" spans="1:45" s="133" customFormat="1">
      <c r="A125" s="64" t="s">
        <v>345</v>
      </c>
      <c r="B125" s="20" t="s">
        <v>34</v>
      </c>
      <c r="C125" s="165">
        <v>0</v>
      </c>
      <c r="D125" s="96" t="s">
        <v>9</v>
      </c>
      <c r="E125" s="166">
        <v>0</v>
      </c>
      <c r="F125" s="167">
        <f>E125*C125</f>
        <v>0</v>
      </c>
      <c r="G125" s="168">
        <v>0</v>
      </c>
      <c r="H125" s="168">
        <v>0</v>
      </c>
      <c r="I125" s="168">
        <v>0</v>
      </c>
      <c r="J125" s="168">
        <v>40</v>
      </c>
      <c r="K125" s="169">
        <v>0</v>
      </c>
      <c r="L125" s="96" t="s">
        <v>8</v>
      </c>
      <c r="M125" s="166">
        <f t="shared" ref="M125:M129" si="382">IF(R125="PD",((Shop*G125)+(M_Tech*H125)+(CMM*I125)+(ENG*J125)+(DES*K125))*N125,((Shop_RD*G125)+(MTECH_RD*H125)+(CMM_RD*I125)+(ENG_RD*J125)+(DES_RD*K125))*N125)</f>
        <v>4860.0000000000009</v>
      </c>
      <c r="N125" s="92">
        <v>1</v>
      </c>
      <c r="O125" s="170">
        <f t="shared" ref="O125:O129" si="383">M125+(F125*N125)</f>
        <v>4860.0000000000009</v>
      </c>
      <c r="P125" s="170"/>
      <c r="Q125" s="52" t="s">
        <v>47</v>
      </c>
      <c r="R125" s="71" t="s">
        <v>77</v>
      </c>
      <c r="S125" s="137" t="str">
        <f t="shared" ref="S125:S129" si="384">CONCATENATE(Q125,R125,AB125)</f>
        <v>BPD2010</v>
      </c>
      <c r="T125" s="137" t="str">
        <f t="shared" ref="T125:T129" si="385">CONCATENATE(Q125,U125,AB125)</f>
        <v>B1.5.1.1.32010</v>
      </c>
      <c r="U125" s="137" t="s">
        <v>204</v>
      </c>
      <c r="V125" s="137" t="str">
        <f>LOOKUP(U125,$B$539:$B$574,$A$539:$A$574)</f>
        <v>Outer Support Cylinder (OSC)</v>
      </c>
      <c r="W125" s="20"/>
      <c r="X125" s="20"/>
      <c r="Y125" s="20"/>
      <c r="Z125" s="20"/>
      <c r="AA125" s="20"/>
      <c r="AB125" s="487">
        <v>2010</v>
      </c>
      <c r="AC125" s="132">
        <f t="shared" ref="AC125:AC129" si="386">IF($Q125="B", (G125*$N125),0)</f>
        <v>0</v>
      </c>
      <c r="AD125" s="132">
        <f t="shared" ref="AD125:AD129" si="387">IF($Q125="B", (H125*$N125),0)</f>
        <v>0</v>
      </c>
      <c r="AE125" s="132">
        <f t="shared" ref="AE125:AE129" si="388">IF($Q125="B", (I125*$N125),0)</f>
        <v>0</v>
      </c>
      <c r="AF125" s="132">
        <f t="shared" ref="AF125:AF129" si="389">IF($Q125="B", (J125*$N125),0)</f>
        <v>40</v>
      </c>
      <c r="AG125" s="132">
        <f t="shared" ref="AG125:AG129" si="390">IF($Q125="B", (K125*$N125),0)</f>
        <v>0</v>
      </c>
      <c r="AH125" s="234">
        <f t="shared" ref="AH125:AH129" si="391">IF($Q125="B", (F125*$N125),0)</f>
        <v>0</v>
      </c>
      <c r="AI125" s="236"/>
      <c r="AJ125" s="242"/>
      <c r="AK125" s="242"/>
      <c r="AL125" s="166"/>
      <c r="AM125" s="131">
        <f t="shared" ref="AM125:AM129" si="392">IF($Q125="C", (G125*$N125),0)</f>
        <v>0</v>
      </c>
      <c r="AN125" s="132">
        <f t="shared" ref="AN125:AN129" si="393">IF($Q125="C", (H125*$N125),0)</f>
        <v>0</v>
      </c>
      <c r="AO125" s="132">
        <f t="shared" ref="AO125:AO129" si="394">IF($Q125="C", (I125*$N125),0)</f>
        <v>0</v>
      </c>
      <c r="AP125" s="132">
        <f t="shared" ref="AP125:AP129" si="395">IF($Q125="C", (J125*$N125),0)</f>
        <v>0</v>
      </c>
      <c r="AQ125" s="132">
        <f t="shared" ref="AQ125:AQ129" si="396">IF($Q125="C", (K125*$N125),0)</f>
        <v>0</v>
      </c>
      <c r="AR125" s="132">
        <f t="shared" ref="AR125:AR129" si="397">IF($Q125="C", (F125*$N125),0)</f>
        <v>0</v>
      </c>
      <c r="AS125" s="236"/>
    </row>
    <row r="126" spans="1:45" s="133" customFormat="1">
      <c r="A126" s="64" t="s">
        <v>362</v>
      </c>
      <c r="B126" s="20" t="s">
        <v>34</v>
      </c>
      <c r="C126" s="165">
        <v>0</v>
      </c>
      <c r="D126" s="96" t="s">
        <v>9</v>
      </c>
      <c r="E126" s="166">
        <v>0</v>
      </c>
      <c r="F126" s="167">
        <f>E126*C126</f>
        <v>0</v>
      </c>
      <c r="G126" s="168">
        <v>60</v>
      </c>
      <c r="H126" s="168">
        <v>8</v>
      </c>
      <c r="I126" s="168">
        <v>0</v>
      </c>
      <c r="J126" s="168">
        <v>0</v>
      </c>
      <c r="K126" s="169">
        <v>0</v>
      </c>
      <c r="L126" s="96" t="s">
        <v>8</v>
      </c>
      <c r="M126" s="166">
        <f t="shared" si="382"/>
        <v>6881.76</v>
      </c>
      <c r="N126" s="92">
        <v>1</v>
      </c>
      <c r="O126" s="170">
        <f t="shared" si="383"/>
        <v>6881.76</v>
      </c>
      <c r="P126" s="170"/>
      <c r="Q126" s="52" t="s">
        <v>47</v>
      </c>
      <c r="R126" s="71" t="s">
        <v>77</v>
      </c>
      <c r="S126" s="137" t="str">
        <f t="shared" si="384"/>
        <v>BPD2011</v>
      </c>
      <c r="T126" s="137" t="str">
        <f t="shared" si="385"/>
        <v>B1.5.1.1.32011</v>
      </c>
      <c r="U126" s="137" t="s">
        <v>204</v>
      </c>
      <c r="V126" s="137" t="str">
        <f>LOOKUP(U126,$B$539:$B$574,$A$539:$A$574)</f>
        <v>Outer Support Cylinder (OSC)</v>
      </c>
      <c r="W126" s="20"/>
      <c r="X126" s="20"/>
      <c r="Y126" s="20"/>
      <c r="Z126" s="20"/>
      <c r="AA126" s="20"/>
      <c r="AB126" s="33">
        <v>2011</v>
      </c>
      <c r="AC126" s="132">
        <f t="shared" si="386"/>
        <v>60</v>
      </c>
      <c r="AD126" s="132">
        <f t="shared" si="387"/>
        <v>8</v>
      </c>
      <c r="AE126" s="132">
        <f t="shared" si="388"/>
        <v>0</v>
      </c>
      <c r="AF126" s="132">
        <f t="shared" si="389"/>
        <v>0</v>
      </c>
      <c r="AG126" s="132">
        <f t="shared" si="390"/>
        <v>0</v>
      </c>
      <c r="AH126" s="234">
        <f t="shared" si="391"/>
        <v>0</v>
      </c>
      <c r="AI126" s="236"/>
      <c r="AJ126" s="242"/>
      <c r="AK126" s="242"/>
      <c r="AL126" s="166"/>
      <c r="AM126" s="131">
        <f t="shared" si="392"/>
        <v>0</v>
      </c>
      <c r="AN126" s="132">
        <f t="shared" si="393"/>
        <v>0</v>
      </c>
      <c r="AO126" s="132">
        <f t="shared" si="394"/>
        <v>0</v>
      </c>
      <c r="AP126" s="132">
        <f t="shared" si="395"/>
        <v>0</v>
      </c>
      <c r="AQ126" s="132">
        <f t="shared" si="396"/>
        <v>0</v>
      </c>
      <c r="AR126" s="132">
        <f t="shared" si="397"/>
        <v>0</v>
      </c>
      <c r="AS126" s="236"/>
    </row>
    <row r="127" spans="1:45" s="133" customFormat="1">
      <c r="A127" s="64" t="s">
        <v>95</v>
      </c>
      <c r="B127" s="20" t="s">
        <v>96</v>
      </c>
      <c r="C127" s="165">
        <v>1</v>
      </c>
      <c r="D127" s="96" t="s">
        <v>9</v>
      </c>
      <c r="E127" s="166">
        <v>1200</v>
      </c>
      <c r="F127" s="167">
        <f t="shared" ref="F127" si="398">E127*C127</f>
        <v>1200</v>
      </c>
      <c r="G127" s="168">
        <v>4</v>
      </c>
      <c r="H127" s="168">
        <v>0</v>
      </c>
      <c r="I127" s="168">
        <v>0</v>
      </c>
      <c r="J127" s="168">
        <v>0</v>
      </c>
      <c r="K127" s="169">
        <v>0</v>
      </c>
      <c r="L127" s="96" t="s">
        <v>8</v>
      </c>
      <c r="M127" s="166">
        <f t="shared" si="382"/>
        <v>408.24</v>
      </c>
      <c r="N127" s="92">
        <v>1</v>
      </c>
      <c r="O127" s="170">
        <f t="shared" si="383"/>
        <v>1608.24</v>
      </c>
      <c r="P127" s="170"/>
      <c r="Q127" s="52" t="s">
        <v>47</v>
      </c>
      <c r="R127" s="71" t="s">
        <v>77</v>
      </c>
      <c r="S127" s="137" t="str">
        <f t="shared" si="384"/>
        <v>BPD2011</v>
      </c>
      <c r="T127" s="137" t="str">
        <f t="shared" si="385"/>
        <v>B1.5.1.1.32011</v>
      </c>
      <c r="U127" s="137" t="s">
        <v>204</v>
      </c>
      <c r="V127" s="137" t="str">
        <f>LOOKUP(U127,$B$539:$B$574,$A$539:$A$574)</f>
        <v>Outer Support Cylinder (OSC)</v>
      </c>
      <c r="W127" s="20"/>
      <c r="X127" s="20"/>
      <c r="Y127" s="20"/>
      <c r="Z127" s="20"/>
      <c r="AA127" s="20"/>
      <c r="AB127" s="33">
        <v>2011</v>
      </c>
      <c r="AC127" s="132">
        <f t="shared" si="386"/>
        <v>4</v>
      </c>
      <c r="AD127" s="132">
        <f t="shared" si="387"/>
        <v>0</v>
      </c>
      <c r="AE127" s="132">
        <f t="shared" si="388"/>
        <v>0</v>
      </c>
      <c r="AF127" s="132">
        <f t="shared" si="389"/>
        <v>0</v>
      </c>
      <c r="AG127" s="132">
        <f t="shared" si="390"/>
        <v>0</v>
      </c>
      <c r="AH127" s="234">
        <f t="shared" si="391"/>
        <v>1200</v>
      </c>
      <c r="AI127" s="236"/>
      <c r="AJ127" s="242"/>
      <c r="AK127" s="242"/>
      <c r="AL127" s="166"/>
      <c r="AM127" s="131">
        <f t="shared" si="392"/>
        <v>0</v>
      </c>
      <c r="AN127" s="132">
        <f t="shared" si="393"/>
        <v>0</v>
      </c>
      <c r="AO127" s="132">
        <f t="shared" si="394"/>
        <v>0</v>
      </c>
      <c r="AP127" s="132">
        <f t="shared" si="395"/>
        <v>0</v>
      </c>
      <c r="AQ127" s="132">
        <f t="shared" si="396"/>
        <v>0</v>
      </c>
      <c r="AR127" s="132">
        <f t="shared" si="397"/>
        <v>0</v>
      </c>
      <c r="AS127" s="236"/>
    </row>
    <row r="128" spans="1:45" s="133" customFormat="1">
      <c r="A128" s="64" t="s">
        <v>98</v>
      </c>
      <c r="B128" s="20" t="s">
        <v>34</v>
      </c>
      <c r="C128" s="165">
        <v>0</v>
      </c>
      <c r="D128" s="96" t="s">
        <v>9</v>
      </c>
      <c r="E128" s="166">
        <v>0</v>
      </c>
      <c r="F128" s="167">
        <f>E128*C128</f>
        <v>0</v>
      </c>
      <c r="G128" s="168">
        <v>24</v>
      </c>
      <c r="H128" s="168">
        <v>0</v>
      </c>
      <c r="I128" s="168">
        <v>0</v>
      </c>
      <c r="J128" s="168">
        <v>0</v>
      </c>
      <c r="K128" s="169">
        <v>0</v>
      </c>
      <c r="L128" s="96" t="s">
        <v>8</v>
      </c>
      <c r="M128" s="166">
        <f t="shared" si="382"/>
        <v>2449.44</v>
      </c>
      <c r="N128" s="92">
        <v>1</v>
      </c>
      <c r="O128" s="170">
        <f t="shared" si="383"/>
        <v>2449.44</v>
      </c>
      <c r="P128" s="170"/>
      <c r="Q128" s="52" t="s">
        <v>48</v>
      </c>
      <c r="R128" s="71" t="s">
        <v>77</v>
      </c>
      <c r="S128" s="137" t="str">
        <f t="shared" si="384"/>
        <v>CPD2011</v>
      </c>
      <c r="T128" s="137" t="str">
        <f t="shared" si="385"/>
        <v>C1.5.1.1.32011</v>
      </c>
      <c r="U128" s="137" t="s">
        <v>204</v>
      </c>
      <c r="V128" s="137" t="str">
        <f>LOOKUP(U128,$B$539:$B$574,$A$539:$A$574)</f>
        <v>Outer Support Cylinder (OSC)</v>
      </c>
      <c r="W128" s="20"/>
      <c r="X128" s="20"/>
      <c r="Y128" s="20"/>
      <c r="Z128" s="20"/>
      <c r="AA128" s="20"/>
      <c r="AB128" s="33">
        <v>2011</v>
      </c>
      <c r="AC128" s="132">
        <f t="shared" si="386"/>
        <v>0</v>
      </c>
      <c r="AD128" s="132">
        <f t="shared" si="387"/>
        <v>0</v>
      </c>
      <c r="AE128" s="132">
        <f t="shared" si="388"/>
        <v>0</v>
      </c>
      <c r="AF128" s="132">
        <f t="shared" si="389"/>
        <v>0</v>
      </c>
      <c r="AG128" s="132">
        <f t="shared" si="390"/>
        <v>0</v>
      </c>
      <c r="AH128" s="234">
        <f t="shared" si="391"/>
        <v>0</v>
      </c>
      <c r="AI128" s="236"/>
      <c r="AJ128" s="242"/>
      <c r="AK128" s="242"/>
      <c r="AL128" s="166"/>
      <c r="AM128" s="131">
        <f t="shared" si="392"/>
        <v>24</v>
      </c>
      <c r="AN128" s="132">
        <f t="shared" si="393"/>
        <v>0</v>
      </c>
      <c r="AO128" s="132">
        <f t="shared" si="394"/>
        <v>0</v>
      </c>
      <c r="AP128" s="132">
        <f t="shared" si="395"/>
        <v>0</v>
      </c>
      <c r="AQ128" s="132">
        <f t="shared" si="396"/>
        <v>0</v>
      </c>
      <c r="AR128" s="132">
        <f t="shared" si="397"/>
        <v>0</v>
      </c>
      <c r="AS128" s="236"/>
    </row>
    <row r="129" spans="1:45" s="133" customFormat="1">
      <c r="A129" s="64" t="s">
        <v>99</v>
      </c>
      <c r="B129" s="20" t="s">
        <v>96</v>
      </c>
      <c r="C129" s="165">
        <v>1</v>
      </c>
      <c r="D129" s="96" t="s">
        <v>9</v>
      </c>
      <c r="E129" s="166">
        <v>1200</v>
      </c>
      <c r="F129" s="167">
        <f>E129*C129</f>
        <v>1200</v>
      </c>
      <c r="G129" s="168">
        <v>4</v>
      </c>
      <c r="H129" s="168">
        <v>0</v>
      </c>
      <c r="I129" s="168">
        <v>0</v>
      </c>
      <c r="J129" s="168">
        <v>0</v>
      </c>
      <c r="K129" s="169">
        <v>0</v>
      </c>
      <c r="L129" s="96" t="s">
        <v>8</v>
      </c>
      <c r="M129" s="166">
        <f t="shared" si="382"/>
        <v>408.24</v>
      </c>
      <c r="N129" s="92">
        <v>1</v>
      </c>
      <c r="O129" s="170">
        <f t="shared" si="383"/>
        <v>1608.24</v>
      </c>
      <c r="P129" s="170"/>
      <c r="Q129" s="52" t="s">
        <v>48</v>
      </c>
      <c r="R129" s="71" t="s">
        <v>77</v>
      </c>
      <c r="S129" s="137" t="str">
        <f t="shared" si="384"/>
        <v>CPD2011</v>
      </c>
      <c r="T129" s="137" t="str">
        <f t="shared" si="385"/>
        <v>C1.5.1.1.32011</v>
      </c>
      <c r="U129" s="137" t="s">
        <v>204</v>
      </c>
      <c r="V129" s="137" t="str">
        <f>LOOKUP(U129,$B$539:$B$574,$A$539:$A$574)</f>
        <v>Outer Support Cylinder (OSC)</v>
      </c>
      <c r="W129" s="20"/>
      <c r="X129" s="20"/>
      <c r="Y129" s="20"/>
      <c r="Z129" s="20"/>
      <c r="AA129" s="20"/>
      <c r="AB129" s="33">
        <v>2011</v>
      </c>
      <c r="AC129" s="132">
        <f t="shared" si="386"/>
        <v>0</v>
      </c>
      <c r="AD129" s="132">
        <f t="shared" si="387"/>
        <v>0</v>
      </c>
      <c r="AE129" s="132">
        <f t="shared" si="388"/>
        <v>0</v>
      </c>
      <c r="AF129" s="132">
        <f t="shared" si="389"/>
        <v>0</v>
      </c>
      <c r="AG129" s="132">
        <f t="shared" si="390"/>
        <v>0</v>
      </c>
      <c r="AH129" s="234">
        <f t="shared" si="391"/>
        <v>0</v>
      </c>
      <c r="AI129" s="236"/>
      <c r="AJ129" s="242"/>
      <c r="AK129" s="242"/>
      <c r="AL129" s="166"/>
      <c r="AM129" s="131">
        <f t="shared" si="392"/>
        <v>4</v>
      </c>
      <c r="AN129" s="132">
        <f t="shared" si="393"/>
        <v>0</v>
      </c>
      <c r="AO129" s="132">
        <f t="shared" si="394"/>
        <v>0</v>
      </c>
      <c r="AP129" s="132">
        <f t="shared" si="395"/>
        <v>0</v>
      </c>
      <c r="AQ129" s="132">
        <f t="shared" si="396"/>
        <v>0</v>
      </c>
      <c r="AR129" s="132">
        <f t="shared" si="397"/>
        <v>1200</v>
      </c>
      <c r="AS129" s="236"/>
    </row>
    <row r="130" spans="1:45" s="46" customFormat="1">
      <c r="A130" s="46" t="s">
        <v>361</v>
      </c>
      <c r="C130" s="184"/>
      <c r="E130" s="185"/>
      <c r="F130" s="186"/>
      <c r="G130" s="187"/>
      <c r="H130" s="187"/>
      <c r="I130" s="187"/>
      <c r="J130" s="187"/>
      <c r="K130" s="188"/>
      <c r="L130" s="217" t="s">
        <v>66</v>
      </c>
      <c r="M130" s="177">
        <f>SUMIF(Q125:Q129,"B",M125:M129)</f>
        <v>12150.000000000002</v>
      </c>
      <c r="N130" s="65" t="s">
        <v>66</v>
      </c>
      <c r="O130" s="177">
        <f>SUMIF(Q118:Q123,"B",O118:O123)</f>
        <v>30852</v>
      </c>
      <c r="P130" s="189"/>
      <c r="Q130" s="62"/>
      <c r="R130" s="73"/>
      <c r="S130" s="137"/>
      <c r="T130" s="137"/>
      <c r="U130" s="75"/>
      <c r="V130" s="75"/>
      <c r="W130" s="20"/>
      <c r="X130" s="20"/>
      <c r="Y130" s="20"/>
      <c r="Z130" s="20"/>
      <c r="AA130" s="20"/>
      <c r="AB130" s="63"/>
      <c r="AC130" s="132"/>
      <c r="AD130" s="132"/>
      <c r="AE130" s="132"/>
      <c r="AF130" s="132"/>
      <c r="AG130" s="132"/>
      <c r="AH130" s="234"/>
      <c r="AI130" s="235"/>
      <c r="AJ130" s="132"/>
      <c r="AK130" s="132"/>
      <c r="AL130" s="166"/>
      <c r="AM130" s="131"/>
      <c r="AN130" s="132"/>
      <c r="AO130" s="132"/>
      <c r="AP130" s="132"/>
      <c r="AQ130" s="132"/>
      <c r="AR130" s="132"/>
      <c r="AS130" s="235"/>
    </row>
    <row r="131" spans="1:45" s="133" customFormat="1">
      <c r="A131" s="64" t="s">
        <v>345</v>
      </c>
      <c r="B131" s="20" t="s">
        <v>34</v>
      </c>
      <c r="C131" s="165">
        <v>0</v>
      </c>
      <c r="D131" s="96" t="s">
        <v>9</v>
      </c>
      <c r="E131" s="166">
        <v>0</v>
      </c>
      <c r="F131" s="167">
        <f>E131*C131</f>
        <v>0</v>
      </c>
      <c r="G131" s="168">
        <v>0</v>
      </c>
      <c r="H131" s="168">
        <v>0</v>
      </c>
      <c r="I131" s="168">
        <v>0</v>
      </c>
      <c r="J131" s="168">
        <v>120</v>
      </c>
      <c r="K131" s="169">
        <v>0</v>
      </c>
      <c r="L131" s="96" t="s">
        <v>8</v>
      </c>
      <c r="M131" s="166">
        <f>IF(R131="PD",((Shop*G131)+(M_Tech*H131)+(CMM*I131)+(ENG*J131)+(DES*K131))*N131,((Shop_RD*G131)+(MTECH_RD*H131)+(CMM_RD*I131)+(ENG_RD*J131)+(DES_RD*K131))*N131)</f>
        <v>18000</v>
      </c>
      <c r="N131" s="92">
        <v>1</v>
      </c>
      <c r="O131" s="170">
        <f>M131+(F131*N131)</f>
        <v>18000</v>
      </c>
      <c r="P131" s="170"/>
      <c r="Q131" s="52" t="s">
        <v>47</v>
      </c>
      <c r="R131" s="71" t="s">
        <v>180</v>
      </c>
      <c r="S131" s="137" t="str">
        <f>CONCATENATE(Q131,R131,AB131)</f>
        <v>BPT2010</v>
      </c>
      <c r="T131" s="137" t="str">
        <f>CONCATENATE(Q131,U131,AB131)</f>
        <v>B1.5.1.1.32010</v>
      </c>
      <c r="U131" s="137" t="s">
        <v>204</v>
      </c>
      <c r="V131" s="137" t="str">
        <f>LOOKUP(U131,$B$539:$B$574,$A$539:$A$574)</f>
        <v>Outer Support Cylinder (OSC)</v>
      </c>
      <c r="W131" s="20"/>
      <c r="X131" s="20"/>
      <c r="Y131" s="20"/>
      <c r="Z131" s="20"/>
      <c r="AA131" s="20"/>
      <c r="AB131" s="487">
        <v>2010</v>
      </c>
      <c r="AC131" s="132">
        <f t="shared" ref="AC131" si="399">IF($Q131="B", (G131*$N131),0)</f>
        <v>0</v>
      </c>
      <c r="AD131" s="132">
        <f t="shared" ref="AD131" si="400">IF($Q131="B", (H131*$N131),0)</f>
        <v>0</v>
      </c>
      <c r="AE131" s="132">
        <f t="shared" ref="AE131" si="401">IF($Q131="B", (I131*$N131),0)</f>
        <v>0</v>
      </c>
      <c r="AF131" s="132">
        <f t="shared" ref="AF131" si="402">IF($Q131="B", (J131*$N131),0)</f>
        <v>120</v>
      </c>
      <c r="AG131" s="132">
        <f t="shared" ref="AG131" si="403">IF($Q131="B", (K131*$N131),0)</f>
        <v>0</v>
      </c>
      <c r="AH131" s="234">
        <f>IF($Q131="B", (F131*$N131),0)</f>
        <v>0</v>
      </c>
      <c r="AI131" s="236"/>
      <c r="AJ131" s="242"/>
      <c r="AK131" s="242"/>
      <c r="AL131" s="166"/>
      <c r="AM131" s="131">
        <f t="shared" ref="AM131" si="404">IF($Q131="C", (G131*$N131),0)</f>
        <v>0</v>
      </c>
      <c r="AN131" s="132">
        <f t="shared" ref="AN131" si="405">IF($Q131="C", (H131*$N131),0)</f>
        <v>0</v>
      </c>
      <c r="AO131" s="132">
        <f t="shared" ref="AO131" si="406">IF($Q131="C", (I131*$N131),0)</f>
        <v>0</v>
      </c>
      <c r="AP131" s="132">
        <f t="shared" ref="AP131" si="407">IF($Q131="C", (J131*$N131),0)</f>
        <v>0</v>
      </c>
      <c r="AQ131" s="132">
        <f t="shared" ref="AQ131" si="408">IF($Q131="C", (K131*$N131),0)</f>
        <v>0</v>
      </c>
      <c r="AR131" s="132">
        <f>IF($Q131="C", (F131*$N131),0)</f>
        <v>0</v>
      </c>
      <c r="AS131" s="236"/>
    </row>
    <row r="132" spans="1:45" s="133" customFormat="1">
      <c r="A132" s="64" t="s">
        <v>97</v>
      </c>
      <c r="B132" s="20" t="s">
        <v>7</v>
      </c>
      <c r="C132" s="165">
        <v>40</v>
      </c>
      <c r="D132" s="96" t="s">
        <v>39</v>
      </c>
      <c r="E132" s="166">
        <v>8</v>
      </c>
      <c r="F132" s="167">
        <f>E132*C132</f>
        <v>320</v>
      </c>
      <c r="G132" s="168">
        <v>24</v>
      </c>
      <c r="H132" s="168">
        <v>8</v>
      </c>
      <c r="I132" s="168">
        <v>0</v>
      </c>
      <c r="J132" s="168">
        <v>0</v>
      </c>
      <c r="K132" s="169">
        <v>0</v>
      </c>
      <c r="L132" s="96" t="s">
        <v>8</v>
      </c>
      <c r="M132" s="166">
        <f>IF(R132="PD",((Shop*G132)+(M_Tech*H132)+(CMM*I132)+(ENG*J132)+(DES*K132))*N132,((Shop_RD*G132)+(MTECH_RD*H132)+(CMM_RD*I132)+(ENG_RD*J132)+(DES_RD*K132))*N132)</f>
        <v>3960</v>
      </c>
      <c r="N132" s="92">
        <v>1</v>
      </c>
      <c r="O132" s="170">
        <f>M132+(F132*N132)</f>
        <v>4280</v>
      </c>
      <c r="P132" s="170"/>
      <c r="Q132" s="52" t="s">
        <v>47</v>
      </c>
      <c r="R132" s="71" t="s">
        <v>180</v>
      </c>
      <c r="S132" s="137" t="str">
        <f>CONCATENATE(Q132,R132,AB132)</f>
        <v>BPT2010</v>
      </c>
      <c r="T132" s="137" t="str">
        <f>CONCATENATE(Q132,U132,AB132)</f>
        <v>B1.5.1.1.32010</v>
      </c>
      <c r="U132" s="137" t="s">
        <v>204</v>
      </c>
      <c r="V132" s="137" t="str">
        <f>LOOKUP(U132,$B$539:$B$574,$A$539:$A$574)</f>
        <v>Outer Support Cylinder (OSC)</v>
      </c>
      <c r="W132" s="20"/>
      <c r="X132" s="20"/>
      <c r="Y132" s="20"/>
      <c r="Z132" s="20"/>
      <c r="AA132" s="20"/>
      <c r="AB132" s="33">
        <v>2010</v>
      </c>
      <c r="AC132" s="132">
        <f t="shared" ref="AC132" si="409">IF($Q132="B", (G132*$N132),0)</f>
        <v>24</v>
      </c>
      <c r="AD132" s="132">
        <f t="shared" ref="AD132" si="410">IF($Q132="B", (H132*$N132),0)</f>
        <v>8</v>
      </c>
      <c r="AE132" s="132">
        <f t="shared" ref="AE132" si="411">IF($Q132="B", (I132*$N132),0)</f>
        <v>0</v>
      </c>
      <c r="AF132" s="132">
        <f t="shared" ref="AF132" si="412">IF($Q132="B", (J132*$N132),0)</f>
        <v>0</v>
      </c>
      <c r="AG132" s="132">
        <f t="shared" ref="AG132" si="413">IF($Q132="B", (K132*$N132),0)</f>
        <v>0</v>
      </c>
      <c r="AH132" s="234">
        <f>IF($Q132="B", (F132*$N132),0)</f>
        <v>320</v>
      </c>
      <c r="AI132" s="236"/>
      <c r="AJ132" s="242"/>
      <c r="AK132" s="242"/>
      <c r="AL132" s="166"/>
      <c r="AM132" s="131">
        <f t="shared" ref="AM132" si="414">IF($Q132="C", (G132*$N132),0)</f>
        <v>0</v>
      </c>
      <c r="AN132" s="132">
        <f t="shared" ref="AN132" si="415">IF($Q132="C", (H132*$N132),0)</f>
        <v>0</v>
      </c>
      <c r="AO132" s="132">
        <f t="shared" ref="AO132" si="416">IF($Q132="C", (I132*$N132),0)</f>
        <v>0</v>
      </c>
      <c r="AP132" s="132">
        <f t="shared" ref="AP132" si="417">IF($Q132="C", (J132*$N132),0)</f>
        <v>0</v>
      </c>
      <c r="AQ132" s="132">
        <f t="shared" ref="AQ132" si="418">IF($Q132="C", (K132*$N132),0)</f>
        <v>0</v>
      </c>
      <c r="AR132" s="132">
        <f>IF($Q132="C", (F132*$N132),0)</f>
        <v>0</v>
      </c>
      <c r="AS132" s="236"/>
    </row>
    <row r="133" spans="1:45" s="133" customFormat="1">
      <c r="A133" s="64" t="s">
        <v>186</v>
      </c>
      <c r="B133" s="20" t="s">
        <v>7</v>
      </c>
      <c r="C133" s="165">
        <v>40</v>
      </c>
      <c r="D133" s="96" t="s">
        <v>39</v>
      </c>
      <c r="E133" s="166">
        <v>8</v>
      </c>
      <c r="F133" s="167">
        <f>E133*C133</f>
        <v>320</v>
      </c>
      <c r="G133" s="168">
        <v>24</v>
      </c>
      <c r="H133" s="168">
        <v>8</v>
      </c>
      <c r="I133" s="168">
        <v>0</v>
      </c>
      <c r="J133" s="168">
        <v>0</v>
      </c>
      <c r="K133" s="169">
        <v>0</v>
      </c>
      <c r="L133" s="96" t="s">
        <v>8</v>
      </c>
      <c r="M133" s="166">
        <f>IF(R133="PD",((Shop*G133)+(M_Tech*H133)+(CMM*I133)+(ENG*J133)+(DES*K133))*N133,((Shop_RD*G133)+(MTECH_RD*H133)+(CMM_RD*I133)+(ENG_RD*J133)+(DES_RD*K133))*N133)</f>
        <v>3207.6000000000004</v>
      </c>
      <c r="N133" s="92">
        <v>1</v>
      </c>
      <c r="O133" s="170">
        <f>M133+(F133*N133)</f>
        <v>3527.6000000000004</v>
      </c>
      <c r="P133" s="170"/>
      <c r="Q133" s="52" t="s">
        <v>48</v>
      </c>
      <c r="R133" s="71" t="s">
        <v>77</v>
      </c>
      <c r="S133" s="137" t="str">
        <f>CONCATENATE(Q133,R133,AB133)</f>
        <v>CPD2011</v>
      </c>
      <c r="T133" s="137" t="str">
        <f>CONCATENATE(Q133,U133,AB133)</f>
        <v>C1.5.1.1.32011</v>
      </c>
      <c r="U133" s="137" t="s">
        <v>204</v>
      </c>
      <c r="V133" s="137" t="str">
        <f>LOOKUP(U133,$B$539:$B$574,$A$539:$A$574)</f>
        <v>Outer Support Cylinder (OSC)</v>
      </c>
      <c r="W133" s="20"/>
      <c r="X133" s="20"/>
      <c r="Y133" s="20"/>
      <c r="Z133" s="20"/>
      <c r="AA133" s="20"/>
      <c r="AB133" s="33">
        <v>2011</v>
      </c>
      <c r="AC133" s="132">
        <f>IF($Q133="B", (G133*$N133),0)</f>
        <v>0</v>
      </c>
      <c r="AD133" s="132">
        <f>IF($Q133="B", (H133*$N133),0)</f>
        <v>0</v>
      </c>
      <c r="AE133" s="132">
        <f>IF($Q133="B", (I133*$N133),0)</f>
        <v>0</v>
      </c>
      <c r="AF133" s="132">
        <f>IF($Q133="B", (J133*$N133),0)</f>
        <v>0</v>
      </c>
      <c r="AG133" s="132">
        <f>IF($Q133="B", (K133*$N133),0)</f>
        <v>0</v>
      </c>
      <c r="AH133" s="234">
        <f>IF($Q133="B", (F133*$N133),0)</f>
        <v>0</v>
      </c>
      <c r="AI133" s="236"/>
      <c r="AJ133" s="242"/>
      <c r="AK133" s="242"/>
      <c r="AL133" s="166"/>
      <c r="AM133" s="131">
        <f>IF($Q133="C", (G133*$N133),0)</f>
        <v>24</v>
      </c>
      <c r="AN133" s="132">
        <f>IF($Q133="C", (H133*$N133),0)</f>
        <v>8</v>
      </c>
      <c r="AO133" s="132">
        <f>IF($Q133="C", (I133*$N133),0)</f>
        <v>0</v>
      </c>
      <c r="AP133" s="132">
        <f>IF($Q133="C", (J133*$N133),0)</f>
        <v>0</v>
      </c>
      <c r="AQ133" s="132">
        <f>IF($Q133="C", (K133*$N133),0)</f>
        <v>0</v>
      </c>
      <c r="AR133" s="132">
        <f>IF($Q133="C", (F133*$N133),0)</f>
        <v>320</v>
      </c>
      <c r="AS133" s="236"/>
    </row>
    <row r="134" spans="1:45" s="133" customFormat="1">
      <c r="A134" s="64" t="s">
        <v>359</v>
      </c>
      <c r="B134" s="20" t="s">
        <v>7</v>
      </c>
      <c r="C134" s="165">
        <v>40</v>
      </c>
      <c r="D134" s="96" t="s">
        <v>39</v>
      </c>
      <c r="E134" s="166">
        <v>8</v>
      </c>
      <c r="F134" s="167">
        <f>E134*C134</f>
        <v>320</v>
      </c>
      <c r="G134" s="168">
        <v>16</v>
      </c>
      <c r="H134" s="168">
        <v>16</v>
      </c>
      <c r="I134" s="168">
        <v>0</v>
      </c>
      <c r="J134" s="168">
        <v>0</v>
      </c>
      <c r="K134" s="169">
        <v>0</v>
      </c>
      <c r="L134" s="96" t="s">
        <v>8</v>
      </c>
      <c r="M134" s="166">
        <f>IF(R134="PD",((Shop*G134)+(M_Tech*H134)+(CMM*I134)+(ENG*J134)+(DES*K134))*N134,((Shop_RD*G134)+(MTECH_RD*H134)+(CMM_RD*I134)+(ENG_RD*J134)+(DES_RD*K134))*N134)</f>
        <v>3149.28</v>
      </c>
      <c r="N134" s="92">
        <v>1</v>
      </c>
      <c r="O134" s="170">
        <f>M134+(F134*N134)</f>
        <v>3469.28</v>
      </c>
      <c r="P134" s="170"/>
      <c r="Q134" s="52" t="s">
        <v>47</v>
      </c>
      <c r="R134" s="71" t="s">
        <v>77</v>
      </c>
      <c r="S134" s="137" t="str">
        <f>CONCATENATE(Q134,R134,AB134)</f>
        <v>BPD2011</v>
      </c>
      <c r="T134" s="137" t="str">
        <f>CONCATENATE(Q134,U134,AB134)</f>
        <v>B1.5.1.1.32011</v>
      </c>
      <c r="U134" s="137" t="s">
        <v>204</v>
      </c>
      <c r="V134" s="137" t="str">
        <f>LOOKUP(U134,$B$539:$B$574,$A$539:$A$574)</f>
        <v>Outer Support Cylinder (OSC)</v>
      </c>
      <c r="W134" s="20"/>
      <c r="X134" s="20"/>
      <c r="Y134" s="20"/>
      <c r="Z134" s="20"/>
      <c r="AA134" s="20"/>
      <c r="AB134" s="33">
        <v>2011</v>
      </c>
      <c r="AC134" s="132">
        <f t="shared" ref="AC134" si="419">IF($Q134="B", (G134*$N134),0)</f>
        <v>16</v>
      </c>
      <c r="AD134" s="132">
        <f t="shared" ref="AD134" si="420">IF($Q134="B", (H134*$N134),0)</f>
        <v>16</v>
      </c>
      <c r="AE134" s="132">
        <f t="shared" ref="AE134" si="421">IF($Q134="B", (I134*$N134),0)</f>
        <v>0</v>
      </c>
      <c r="AF134" s="132">
        <f t="shared" ref="AF134" si="422">IF($Q134="B", (J134*$N134),0)</f>
        <v>0</v>
      </c>
      <c r="AG134" s="132">
        <f t="shared" ref="AG134" si="423">IF($Q134="B", (K134*$N134),0)</f>
        <v>0</v>
      </c>
      <c r="AH134" s="234">
        <f>IF($Q134="B", (F134*$N134),0)</f>
        <v>320</v>
      </c>
      <c r="AI134" s="236"/>
      <c r="AJ134" s="242"/>
      <c r="AK134" s="242"/>
      <c r="AL134" s="166"/>
      <c r="AM134" s="131">
        <f t="shared" ref="AM134" si="424">IF($Q134="C", (G134*$N134),0)</f>
        <v>0</v>
      </c>
      <c r="AN134" s="132">
        <f t="shared" ref="AN134" si="425">IF($Q134="C", (H134*$N134),0)</f>
        <v>0</v>
      </c>
      <c r="AO134" s="132">
        <f t="shared" ref="AO134" si="426">IF($Q134="C", (I134*$N134),0)</f>
        <v>0</v>
      </c>
      <c r="AP134" s="132">
        <f t="shared" ref="AP134" si="427">IF($Q134="C", (J134*$N134),0)</f>
        <v>0</v>
      </c>
      <c r="AQ134" s="132">
        <f t="shared" ref="AQ134" si="428">IF($Q134="C", (K134*$N134),0)</f>
        <v>0</v>
      </c>
      <c r="AR134" s="132">
        <f>IF($Q134="C", (F134*$N134),0)</f>
        <v>0</v>
      </c>
      <c r="AS134" s="236"/>
    </row>
    <row r="135" spans="1:45" s="133" customFormat="1">
      <c r="A135" s="64" t="s">
        <v>185</v>
      </c>
      <c r="B135" s="20" t="s">
        <v>7</v>
      </c>
      <c r="C135" s="165">
        <v>40</v>
      </c>
      <c r="D135" s="96" t="s">
        <v>39</v>
      </c>
      <c r="E135" s="166">
        <v>8</v>
      </c>
      <c r="F135" s="167">
        <f>E135*C135</f>
        <v>320</v>
      </c>
      <c r="G135" s="168">
        <v>16</v>
      </c>
      <c r="H135" s="168">
        <v>16</v>
      </c>
      <c r="I135" s="168">
        <v>0</v>
      </c>
      <c r="J135" s="168">
        <v>0</v>
      </c>
      <c r="K135" s="169">
        <v>0</v>
      </c>
      <c r="L135" s="96" t="s">
        <v>8</v>
      </c>
      <c r="M135" s="166">
        <f>IF(R135="PD",((Shop*G135)+(M_Tech*H135)+(CMM*I135)+(ENG*J135)+(DES*K135))*N135,((Shop_RD*G135)+(MTECH_RD*H135)+(CMM_RD*I135)+(ENG_RD*J135)+(DES_RD*K135))*N135)</f>
        <v>3149.28</v>
      </c>
      <c r="N135" s="92">
        <v>1</v>
      </c>
      <c r="O135" s="170">
        <f>M135+(F135*N135)</f>
        <v>3469.28</v>
      </c>
      <c r="P135" s="170"/>
      <c r="Q135" s="52" t="s">
        <v>47</v>
      </c>
      <c r="R135" s="71" t="s">
        <v>77</v>
      </c>
      <c r="S135" s="137" t="str">
        <f>CONCATENATE(Q135,R135,AB135)</f>
        <v>BPD2011</v>
      </c>
      <c r="T135" s="137" t="str">
        <f>CONCATENATE(Q135,U135,AB135)</f>
        <v>B1.5.1.1.32011</v>
      </c>
      <c r="U135" s="137" t="s">
        <v>204</v>
      </c>
      <c r="V135" s="137" t="str">
        <f>LOOKUP(U135,$B$539:$B$574,$A$539:$A$574)</f>
        <v>Outer Support Cylinder (OSC)</v>
      </c>
      <c r="W135" s="20"/>
      <c r="X135" s="20"/>
      <c r="Y135" s="20"/>
      <c r="Z135" s="20"/>
      <c r="AA135" s="20"/>
      <c r="AB135" s="33">
        <v>2011</v>
      </c>
      <c r="AC135" s="132">
        <f t="shared" ref="AC135" si="429">IF($Q135="B", (G135*$N135),0)</f>
        <v>16</v>
      </c>
      <c r="AD135" s="132">
        <f t="shared" ref="AD135" si="430">IF($Q135="B", (H135*$N135),0)</f>
        <v>16</v>
      </c>
      <c r="AE135" s="132">
        <f t="shared" ref="AE135" si="431">IF($Q135="B", (I135*$N135),0)</f>
        <v>0</v>
      </c>
      <c r="AF135" s="132">
        <f t="shared" ref="AF135" si="432">IF($Q135="B", (J135*$N135),0)</f>
        <v>0</v>
      </c>
      <c r="AG135" s="132">
        <f t="shared" ref="AG135" si="433">IF($Q135="B", (K135*$N135),0)</f>
        <v>0</v>
      </c>
      <c r="AH135" s="234">
        <f>IF($Q135="B", (F135*$N135),0)</f>
        <v>320</v>
      </c>
      <c r="AI135" s="236"/>
      <c r="AJ135" s="242"/>
      <c r="AK135" s="242"/>
      <c r="AL135" s="166"/>
      <c r="AM135" s="131">
        <f t="shared" ref="AM135" si="434">IF($Q135="C", (G135*$N135),0)</f>
        <v>0</v>
      </c>
      <c r="AN135" s="132">
        <f t="shared" ref="AN135" si="435">IF($Q135="C", (H135*$N135),0)</f>
        <v>0</v>
      </c>
      <c r="AO135" s="132">
        <f t="shared" ref="AO135" si="436">IF($Q135="C", (I135*$N135),0)</f>
        <v>0</v>
      </c>
      <c r="AP135" s="132">
        <f t="shared" ref="AP135" si="437">IF($Q135="C", (J135*$N135),0)</f>
        <v>0</v>
      </c>
      <c r="AQ135" s="132">
        <f t="shared" ref="AQ135" si="438">IF($Q135="C", (K135*$N135),0)</f>
        <v>0</v>
      </c>
      <c r="AR135" s="132">
        <f>IF($Q135="C", (F135*$N135),0)</f>
        <v>0</v>
      </c>
      <c r="AS135" s="236"/>
    </row>
    <row r="136" spans="1:45" s="20" customFormat="1">
      <c r="A136" s="47" t="s">
        <v>344</v>
      </c>
      <c r="C136" s="165"/>
      <c r="D136" s="96"/>
      <c r="E136" s="57"/>
      <c r="F136" s="58"/>
      <c r="G136" s="59"/>
      <c r="H136" s="59"/>
      <c r="I136" s="59"/>
      <c r="J136" s="59"/>
      <c r="K136" s="60"/>
      <c r="L136" s="217" t="s">
        <v>66</v>
      </c>
      <c r="M136" s="177">
        <f>SUMIF(Q131:Q135,"B",M131:M135)</f>
        <v>28258.559999999998</v>
      </c>
      <c r="N136" s="65" t="s">
        <v>66</v>
      </c>
      <c r="O136" s="170"/>
      <c r="P136" s="170"/>
      <c r="Q136" s="52"/>
      <c r="R136" s="71"/>
      <c r="S136" s="137"/>
      <c r="T136" s="137"/>
      <c r="U136" s="137"/>
      <c r="V136" s="137"/>
      <c r="AB136" s="33"/>
      <c r="AC136" s="132"/>
      <c r="AD136" s="132"/>
      <c r="AE136" s="135"/>
      <c r="AF136" s="132"/>
      <c r="AG136" s="132"/>
      <c r="AH136" s="234"/>
      <c r="AI136" s="235"/>
      <c r="AJ136" s="132"/>
      <c r="AK136" s="132"/>
      <c r="AL136" s="166"/>
      <c r="AM136" s="131"/>
      <c r="AN136" s="132"/>
      <c r="AO136" s="132"/>
      <c r="AP136" s="132"/>
      <c r="AQ136" s="132"/>
      <c r="AR136" s="132"/>
      <c r="AS136" s="235"/>
    </row>
    <row r="137" spans="1:45" s="20" customFormat="1">
      <c r="A137" s="46" t="s">
        <v>345</v>
      </c>
      <c r="B137" s="20" t="s">
        <v>34</v>
      </c>
      <c r="C137" s="165">
        <v>0.03</v>
      </c>
      <c r="D137" s="96" t="s">
        <v>9</v>
      </c>
      <c r="E137" s="166">
        <v>0</v>
      </c>
      <c r="F137" s="167">
        <f>E137*C137</f>
        <v>0</v>
      </c>
      <c r="G137" s="168">
        <v>0</v>
      </c>
      <c r="H137" s="168">
        <v>0</v>
      </c>
      <c r="I137" s="168">
        <v>0</v>
      </c>
      <c r="J137" s="168">
        <v>120</v>
      </c>
      <c r="K137" s="169">
        <v>0</v>
      </c>
      <c r="L137" s="96" t="s">
        <v>8</v>
      </c>
      <c r="M137" s="166">
        <f>IF(R137="PD",((Shop*G137)+(M_Tech*H137)+(CMM*I137)+(ENG*J137)+(DES*K137))*N137,((Shop_RD*G137)+(MTECH_RD*H137)+(CMM_RD*I137)+(ENG_RD*J137)+(DES_RD*K137))*N137)</f>
        <v>18000</v>
      </c>
      <c r="N137" s="92">
        <v>1</v>
      </c>
      <c r="O137" s="170">
        <f>M137+(F137*N137)</f>
        <v>18000</v>
      </c>
      <c r="P137" s="170"/>
      <c r="Q137" s="52" t="s">
        <v>47</v>
      </c>
      <c r="R137" s="71" t="s">
        <v>180</v>
      </c>
      <c r="S137" s="137" t="str">
        <f>CONCATENATE(Q137,R137,AB137)</f>
        <v>BPT2010</v>
      </c>
      <c r="T137" s="137" t="str">
        <f>CONCATENATE(Q137,U137,AB137)</f>
        <v>B1.5.1.1.32010</v>
      </c>
      <c r="U137" s="137" t="s">
        <v>204</v>
      </c>
      <c r="V137" s="137" t="str">
        <f>LOOKUP(U137,$B$539:$B$574,$A$539:$A$574)</f>
        <v>Outer Support Cylinder (OSC)</v>
      </c>
      <c r="AB137" s="487">
        <v>2010</v>
      </c>
      <c r="AC137" s="132">
        <f t="shared" ref="AC137:AC139" si="439">IF($Q137="B", (G137*$N137),0)</f>
        <v>0</v>
      </c>
      <c r="AD137" s="132">
        <f t="shared" ref="AD137:AD139" si="440">IF($Q137="B", (H137*$N137),0)</f>
        <v>0</v>
      </c>
      <c r="AE137" s="132">
        <f t="shared" ref="AE137:AE139" si="441">IF($Q137="B", (I137*$N137),0)</f>
        <v>0</v>
      </c>
      <c r="AF137" s="132">
        <f t="shared" ref="AF137:AF139" si="442">IF($Q137="B", (J137*$N137),0)</f>
        <v>120</v>
      </c>
      <c r="AG137" s="132">
        <f t="shared" ref="AG137:AG139" si="443">IF($Q137="B", (K137*$N137),0)</f>
        <v>0</v>
      </c>
      <c r="AH137" s="234">
        <f>IF($Q137="B", (F137*$N137),0)</f>
        <v>0</v>
      </c>
      <c r="AI137" s="235"/>
      <c r="AJ137" s="132"/>
      <c r="AK137" s="132"/>
      <c r="AL137" s="166"/>
      <c r="AM137" s="131">
        <f t="shared" ref="AM137:AM139" si="444">IF($Q137="C", (G137*$N137),0)</f>
        <v>0</v>
      </c>
      <c r="AN137" s="132">
        <f t="shared" ref="AN137:AN139" si="445">IF($Q137="C", (H137*$N137),0)</f>
        <v>0</v>
      </c>
      <c r="AO137" s="132">
        <f t="shared" ref="AO137:AO139" si="446">IF($Q137="C", (I137*$N137),0)</f>
        <v>0</v>
      </c>
      <c r="AP137" s="132">
        <f t="shared" ref="AP137:AP139" si="447">IF($Q137="C", (J137*$N137),0)</f>
        <v>0</v>
      </c>
      <c r="AQ137" s="132">
        <f t="shared" ref="AQ137:AQ139" si="448">IF($Q137="C", (K137*$N137),0)</f>
        <v>0</v>
      </c>
      <c r="AR137" s="132">
        <f>IF($Q137="C", (F137*$N137),0)</f>
        <v>0</v>
      </c>
      <c r="AS137" s="235"/>
    </row>
    <row r="138" spans="1:45" s="20" customFormat="1">
      <c r="A138" s="46" t="s">
        <v>318</v>
      </c>
      <c r="B138" s="20" t="s">
        <v>34</v>
      </c>
      <c r="C138" s="165">
        <v>0.03</v>
      </c>
      <c r="D138" s="96" t="s">
        <v>9</v>
      </c>
      <c r="E138" s="166">
        <v>0</v>
      </c>
      <c r="F138" s="167">
        <f>E138*C138</f>
        <v>0</v>
      </c>
      <c r="G138" s="168">
        <v>0</v>
      </c>
      <c r="H138" s="168">
        <v>8</v>
      </c>
      <c r="I138" s="168">
        <v>0</v>
      </c>
      <c r="J138" s="168">
        <v>0</v>
      </c>
      <c r="K138" s="169">
        <v>0</v>
      </c>
      <c r="L138" s="96" t="s">
        <v>8</v>
      </c>
      <c r="M138" s="166">
        <f>IF(R138="PD",((Shop*G138)+(M_Tech*H138)+(CMM*I138)+(ENG*J138)+(DES*K138))*N138,((Shop_RD*G138)+(MTECH_RD*H138)+(CMM_RD*I138)+(ENG_RD*J138)+(DES_RD*K138))*N138)</f>
        <v>2808</v>
      </c>
      <c r="N138" s="92">
        <v>3</v>
      </c>
      <c r="O138" s="170">
        <f>M138+(F138*N138)</f>
        <v>2808</v>
      </c>
      <c r="P138" s="170"/>
      <c r="Q138" s="52" t="s">
        <v>47</v>
      </c>
      <c r="R138" s="71" t="s">
        <v>180</v>
      </c>
      <c r="S138" s="137" t="str">
        <f>CONCATENATE(Q138,R138,AB138)</f>
        <v>BPT2010</v>
      </c>
      <c r="T138" s="137" t="str">
        <f>CONCATENATE(Q138,U138,AB138)</f>
        <v>B1.5.1.1.32010</v>
      </c>
      <c r="U138" s="137" t="s">
        <v>204</v>
      </c>
      <c r="V138" s="137" t="str">
        <f>LOOKUP(U138,$B$539:$B$574,$A$539:$A$574)</f>
        <v>Outer Support Cylinder (OSC)</v>
      </c>
      <c r="AB138" s="33">
        <v>2010</v>
      </c>
      <c r="AC138" s="132">
        <f t="shared" ref="AC138" si="449">IF($Q138="B", (G138*$N138),0)</f>
        <v>0</v>
      </c>
      <c r="AD138" s="132">
        <f t="shared" ref="AD138" si="450">IF($Q138="B", (H138*$N138),0)</f>
        <v>24</v>
      </c>
      <c r="AE138" s="132">
        <f t="shared" ref="AE138" si="451">IF($Q138="B", (I138*$N138),0)</f>
        <v>0</v>
      </c>
      <c r="AF138" s="132">
        <f t="shared" ref="AF138" si="452">IF($Q138="B", (J138*$N138),0)</f>
        <v>0</v>
      </c>
      <c r="AG138" s="132">
        <f t="shared" ref="AG138" si="453">IF($Q138="B", (K138*$N138),0)</f>
        <v>0</v>
      </c>
      <c r="AH138" s="234">
        <f>IF($Q138="B", (F138*$N138),0)</f>
        <v>0</v>
      </c>
      <c r="AI138" s="235"/>
      <c r="AJ138" s="132"/>
      <c r="AK138" s="132"/>
      <c r="AL138" s="166"/>
      <c r="AM138" s="131">
        <f t="shared" ref="AM138" si="454">IF($Q138="C", (G138*$N138),0)</f>
        <v>0</v>
      </c>
      <c r="AN138" s="132">
        <f t="shared" ref="AN138" si="455">IF($Q138="C", (H138*$N138),0)</f>
        <v>0</v>
      </c>
      <c r="AO138" s="132">
        <f t="shared" ref="AO138" si="456">IF($Q138="C", (I138*$N138),0)</f>
        <v>0</v>
      </c>
      <c r="AP138" s="132">
        <f t="shared" ref="AP138" si="457">IF($Q138="C", (J138*$N138),0)</f>
        <v>0</v>
      </c>
      <c r="AQ138" s="132">
        <f t="shared" ref="AQ138" si="458">IF($Q138="C", (K138*$N138),0)</f>
        <v>0</v>
      </c>
      <c r="AR138" s="132">
        <f>IF($Q138="C", (F138*$N138),0)</f>
        <v>0</v>
      </c>
      <c r="AS138" s="235"/>
    </row>
    <row r="139" spans="1:45" s="20" customFormat="1">
      <c r="A139" s="46" t="s">
        <v>319</v>
      </c>
      <c r="B139" s="20" t="s">
        <v>58</v>
      </c>
      <c r="C139" s="165">
        <v>22</v>
      </c>
      <c r="D139" s="96" t="s">
        <v>9</v>
      </c>
      <c r="E139" s="166">
        <v>105</v>
      </c>
      <c r="F139" s="167">
        <f>E139*C139</f>
        <v>2310</v>
      </c>
      <c r="G139" s="168">
        <v>0</v>
      </c>
      <c r="H139" s="168">
        <v>48</v>
      </c>
      <c r="I139" s="168">
        <v>0</v>
      </c>
      <c r="J139" s="168">
        <v>0</v>
      </c>
      <c r="K139" s="169">
        <v>0</v>
      </c>
      <c r="L139" s="96" t="s">
        <v>8</v>
      </c>
      <c r="M139" s="166">
        <f>IF(R139="PD",((Shop*G139)+(M_Tech*H139)+(CMM*I139)+(ENG*J139)+(DES*K139))*N139,((Shop_RD*G139)+(MTECH_RD*H139)+(CMM_RD*I139)+(ENG_RD*J139)+(DES_RD*K139))*N139)</f>
        <v>16848</v>
      </c>
      <c r="N139" s="92">
        <v>3</v>
      </c>
      <c r="O139" s="170">
        <f>M139+(F139*N139)</f>
        <v>23778</v>
      </c>
      <c r="P139" s="170"/>
      <c r="Q139" s="52" t="s">
        <v>47</v>
      </c>
      <c r="R139" s="71" t="s">
        <v>180</v>
      </c>
      <c r="S139" s="137" t="str">
        <f>CONCATENATE(Q139,R139,AB139)</f>
        <v>BPT2010</v>
      </c>
      <c r="T139" s="137" t="str">
        <f>CONCATENATE(Q139,U139,AB139)</f>
        <v>B1.5.1.1.32010</v>
      </c>
      <c r="U139" s="137" t="s">
        <v>204</v>
      </c>
      <c r="V139" s="137" t="str">
        <f>LOOKUP(U139,$B$539:$B$574,$A$539:$A$574)</f>
        <v>Outer Support Cylinder (OSC)</v>
      </c>
      <c r="AB139" s="33">
        <v>2010</v>
      </c>
      <c r="AC139" s="132">
        <f t="shared" si="439"/>
        <v>0</v>
      </c>
      <c r="AD139" s="132">
        <f t="shared" si="440"/>
        <v>144</v>
      </c>
      <c r="AE139" s="132">
        <f t="shared" si="441"/>
        <v>0</v>
      </c>
      <c r="AF139" s="132">
        <f t="shared" si="442"/>
        <v>0</v>
      </c>
      <c r="AG139" s="132">
        <f t="shared" si="443"/>
        <v>0</v>
      </c>
      <c r="AH139" s="234">
        <f>IF($Q139="B", (F139*$N139),0)</f>
        <v>6930</v>
      </c>
      <c r="AI139" s="235"/>
      <c r="AJ139" s="132"/>
      <c r="AK139" s="132"/>
      <c r="AL139" s="166"/>
      <c r="AM139" s="131">
        <f t="shared" si="444"/>
        <v>0</v>
      </c>
      <c r="AN139" s="132">
        <f t="shared" si="445"/>
        <v>0</v>
      </c>
      <c r="AO139" s="132">
        <f t="shared" si="446"/>
        <v>0</v>
      </c>
      <c r="AP139" s="132">
        <f t="shared" si="447"/>
        <v>0</v>
      </c>
      <c r="AQ139" s="132">
        <f t="shared" si="448"/>
        <v>0</v>
      </c>
      <c r="AR139" s="132">
        <f>IF($Q139="C", (F139*$N139),0)</f>
        <v>0</v>
      </c>
      <c r="AS139" s="235"/>
    </row>
    <row r="140" spans="1:45" s="20" customFormat="1">
      <c r="A140" s="47" t="s">
        <v>346</v>
      </c>
      <c r="C140" s="165"/>
      <c r="D140" s="96"/>
      <c r="E140" s="57"/>
      <c r="F140" s="58"/>
      <c r="G140" s="59"/>
      <c r="H140" s="59"/>
      <c r="I140" s="59"/>
      <c r="J140" s="59"/>
      <c r="K140" s="60"/>
      <c r="L140" s="217" t="s">
        <v>66</v>
      </c>
      <c r="M140" s="177">
        <f>SUMIF(Q137:Q139,"B",M137:M139)</f>
        <v>37656</v>
      </c>
      <c r="N140" s="65" t="s">
        <v>65</v>
      </c>
      <c r="O140" s="170"/>
      <c r="P140" s="170"/>
      <c r="Q140" s="52"/>
      <c r="R140" s="71"/>
      <c r="S140" s="137"/>
      <c r="T140" s="137"/>
      <c r="U140" s="137"/>
      <c r="V140" s="137"/>
      <c r="AB140" s="33"/>
      <c r="AC140" s="132"/>
      <c r="AD140" s="132"/>
      <c r="AE140" s="135"/>
      <c r="AF140" s="132"/>
      <c r="AG140" s="132"/>
      <c r="AH140" s="234"/>
      <c r="AI140" s="235"/>
      <c r="AJ140" s="132"/>
      <c r="AK140" s="132"/>
      <c r="AL140" s="166"/>
      <c r="AM140" s="131"/>
      <c r="AN140" s="132"/>
      <c r="AO140" s="132"/>
      <c r="AP140" s="132"/>
      <c r="AQ140" s="132"/>
      <c r="AR140" s="132"/>
      <c r="AS140" s="235"/>
    </row>
    <row r="141" spans="1:45" s="20" customFormat="1">
      <c r="A141" s="46" t="s">
        <v>318</v>
      </c>
      <c r="B141" s="20" t="s">
        <v>34</v>
      </c>
      <c r="C141" s="165">
        <v>0.03</v>
      </c>
      <c r="D141" s="96" t="s">
        <v>9</v>
      </c>
      <c r="E141" s="166">
        <v>0</v>
      </c>
      <c r="F141" s="167">
        <f>E141*C141</f>
        <v>0</v>
      </c>
      <c r="G141" s="168">
        <v>0</v>
      </c>
      <c r="H141" s="168">
        <v>16</v>
      </c>
      <c r="I141" s="168">
        <v>0</v>
      </c>
      <c r="J141" s="168">
        <v>8</v>
      </c>
      <c r="K141" s="169">
        <v>0</v>
      </c>
      <c r="L141" s="96" t="s">
        <v>8</v>
      </c>
      <c r="M141" s="166">
        <f>IF(R141="PD",((Shop*G141)+(M_Tech*H141)+(CMM*I141)+(ENG*J141)+(DES*K141))*N141,((Shop_RD*G141)+(MTECH_RD*H141)+(CMM_RD*I141)+(ENG_RD*J141)+(DES_RD*K141))*N141)</f>
        <v>2488.3200000000002</v>
      </c>
      <c r="N141" s="92">
        <v>1</v>
      </c>
      <c r="O141" s="170">
        <f>M141+(F141*N141)</f>
        <v>2488.3200000000002</v>
      </c>
      <c r="P141" s="170"/>
      <c r="Q141" s="52" t="s">
        <v>47</v>
      </c>
      <c r="R141" s="71" t="s">
        <v>77</v>
      </c>
      <c r="S141" s="137" t="str">
        <f>CONCATENATE(Q141,R141,AB141)</f>
        <v>BPD2011</v>
      </c>
      <c r="T141" s="137" t="str">
        <f>CONCATENATE(Q141,U141,AB141)</f>
        <v>B1.5.1.1.32011</v>
      </c>
      <c r="U141" s="137" t="s">
        <v>204</v>
      </c>
      <c r="V141" s="137" t="str">
        <f>LOOKUP(U141,$B$539:$B$574,$A$539:$A$574)</f>
        <v>Outer Support Cylinder (OSC)</v>
      </c>
      <c r="AB141" s="33">
        <v>2011</v>
      </c>
      <c r="AC141" s="132">
        <f t="shared" ref="AC141:AC144" si="459">IF($Q141="B", (G141*$N141),0)</f>
        <v>0</v>
      </c>
      <c r="AD141" s="132">
        <f t="shared" ref="AD141:AD144" si="460">IF($Q141="B", (H141*$N141),0)</f>
        <v>16</v>
      </c>
      <c r="AE141" s="132">
        <f t="shared" ref="AE141:AE144" si="461">IF($Q141="B", (I141*$N141),0)</f>
        <v>0</v>
      </c>
      <c r="AF141" s="132">
        <f t="shared" ref="AF141:AF144" si="462">IF($Q141="B", (J141*$N141),0)</f>
        <v>8</v>
      </c>
      <c r="AG141" s="132">
        <f t="shared" ref="AG141:AG144" si="463">IF($Q141="B", (K141*$N141),0)</f>
        <v>0</v>
      </c>
      <c r="AH141" s="234">
        <f>IF($Q141="B", (F141*$N141),0)</f>
        <v>0</v>
      </c>
      <c r="AI141" s="235"/>
      <c r="AJ141" s="132"/>
      <c r="AK141" s="132"/>
      <c r="AL141" s="166"/>
      <c r="AM141" s="131">
        <f t="shared" ref="AM141:AM144" si="464">IF($Q141="C", (G141*$N141),0)</f>
        <v>0</v>
      </c>
      <c r="AN141" s="132">
        <f t="shared" ref="AN141:AN144" si="465">IF($Q141="C", (H141*$N141),0)</f>
        <v>0</v>
      </c>
      <c r="AO141" s="132">
        <f t="shared" ref="AO141:AO144" si="466">IF($Q141="C", (I141*$N141),0)</f>
        <v>0</v>
      </c>
      <c r="AP141" s="132">
        <f t="shared" ref="AP141:AP144" si="467">IF($Q141="C", (J141*$N141),0)</f>
        <v>0</v>
      </c>
      <c r="AQ141" s="132">
        <f t="shared" ref="AQ141:AQ144" si="468">IF($Q141="C", (K141*$N141),0)</f>
        <v>0</v>
      </c>
      <c r="AR141" s="132">
        <f>IF($Q141="C", (F141*$N141),0)</f>
        <v>0</v>
      </c>
      <c r="AS141" s="235"/>
    </row>
    <row r="142" spans="1:45" s="20" customFormat="1">
      <c r="A142" s="46" t="s">
        <v>319</v>
      </c>
      <c r="B142" s="20" t="s">
        <v>58</v>
      </c>
      <c r="C142" s="165">
        <v>22</v>
      </c>
      <c r="D142" s="96" t="s">
        <v>9</v>
      </c>
      <c r="E142" s="166">
        <v>105</v>
      </c>
      <c r="F142" s="167">
        <f>E142*C142</f>
        <v>2310</v>
      </c>
      <c r="G142" s="168">
        <v>0</v>
      </c>
      <c r="H142" s="168">
        <v>120</v>
      </c>
      <c r="I142" s="168">
        <v>0</v>
      </c>
      <c r="J142" s="168">
        <v>16</v>
      </c>
      <c r="K142" s="169">
        <v>0</v>
      </c>
      <c r="L142" s="96" t="s">
        <v>8</v>
      </c>
      <c r="M142" s="166">
        <f>IF(R142="PD",((Shop*G142)+(M_Tech*H142)+(CMM*I142)+(ENG*J142)+(DES*K142))*N142,((Shop_RD*G142)+(MTECH_RD*H142)+(CMM_RD*I142)+(ENG_RD*J142)+(DES_RD*K142))*N142)</f>
        <v>13316.400000000001</v>
      </c>
      <c r="N142" s="92">
        <v>1</v>
      </c>
      <c r="O142" s="170">
        <f>M142+(F142*N142)</f>
        <v>15626.400000000001</v>
      </c>
      <c r="P142" s="170"/>
      <c r="Q142" s="52" t="s">
        <v>47</v>
      </c>
      <c r="R142" s="71" t="s">
        <v>77</v>
      </c>
      <c r="S142" s="137" t="str">
        <f>CONCATENATE(Q142,R142,AB142)</f>
        <v>BPD2011</v>
      </c>
      <c r="T142" s="137" t="str">
        <f>CONCATENATE(Q142,U142,AB142)</f>
        <v>B1.5.1.1.32011</v>
      </c>
      <c r="U142" s="137" t="s">
        <v>204</v>
      </c>
      <c r="V142" s="137" t="str">
        <f>LOOKUP(U142,$B$539:$B$574,$A$539:$A$574)</f>
        <v>Outer Support Cylinder (OSC)</v>
      </c>
      <c r="AB142" s="33">
        <v>2011</v>
      </c>
      <c r="AC142" s="132">
        <f t="shared" si="459"/>
        <v>0</v>
      </c>
      <c r="AD142" s="132">
        <f t="shared" si="460"/>
        <v>120</v>
      </c>
      <c r="AE142" s="132">
        <f t="shared" si="461"/>
        <v>0</v>
      </c>
      <c r="AF142" s="132">
        <f t="shared" si="462"/>
        <v>16</v>
      </c>
      <c r="AG142" s="132">
        <f t="shared" si="463"/>
        <v>0</v>
      </c>
      <c r="AH142" s="234">
        <f>IF($Q142="B", (F142*$N142),0)</f>
        <v>2310</v>
      </c>
      <c r="AI142" s="235"/>
      <c r="AJ142" s="132"/>
      <c r="AK142" s="132"/>
      <c r="AL142" s="166"/>
      <c r="AM142" s="131">
        <f t="shared" si="464"/>
        <v>0</v>
      </c>
      <c r="AN142" s="132">
        <f t="shared" si="465"/>
        <v>0</v>
      </c>
      <c r="AO142" s="132">
        <f t="shared" si="466"/>
        <v>0</v>
      </c>
      <c r="AP142" s="132">
        <f t="shared" si="467"/>
        <v>0</v>
      </c>
      <c r="AQ142" s="132">
        <f t="shared" si="468"/>
        <v>0</v>
      </c>
      <c r="AR142" s="132">
        <f>IF($Q142="C", (F142*$N142),0)</f>
        <v>0</v>
      </c>
      <c r="AS142" s="235"/>
    </row>
    <row r="143" spans="1:45" s="20" customFormat="1">
      <c r="A143" s="46" t="s">
        <v>318</v>
      </c>
      <c r="B143" s="20" t="s">
        <v>34</v>
      </c>
      <c r="C143" s="165">
        <v>0.03</v>
      </c>
      <c r="D143" s="96" t="s">
        <v>9</v>
      </c>
      <c r="E143" s="166">
        <v>0</v>
      </c>
      <c r="F143" s="167">
        <f>E143*C143</f>
        <v>0</v>
      </c>
      <c r="G143" s="168">
        <v>0</v>
      </c>
      <c r="H143" s="168">
        <v>16</v>
      </c>
      <c r="I143" s="168">
        <v>0</v>
      </c>
      <c r="J143" s="168">
        <v>8</v>
      </c>
      <c r="K143" s="169">
        <v>0</v>
      </c>
      <c r="L143" s="96" t="s">
        <v>8</v>
      </c>
      <c r="M143" s="166">
        <f>IF(R143="PD",((Shop*G143)+(M_Tech*H143)+(CMM*I143)+(ENG*J143)+(DES*K143))*N143,((Shop_RD*G143)+(MTECH_RD*H143)+(CMM_RD*I143)+(ENG_RD*J143)+(DES_RD*K143))*N143)</f>
        <v>2488.3200000000002</v>
      </c>
      <c r="N143" s="92">
        <v>1</v>
      </c>
      <c r="O143" s="170">
        <f>M143+(F143*N143)</f>
        <v>2488.3200000000002</v>
      </c>
      <c r="P143" s="170"/>
      <c r="Q143" s="52" t="s">
        <v>48</v>
      </c>
      <c r="R143" s="71" t="s">
        <v>77</v>
      </c>
      <c r="S143" s="137" t="str">
        <f>CONCATENATE(Q143,R143,AB143)</f>
        <v>CPD2011</v>
      </c>
      <c r="T143" s="137" t="str">
        <f>CONCATENATE(Q143,U143,AB143)</f>
        <v>C1.5.1.1.32011</v>
      </c>
      <c r="U143" s="137" t="s">
        <v>204</v>
      </c>
      <c r="V143" s="137" t="str">
        <f>LOOKUP(U143,$B$539:$B$574,$A$539:$A$574)</f>
        <v>Outer Support Cylinder (OSC)</v>
      </c>
      <c r="AB143" s="33">
        <v>2011</v>
      </c>
      <c r="AC143" s="132">
        <f t="shared" si="459"/>
        <v>0</v>
      </c>
      <c r="AD143" s="132">
        <f t="shared" si="460"/>
        <v>0</v>
      </c>
      <c r="AE143" s="132">
        <f t="shared" si="461"/>
        <v>0</v>
      </c>
      <c r="AF143" s="132">
        <f t="shared" si="462"/>
        <v>0</v>
      </c>
      <c r="AG143" s="132">
        <f t="shared" si="463"/>
        <v>0</v>
      </c>
      <c r="AH143" s="234">
        <f>IF($Q143="B", (F143*$N143),0)</f>
        <v>0</v>
      </c>
      <c r="AI143" s="235"/>
      <c r="AJ143" s="132"/>
      <c r="AK143" s="132"/>
      <c r="AL143" s="166"/>
      <c r="AM143" s="131">
        <f t="shared" si="464"/>
        <v>0</v>
      </c>
      <c r="AN143" s="132">
        <f t="shared" si="465"/>
        <v>16</v>
      </c>
      <c r="AO143" s="132">
        <f t="shared" si="466"/>
        <v>0</v>
      </c>
      <c r="AP143" s="132">
        <f t="shared" si="467"/>
        <v>8</v>
      </c>
      <c r="AQ143" s="132">
        <f t="shared" si="468"/>
        <v>0</v>
      </c>
      <c r="AR143" s="132">
        <f>IF($Q143="C", (F143*$N143),0)</f>
        <v>0</v>
      </c>
      <c r="AS143" s="235"/>
    </row>
    <row r="144" spans="1:45" s="20" customFormat="1">
      <c r="A144" s="46" t="s">
        <v>319</v>
      </c>
      <c r="B144" s="20" t="s">
        <v>58</v>
      </c>
      <c r="C144" s="165">
        <v>22</v>
      </c>
      <c r="D144" s="96" t="s">
        <v>9</v>
      </c>
      <c r="E144" s="166">
        <v>105</v>
      </c>
      <c r="F144" s="167">
        <f>E144*C144</f>
        <v>2310</v>
      </c>
      <c r="G144" s="168">
        <v>0</v>
      </c>
      <c r="H144" s="168">
        <v>120</v>
      </c>
      <c r="I144" s="168">
        <v>0</v>
      </c>
      <c r="J144" s="168">
        <v>16</v>
      </c>
      <c r="K144" s="169">
        <v>0</v>
      </c>
      <c r="L144" s="96" t="s">
        <v>8</v>
      </c>
      <c r="M144" s="166">
        <f>IF(R144="PD",((Shop*G144)+(M_Tech*H144)+(CMM*I144)+(ENG*J144)+(DES*K144))*N144,((Shop_RD*G144)+(MTECH_RD*H144)+(CMM_RD*I144)+(ENG_RD*J144)+(DES_RD*K144))*N144)</f>
        <v>13316.400000000001</v>
      </c>
      <c r="N144" s="92">
        <v>1</v>
      </c>
      <c r="O144" s="170">
        <f>M144+(F144*N144)</f>
        <v>15626.400000000001</v>
      </c>
      <c r="P144" s="170"/>
      <c r="Q144" s="52" t="s">
        <v>48</v>
      </c>
      <c r="R144" s="71" t="s">
        <v>77</v>
      </c>
      <c r="S144" s="137" t="str">
        <f>CONCATENATE(Q144,R144,AB144)</f>
        <v>CPD2011</v>
      </c>
      <c r="T144" s="137" t="str">
        <f>CONCATENATE(Q144,U144,AB144)</f>
        <v>C1.5.1.1.32011</v>
      </c>
      <c r="U144" s="137" t="s">
        <v>204</v>
      </c>
      <c r="V144" s="137" t="str">
        <f>LOOKUP(U144,$B$539:$B$574,$A$539:$A$574)</f>
        <v>Outer Support Cylinder (OSC)</v>
      </c>
      <c r="AB144" s="33">
        <v>2011</v>
      </c>
      <c r="AC144" s="132">
        <f t="shared" si="459"/>
        <v>0</v>
      </c>
      <c r="AD144" s="132">
        <f t="shared" si="460"/>
        <v>0</v>
      </c>
      <c r="AE144" s="132">
        <f t="shared" si="461"/>
        <v>0</v>
      </c>
      <c r="AF144" s="132">
        <f t="shared" si="462"/>
        <v>0</v>
      </c>
      <c r="AG144" s="132">
        <f t="shared" si="463"/>
        <v>0</v>
      </c>
      <c r="AH144" s="234">
        <f>IF($Q144="B", (F144*$N144),0)</f>
        <v>0</v>
      </c>
      <c r="AI144" s="235"/>
      <c r="AJ144" s="132"/>
      <c r="AK144" s="132"/>
      <c r="AL144" s="166"/>
      <c r="AM144" s="131">
        <f t="shared" si="464"/>
        <v>0</v>
      </c>
      <c r="AN144" s="132">
        <f t="shared" si="465"/>
        <v>120</v>
      </c>
      <c r="AO144" s="132">
        <f t="shared" si="466"/>
        <v>0</v>
      </c>
      <c r="AP144" s="132">
        <f t="shared" si="467"/>
        <v>16</v>
      </c>
      <c r="AQ144" s="132">
        <f t="shared" si="468"/>
        <v>0</v>
      </c>
      <c r="AR144" s="132">
        <f>IF($Q144="C", (F144*$N144),0)</f>
        <v>2310</v>
      </c>
      <c r="AS144" s="235"/>
    </row>
    <row r="145" spans="1:45" s="20" customFormat="1">
      <c r="A145" s="47" t="s">
        <v>347</v>
      </c>
      <c r="C145" s="165"/>
      <c r="D145" s="96"/>
      <c r="E145" s="57"/>
      <c r="F145" s="58"/>
      <c r="G145" s="59"/>
      <c r="H145" s="59"/>
      <c r="I145" s="59"/>
      <c r="J145" s="59"/>
      <c r="K145" s="60"/>
      <c r="L145" s="217" t="s">
        <v>66</v>
      </c>
      <c r="M145" s="177">
        <f>SUMIF(Q141:Q144,"B",M141:M144)</f>
        <v>15804.720000000001</v>
      </c>
      <c r="N145" s="65" t="s">
        <v>65</v>
      </c>
      <c r="O145" s="170"/>
      <c r="P145" s="170"/>
      <c r="Q145" s="52"/>
      <c r="R145" s="71"/>
      <c r="S145" s="137"/>
      <c r="T145" s="137"/>
      <c r="U145" s="137"/>
      <c r="V145" s="137"/>
      <c r="AB145" s="33"/>
      <c r="AC145" s="132"/>
      <c r="AD145" s="132"/>
      <c r="AE145" s="135"/>
      <c r="AF145" s="132"/>
      <c r="AG145" s="132"/>
      <c r="AH145" s="234"/>
      <c r="AI145" s="235"/>
      <c r="AJ145" s="132"/>
      <c r="AK145" s="132"/>
      <c r="AL145" s="166"/>
      <c r="AM145" s="131"/>
      <c r="AN145" s="132"/>
      <c r="AO145" s="132"/>
      <c r="AP145" s="132"/>
      <c r="AQ145" s="132"/>
      <c r="AR145" s="132"/>
      <c r="AS145" s="235"/>
    </row>
    <row r="146" spans="1:45" s="20" customFormat="1">
      <c r="A146" s="46" t="s">
        <v>318</v>
      </c>
      <c r="B146" s="20" t="s">
        <v>34</v>
      </c>
      <c r="C146" s="165">
        <v>0.03</v>
      </c>
      <c r="D146" s="96" t="s">
        <v>9</v>
      </c>
      <c r="E146" s="166">
        <v>0</v>
      </c>
      <c r="F146" s="167">
        <f>E146*C146</f>
        <v>0</v>
      </c>
      <c r="G146" s="168">
        <v>0</v>
      </c>
      <c r="H146" s="168">
        <v>16</v>
      </c>
      <c r="I146" s="168">
        <v>0</v>
      </c>
      <c r="J146" s="168">
        <v>8</v>
      </c>
      <c r="K146" s="169">
        <v>0</v>
      </c>
      <c r="L146" s="96" t="s">
        <v>8</v>
      </c>
      <c r="M146" s="166">
        <f>IF(R146="PD",((Shop*G146)+(M_Tech*H146)+(CMM*I146)+(ENG*J146)+(DES*K146))*N146,((Shop_RD*G146)+(MTECH_RD*H146)+(CMM_RD*I146)+(ENG_RD*J146)+(DES_RD*K146))*N146)</f>
        <v>2488.3200000000002</v>
      </c>
      <c r="N146" s="92">
        <v>1</v>
      </c>
      <c r="O146" s="170">
        <f>M146+(F146*N146)</f>
        <v>2488.3200000000002</v>
      </c>
      <c r="P146" s="170"/>
      <c r="Q146" s="52" t="s">
        <v>47</v>
      </c>
      <c r="R146" s="71" t="s">
        <v>77</v>
      </c>
      <c r="S146" s="137" t="str">
        <f>CONCATENATE(Q146,R146,AB146)</f>
        <v>BPD2012</v>
      </c>
      <c r="T146" s="137" t="str">
        <f>CONCATENATE(Q146,U146,AB146)</f>
        <v>B1.5.1.1.32012</v>
      </c>
      <c r="U146" s="137" t="s">
        <v>204</v>
      </c>
      <c r="V146" s="137" t="str">
        <f>LOOKUP(U146,$B$539:$B$574,$A$539:$A$574)</f>
        <v>Outer Support Cylinder (OSC)</v>
      </c>
      <c r="AB146" s="33">
        <v>2012</v>
      </c>
      <c r="AC146" s="132">
        <f t="shared" ref="AC146:AC149" si="469">IF($Q146="B", (G146*$N146),0)</f>
        <v>0</v>
      </c>
      <c r="AD146" s="132">
        <f t="shared" ref="AD146:AD149" si="470">IF($Q146="B", (H146*$N146),0)</f>
        <v>16</v>
      </c>
      <c r="AE146" s="132">
        <f t="shared" ref="AE146:AE149" si="471">IF($Q146="B", (I146*$N146),0)</f>
        <v>0</v>
      </c>
      <c r="AF146" s="132">
        <f t="shared" ref="AF146:AF149" si="472">IF($Q146="B", (J146*$N146),0)</f>
        <v>8</v>
      </c>
      <c r="AG146" s="132">
        <f t="shared" ref="AG146:AG149" si="473">IF($Q146="B", (K146*$N146),0)</f>
        <v>0</v>
      </c>
      <c r="AH146" s="234">
        <f>IF($Q146="B", (F146*$N146),0)</f>
        <v>0</v>
      </c>
      <c r="AI146" s="235"/>
      <c r="AJ146" s="132"/>
      <c r="AK146" s="132"/>
      <c r="AL146" s="166"/>
      <c r="AM146" s="131">
        <f t="shared" ref="AM146:AM149" si="474">IF($Q146="C", (G146*$N146),0)</f>
        <v>0</v>
      </c>
      <c r="AN146" s="132">
        <f t="shared" ref="AN146:AN149" si="475">IF($Q146="C", (H146*$N146),0)</f>
        <v>0</v>
      </c>
      <c r="AO146" s="132">
        <f t="shared" ref="AO146:AO149" si="476">IF($Q146="C", (I146*$N146),0)</f>
        <v>0</v>
      </c>
      <c r="AP146" s="132">
        <f t="shared" ref="AP146:AP149" si="477">IF($Q146="C", (J146*$N146),0)</f>
        <v>0</v>
      </c>
      <c r="AQ146" s="132">
        <f t="shared" ref="AQ146:AQ149" si="478">IF($Q146="C", (K146*$N146),0)</f>
        <v>0</v>
      </c>
      <c r="AR146" s="132">
        <f>IF($Q146="C", (F146*$N146),0)</f>
        <v>0</v>
      </c>
      <c r="AS146" s="235"/>
    </row>
    <row r="147" spans="1:45" s="20" customFormat="1">
      <c r="A147" s="46" t="s">
        <v>319</v>
      </c>
      <c r="B147" s="20" t="s">
        <v>58</v>
      </c>
      <c r="C147" s="165">
        <v>22</v>
      </c>
      <c r="D147" s="96" t="s">
        <v>9</v>
      </c>
      <c r="E147" s="166">
        <v>105</v>
      </c>
      <c r="F147" s="167">
        <f>E147*C147</f>
        <v>2310</v>
      </c>
      <c r="G147" s="168">
        <v>0</v>
      </c>
      <c r="H147" s="168">
        <v>120</v>
      </c>
      <c r="I147" s="168">
        <v>0</v>
      </c>
      <c r="J147" s="168">
        <v>16</v>
      </c>
      <c r="K147" s="169">
        <v>0</v>
      </c>
      <c r="L147" s="96" t="s">
        <v>8</v>
      </c>
      <c r="M147" s="166">
        <f>IF(R147="PD",((Shop*G147)+(M_Tech*H147)+(CMM*I147)+(ENG*J147)+(DES*K147))*N147,((Shop_RD*G147)+(MTECH_RD*H147)+(CMM_RD*I147)+(ENG_RD*J147)+(DES_RD*K147))*N147)</f>
        <v>13316.400000000001</v>
      </c>
      <c r="N147" s="92">
        <v>1</v>
      </c>
      <c r="O147" s="170">
        <f>M147+(F147*N147)</f>
        <v>15626.400000000001</v>
      </c>
      <c r="P147" s="170"/>
      <c r="Q147" s="52" t="s">
        <v>47</v>
      </c>
      <c r="R147" s="71" t="s">
        <v>77</v>
      </c>
      <c r="S147" s="137" t="str">
        <f>CONCATENATE(Q147,R147,AB147)</f>
        <v>BPD2012</v>
      </c>
      <c r="T147" s="137" t="str">
        <f>CONCATENATE(Q147,U147,AB147)</f>
        <v>B1.5.1.1.32012</v>
      </c>
      <c r="U147" s="137" t="s">
        <v>204</v>
      </c>
      <c r="V147" s="137" t="str">
        <f>LOOKUP(U147,$B$539:$B$574,$A$539:$A$574)</f>
        <v>Outer Support Cylinder (OSC)</v>
      </c>
      <c r="AB147" s="33">
        <v>2012</v>
      </c>
      <c r="AC147" s="132">
        <f t="shared" si="469"/>
        <v>0</v>
      </c>
      <c r="AD147" s="132">
        <f t="shared" si="470"/>
        <v>120</v>
      </c>
      <c r="AE147" s="132">
        <f t="shared" si="471"/>
        <v>0</v>
      </c>
      <c r="AF147" s="132">
        <f t="shared" si="472"/>
        <v>16</v>
      </c>
      <c r="AG147" s="132">
        <f t="shared" si="473"/>
        <v>0</v>
      </c>
      <c r="AH147" s="234">
        <f>IF($Q147="B", (F147*$N147),0)</f>
        <v>2310</v>
      </c>
      <c r="AI147" s="235"/>
      <c r="AJ147" s="132"/>
      <c r="AK147" s="132"/>
      <c r="AL147" s="166"/>
      <c r="AM147" s="131">
        <f t="shared" si="474"/>
        <v>0</v>
      </c>
      <c r="AN147" s="132">
        <f t="shared" si="475"/>
        <v>0</v>
      </c>
      <c r="AO147" s="132">
        <f t="shared" si="476"/>
        <v>0</v>
      </c>
      <c r="AP147" s="132">
        <f t="shared" si="477"/>
        <v>0</v>
      </c>
      <c r="AQ147" s="132">
        <f t="shared" si="478"/>
        <v>0</v>
      </c>
      <c r="AR147" s="132">
        <f>IF($Q147="C", (F147*$N147),0)</f>
        <v>0</v>
      </c>
      <c r="AS147" s="235"/>
    </row>
    <row r="148" spans="1:45" s="20" customFormat="1">
      <c r="A148" s="46" t="s">
        <v>318</v>
      </c>
      <c r="B148" s="20" t="s">
        <v>34</v>
      </c>
      <c r="C148" s="165">
        <v>0.03</v>
      </c>
      <c r="D148" s="96" t="s">
        <v>9</v>
      </c>
      <c r="E148" s="166">
        <v>0</v>
      </c>
      <c r="F148" s="167">
        <f>E148*C148</f>
        <v>0</v>
      </c>
      <c r="G148" s="168">
        <v>0</v>
      </c>
      <c r="H148" s="168">
        <v>16</v>
      </c>
      <c r="I148" s="168">
        <v>0</v>
      </c>
      <c r="J148" s="168">
        <v>8</v>
      </c>
      <c r="K148" s="169">
        <v>0</v>
      </c>
      <c r="L148" s="96" t="s">
        <v>8</v>
      </c>
      <c r="M148" s="166">
        <f>IF(R148="PD",((Shop*G148)+(M_Tech*H148)+(CMM*I148)+(ENG*J148)+(DES*K148))*N148,((Shop_RD*G148)+(MTECH_RD*H148)+(CMM_RD*I148)+(ENG_RD*J148)+(DES_RD*K148))*N148)</f>
        <v>2488.3200000000002</v>
      </c>
      <c r="N148" s="92">
        <v>1</v>
      </c>
      <c r="O148" s="170">
        <f>M148+(F148*N148)</f>
        <v>2488.3200000000002</v>
      </c>
      <c r="P148" s="170"/>
      <c r="Q148" s="52" t="s">
        <v>48</v>
      </c>
      <c r="R148" s="71" t="s">
        <v>77</v>
      </c>
      <c r="S148" s="137" t="str">
        <f>CONCATENATE(Q148,R148,AB148)</f>
        <v>CPD2013</v>
      </c>
      <c r="T148" s="137" t="str">
        <f>CONCATENATE(Q148,U148,AB148)</f>
        <v>C1.5.1.1.32013</v>
      </c>
      <c r="U148" s="137" t="s">
        <v>204</v>
      </c>
      <c r="V148" s="137" t="str">
        <f>LOOKUP(U148,$B$539:$B$574,$A$539:$A$574)</f>
        <v>Outer Support Cylinder (OSC)</v>
      </c>
      <c r="AB148" s="33">
        <v>2013</v>
      </c>
      <c r="AC148" s="132">
        <f t="shared" si="469"/>
        <v>0</v>
      </c>
      <c r="AD148" s="132">
        <f t="shared" si="470"/>
        <v>0</v>
      </c>
      <c r="AE148" s="132">
        <f t="shared" si="471"/>
        <v>0</v>
      </c>
      <c r="AF148" s="132">
        <f t="shared" si="472"/>
        <v>0</v>
      </c>
      <c r="AG148" s="132">
        <f t="shared" si="473"/>
        <v>0</v>
      </c>
      <c r="AH148" s="234">
        <f>IF($Q148="B", (F148*$N148),0)</f>
        <v>0</v>
      </c>
      <c r="AI148" s="235"/>
      <c r="AJ148" s="132"/>
      <c r="AK148" s="132"/>
      <c r="AL148" s="166"/>
      <c r="AM148" s="131">
        <f t="shared" si="474"/>
        <v>0</v>
      </c>
      <c r="AN148" s="132">
        <f t="shared" si="475"/>
        <v>16</v>
      </c>
      <c r="AO148" s="132">
        <f t="shared" si="476"/>
        <v>0</v>
      </c>
      <c r="AP148" s="132">
        <f t="shared" si="477"/>
        <v>8</v>
      </c>
      <c r="AQ148" s="132">
        <f t="shared" si="478"/>
        <v>0</v>
      </c>
      <c r="AR148" s="132">
        <f>IF($Q148="C", (F148*$N148),0)</f>
        <v>0</v>
      </c>
      <c r="AS148" s="235"/>
    </row>
    <row r="149" spans="1:45" s="20" customFormat="1">
      <c r="A149" s="46" t="s">
        <v>319</v>
      </c>
      <c r="B149" s="20" t="s">
        <v>58</v>
      </c>
      <c r="C149" s="165">
        <v>22</v>
      </c>
      <c r="D149" s="96" t="s">
        <v>9</v>
      </c>
      <c r="E149" s="166">
        <v>105</v>
      </c>
      <c r="F149" s="167">
        <f>E149*C149</f>
        <v>2310</v>
      </c>
      <c r="G149" s="168">
        <v>0</v>
      </c>
      <c r="H149" s="168">
        <v>120</v>
      </c>
      <c r="I149" s="168">
        <v>0</v>
      </c>
      <c r="J149" s="168">
        <v>16</v>
      </c>
      <c r="K149" s="169">
        <v>0</v>
      </c>
      <c r="L149" s="96" t="s">
        <v>8</v>
      </c>
      <c r="M149" s="166">
        <f>IF(R149="PD",((Shop*G149)+(M_Tech*H149)+(CMM*I149)+(ENG*J149)+(DES*K149))*N149,((Shop_RD*G149)+(MTECH_RD*H149)+(CMM_RD*I149)+(ENG_RD*J149)+(DES_RD*K149))*N149)</f>
        <v>13316.400000000001</v>
      </c>
      <c r="N149" s="92">
        <v>1</v>
      </c>
      <c r="O149" s="170">
        <f>M149+(F149*N149)</f>
        <v>15626.400000000001</v>
      </c>
      <c r="P149" s="170"/>
      <c r="Q149" s="52" t="s">
        <v>48</v>
      </c>
      <c r="R149" s="71" t="s">
        <v>77</v>
      </c>
      <c r="S149" s="137" t="str">
        <f>CONCATENATE(Q149,R149,AB149)</f>
        <v>CPD2013</v>
      </c>
      <c r="T149" s="137" t="str">
        <f>CONCATENATE(Q149,U149,AB149)</f>
        <v>C1.5.1.1.32013</v>
      </c>
      <c r="U149" s="137" t="s">
        <v>204</v>
      </c>
      <c r="V149" s="137" t="str">
        <f>LOOKUP(U149,$B$539:$B$574,$A$539:$A$574)</f>
        <v>Outer Support Cylinder (OSC)</v>
      </c>
      <c r="AB149" s="33">
        <v>2013</v>
      </c>
      <c r="AC149" s="132">
        <f t="shared" si="469"/>
        <v>0</v>
      </c>
      <c r="AD149" s="132">
        <f t="shared" si="470"/>
        <v>0</v>
      </c>
      <c r="AE149" s="132">
        <f t="shared" si="471"/>
        <v>0</v>
      </c>
      <c r="AF149" s="132">
        <f t="shared" si="472"/>
        <v>0</v>
      </c>
      <c r="AG149" s="132">
        <f t="shared" si="473"/>
        <v>0</v>
      </c>
      <c r="AH149" s="234">
        <f>IF($Q149="B", (F149*$N149),0)</f>
        <v>0</v>
      </c>
      <c r="AI149" s="235"/>
      <c r="AJ149" s="132"/>
      <c r="AK149" s="132"/>
      <c r="AL149" s="166"/>
      <c r="AM149" s="131">
        <f t="shared" si="474"/>
        <v>0</v>
      </c>
      <c r="AN149" s="132">
        <f t="shared" si="475"/>
        <v>120</v>
      </c>
      <c r="AO149" s="132">
        <f t="shared" si="476"/>
        <v>0</v>
      </c>
      <c r="AP149" s="132">
        <f t="shared" si="477"/>
        <v>16</v>
      </c>
      <c r="AQ149" s="132">
        <f t="shared" si="478"/>
        <v>0</v>
      </c>
      <c r="AR149" s="132">
        <f>IF($Q149="C", (F149*$N149),0)</f>
        <v>2310</v>
      </c>
      <c r="AS149" s="235"/>
    </row>
    <row r="150" spans="1:45" s="20" customFormat="1">
      <c r="A150" s="47" t="s">
        <v>348</v>
      </c>
      <c r="C150" s="165"/>
      <c r="D150" s="96"/>
      <c r="E150" s="57"/>
      <c r="F150" s="58"/>
      <c r="G150" s="59"/>
      <c r="H150" s="59"/>
      <c r="I150" s="59"/>
      <c r="J150" s="59"/>
      <c r="K150" s="60"/>
      <c r="L150" s="217" t="s">
        <v>66</v>
      </c>
      <c r="M150" s="177">
        <f>SUMIF(Q146:Q149,"B",M146:M149)</f>
        <v>15804.720000000001</v>
      </c>
      <c r="N150" s="65" t="s">
        <v>65</v>
      </c>
      <c r="O150" s="170"/>
      <c r="P150" s="170"/>
      <c r="Q150" s="52"/>
      <c r="R150" s="71"/>
      <c r="S150" s="137"/>
      <c r="T150" s="137"/>
      <c r="U150" s="137"/>
      <c r="V150" s="137"/>
      <c r="AB150" s="33"/>
      <c r="AC150" s="132"/>
      <c r="AD150" s="132"/>
      <c r="AE150" s="135"/>
      <c r="AF150" s="132"/>
      <c r="AG150" s="132"/>
      <c r="AH150" s="234"/>
      <c r="AI150" s="235"/>
      <c r="AJ150" s="132"/>
      <c r="AK150" s="132"/>
      <c r="AL150" s="166"/>
      <c r="AM150" s="131"/>
      <c r="AN150" s="132"/>
      <c r="AO150" s="132"/>
      <c r="AP150" s="132"/>
      <c r="AQ150" s="132"/>
      <c r="AR150" s="132"/>
      <c r="AS150" s="235"/>
    </row>
    <row r="151" spans="1:45" s="20" customFormat="1">
      <c r="A151" s="46" t="s">
        <v>345</v>
      </c>
      <c r="B151" s="20" t="s">
        <v>34</v>
      </c>
      <c r="C151" s="165">
        <v>0.03</v>
      </c>
      <c r="D151" s="96" t="s">
        <v>9</v>
      </c>
      <c r="E151" s="166">
        <v>0</v>
      </c>
      <c r="F151" s="167">
        <f>E151*C151</f>
        <v>0</v>
      </c>
      <c r="G151" s="168">
        <v>0</v>
      </c>
      <c r="H151" s="168">
        <v>0</v>
      </c>
      <c r="I151" s="168">
        <v>0</v>
      </c>
      <c r="J151" s="168">
        <v>40</v>
      </c>
      <c r="K151" s="169">
        <v>0</v>
      </c>
      <c r="L151" s="96" t="s">
        <v>8</v>
      </c>
      <c r="M151" s="166">
        <f>IF(R151="PD",((Shop*G151)+(M_Tech*H151)+(CMM*I151)+(ENG*J151)+(DES*K151))*N151,((Shop_RD*G151)+(MTECH_RD*H151)+(CMM_RD*I151)+(ENG_RD*J151)+(DES_RD*K151))*N151)</f>
        <v>6000</v>
      </c>
      <c r="N151" s="92">
        <v>1</v>
      </c>
      <c r="O151" s="170">
        <f>M151+(F151*N151)</f>
        <v>6000</v>
      </c>
      <c r="P151" s="170"/>
      <c r="Q151" s="52" t="s">
        <v>47</v>
      </c>
      <c r="R151" s="71" t="s">
        <v>180</v>
      </c>
      <c r="S151" s="137" t="str">
        <f>CONCATENATE(Q151,R151,AB151)</f>
        <v>BPT2010</v>
      </c>
      <c r="T151" s="137" t="str">
        <f>CONCATENATE(Q151,U151,AB151)</f>
        <v>B1.5.1.1.32010</v>
      </c>
      <c r="U151" s="137" t="s">
        <v>204</v>
      </c>
      <c r="V151" s="137" t="str">
        <f>LOOKUP(U151,$B$539:$B$574,$A$539:$A$574)</f>
        <v>Outer Support Cylinder (OSC)</v>
      </c>
      <c r="AB151" s="33">
        <v>2010</v>
      </c>
      <c r="AC151" s="132">
        <f t="shared" ref="AC151:AC154" si="479">IF($Q151="B", (G151*$N151),0)</f>
        <v>0</v>
      </c>
      <c r="AD151" s="132">
        <f t="shared" ref="AD151:AD154" si="480">IF($Q151="B", (H151*$N151),0)</f>
        <v>0</v>
      </c>
      <c r="AE151" s="132">
        <f t="shared" ref="AE151:AE154" si="481">IF($Q151="B", (I151*$N151),0)</f>
        <v>0</v>
      </c>
      <c r="AF151" s="132">
        <f t="shared" ref="AF151:AF154" si="482">IF($Q151="B", (J151*$N151),0)</f>
        <v>40</v>
      </c>
      <c r="AG151" s="132">
        <f t="shared" ref="AG151:AG154" si="483">IF($Q151="B", (K151*$N151),0)</f>
        <v>0</v>
      </c>
      <c r="AH151" s="234">
        <f>IF($Q151="B", (F151*$N151),0)</f>
        <v>0</v>
      </c>
      <c r="AI151" s="235"/>
      <c r="AJ151" s="132"/>
      <c r="AK151" s="132"/>
      <c r="AL151" s="166"/>
      <c r="AM151" s="131">
        <f t="shared" ref="AM151:AM154" si="484">IF($Q151="C", (G151*$N151),0)</f>
        <v>0</v>
      </c>
      <c r="AN151" s="132">
        <f t="shared" ref="AN151:AN154" si="485">IF($Q151="C", (H151*$N151),0)</f>
        <v>0</v>
      </c>
      <c r="AO151" s="132">
        <f t="shared" ref="AO151:AO154" si="486">IF($Q151="C", (I151*$N151),0)</f>
        <v>0</v>
      </c>
      <c r="AP151" s="132">
        <f t="shared" ref="AP151:AP154" si="487">IF($Q151="C", (J151*$N151),0)</f>
        <v>0</v>
      </c>
      <c r="AQ151" s="132">
        <f t="shared" ref="AQ151:AQ154" si="488">IF($Q151="C", (K151*$N151),0)</f>
        <v>0</v>
      </c>
      <c r="AR151" s="132">
        <f>IF($Q151="C", (F151*$N151),0)</f>
        <v>0</v>
      </c>
      <c r="AS151" s="235"/>
    </row>
    <row r="152" spans="1:45" s="20" customFormat="1">
      <c r="A152" s="46" t="s">
        <v>318</v>
      </c>
      <c r="B152" s="20" t="s">
        <v>34</v>
      </c>
      <c r="C152" s="165">
        <v>0.03</v>
      </c>
      <c r="D152" s="96" t="s">
        <v>9</v>
      </c>
      <c r="E152" s="166">
        <v>0</v>
      </c>
      <c r="F152" s="167">
        <f>E152*C152</f>
        <v>0</v>
      </c>
      <c r="G152" s="168">
        <v>0</v>
      </c>
      <c r="H152" s="168">
        <v>8</v>
      </c>
      <c r="I152" s="168">
        <v>0</v>
      </c>
      <c r="J152" s="168">
        <v>0</v>
      </c>
      <c r="K152" s="169">
        <v>0</v>
      </c>
      <c r="L152" s="96" t="s">
        <v>8</v>
      </c>
      <c r="M152" s="166">
        <f>IF(R152="PD",((Shop*G152)+(M_Tech*H152)+(CMM*I152)+(ENG*J152)+(DES*K152))*N152,((Shop_RD*G152)+(MTECH_RD*H152)+(CMM_RD*I152)+(ENG_RD*J152)+(DES_RD*K152))*N152)</f>
        <v>936</v>
      </c>
      <c r="N152" s="92">
        <v>1</v>
      </c>
      <c r="O152" s="170">
        <f>M152+(F152*N152)</f>
        <v>936</v>
      </c>
      <c r="P152" s="170"/>
      <c r="Q152" s="52" t="s">
        <v>47</v>
      </c>
      <c r="R152" s="71" t="s">
        <v>180</v>
      </c>
      <c r="S152" s="137" t="str">
        <f>CONCATENATE(Q152,R152,AB152)</f>
        <v>BPT2010</v>
      </c>
      <c r="T152" s="137" t="str">
        <f>CONCATENATE(Q152,U152,AB152)</f>
        <v>B1.5.1.1.32010</v>
      </c>
      <c r="U152" s="137" t="s">
        <v>204</v>
      </c>
      <c r="V152" s="137" t="str">
        <f>LOOKUP(U152,$B$539:$B$574,$A$539:$A$574)</f>
        <v>Outer Support Cylinder (OSC)</v>
      </c>
      <c r="AB152" s="33">
        <v>2010</v>
      </c>
      <c r="AC152" s="132">
        <f t="shared" ref="AC152" si="489">IF($Q152="B", (G152*$N152),0)</f>
        <v>0</v>
      </c>
      <c r="AD152" s="132">
        <f t="shared" ref="AD152" si="490">IF($Q152="B", (H152*$N152),0)</f>
        <v>8</v>
      </c>
      <c r="AE152" s="132">
        <f t="shared" ref="AE152" si="491">IF($Q152="B", (I152*$N152),0)</f>
        <v>0</v>
      </c>
      <c r="AF152" s="132">
        <f t="shared" ref="AF152" si="492">IF($Q152="B", (J152*$N152),0)</f>
        <v>0</v>
      </c>
      <c r="AG152" s="132">
        <f t="shared" ref="AG152" si="493">IF($Q152="B", (K152*$N152),0)</f>
        <v>0</v>
      </c>
      <c r="AH152" s="234">
        <f>IF($Q152="B", (F152*$N152),0)</f>
        <v>0</v>
      </c>
      <c r="AI152" s="235"/>
      <c r="AJ152" s="132"/>
      <c r="AK152" s="132"/>
      <c r="AL152" s="166"/>
      <c r="AM152" s="131">
        <f t="shared" ref="AM152" si="494">IF($Q152="C", (G152*$N152),0)</f>
        <v>0</v>
      </c>
      <c r="AN152" s="132">
        <f t="shared" ref="AN152" si="495">IF($Q152="C", (H152*$N152),0)</f>
        <v>0</v>
      </c>
      <c r="AO152" s="132">
        <f t="shared" ref="AO152" si="496">IF($Q152="C", (I152*$N152),0)</f>
        <v>0</v>
      </c>
      <c r="AP152" s="132">
        <f t="shared" ref="AP152" si="497">IF($Q152="C", (J152*$N152),0)</f>
        <v>0</v>
      </c>
      <c r="AQ152" s="132">
        <f t="shared" ref="AQ152" si="498">IF($Q152="C", (K152*$N152),0)</f>
        <v>0</v>
      </c>
      <c r="AR152" s="132">
        <f>IF($Q152="C", (F152*$N152),0)</f>
        <v>0</v>
      </c>
      <c r="AS152" s="235"/>
    </row>
    <row r="153" spans="1:45" s="20" customFormat="1">
      <c r="A153" s="46" t="s">
        <v>322</v>
      </c>
      <c r="B153" s="20" t="s">
        <v>58</v>
      </c>
      <c r="C153" s="165">
        <v>1</v>
      </c>
      <c r="D153" s="96" t="s">
        <v>9</v>
      </c>
      <c r="E153" s="166">
        <v>105</v>
      </c>
      <c r="F153" s="167">
        <f>E153*C153</f>
        <v>105</v>
      </c>
      <c r="G153" s="168">
        <v>0</v>
      </c>
      <c r="H153" s="168">
        <v>8</v>
      </c>
      <c r="I153" s="168">
        <v>0</v>
      </c>
      <c r="J153" s="168">
        <v>0</v>
      </c>
      <c r="K153" s="169">
        <v>0</v>
      </c>
      <c r="L153" s="96" t="s">
        <v>8</v>
      </c>
      <c r="M153" s="166">
        <f>IF(R153="PD",((Shop*G153)+(M_Tech*H153)+(CMM*I153)+(ENG*J153)+(DES*K153))*N153,((Shop_RD*G153)+(MTECH_RD*H153)+(CMM_RD*I153)+(ENG_RD*J153)+(DES_RD*K153))*N153)</f>
        <v>1872</v>
      </c>
      <c r="N153" s="92">
        <v>2</v>
      </c>
      <c r="O153" s="170">
        <f>M153+(F153*N153)</f>
        <v>2082</v>
      </c>
      <c r="P153" s="170"/>
      <c r="Q153" s="52" t="s">
        <v>47</v>
      </c>
      <c r="R153" s="71" t="s">
        <v>180</v>
      </c>
      <c r="S153" s="137" t="str">
        <f>CONCATENATE(Q153,R153,AB153)</f>
        <v>BPT2010</v>
      </c>
      <c r="T153" s="137" t="str">
        <f>CONCATENATE(Q153,U153,AB153)</f>
        <v>B1.5.1.1.32010</v>
      </c>
      <c r="U153" s="137" t="s">
        <v>204</v>
      </c>
      <c r="V153" s="137" t="str">
        <f>LOOKUP(U153,$B$539:$B$574,$A$539:$A$574)</f>
        <v>Outer Support Cylinder (OSC)</v>
      </c>
      <c r="AB153" s="33">
        <v>2010</v>
      </c>
      <c r="AC153" s="132">
        <f t="shared" si="479"/>
        <v>0</v>
      </c>
      <c r="AD153" s="132">
        <f t="shared" si="480"/>
        <v>16</v>
      </c>
      <c r="AE153" s="132">
        <f t="shared" si="481"/>
        <v>0</v>
      </c>
      <c r="AF153" s="132">
        <f t="shared" si="482"/>
        <v>0</v>
      </c>
      <c r="AG153" s="132">
        <f t="shared" si="483"/>
        <v>0</v>
      </c>
      <c r="AH153" s="234">
        <f>IF($Q153="B", (F153*$N153),0)</f>
        <v>210</v>
      </c>
      <c r="AI153" s="235"/>
      <c r="AJ153" s="132"/>
      <c r="AK153" s="132"/>
      <c r="AL153" s="166"/>
      <c r="AM153" s="131">
        <f t="shared" si="484"/>
        <v>0</v>
      </c>
      <c r="AN153" s="132">
        <f t="shared" si="485"/>
        <v>0</v>
      </c>
      <c r="AO153" s="132">
        <f t="shared" si="486"/>
        <v>0</v>
      </c>
      <c r="AP153" s="132">
        <f t="shared" si="487"/>
        <v>0</v>
      </c>
      <c r="AQ153" s="132">
        <f t="shared" si="488"/>
        <v>0</v>
      </c>
      <c r="AR153" s="132">
        <f>IF($Q153="C", (F153*$N153),0)</f>
        <v>0</v>
      </c>
      <c r="AS153" s="235"/>
    </row>
    <row r="154" spans="1:45" s="20" customFormat="1">
      <c r="A154" s="46" t="s">
        <v>321</v>
      </c>
      <c r="B154" s="20" t="s">
        <v>58</v>
      </c>
      <c r="C154" s="165">
        <v>1</v>
      </c>
      <c r="D154" s="96" t="s">
        <v>9</v>
      </c>
      <c r="E154" s="166">
        <v>105</v>
      </c>
      <c r="F154" s="167">
        <f>E154*C154</f>
        <v>105</v>
      </c>
      <c r="G154" s="168">
        <v>2</v>
      </c>
      <c r="H154" s="168">
        <v>8</v>
      </c>
      <c r="I154" s="168">
        <v>0</v>
      </c>
      <c r="J154" s="168">
        <v>0</v>
      </c>
      <c r="K154" s="169">
        <v>0</v>
      </c>
      <c r="L154" s="96" t="s">
        <v>8</v>
      </c>
      <c r="M154" s="166">
        <f>IF(R154="PD",((Shop*G154)+(M_Tech*H154)+(CMM*I154)+(ENG*J154)+(DES*K154))*N154,((Shop_RD*G154)+(MTECH_RD*H154)+(CMM_RD*I154)+(ENG_RD*J154)+(DES_RD*K154))*N154)</f>
        <v>2376</v>
      </c>
      <c r="N154" s="92">
        <v>2</v>
      </c>
      <c r="O154" s="170">
        <f>M154+(F154*N154)</f>
        <v>2586</v>
      </c>
      <c r="P154" s="170"/>
      <c r="Q154" s="52" t="s">
        <v>47</v>
      </c>
      <c r="R154" s="71" t="s">
        <v>180</v>
      </c>
      <c r="S154" s="137" t="str">
        <f>CONCATENATE(Q154,R154,AB154)</f>
        <v>BPT2010</v>
      </c>
      <c r="T154" s="137" t="str">
        <f>CONCATENATE(Q154,U154,AB154)</f>
        <v>B1.5.1.1.32010</v>
      </c>
      <c r="U154" s="137" t="s">
        <v>204</v>
      </c>
      <c r="V154" s="137" t="str">
        <f>LOOKUP(U154,$B$539:$B$574,$A$539:$A$574)</f>
        <v>Outer Support Cylinder (OSC)</v>
      </c>
      <c r="AB154" s="33">
        <v>2010</v>
      </c>
      <c r="AC154" s="132">
        <f t="shared" si="479"/>
        <v>4</v>
      </c>
      <c r="AD154" s="132">
        <f t="shared" si="480"/>
        <v>16</v>
      </c>
      <c r="AE154" s="132">
        <f t="shared" si="481"/>
        <v>0</v>
      </c>
      <c r="AF154" s="132">
        <f t="shared" si="482"/>
        <v>0</v>
      </c>
      <c r="AG154" s="132">
        <f t="shared" si="483"/>
        <v>0</v>
      </c>
      <c r="AH154" s="234">
        <f>IF($Q154="B", (F154*$N154),0)</f>
        <v>210</v>
      </c>
      <c r="AI154" s="235"/>
      <c r="AJ154" s="132"/>
      <c r="AK154" s="132"/>
      <c r="AL154" s="166"/>
      <c r="AM154" s="131">
        <f t="shared" si="484"/>
        <v>0</v>
      </c>
      <c r="AN154" s="132">
        <f t="shared" si="485"/>
        <v>0</v>
      </c>
      <c r="AO154" s="132">
        <f t="shared" si="486"/>
        <v>0</v>
      </c>
      <c r="AP154" s="132">
        <f t="shared" si="487"/>
        <v>0</v>
      </c>
      <c r="AQ154" s="132">
        <f t="shared" si="488"/>
        <v>0</v>
      </c>
      <c r="AR154" s="132">
        <f>IF($Q154="C", (F154*$N154),0)</f>
        <v>0</v>
      </c>
      <c r="AS154" s="235"/>
    </row>
    <row r="155" spans="1:45" s="20" customFormat="1">
      <c r="A155" s="47" t="s">
        <v>349</v>
      </c>
      <c r="C155" s="165"/>
      <c r="D155" s="96"/>
      <c r="E155" s="57"/>
      <c r="F155" s="58"/>
      <c r="G155" s="59"/>
      <c r="H155" s="59"/>
      <c r="I155" s="59"/>
      <c r="J155" s="59"/>
      <c r="K155" s="60"/>
      <c r="L155" s="217" t="s">
        <v>66</v>
      </c>
      <c r="M155" s="177">
        <f>SUMIF(Q151:Q154,"B",M151:M154)</f>
        <v>11184</v>
      </c>
      <c r="N155" s="65" t="s">
        <v>65</v>
      </c>
      <c r="O155" s="170"/>
      <c r="P155" s="170"/>
      <c r="Q155" s="52"/>
      <c r="R155" s="71"/>
      <c r="S155" s="137"/>
      <c r="T155" s="137"/>
      <c r="U155" s="137"/>
      <c r="V155" s="137"/>
      <c r="AB155" s="33"/>
      <c r="AC155" s="132"/>
      <c r="AD155" s="132"/>
      <c r="AE155" s="135"/>
      <c r="AF155" s="132"/>
      <c r="AG155" s="132"/>
      <c r="AH155" s="234"/>
      <c r="AI155" s="235"/>
      <c r="AJ155" s="132"/>
      <c r="AK155" s="132"/>
      <c r="AL155" s="166"/>
      <c r="AM155" s="131"/>
      <c r="AN155" s="132"/>
      <c r="AO155" s="132"/>
      <c r="AP155" s="132"/>
      <c r="AQ155" s="132"/>
      <c r="AR155" s="132"/>
      <c r="AS155" s="235"/>
    </row>
    <row r="156" spans="1:45" s="20" customFormat="1">
      <c r="A156" s="46" t="s">
        <v>318</v>
      </c>
      <c r="B156" s="20" t="s">
        <v>34</v>
      </c>
      <c r="C156" s="165">
        <v>0.03</v>
      </c>
      <c r="D156" s="96" t="s">
        <v>9</v>
      </c>
      <c r="E156" s="166">
        <v>0</v>
      </c>
      <c r="F156" s="167">
        <f t="shared" ref="F156:F161" si="499">E156*C156</f>
        <v>0</v>
      </c>
      <c r="G156" s="168">
        <v>0</v>
      </c>
      <c r="H156" s="168">
        <v>8</v>
      </c>
      <c r="I156" s="168">
        <v>0</v>
      </c>
      <c r="J156" s="168">
        <v>2</v>
      </c>
      <c r="K156" s="169">
        <v>0</v>
      </c>
      <c r="L156" s="96" t="s">
        <v>8</v>
      </c>
      <c r="M156" s="166">
        <f t="shared" ref="M156:M161" si="500">IF(R156="PD",((Shop*G156)+(M_Tech*H156)+(CMM*I156)+(ENG*J156)+(DES*K156))*N156,((Shop_RD*G156)+(MTECH_RD*H156)+(CMM_RD*I156)+(ENG_RD*J156)+(DES_RD*K156))*N156)</f>
        <v>1001.1600000000001</v>
      </c>
      <c r="N156" s="92">
        <v>1</v>
      </c>
      <c r="O156" s="170">
        <f t="shared" ref="O156:O161" si="501">M156+(F156*N156)</f>
        <v>1001.1600000000001</v>
      </c>
      <c r="P156" s="170"/>
      <c r="Q156" s="52" t="s">
        <v>47</v>
      </c>
      <c r="R156" s="71" t="s">
        <v>77</v>
      </c>
      <c r="S156" s="137" t="str">
        <f t="shared" ref="S156:S161" si="502">CONCATENATE(Q156,R156,AB156)</f>
        <v>BPD2011</v>
      </c>
      <c r="T156" s="137" t="str">
        <f t="shared" ref="T156:T161" si="503">CONCATENATE(Q156,U156,AB156)</f>
        <v>B1.5.1.1.32011</v>
      </c>
      <c r="U156" s="137" t="s">
        <v>204</v>
      </c>
      <c r="V156" s="137" t="str">
        <f t="shared" ref="V156:V161" si="504">LOOKUP(U156,$B$539:$B$574,$A$539:$A$574)</f>
        <v>Outer Support Cylinder (OSC)</v>
      </c>
      <c r="AB156" s="33">
        <v>2011</v>
      </c>
      <c r="AC156" s="132">
        <f t="shared" ref="AC156:AC161" si="505">IF($Q156="B", (G156*$N156),0)</f>
        <v>0</v>
      </c>
      <c r="AD156" s="132">
        <f t="shared" ref="AD156:AD161" si="506">IF($Q156="B", (H156*$N156),0)</f>
        <v>8</v>
      </c>
      <c r="AE156" s="132">
        <f t="shared" ref="AE156:AE161" si="507">IF($Q156="B", (I156*$N156),0)</f>
        <v>0</v>
      </c>
      <c r="AF156" s="132">
        <f t="shared" ref="AF156:AF161" si="508">IF($Q156="B", (J156*$N156),0)</f>
        <v>2</v>
      </c>
      <c r="AG156" s="132">
        <f t="shared" ref="AG156:AG161" si="509">IF($Q156="B", (K156*$N156),0)</f>
        <v>0</v>
      </c>
      <c r="AH156" s="234">
        <f t="shared" ref="AH156:AH161" si="510">IF($Q156="B", (F156*$N156),0)</f>
        <v>0</v>
      </c>
      <c r="AI156" s="235"/>
      <c r="AJ156" s="132"/>
      <c r="AK156" s="132"/>
      <c r="AL156" s="166"/>
      <c r="AM156" s="131">
        <f t="shared" ref="AM156:AM161" si="511">IF($Q156="C", (G156*$N156),0)</f>
        <v>0</v>
      </c>
      <c r="AN156" s="132">
        <f t="shared" ref="AN156:AN161" si="512">IF($Q156="C", (H156*$N156),0)</f>
        <v>0</v>
      </c>
      <c r="AO156" s="132">
        <f t="shared" ref="AO156:AO161" si="513">IF($Q156="C", (I156*$N156),0)</f>
        <v>0</v>
      </c>
      <c r="AP156" s="132">
        <f t="shared" ref="AP156:AP161" si="514">IF($Q156="C", (J156*$N156),0)</f>
        <v>0</v>
      </c>
      <c r="AQ156" s="132">
        <f t="shared" ref="AQ156:AQ161" si="515">IF($Q156="C", (K156*$N156),0)</f>
        <v>0</v>
      </c>
      <c r="AR156" s="132">
        <f t="shared" ref="AR156:AR161" si="516">IF($Q156="C", (F156*$N156),0)</f>
        <v>0</v>
      </c>
      <c r="AS156" s="235"/>
    </row>
    <row r="157" spans="1:45" s="20" customFormat="1">
      <c r="A157" s="46" t="s">
        <v>322</v>
      </c>
      <c r="B157" s="20" t="s">
        <v>58</v>
      </c>
      <c r="C157" s="165">
        <v>1</v>
      </c>
      <c r="D157" s="96" t="s">
        <v>9</v>
      </c>
      <c r="E157" s="166">
        <v>105</v>
      </c>
      <c r="F157" s="167">
        <f t="shared" si="499"/>
        <v>105</v>
      </c>
      <c r="G157" s="168">
        <v>0</v>
      </c>
      <c r="H157" s="168">
        <v>8</v>
      </c>
      <c r="I157" s="168">
        <v>0</v>
      </c>
      <c r="J157" s="168">
        <v>1</v>
      </c>
      <c r="K157" s="169">
        <v>0</v>
      </c>
      <c r="L157" s="96" t="s">
        <v>8</v>
      </c>
      <c r="M157" s="166">
        <f t="shared" si="500"/>
        <v>1759.3200000000002</v>
      </c>
      <c r="N157" s="92">
        <v>2</v>
      </c>
      <c r="O157" s="170">
        <f t="shared" si="501"/>
        <v>1969.3200000000002</v>
      </c>
      <c r="P157" s="170"/>
      <c r="Q157" s="52" t="s">
        <v>47</v>
      </c>
      <c r="R157" s="71" t="s">
        <v>77</v>
      </c>
      <c r="S157" s="137" t="str">
        <f t="shared" si="502"/>
        <v>BPD2011</v>
      </c>
      <c r="T157" s="137" t="str">
        <f t="shared" si="503"/>
        <v>B1.5.1.1.32011</v>
      </c>
      <c r="U157" s="137" t="s">
        <v>204</v>
      </c>
      <c r="V157" s="137" t="str">
        <f t="shared" si="504"/>
        <v>Outer Support Cylinder (OSC)</v>
      </c>
      <c r="AB157" s="33">
        <v>2011</v>
      </c>
      <c r="AC157" s="132">
        <f t="shared" si="505"/>
        <v>0</v>
      </c>
      <c r="AD157" s="132">
        <f t="shared" si="506"/>
        <v>16</v>
      </c>
      <c r="AE157" s="132">
        <f t="shared" si="507"/>
        <v>0</v>
      </c>
      <c r="AF157" s="132">
        <f t="shared" si="508"/>
        <v>2</v>
      </c>
      <c r="AG157" s="132">
        <f t="shared" si="509"/>
        <v>0</v>
      </c>
      <c r="AH157" s="234">
        <f t="shared" si="510"/>
        <v>210</v>
      </c>
      <c r="AI157" s="235"/>
      <c r="AJ157" s="132"/>
      <c r="AK157" s="132"/>
      <c r="AL157" s="166"/>
      <c r="AM157" s="131">
        <f t="shared" si="511"/>
        <v>0</v>
      </c>
      <c r="AN157" s="132">
        <f t="shared" si="512"/>
        <v>0</v>
      </c>
      <c r="AO157" s="132">
        <f t="shared" si="513"/>
        <v>0</v>
      </c>
      <c r="AP157" s="132">
        <f t="shared" si="514"/>
        <v>0</v>
      </c>
      <c r="AQ157" s="132">
        <f t="shared" si="515"/>
        <v>0</v>
      </c>
      <c r="AR157" s="132">
        <f t="shared" si="516"/>
        <v>0</v>
      </c>
      <c r="AS157" s="235"/>
    </row>
    <row r="158" spans="1:45" s="20" customFormat="1">
      <c r="A158" s="46" t="s">
        <v>321</v>
      </c>
      <c r="B158" s="20" t="s">
        <v>58</v>
      </c>
      <c r="C158" s="165">
        <v>1</v>
      </c>
      <c r="D158" s="96" t="s">
        <v>9</v>
      </c>
      <c r="E158" s="166">
        <v>105</v>
      </c>
      <c r="F158" s="167">
        <f t="shared" si="499"/>
        <v>105</v>
      </c>
      <c r="G158" s="168">
        <v>2</v>
      </c>
      <c r="H158" s="168">
        <v>8</v>
      </c>
      <c r="I158" s="168">
        <v>0</v>
      </c>
      <c r="J158" s="168">
        <v>1</v>
      </c>
      <c r="K158" s="169">
        <v>0</v>
      </c>
      <c r="L158" s="96" t="s">
        <v>8</v>
      </c>
      <c r="M158" s="166">
        <f t="shared" si="500"/>
        <v>2167.5600000000004</v>
      </c>
      <c r="N158" s="92">
        <v>2</v>
      </c>
      <c r="O158" s="170">
        <f t="shared" si="501"/>
        <v>2377.5600000000004</v>
      </c>
      <c r="P158" s="170"/>
      <c r="Q158" s="52" t="s">
        <v>47</v>
      </c>
      <c r="R158" s="71" t="s">
        <v>77</v>
      </c>
      <c r="S158" s="137" t="str">
        <f t="shared" si="502"/>
        <v>BPD2011</v>
      </c>
      <c r="T158" s="137" t="str">
        <f t="shared" si="503"/>
        <v>B1.5.1.1.32011</v>
      </c>
      <c r="U158" s="137" t="s">
        <v>204</v>
      </c>
      <c r="V158" s="137" t="str">
        <f t="shared" si="504"/>
        <v>Outer Support Cylinder (OSC)</v>
      </c>
      <c r="AB158" s="33">
        <v>2011</v>
      </c>
      <c r="AC158" s="132">
        <f t="shared" si="505"/>
        <v>4</v>
      </c>
      <c r="AD158" s="132">
        <f t="shared" si="506"/>
        <v>16</v>
      </c>
      <c r="AE158" s="132">
        <f t="shared" si="507"/>
        <v>0</v>
      </c>
      <c r="AF158" s="132">
        <f t="shared" si="508"/>
        <v>2</v>
      </c>
      <c r="AG158" s="132">
        <f t="shared" si="509"/>
        <v>0</v>
      </c>
      <c r="AH158" s="234">
        <f t="shared" si="510"/>
        <v>210</v>
      </c>
      <c r="AI158" s="235"/>
      <c r="AJ158" s="132"/>
      <c r="AK158" s="132"/>
      <c r="AL158" s="166"/>
      <c r="AM158" s="131">
        <f t="shared" si="511"/>
        <v>0</v>
      </c>
      <c r="AN158" s="132">
        <f t="shared" si="512"/>
        <v>0</v>
      </c>
      <c r="AO158" s="132">
        <f t="shared" si="513"/>
        <v>0</v>
      </c>
      <c r="AP158" s="132">
        <f t="shared" si="514"/>
        <v>0</v>
      </c>
      <c r="AQ158" s="132">
        <f t="shared" si="515"/>
        <v>0</v>
      </c>
      <c r="AR158" s="132">
        <f t="shared" si="516"/>
        <v>0</v>
      </c>
      <c r="AS158" s="235"/>
    </row>
    <row r="159" spans="1:45" s="20" customFormat="1">
      <c r="A159" s="46" t="s">
        <v>323</v>
      </c>
      <c r="B159" s="20" t="s">
        <v>34</v>
      </c>
      <c r="C159" s="165">
        <v>0.03</v>
      </c>
      <c r="D159" s="96" t="s">
        <v>9</v>
      </c>
      <c r="E159" s="166">
        <v>0</v>
      </c>
      <c r="F159" s="167">
        <f t="shared" si="499"/>
        <v>0</v>
      </c>
      <c r="G159" s="168">
        <v>0</v>
      </c>
      <c r="H159" s="168">
        <v>6</v>
      </c>
      <c r="I159" s="168">
        <v>0</v>
      </c>
      <c r="J159" s="168">
        <v>2</v>
      </c>
      <c r="K159" s="169">
        <v>0</v>
      </c>
      <c r="L159" s="96" t="s">
        <v>8</v>
      </c>
      <c r="M159" s="166">
        <f t="shared" si="500"/>
        <v>811.62000000000012</v>
      </c>
      <c r="N159" s="92">
        <v>1</v>
      </c>
      <c r="O159" s="170">
        <f t="shared" si="501"/>
        <v>811.62000000000012</v>
      </c>
      <c r="P159" s="170"/>
      <c r="Q159" s="52" t="s">
        <v>48</v>
      </c>
      <c r="R159" s="71" t="s">
        <v>77</v>
      </c>
      <c r="S159" s="137" t="str">
        <f t="shared" si="502"/>
        <v>CPD2012</v>
      </c>
      <c r="T159" s="137" t="str">
        <f t="shared" si="503"/>
        <v>C1.5.1.1.32012</v>
      </c>
      <c r="U159" s="137" t="s">
        <v>204</v>
      </c>
      <c r="V159" s="137" t="str">
        <f t="shared" si="504"/>
        <v>Outer Support Cylinder (OSC)</v>
      </c>
      <c r="AB159" s="33">
        <v>2012</v>
      </c>
      <c r="AC159" s="132">
        <f t="shared" si="505"/>
        <v>0</v>
      </c>
      <c r="AD159" s="132">
        <f t="shared" si="506"/>
        <v>0</v>
      </c>
      <c r="AE159" s="132">
        <f t="shared" si="507"/>
        <v>0</v>
      </c>
      <c r="AF159" s="132">
        <f t="shared" si="508"/>
        <v>0</v>
      </c>
      <c r="AG159" s="132">
        <f t="shared" si="509"/>
        <v>0</v>
      </c>
      <c r="AH159" s="234">
        <f t="shared" si="510"/>
        <v>0</v>
      </c>
      <c r="AI159" s="235"/>
      <c r="AJ159" s="132"/>
      <c r="AK159" s="132"/>
      <c r="AL159" s="166"/>
      <c r="AM159" s="131">
        <f t="shared" si="511"/>
        <v>0</v>
      </c>
      <c r="AN159" s="132">
        <f t="shared" si="512"/>
        <v>6</v>
      </c>
      <c r="AO159" s="132">
        <f t="shared" si="513"/>
        <v>0</v>
      </c>
      <c r="AP159" s="132">
        <f t="shared" si="514"/>
        <v>2</v>
      </c>
      <c r="AQ159" s="132">
        <f t="shared" si="515"/>
        <v>0</v>
      </c>
      <c r="AR159" s="132">
        <f t="shared" si="516"/>
        <v>0</v>
      </c>
      <c r="AS159" s="235"/>
    </row>
    <row r="160" spans="1:45" s="20" customFormat="1">
      <c r="A160" s="46" t="s">
        <v>324</v>
      </c>
      <c r="B160" s="20" t="s">
        <v>58</v>
      </c>
      <c r="C160" s="165">
        <v>1</v>
      </c>
      <c r="D160" s="96" t="s">
        <v>9</v>
      </c>
      <c r="E160" s="166">
        <v>105</v>
      </c>
      <c r="F160" s="167">
        <f t="shared" si="499"/>
        <v>105</v>
      </c>
      <c r="G160" s="168">
        <v>0</v>
      </c>
      <c r="H160" s="168">
        <v>8</v>
      </c>
      <c r="I160" s="168">
        <v>0</v>
      </c>
      <c r="J160" s="168">
        <v>0</v>
      </c>
      <c r="K160" s="169">
        <v>0</v>
      </c>
      <c r="L160" s="96" t="s">
        <v>8</v>
      </c>
      <c r="M160" s="166">
        <f t="shared" si="500"/>
        <v>758.16000000000008</v>
      </c>
      <c r="N160" s="92">
        <v>1</v>
      </c>
      <c r="O160" s="170">
        <f t="shared" si="501"/>
        <v>863.16000000000008</v>
      </c>
      <c r="P160" s="170"/>
      <c r="Q160" s="52" t="s">
        <v>48</v>
      </c>
      <c r="R160" s="71" t="s">
        <v>77</v>
      </c>
      <c r="S160" s="137" t="str">
        <f t="shared" si="502"/>
        <v>CPD2012</v>
      </c>
      <c r="T160" s="137" t="str">
        <f t="shared" si="503"/>
        <v>C1.5.1.1.32012</v>
      </c>
      <c r="U160" s="137" t="s">
        <v>204</v>
      </c>
      <c r="V160" s="137" t="str">
        <f t="shared" si="504"/>
        <v>Outer Support Cylinder (OSC)</v>
      </c>
      <c r="AB160" s="33">
        <v>2012</v>
      </c>
      <c r="AC160" s="132">
        <f t="shared" si="505"/>
        <v>0</v>
      </c>
      <c r="AD160" s="132">
        <f t="shared" si="506"/>
        <v>0</v>
      </c>
      <c r="AE160" s="132">
        <f t="shared" si="507"/>
        <v>0</v>
      </c>
      <c r="AF160" s="132">
        <f t="shared" si="508"/>
        <v>0</v>
      </c>
      <c r="AG160" s="132">
        <f t="shared" si="509"/>
        <v>0</v>
      </c>
      <c r="AH160" s="234">
        <f t="shared" si="510"/>
        <v>0</v>
      </c>
      <c r="AI160" s="235"/>
      <c r="AJ160" s="132"/>
      <c r="AK160" s="132"/>
      <c r="AL160" s="166"/>
      <c r="AM160" s="131">
        <f t="shared" si="511"/>
        <v>0</v>
      </c>
      <c r="AN160" s="132">
        <f t="shared" si="512"/>
        <v>8</v>
      </c>
      <c r="AO160" s="132">
        <f t="shared" si="513"/>
        <v>0</v>
      </c>
      <c r="AP160" s="132">
        <f t="shared" si="514"/>
        <v>0</v>
      </c>
      <c r="AQ160" s="132">
        <f t="shared" si="515"/>
        <v>0</v>
      </c>
      <c r="AR160" s="132">
        <f t="shared" si="516"/>
        <v>105</v>
      </c>
      <c r="AS160" s="235"/>
    </row>
    <row r="161" spans="1:45" s="20" customFormat="1">
      <c r="A161" s="46" t="s">
        <v>325</v>
      </c>
      <c r="B161" s="20" t="s">
        <v>58</v>
      </c>
      <c r="C161" s="165">
        <v>1</v>
      </c>
      <c r="D161" s="96" t="s">
        <v>9</v>
      </c>
      <c r="E161" s="166">
        <v>105</v>
      </c>
      <c r="F161" s="167">
        <f t="shared" si="499"/>
        <v>105</v>
      </c>
      <c r="G161" s="168">
        <v>2</v>
      </c>
      <c r="H161" s="168">
        <v>8</v>
      </c>
      <c r="I161" s="168">
        <v>0</v>
      </c>
      <c r="J161" s="168">
        <v>0</v>
      </c>
      <c r="K161" s="169">
        <v>0</v>
      </c>
      <c r="L161" s="96" t="s">
        <v>8</v>
      </c>
      <c r="M161" s="166">
        <f t="shared" si="500"/>
        <v>962.28000000000009</v>
      </c>
      <c r="N161" s="92">
        <v>1</v>
      </c>
      <c r="O161" s="170">
        <f t="shared" si="501"/>
        <v>1067.2800000000002</v>
      </c>
      <c r="P161" s="170"/>
      <c r="Q161" s="52" t="s">
        <v>48</v>
      </c>
      <c r="R161" s="71" t="s">
        <v>77</v>
      </c>
      <c r="S161" s="137" t="str">
        <f t="shared" si="502"/>
        <v>CPD2012</v>
      </c>
      <c r="T161" s="137" t="str">
        <f t="shared" si="503"/>
        <v>C1.5.1.1.32012</v>
      </c>
      <c r="U161" s="137" t="s">
        <v>204</v>
      </c>
      <c r="V161" s="137" t="str">
        <f t="shared" si="504"/>
        <v>Outer Support Cylinder (OSC)</v>
      </c>
      <c r="AB161" s="33">
        <v>2012</v>
      </c>
      <c r="AC161" s="132">
        <f t="shared" si="505"/>
        <v>0</v>
      </c>
      <c r="AD161" s="132">
        <f t="shared" si="506"/>
        <v>0</v>
      </c>
      <c r="AE161" s="132">
        <f t="shared" si="507"/>
        <v>0</v>
      </c>
      <c r="AF161" s="132">
        <f t="shared" si="508"/>
        <v>0</v>
      </c>
      <c r="AG161" s="132">
        <f t="shared" si="509"/>
        <v>0</v>
      </c>
      <c r="AH161" s="234">
        <f t="shared" si="510"/>
        <v>0</v>
      </c>
      <c r="AI161" s="235"/>
      <c r="AJ161" s="132"/>
      <c r="AK161" s="132"/>
      <c r="AL161" s="166"/>
      <c r="AM161" s="131">
        <f t="shared" si="511"/>
        <v>2</v>
      </c>
      <c r="AN161" s="132">
        <f t="shared" si="512"/>
        <v>8</v>
      </c>
      <c r="AO161" s="132">
        <f t="shared" si="513"/>
        <v>0</v>
      </c>
      <c r="AP161" s="132">
        <f t="shared" si="514"/>
        <v>0</v>
      </c>
      <c r="AQ161" s="132">
        <f t="shared" si="515"/>
        <v>0</v>
      </c>
      <c r="AR161" s="132">
        <f t="shared" si="516"/>
        <v>105</v>
      </c>
      <c r="AS161" s="235"/>
    </row>
    <row r="162" spans="1:45" s="20" customFormat="1">
      <c r="A162" s="47" t="s">
        <v>350</v>
      </c>
      <c r="C162" s="165"/>
      <c r="D162" s="96"/>
      <c r="E162" s="57"/>
      <c r="F162" s="58"/>
      <c r="G162" s="59"/>
      <c r="H162" s="59"/>
      <c r="I162" s="59"/>
      <c r="J162" s="59"/>
      <c r="K162" s="60"/>
      <c r="L162" s="217" t="s">
        <v>66</v>
      </c>
      <c r="M162" s="177">
        <f>SUMIF(Q156:Q161,"B",M156:M161)</f>
        <v>4928.0400000000009</v>
      </c>
      <c r="N162" s="65" t="s">
        <v>65</v>
      </c>
      <c r="O162" s="170"/>
      <c r="P162" s="170"/>
      <c r="Q162" s="52"/>
      <c r="R162" s="71"/>
      <c r="S162" s="137"/>
      <c r="T162" s="137"/>
      <c r="U162" s="137"/>
      <c r="V162" s="137"/>
      <c r="AB162" s="33"/>
      <c r="AC162" s="132"/>
      <c r="AD162" s="132"/>
      <c r="AE162" s="135"/>
      <c r="AF162" s="132"/>
      <c r="AG162" s="132"/>
      <c r="AH162" s="234"/>
      <c r="AI162" s="235"/>
      <c r="AJ162" s="132"/>
      <c r="AK162" s="132"/>
      <c r="AL162" s="166"/>
      <c r="AM162" s="131"/>
      <c r="AN162" s="132"/>
      <c r="AO162" s="132"/>
      <c r="AP162" s="132"/>
      <c r="AQ162" s="132"/>
      <c r="AR162" s="132"/>
      <c r="AS162" s="235"/>
    </row>
    <row r="163" spans="1:45" s="20" customFormat="1">
      <c r="A163" s="46" t="s">
        <v>318</v>
      </c>
      <c r="B163" s="20" t="s">
        <v>34</v>
      </c>
      <c r="C163" s="165">
        <v>0.03</v>
      </c>
      <c r="D163" s="96" t="s">
        <v>9</v>
      </c>
      <c r="E163" s="166">
        <v>0</v>
      </c>
      <c r="F163" s="167">
        <f t="shared" ref="F163:F168" si="517">E163*C163</f>
        <v>0</v>
      </c>
      <c r="G163" s="168">
        <v>0</v>
      </c>
      <c r="H163" s="168">
        <v>8</v>
      </c>
      <c r="I163" s="168">
        <v>0</v>
      </c>
      <c r="J163" s="168">
        <v>2</v>
      </c>
      <c r="K163" s="169">
        <v>0</v>
      </c>
      <c r="L163" s="96" t="s">
        <v>8</v>
      </c>
      <c r="M163" s="166">
        <f t="shared" ref="M163:M168" si="518">IF(R163="PD",((Shop*G163)+(M_Tech*H163)+(CMM*I163)+(ENG*J163)+(DES*K163))*N163,((Shop_RD*G163)+(MTECH_RD*H163)+(CMM_RD*I163)+(ENG_RD*J163)+(DES_RD*K163))*N163)</f>
        <v>1001.1600000000001</v>
      </c>
      <c r="N163" s="92">
        <v>1</v>
      </c>
      <c r="O163" s="170">
        <f t="shared" ref="O163:O168" si="519">M163+(F163*N163)</f>
        <v>1001.1600000000001</v>
      </c>
      <c r="P163" s="170"/>
      <c r="Q163" s="52" t="s">
        <v>47</v>
      </c>
      <c r="R163" s="71" t="s">
        <v>77</v>
      </c>
      <c r="S163" s="137" t="str">
        <f t="shared" ref="S163:S168" si="520">CONCATENATE(Q163,R163,AB163)</f>
        <v>BPD2011</v>
      </c>
      <c r="T163" s="137" t="str">
        <f t="shared" ref="T163:T168" si="521">CONCATENATE(Q163,U163,AB163)</f>
        <v>B1.5.1.1.32011</v>
      </c>
      <c r="U163" s="137" t="s">
        <v>204</v>
      </c>
      <c r="V163" s="137" t="str">
        <f t="shared" ref="V163:V168" si="522">LOOKUP(U163,$B$539:$B$574,$A$539:$A$574)</f>
        <v>Outer Support Cylinder (OSC)</v>
      </c>
      <c r="AB163" s="33">
        <v>2011</v>
      </c>
      <c r="AC163" s="132">
        <f t="shared" ref="AC163:AC168" si="523">IF($Q163="B", (G163*$N163),0)</f>
        <v>0</v>
      </c>
      <c r="AD163" s="132">
        <f t="shared" ref="AD163:AD168" si="524">IF($Q163="B", (H163*$N163),0)</f>
        <v>8</v>
      </c>
      <c r="AE163" s="132">
        <f t="shared" ref="AE163:AE168" si="525">IF($Q163="B", (I163*$N163),0)</f>
        <v>0</v>
      </c>
      <c r="AF163" s="132">
        <f t="shared" ref="AF163:AF168" si="526">IF($Q163="B", (J163*$N163),0)</f>
        <v>2</v>
      </c>
      <c r="AG163" s="132">
        <f t="shared" ref="AG163:AG168" si="527">IF($Q163="B", (K163*$N163),0)</f>
        <v>0</v>
      </c>
      <c r="AH163" s="234">
        <f t="shared" ref="AH163:AH168" si="528">IF($Q163="B", (F163*$N163),0)</f>
        <v>0</v>
      </c>
      <c r="AI163" s="235"/>
      <c r="AJ163" s="132"/>
      <c r="AK163" s="132"/>
      <c r="AL163" s="166"/>
      <c r="AM163" s="131">
        <f t="shared" ref="AM163:AM168" si="529">IF($Q163="C", (G163*$N163),0)</f>
        <v>0</v>
      </c>
      <c r="AN163" s="132">
        <f t="shared" ref="AN163:AN168" si="530">IF($Q163="C", (H163*$N163),0)</f>
        <v>0</v>
      </c>
      <c r="AO163" s="132">
        <f t="shared" ref="AO163:AO168" si="531">IF($Q163="C", (I163*$N163),0)</f>
        <v>0</v>
      </c>
      <c r="AP163" s="132">
        <f t="shared" ref="AP163:AP168" si="532">IF($Q163="C", (J163*$N163),0)</f>
        <v>0</v>
      </c>
      <c r="AQ163" s="132">
        <f t="shared" ref="AQ163:AQ168" si="533">IF($Q163="C", (K163*$N163),0)</f>
        <v>0</v>
      </c>
      <c r="AR163" s="132">
        <f t="shared" ref="AR163:AR168" si="534">IF($Q163="C", (F163*$N163),0)</f>
        <v>0</v>
      </c>
      <c r="AS163" s="235"/>
    </row>
    <row r="164" spans="1:45" s="20" customFormat="1">
      <c r="A164" s="46" t="s">
        <v>322</v>
      </c>
      <c r="B164" s="20" t="s">
        <v>58</v>
      </c>
      <c r="C164" s="165">
        <v>1</v>
      </c>
      <c r="D164" s="96" t="s">
        <v>9</v>
      </c>
      <c r="E164" s="166">
        <v>105</v>
      </c>
      <c r="F164" s="167">
        <f t="shared" si="517"/>
        <v>105</v>
      </c>
      <c r="G164" s="168">
        <v>0</v>
      </c>
      <c r="H164" s="168">
        <v>8</v>
      </c>
      <c r="I164" s="168">
        <v>0</v>
      </c>
      <c r="J164" s="168">
        <v>1</v>
      </c>
      <c r="K164" s="169">
        <v>0</v>
      </c>
      <c r="L164" s="96" t="s">
        <v>8</v>
      </c>
      <c r="M164" s="166">
        <f t="shared" si="518"/>
        <v>1759.3200000000002</v>
      </c>
      <c r="N164" s="92">
        <v>2</v>
      </c>
      <c r="O164" s="170">
        <f t="shared" si="519"/>
        <v>1969.3200000000002</v>
      </c>
      <c r="P164" s="170"/>
      <c r="Q164" s="52" t="s">
        <v>47</v>
      </c>
      <c r="R164" s="71" t="s">
        <v>77</v>
      </c>
      <c r="S164" s="137" t="str">
        <f t="shared" si="520"/>
        <v>BPD2011</v>
      </c>
      <c r="T164" s="137" t="str">
        <f t="shared" si="521"/>
        <v>B1.5.1.1.32011</v>
      </c>
      <c r="U164" s="137" t="s">
        <v>204</v>
      </c>
      <c r="V164" s="137" t="str">
        <f t="shared" si="522"/>
        <v>Outer Support Cylinder (OSC)</v>
      </c>
      <c r="AB164" s="33">
        <v>2011</v>
      </c>
      <c r="AC164" s="132">
        <f t="shared" si="523"/>
        <v>0</v>
      </c>
      <c r="AD164" s="132">
        <f t="shared" si="524"/>
        <v>16</v>
      </c>
      <c r="AE164" s="132">
        <f t="shared" si="525"/>
        <v>0</v>
      </c>
      <c r="AF164" s="132">
        <f t="shared" si="526"/>
        <v>2</v>
      </c>
      <c r="AG164" s="132">
        <f t="shared" si="527"/>
        <v>0</v>
      </c>
      <c r="AH164" s="234">
        <f t="shared" si="528"/>
        <v>210</v>
      </c>
      <c r="AI164" s="235"/>
      <c r="AJ164" s="132"/>
      <c r="AK164" s="132"/>
      <c r="AL164" s="166"/>
      <c r="AM164" s="131">
        <f t="shared" si="529"/>
        <v>0</v>
      </c>
      <c r="AN164" s="132">
        <f t="shared" si="530"/>
        <v>0</v>
      </c>
      <c r="AO164" s="132">
        <f t="shared" si="531"/>
        <v>0</v>
      </c>
      <c r="AP164" s="132">
        <f t="shared" si="532"/>
        <v>0</v>
      </c>
      <c r="AQ164" s="132">
        <f t="shared" si="533"/>
        <v>0</v>
      </c>
      <c r="AR164" s="132">
        <f t="shared" si="534"/>
        <v>0</v>
      </c>
      <c r="AS164" s="235"/>
    </row>
    <row r="165" spans="1:45" s="20" customFormat="1">
      <c r="A165" s="46" t="s">
        <v>321</v>
      </c>
      <c r="B165" s="20" t="s">
        <v>58</v>
      </c>
      <c r="C165" s="165">
        <v>1</v>
      </c>
      <c r="D165" s="96" t="s">
        <v>9</v>
      </c>
      <c r="E165" s="166">
        <v>105</v>
      </c>
      <c r="F165" s="167">
        <f t="shared" si="517"/>
        <v>105</v>
      </c>
      <c r="G165" s="168">
        <v>2</v>
      </c>
      <c r="H165" s="168">
        <v>8</v>
      </c>
      <c r="I165" s="168">
        <v>0</v>
      </c>
      <c r="J165" s="168">
        <v>1</v>
      </c>
      <c r="K165" s="169">
        <v>0</v>
      </c>
      <c r="L165" s="96" t="s">
        <v>8</v>
      </c>
      <c r="M165" s="166">
        <f t="shared" si="518"/>
        <v>2167.5600000000004</v>
      </c>
      <c r="N165" s="92">
        <v>2</v>
      </c>
      <c r="O165" s="170">
        <f t="shared" si="519"/>
        <v>2377.5600000000004</v>
      </c>
      <c r="P165" s="170"/>
      <c r="Q165" s="52" t="s">
        <v>47</v>
      </c>
      <c r="R165" s="71" t="s">
        <v>77</v>
      </c>
      <c r="S165" s="137" t="str">
        <f t="shared" si="520"/>
        <v>BPD2011</v>
      </c>
      <c r="T165" s="137" t="str">
        <f t="shared" si="521"/>
        <v>B1.5.1.1.32011</v>
      </c>
      <c r="U165" s="137" t="s">
        <v>204</v>
      </c>
      <c r="V165" s="137" t="str">
        <f t="shared" si="522"/>
        <v>Outer Support Cylinder (OSC)</v>
      </c>
      <c r="AB165" s="33">
        <v>2011</v>
      </c>
      <c r="AC165" s="132">
        <f t="shared" si="523"/>
        <v>4</v>
      </c>
      <c r="AD165" s="132">
        <f t="shared" si="524"/>
        <v>16</v>
      </c>
      <c r="AE165" s="132">
        <f t="shared" si="525"/>
        <v>0</v>
      </c>
      <c r="AF165" s="132">
        <f t="shared" si="526"/>
        <v>2</v>
      </c>
      <c r="AG165" s="132">
        <f t="shared" si="527"/>
        <v>0</v>
      </c>
      <c r="AH165" s="234">
        <f t="shared" si="528"/>
        <v>210</v>
      </c>
      <c r="AI165" s="235"/>
      <c r="AJ165" s="132"/>
      <c r="AK165" s="132"/>
      <c r="AL165" s="166"/>
      <c r="AM165" s="131">
        <f t="shared" si="529"/>
        <v>0</v>
      </c>
      <c r="AN165" s="132">
        <f t="shared" si="530"/>
        <v>0</v>
      </c>
      <c r="AO165" s="132">
        <f t="shared" si="531"/>
        <v>0</v>
      </c>
      <c r="AP165" s="132">
        <f t="shared" si="532"/>
        <v>0</v>
      </c>
      <c r="AQ165" s="132">
        <f t="shared" si="533"/>
        <v>0</v>
      </c>
      <c r="AR165" s="132">
        <f t="shared" si="534"/>
        <v>0</v>
      </c>
      <c r="AS165" s="235"/>
    </row>
    <row r="166" spans="1:45" s="20" customFormat="1">
      <c r="A166" s="46" t="s">
        <v>323</v>
      </c>
      <c r="B166" s="20" t="s">
        <v>34</v>
      </c>
      <c r="C166" s="165">
        <v>0.03</v>
      </c>
      <c r="D166" s="96" t="s">
        <v>9</v>
      </c>
      <c r="E166" s="166">
        <v>0</v>
      </c>
      <c r="F166" s="167">
        <f t="shared" si="517"/>
        <v>0</v>
      </c>
      <c r="G166" s="168">
        <v>0</v>
      </c>
      <c r="H166" s="168">
        <v>6</v>
      </c>
      <c r="I166" s="168">
        <v>0</v>
      </c>
      <c r="J166" s="168">
        <v>2</v>
      </c>
      <c r="K166" s="169">
        <v>0</v>
      </c>
      <c r="L166" s="96" t="s">
        <v>8</v>
      </c>
      <c r="M166" s="166">
        <f t="shared" si="518"/>
        <v>811.62000000000012</v>
      </c>
      <c r="N166" s="92">
        <v>1</v>
      </c>
      <c r="O166" s="170">
        <f t="shared" si="519"/>
        <v>811.62000000000012</v>
      </c>
      <c r="P166" s="170"/>
      <c r="Q166" s="52" t="s">
        <v>48</v>
      </c>
      <c r="R166" s="71" t="s">
        <v>77</v>
      </c>
      <c r="S166" s="137" t="str">
        <f t="shared" si="520"/>
        <v>CPD2012</v>
      </c>
      <c r="T166" s="137" t="str">
        <f t="shared" si="521"/>
        <v>C1.5.1.1.32012</v>
      </c>
      <c r="U166" s="137" t="s">
        <v>204</v>
      </c>
      <c r="V166" s="137" t="str">
        <f t="shared" si="522"/>
        <v>Outer Support Cylinder (OSC)</v>
      </c>
      <c r="AB166" s="33">
        <v>2012</v>
      </c>
      <c r="AC166" s="132">
        <f t="shared" si="523"/>
        <v>0</v>
      </c>
      <c r="AD166" s="132">
        <f t="shared" si="524"/>
        <v>0</v>
      </c>
      <c r="AE166" s="132">
        <f t="shared" si="525"/>
        <v>0</v>
      </c>
      <c r="AF166" s="132">
        <f t="shared" si="526"/>
        <v>0</v>
      </c>
      <c r="AG166" s="132">
        <f t="shared" si="527"/>
        <v>0</v>
      </c>
      <c r="AH166" s="234">
        <f t="shared" si="528"/>
        <v>0</v>
      </c>
      <c r="AI166" s="235"/>
      <c r="AJ166" s="132"/>
      <c r="AK166" s="132"/>
      <c r="AL166" s="166"/>
      <c r="AM166" s="131">
        <f t="shared" si="529"/>
        <v>0</v>
      </c>
      <c r="AN166" s="132">
        <f t="shared" si="530"/>
        <v>6</v>
      </c>
      <c r="AO166" s="132">
        <f t="shared" si="531"/>
        <v>0</v>
      </c>
      <c r="AP166" s="132">
        <f t="shared" si="532"/>
        <v>2</v>
      </c>
      <c r="AQ166" s="132">
        <f t="shared" si="533"/>
        <v>0</v>
      </c>
      <c r="AR166" s="132">
        <f t="shared" si="534"/>
        <v>0</v>
      </c>
      <c r="AS166" s="235"/>
    </row>
    <row r="167" spans="1:45" s="20" customFormat="1">
      <c r="A167" s="46" t="s">
        <v>324</v>
      </c>
      <c r="B167" s="20" t="s">
        <v>58</v>
      </c>
      <c r="C167" s="165">
        <v>1</v>
      </c>
      <c r="D167" s="96" t="s">
        <v>9</v>
      </c>
      <c r="E167" s="166">
        <v>105</v>
      </c>
      <c r="F167" s="167">
        <f t="shared" si="517"/>
        <v>105</v>
      </c>
      <c r="G167" s="168">
        <v>0</v>
      </c>
      <c r="H167" s="168">
        <v>8</v>
      </c>
      <c r="I167" s="168">
        <v>0</v>
      </c>
      <c r="J167" s="168">
        <v>0</v>
      </c>
      <c r="K167" s="169">
        <v>0</v>
      </c>
      <c r="L167" s="96" t="s">
        <v>8</v>
      </c>
      <c r="M167" s="166">
        <f t="shared" si="518"/>
        <v>758.16000000000008</v>
      </c>
      <c r="N167" s="92">
        <v>1</v>
      </c>
      <c r="O167" s="170">
        <f t="shared" si="519"/>
        <v>863.16000000000008</v>
      </c>
      <c r="P167" s="170"/>
      <c r="Q167" s="52" t="s">
        <v>48</v>
      </c>
      <c r="R167" s="71" t="s">
        <v>77</v>
      </c>
      <c r="S167" s="137" t="str">
        <f t="shared" si="520"/>
        <v>CPD2012</v>
      </c>
      <c r="T167" s="137" t="str">
        <f t="shared" si="521"/>
        <v>C1.5.1.1.32012</v>
      </c>
      <c r="U167" s="137" t="s">
        <v>204</v>
      </c>
      <c r="V167" s="137" t="str">
        <f t="shared" si="522"/>
        <v>Outer Support Cylinder (OSC)</v>
      </c>
      <c r="AB167" s="33">
        <v>2012</v>
      </c>
      <c r="AC167" s="132">
        <f t="shared" si="523"/>
        <v>0</v>
      </c>
      <c r="AD167" s="132">
        <f t="shared" si="524"/>
        <v>0</v>
      </c>
      <c r="AE167" s="132">
        <f t="shared" si="525"/>
        <v>0</v>
      </c>
      <c r="AF167" s="132">
        <f t="shared" si="526"/>
        <v>0</v>
      </c>
      <c r="AG167" s="132">
        <f t="shared" si="527"/>
        <v>0</v>
      </c>
      <c r="AH167" s="234">
        <f t="shared" si="528"/>
        <v>0</v>
      </c>
      <c r="AI167" s="235"/>
      <c r="AJ167" s="132"/>
      <c r="AK167" s="132"/>
      <c r="AL167" s="166"/>
      <c r="AM167" s="131">
        <f t="shared" si="529"/>
        <v>0</v>
      </c>
      <c r="AN167" s="132">
        <f t="shared" si="530"/>
        <v>8</v>
      </c>
      <c r="AO167" s="132">
        <f t="shared" si="531"/>
        <v>0</v>
      </c>
      <c r="AP167" s="132">
        <f t="shared" si="532"/>
        <v>0</v>
      </c>
      <c r="AQ167" s="132">
        <f t="shared" si="533"/>
        <v>0</v>
      </c>
      <c r="AR167" s="132">
        <f t="shared" si="534"/>
        <v>105</v>
      </c>
      <c r="AS167" s="235"/>
    </row>
    <row r="168" spans="1:45" s="20" customFormat="1">
      <c r="A168" s="46" t="s">
        <v>325</v>
      </c>
      <c r="B168" s="20" t="s">
        <v>58</v>
      </c>
      <c r="C168" s="165">
        <v>1</v>
      </c>
      <c r="D168" s="96" t="s">
        <v>9</v>
      </c>
      <c r="E168" s="166">
        <v>105</v>
      </c>
      <c r="F168" s="167">
        <f t="shared" si="517"/>
        <v>105</v>
      </c>
      <c r="G168" s="168">
        <v>2</v>
      </c>
      <c r="H168" s="168">
        <v>8</v>
      </c>
      <c r="I168" s="168">
        <v>0</v>
      </c>
      <c r="J168" s="168">
        <v>0</v>
      </c>
      <c r="K168" s="169">
        <v>0</v>
      </c>
      <c r="L168" s="96" t="s">
        <v>8</v>
      </c>
      <c r="M168" s="166">
        <f t="shared" si="518"/>
        <v>962.28000000000009</v>
      </c>
      <c r="N168" s="92">
        <v>1</v>
      </c>
      <c r="O168" s="170">
        <f t="shared" si="519"/>
        <v>1067.2800000000002</v>
      </c>
      <c r="P168" s="170"/>
      <c r="Q168" s="52" t="s">
        <v>48</v>
      </c>
      <c r="R168" s="71" t="s">
        <v>77</v>
      </c>
      <c r="S168" s="137" t="str">
        <f t="shared" si="520"/>
        <v>CPD2012</v>
      </c>
      <c r="T168" s="137" t="str">
        <f t="shared" si="521"/>
        <v>C1.5.1.1.32012</v>
      </c>
      <c r="U168" s="137" t="s">
        <v>204</v>
      </c>
      <c r="V168" s="137" t="str">
        <f t="shared" si="522"/>
        <v>Outer Support Cylinder (OSC)</v>
      </c>
      <c r="AB168" s="33">
        <v>2012</v>
      </c>
      <c r="AC168" s="132">
        <f t="shared" si="523"/>
        <v>0</v>
      </c>
      <c r="AD168" s="132">
        <f t="shared" si="524"/>
        <v>0</v>
      </c>
      <c r="AE168" s="132">
        <f t="shared" si="525"/>
        <v>0</v>
      </c>
      <c r="AF168" s="132">
        <f t="shared" si="526"/>
        <v>0</v>
      </c>
      <c r="AG168" s="132">
        <f t="shared" si="527"/>
        <v>0</v>
      </c>
      <c r="AH168" s="234">
        <f t="shared" si="528"/>
        <v>0</v>
      </c>
      <c r="AI168" s="235"/>
      <c r="AJ168" s="132"/>
      <c r="AK168" s="132"/>
      <c r="AL168" s="166"/>
      <c r="AM168" s="131">
        <f t="shared" si="529"/>
        <v>2</v>
      </c>
      <c r="AN168" s="132">
        <f t="shared" si="530"/>
        <v>8</v>
      </c>
      <c r="AO168" s="132">
        <f t="shared" si="531"/>
        <v>0</v>
      </c>
      <c r="AP168" s="132">
        <f t="shared" si="532"/>
        <v>0</v>
      </c>
      <c r="AQ168" s="132">
        <f t="shared" si="533"/>
        <v>0</v>
      </c>
      <c r="AR168" s="132">
        <f t="shared" si="534"/>
        <v>105</v>
      </c>
      <c r="AS168" s="235"/>
    </row>
    <row r="169" spans="1:45" s="20" customFormat="1">
      <c r="A169" s="47" t="s">
        <v>330</v>
      </c>
      <c r="C169" s="165"/>
      <c r="D169" s="96"/>
      <c r="E169" s="57"/>
      <c r="F169" s="58"/>
      <c r="G169" s="59"/>
      <c r="H169" s="59"/>
      <c r="I169" s="59"/>
      <c r="J169" s="59"/>
      <c r="K169" s="60"/>
      <c r="L169" s="217" t="s">
        <v>66</v>
      </c>
      <c r="M169" s="177" t="e">
        <f>SUMIF(#REF!,"B",#REF!)</f>
        <v>#REF!</v>
      </c>
      <c r="N169" s="65" t="s">
        <v>65</v>
      </c>
      <c r="O169" s="170"/>
      <c r="P169" s="170"/>
      <c r="Q169" s="52"/>
      <c r="R169" s="71"/>
      <c r="S169" s="137"/>
      <c r="T169" s="137"/>
      <c r="U169" s="137"/>
      <c r="V169" s="137"/>
      <c r="AB169" s="33"/>
      <c r="AC169" s="132"/>
      <c r="AD169" s="132"/>
      <c r="AE169" s="135"/>
      <c r="AF169" s="132"/>
      <c r="AG169" s="132"/>
      <c r="AH169" s="234"/>
      <c r="AI169" s="235"/>
      <c r="AJ169" s="132"/>
      <c r="AK169" s="132"/>
      <c r="AL169" s="166"/>
      <c r="AM169" s="131"/>
      <c r="AN169" s="132"/>
      <c r="AO169" s="132"/>
      <c r="AP169" s="132"/>
      <c r="AQ169" s="132"/>
      <c r="AR169" s="132"/>
      <c r="AS169" s="235"/>
    </row>
    <row r="170" spans="1:45" s="20" customFormat="1">
      <c r="A170" s="46" t="s">
        <v>351</v>
      </c>
      <c r="B170" s="20" t="s">
        <v>57</v>
      </c>
      <c r="C170" s="165">
        <v>1</v>
      </c>
      <c r="D170" s="96" t="s">
        <v>9</v>
      </c>
      <c r="E170" s="166">
        <v>500</v>
      </c>
      <c r="F170" s="167">
        <f t="shared" ref="F170:F171" si="535">E170*C170</f>
        <v>500</v>
      </c>
      <c r="G170" s="168">
        <v>0</v>
      </c>
      <c r="H170" s="168">
        <v>4</v>
      </c>
      <c r="I170" s="168">
        <v>0</v>
      </c>
      <c r="J170" s="168">
        <v>0</v>
      </c>
      <c r="K170" s="169">
        <v>0</v>
      </c>
      <c r="L170" s="96" t="s">
        <v>8</v>
      </c>
      <c r="M170" s="166">
        <f t="shared" ref="M170:M171" si="536">IF(R170="PD",((Shop*G170)+(M_Tech*H170)+(CMM*I170)+(ENG*J170)+(DES*K170))*N170,((Shop_RD*G170)+(MTECH_RD*H170)+(CMM_RD*I170)+(ENG_RD*J170)+(DES_RD*K170))*N170)</f>
        <v>1137.2400000000002</v>
      </c>
      <c r="N170" s="92">
        <v>3</v>
      </c>
      <c r="O170" s="170">
        <f t="shared" ref="O170:O171" si="537">M170+(F170*N170)</f>
        <v>2637.2400000000002</v>
      </c>
      <c r="P170" s="170"/>
      <c r="Q170" s="52" t="s">
        <v>47</v>
      </c>
      <c r="R170" s="71" t="s">
        <v>77</v>
      </c>
      <c r="S170" s="137" t="str">
        <f t="shared" ref="S170:S171" si="538">CONCATENATE(Q170,R170,AB170)</f>
        <v>BPD2011</v>
      </c>
      <c r="T170" s="137" t="str">
        <f t="shared" ref="T170:T171" si="539">CONCATENATE(Q170,U170,AB170)</f>
        <v>B1.5.1.1.32011</v>
      </c>
      <c r="U170" s="137" t="s">
        <v>204</v>
      </c>
      <c r="V170" s="137" t="str">
        <f>LOOKUP(U170,$B$539:$B$574,$A$539:$A$574)</f>
        <v>Outer Support Cylinder (OSC)</v>
      </c>
      <c r="AB170" s="33">
        <v>2011</v>
      </c>
      <c r="AC170" s="132">
        <f t="shared" ref="AC170:AC171" si="540">IF($Q170="B", (G170*$N170),0)</f>
        <v>0</v>
      </c>
      <c r="AD170" s="132">
        <f t="shared" ref="AD170:AD171" si="541">IF($Q170="B", (H170*$N170),0)</f>
        <v>12</v>
      </c>
      <c r="AE170" s="132">
        <f t="shared" ref="AE170:AE171" si="542">IF($Q170="B", (I170*$N170),0)</f>
        <v>0</v>
      </c>
      <c r="AF170" s="132">
        <f t="shared" ref="AF170:AF171" si="543">IF($Q170="B", (J170*$N170),0)</f>
        <v>0</v>
      </c>
      <c r="AG170" s="132">
        <f t="shared" ref="AG170:AG171" si="544">IF($Q170="B", (K170*$N170),0)</f>
        <v>0</v>
      </c>
      <c r="AH170" s="234">
        <f t="shared" ref="AH170:AH171" si="545">IF($Q170="B", (F170*$N170),0)</f>
        <v>1500</v>
      </c>
      <c r="AI170" s="235"/>
      <c r="AJ170" s="132"/>
      <c r="AK170" s="132"/>
      <c r="AL170" s="166"/>
      <c r="AM170" s="131">
        <f t="shared" ref="AM170:AM171" si="546">IF($Q170="C", (G170*$N170),0)</f>
        <v>0</v>
      </c>
      <c r="AN170" s="132">
        <f t="shared" ref="AN170:AN171" si="547">IF($Q170="C", (H170*$N170),0)</f>
        <v>0</v>
      </c>
      <c r="AO170" s="132">
        <f t="shared" ref="AO170:AO171" si="548">IF($Q170="C", (I170*$N170),0)</f>
        <v>0</v>
      </c>
      <c r="AP170" s="132">
        <f t="shared" ref="AP170:AP171" si="549">IF($Q170="C", (J170*$N170),0)</f>
        <v>0</v>
      </c>
      <c r="AQ170" s="132">
        <f t="shared" ref="AQ170:AQ171" si="550">IF($Q170="C", (K170*$N170),0)</f>
        <v>0</v>
      </c>
      <c r="AR170" s="132">
        <f t="shared" ref="AR170:AR171" si="551">IF($Q170="C", (F170*$N170),0)</f>
        <v>0</v>
      </c>
      <c r="AS170" s="235"/>
    </row>
    <row r="171" spans="1:45" s="20" customFormat="1">
      <c r="A171" s="46" t="s">
        <v>278</v>
      </c>
      <c r="B171" s="20" t="s">
        <v>7</v>
      </c>
      <c r="C171" s="165">
        <v>0.1</v>
      </c>
      <c r="D171" s="96" t="s">
        <v>39</v>
      </c>
      <c r="E171" s="166">
        <v>8</v>
      </c>
      <c r="F171" s="167">
        <f t="shared" si="535"/>
        <v>0.8</v>
      </c>
      <c r="G171" s="168">
        <v>0.2</v>
      </c>
      <c r="H171" s="168">
        <v>0</v>
      </c>
      <c r="I171" s="168">
        <v>0</v>
      </c>
      <c r="J171" s="168">
        <v>0</v>
      </c>
      <c r="K171" s="169">
        <v>0</v>
      </c>
      <c r="L171" s="96" t="s">
        <v>8</v>
      </c>
      <c r="M171" s="166">
        <f t="shared" si="536"/>
        <v>1020.6000000000001</v>
      </c>
      <c r="N171" s="92">
        <v>50</v>
      </c>
      <c r="O171" s="170">
        <f t="shared" si="537"/>
        <v>1060.6000000000001</v>
      </c>
      <c r="P171" s="170"/>
      <c r="Q171" s="52" t="s">
        <v>47</v>
      </c>
      <c r="R171" s="71" t="s">
        <v>77</v>
      </c>
      <c r="S171" s="137" t="str">
        <f t="shared" si="538"/>
        <v>BPD2011</v>
      </c>
      <c r="T171" s="137" t="str">
        <f t="shared" si="539"/>
        <v>B1.5.1.1.32011</v>
      </c>
      <c r="U171" s="137" t="s">
        <v>204</v>
      </c>
      <c r="V171" s="137" t="str">
        <f>LOOKUP(U171,$B$539:$B$574,$A$539:$A$574)</f>
        <v>Outer Support Cylinder (OSC)</v>
      </c>
      <c r="AB171" s="33">
        <v>2011</v>
      </c>
      <c r="AC171" s="132">
        <f t="shared" si="540"/>
        <v>10</v>
      </c>
      <c r="AD171" s="132">
        <f t="shared" si="541"/>
        <v>0</v>
      </c>
      <c r="AE171" s="132">
        <f t="shared" si="542"/>
        <v>0</v>
      </c>
      <c r="AF171" s="132">
        <f t="shared" si="543"/>
        <v>0</v>
      </c>
      <c r="AG171" s="132">
        <f t="shared" si="544"/>
        <v>0</v>
      </c>
      <c r="AH171" s="234">
        <f t="shared" si="545"/>
        <v>40</v>
      </c>
      <c r="AI171" s="235"/>
      <c r="AJ171" s="132"/>
      <c r="AK171" s="132"/>
      <c r="AL171" s="166"/>
      <c r="AM171" s="131">
        <f t="shared" si="546"/>
        <v>0</v>
      </c>
      <c r="AN171" s="132">
        <f t="shared" si="547"/>
        <v>0</v>
      </c>
      <c r="AO171" s="132">
        <f t="shared" si="548"/>
        <v>0</v>
      </c>
      <c r="AP171" s="132">
        <f t="shared" si="549"/>
        <v>0</v>
      </c>
      <c r="AQ171" s="132">
        <f t="shared" si="550"/>
        <v>0</v>
      </c>
      <c r="AR171" s="132">
        <f t="shared" si="551"/>
        <v>0</v>
      </c>
      <c r="AS171" s="235"/>
    </row>
    <row r="172" spans="1:45" s="20" customFormat="1">
      <c r="A172" s="47" t="s">
        <v>352</v>
      </c>
      <c r="C172" s="165"/>
      <c r="D172" s="96"/>
      <c r="E172" s="57"/>
      <c r="F172" s="58"/>
      <c r="G172" s="59"/>
      <c r="H172" s="59"/>
      <c r="I172" s="59"/>
      <c r="J172" s="59"/>
      <c r="K172" s="60"/>
      <c r="L172" s="217" t="s">
        <v>66</v>
      </c>
      <c r="M172" s="177">
        <f>SUMIF(Q170:Q171,"B",M170:M171)</f>
        <v>2157.84</v>
      </c>
      <c r="N172" s="65" t="s">
        <v>65</v>
      </c>
      <c r="O172" s="170"/>
      <c r="P172" s="170"/>
      <c r="Q172" s="52"/>
      <c r="R172" s="71"/>
      <c r="S172" s="137"/>
      <c r="T172" s="137"/>
      <c r="U172" s="137"/>
      <c r="V172" s="137"/>
      <c r="AB172" s="33"/>
      <c r="AC172" s="132"/>
      <c r="AD172" s="132"/>
      <c r="AE172" s="135"/>
      <c r="AF172" s="132"/>
      <c r="AG172" s="132"/>
      <c r="AH172" s="234"/>
      <c r="AI172" s="235"/>
      <c r="AJ172" s="132"/>
      <c r="AK172" s="132"/>
      <c r="AL172" s="166"/>
      <c r="AM172" s="131"/>
      <c r="AN172" s="132"/>
      <c r="AO172" s="132"/>
      <c r="AP172" s="132"/>
      <c r="AQ172" s="132"/>
      <c r="AR172" s="132"/>
      <c r="AS172" s="235"/>
    </row>
    <row r="173" spans="1:45" s="20" customFormat="1">
      <c r="A173" s="46" t="s">
        <v>355</v>
      </c>
      <c r="B173" s="20" t="s">
        <v>34</v>
      </c>
      <c r="C173" s="165">
        <v>0.03</v>
      </c>
      <c r="D173" s="96" t="s">
        <v>9</v>
      </c>
      <c r="E173" s="166">
        <v>0</v>
      </c>
      <c r="F173" s="167">
        <f t="shared" ref="F173:F176" si="552">E173*C173</f>
        <v>0</v>
      </c>
      <c r="G173" s="168">
        <v>0</v>
      </c>
      <c r="H173" s="168">
        <v>0</v>
      </c>
      <c r="I173" s="168">
        <v>0</v>
      </c>
      <c r="J173" s="168">
        <v>60</v>
      </c>
      <c r="K173" s="169">
        <v>0</v>
      </c>
      <c r="L173" s="96" t="s">
        <v>8</v>
      </c>
      <c r="M173" s="166">
        <f t="shared" ref="M173:M176" si="553">IF(R173="PD",((Shop*G173)+(M_Tech*H173)+(CMM*I173)+(ENG*J173)+(DES*K173))*N173,((Shop_RD*G173)+(MTECH_RD*H173)+(CMM_RD*I173)+(ENG_RD*J173)+(DES_RD*K173))*N173)</f>
        <v>7290.0000000000009</v>
      </c>
      <c r="N173" s="92">
        <v>1</v>
      </c>
      <c r="O173" s="170">
        <f t="shared" ref="O173:O176" si="554">M173+(F173*N173)</f>
        <v>7290.0000000000009</v>
      </c>
      <c r="P173" s="170"/>
      <c r="Q173" s="52" t="s">
        <v>47</v>
      </c>
      <c r="R173" s="71" t="s">
        <v>77</v>
      </c>
      <c r="S173" s="137" t="str">
        <f t="shared" ref="S173:S176" si="555">CONCATENATE(Q173,R173,AB173)</f>
        <v>BPD2011</v>
      </c>
      <c r="T173" s="137" t="str">
        <f t="shared" ref="T173:T176" si="556">CONCATENATE(Q173,U173,AB173)</f>
        <v>B1.5.1.1.32011</v>
      </c>
      <c r="U173" s="137" t="s">
        <v>204</v>
      </c>
      <c r="V173" s="137" t="str">
        <f>LOOKUP(U173,$B$539:$B$574,$A$539:$A$574)</f>
        <v>Outer Support Cylinder (OSC)</v>
      </c>
      <c r="AB173" s="33">
        <v>2011</v>
      </c>
      <c r="AC173" s="132">
        <f t="shared" ref="AC173:AC176" si="557">IF($Q173="B", (G173*$N173),0)</f>
        <v>0</v>
      </c>
      <c r="AD173" s="132">
        <f t="shared" ref="AD173:AD176" si="558">IF($Q173="B", (H173*$N173),0)</f>
        <v>0</v>
      </c>
      <c r="AE173" s="132">
        <f t="shared" ref="AE173:AE176" si="559">IF($Q173="B", (I173*$N173),0)</f>
        <v>0</v>
      </c>
      <c r="AF173" s="132">
        <f t="shared" ref="AF173:AF176" si="560">IF($Q173="B", (J173*$N173),0)</f>
        <v>60</v>
      </c>
      <c r="AG173" s="132">
        <f t="shared" ref="AG173:AG176" si="561">IF($Q173="B", (K173*$N173),0)</f>
        <v>0</v>
      </c>
      <c r="AH173" s="234">
        <f t="shared" ref="AH173:AH176" si="562">IF($Q173="B", (F173*$N173),0)</f>
        <v>0</v>
      </c>
      <c r="AI173" s="235"/>
      <c r="AJ173" s="132"/>
      <c r="AK173" s="132"/>
      <c r="AL173" s="166"/>
      <c r="AM173" s="131">
        <f t="shared" ref="AM173:AM176" si="563">IF($Q173="C", (G173*$N173),0)</f>
        <v>0</v>
      </c>
      <c r="AN173" s="132">
        <f t="shared" ref="AN173:AN176" si="564">IF($Q173="C", (H173*$N173),0)</f>
        <v>0</v>
      </c>
      <c r="AO173" s="132">
        <f t="shared" ref="AO173:AO176" si="565">IF($Q173="C", (I173*$N173),0)</f>
        <v>0</v>
      </c>
      <c r="AP173" s="132">
        <f t="shared" ref="AP173:AP176" si="566">IF($Q173="C", (J173*$N173),0)</f>
        <v>0</v>
      </c>
      <c r="AQ173" s="132">
        <f t="shared" ref="AQ173:AQ176" si="567">IF($Q173="C", (K173*$N173),0)</f>
        <v>0</v>
      </c>
      <c r="AR173" s="132">
        <f t="shared" ref="AR173:AR176" si="568">IF($Q173="C", (F173*$N173),0)</f>
        <v>0</v>
      </c>
      <c r="AS173" s="235"/>
    </row>
    <row r="174" spans="1:45" s="20" customFormat="1">
      <c r="A174" s="46" t="s">
        <v>354</v>
      </c>
      <c r="B174" s="20" t="s">
        <v>7</v>
      </c>
      <c r="C174" s="165">
        <v>400</v>
      </c>
      <c r="D174" s="96" t="s">
        <v>39</v>
      </c>
      <c r="E174" s="166">
        <v>8</v>
      </c>
      <c r="F174" s="167">
        <f t="shared" si="552"/>
        <v>3200</v>
      </c>
      <c r="G174" s="168">
        <v>60</v>
      </c>
      <c r="H174" s="168">
        <v>16</v>
      </c>
      <c r="I174" s="168">
        <v>0</v>
      </c>
      <c r="J174" s="168">
        <v>0</v>
      </c>
      <c r="K174" s="169">
        <v>0</v>
      </c>
      <c r="L174" s="96" t="s">
        <v>8</v>
      </c>
      <c r="M174" s="166">
        <f t="shared" si="553"/>
        <v>7639.92</v>
      </c>
      <c r="N174" s="92">
        <v>1</v>
      </c>
      <c r="O174" s="170">
        <f t="shared" si="554"/>
        <v>10839.92</v>
      </c>
      <c r="P174" s="170"/>
      <c r="Q174" s="52" t="s">
        <v>47</v>
      </c>
      <c r="R174" s="71" t="s">
        <v>77</v>
      </c>
      <c r="S174" s="137" t="str">
        <f t="shared" si="555"/>
        <v>BPD2011</v>
      </c>
      <c r="T174" s="137" t="str">
        <f t="shared" si="556"/>
        <v>B1.5.1.1.32011</v>
      </c>
      <c r="U174" s="137" t="s">
        <v>204</v>
      </c>
      <c r="V174" s="137" t="str">
        <f t="shared" ref="V174" si="569">LOOKUP(U174,$B$539:$B$574,$A$539:$A$574)</f>
        <v>Outer Support Cylinder (OSC)</v>
      </c>
      <c r="AB174" s="33">
        <v>2011</v>
      </c>
      <c r="AC174" s="132">
        <f t="shared" si="557"/>
        <v>60</v>
      </c>
      <c r="AD174" s="132">
        <f t="shared" si="558"/>
        <v>16</v>
      </c>
      <c r="AE174" s="132">
        <f t="shared" si="559"/>
        <v>0</v>
      </c>
      <c r="AF174" s="132">
        <f t="shared" si="560"/>
        <v>0</v>
      </c>
      <c r="AG174" s="132">
        <f t="shared" si="561"/>
        <v>0</v>
      </c>
      <c r="AH174" s="234">
        <f t="shared" si="562"/>
        <v>3200</v>
      </c>
      <c r="AI174" s="235"/>
      <c r="AJ174" s="132"/>
      <c r="AK174" s="132"/>
      <c r="AL174" s="166"/>
      <c r="AM174" s="131">
        <f t="shared" si="563"/>
        <v>0</v>
      </c>
      <c r="AN174" s="132">
        <f t="shared" si="564"/>
        <v>0</v>
      </c>
      <c r="AO174" s="132">
        <f t="shared" si="565"/>
        <v>0</v>
      </c>
      <c r="AP174" s="132">
        <f t="shared" si="566"/>
        <v>0</v>
      </c>
      <c r="AQ174" s="132">
        <f t="shared" si="567"/>
        <v>0</v>
      </c>
      <c r="AR174" s="132">
        <f t="shared" si="568"/>
        <v>0</v>
      </c>
      <c r="AS174" s="235"/>
    </row>
    <row r="175" spans="1:45" s="20" customFormat="1">
      <c r="A175" s="46" t="s">
        <v>353</v>
      </c>
      <c r="B175" s="20" t="s">
        <v>94</v>
      </c>
      <c r="C175" s="165">
        <v>200</v>
      </c>
      <c r="D175" s="96" t="s">
        <v>39</v>
      </c>
      <c r="E175" s="166">
        <v>4</v>
      </c>
      <c r="F175" s="167">
        <f t="shared" si="552"/>
        <v>800</v>
      </c>
      <c r="G175" s="168">
        <v>40</v>
      </c>
      <c r="H175" s="168">
        <v>0</v>
      </c>
      <c r="I175" s="168">
        <v>0</v>
      </c>
      <c r="J175" s="168">
        <v>0</v>
      </c>
      <c r="K175" s="169">
        <v>0</v>
      </c>
      <c r="L175" s="96" t="s">
        <v>8</v>
      </c>
      <c r="M175" s="166">
        <f t="shared" si="553"/>
        <v>4082.4</v>
      </c>
      <c r="N175" s="92">
        <v>1</v>
      </c>
      <c r="O175" s="170">
        <f t="shared" si="554"/>
        <v>4882.3999999999996</v>
      </c>
      <c r="P175" s="170"/>
      <c r="Q175" s="52" t="s">
        <v>47</v>
      </c>
      <c r="R175" s="71" t="s">
        <v>77</v>
      </c>
      <c r="S175" s="137" t="str">
        <f t="shared" si="555"/>
        <v>BPD2011</v>
      </c>
      <c r="T175" s="137" t="str">
        <f t="shared" si="556"/>
        <v>B1.5.1.1.32011</v>
      </c>
      <c r="U175" s="137" t="s">
        <v>204</v>
      </c>
      <c r="V175" s="137" t="str">
        <f>LOOKUP(U175,$B$539:$B$574,$A$539:$A$574)</f>
        <v>Outer Support Cylinder (OSC)</v>
      </c>
      <c r="AB175" s="33">
        <v>2011</v>
      </c>
      <c r="AC175" s="132">
        <f t="shared" si="557"/>
        <v>40</v>
      </c>
      <c r="AD175" s="132">
        <f t="shared" si="558"/>
        <v>0</v>
      </c>
      <c r="AE175" s="132">
        <f t="shared" si="559"/>
        <v>0</v>
      </c>
      <c r="AF175" s="132">
        <f t="shared" si="560"/>
        <v>0</v>
      </c>
      <c r="AG175" s="132">
        <f t="shared" si="561"/>
        <v>0</v>
      </c>
      <c r="AH175" s="234">
        <f t="shared" si="562"/>
        <v>800</v>
      </c>
      <c r="AI175" s="235"/>
      <c r="AJ175" s="132"/>
      <c r="AK175" s="132"/>
      <c r="AL175" s="166"/>
      <c r="AM175" s="131">
        <f t="shared" si="563"/>
        <v>0</v>
      </c>
      <c r="AN175" s="132">
        <f t="shared" si="564"/>
        <v>0</v>
      </c>
      <c r="AO175" s="132">
        <f t="shared" si="565"/>
        <v>0</v>
      </c>
      <c r="AP175" s="132">
        <f t="shared" si="566"/>
        <v>0</v>
      </c>
      <c r="AQ175" s="132">
        <f t="shared" si="567"/>
        <v>0</v>
      </c>
      <c r="AR175" s="132">
        <f t="shared" si="568"/>
        <v>0</v>
      </c>
      <c r="AS175" s="235"/>
    </row>
    <row r="176" spans="1:45" s="20" customFormat="1">
      <c r="A176" s="46" t="s">
        <v>334</v>
      </c>
      <c r="B176" s="20" t="s">
        <v>34</v>
      </c>
      <c r="C176" s="165">
        <v>0</v>
      </c>
      <c r="D176" s="96" t="s">
        <v>9</v>
      </c>
      <c r="E176" s="166">
        <v>0</v>
      </c>
      <c r="F176" s="167">
        <f t="shared" si="552"/>
        <v>0</v>
      </c>
      <c r="G176" s="168">
        <v>0</v>
      </c>
      <c r="H176" s="168">
        <v>40</v>
      </c>
      <c r="I176" s="168">
        <v>8</v>
      </c>
      <c r="J176" s="168">
        <v>8</v>
      </c>
      <c r="K176" s="169">
        <v>0</v>
      </c>
      <c r="L176" s="96" t="s">
        <v>8</v>
      </c>
      <c r="M176" s="166">
        <f t="shared" si="553"/>
        <v>5579.2800000000007</v>
      </c>
      <c r="N176" s="92">
        <v>1</v>
      </c>
      <c r="O176" s="170">
        <f t="shared" si="554"/>
        <v>5579.2800000000007</v>
      </c>
      <c r="P176" s="170"/>
      <c r="Q176" s="52" t="s">
        <v>47</v>
      </c>
      <c r="R176" s="71" t="s">
        <v>77</v>
      </c>
      <c r="S176" s="137" t="str">
        <f t="shared" si="555"/>
        <v>BPD2011</v>
      </c>
      <c r="T176" s="137" t="str">
        <f t="shared" si="556"/>
        <v>B1.5.1.1.32011</v>
      </c>
      <c r="U176" s="137" t="s">
        <v>204</v>
      </c>
      <c r="V176" s="137" t="str">
        <f>LOOKUP(U176,$B$539:$B$574,$A$539:$A$574)</f>
        <v>Outer Support Cylinder (OSC)</v>
      </c>
      <c r="AB176" s="33">
        <v>2011</v>
      </c>
      <c r="AC176" s="132">
        <f t="shared" si="557"/>
        <v>0</v>
      </c>
      <c r="AD176" s="132">
        <f t="shared" si="558"/>
        <v>40</v>
      </c>
      <c r="AE176" s="132">
        <f t="shared" si="559"/>
        <v>8</v>
      </c>
      <c r="AF176" s="132">
        <f t="shared" si="560"/>
        <v>8</v>
      </c>
      <c r="AG176" s="132">
        <f t="shared" si="561"/>
        <v>0</v>
      </c>
      <c r="AH176" s="234">
        <f t="shared" si="562"/>
        <v>0</v>
      </c>
      <c r="AI176" s="235"/>
      <c r="AJ176" s="132"/>
      <c r="AK176" s="132"/>
      <c r="AL176" s="166"/>
      <c r="AM176" s="131">
        <f t="shared" si="563"/>
        <v>0</v>
      </c>
      <c r="AN176" s="132">
        <f t="shared" si="564"/>
        <v>0</v>
      </c>
      <c r="AO176" s="132">
        <f t="shared" si="565"/>
        <v>0</v>
      </c>
      <c r="AP176" s="132">
        <f t="shared" si="566"/>
        <v>0</v>
      </c>
      <c r="AQ176" s="132">
        <f t="shared" si="567"/>
        <v>0</v>
      </c>
      <c r="AR176" s="132">
        <f t="shared" si="568"/>
        <v>0</v>
      </c>
      <c r="AS176" s="235"/>
    </row>
    <row r="177" spans="1:45" s="20" customFormat="1">
      <c r="A177" s="47" t="s">
        <v>356</v>
      </c>
      <c r="C177" s="165"/>
      <c r="D177" s="96"/>
      <c r="E177" s="57"/>
      <c r="F177" s="58"/>
      <c r="G177" s="59"/>
      <c r="H177" s="59"/>
      <c r="I177" s="59"/>
      <c r="J177" s="59"/>
      <c r="K177" s="60"/>
      <c r="L177" s="217" t="s">
        <v>66</v>
      </c>
      <c r="M177" s="177">
        <f>SUMIF(Q173:Q176,"B",M173:M176)</f>
        <v>24591.600000000006</v>
      </c>
      <c r="N177" s="65" t="s">
        <v>65</v>
      </c>
      <c r="O177" s="170"/>
      <c r="P177" s="170"/>
      <c r="Q177" s="52"/>
      <c r="R177" s="71"/>
      <c r="S177" s="137"/>
      <c r="T177" s="137"/>
      <c r="U177" s="137"/>
      <c r="V177" s="137"/>
      <c r="AB177" s="33"/>
      <c r="AC177" s="132"/>
      <c r="AD177" s="132"/>
      <c r="AE177" s="135"/>
      <c r="AF177" s="132"/>
      <c r="AG177" s="132"/>
      <c r="AH177" s="234"/>
      <c r="AI177" s="235"/>
      <c r="AJ177" s="132"/>
      <c r="AK177" s="132"/>
      <c r="AL177" s="166"/>
      <c r="AM177" s="131"/>
      <c r="AN177" s="132"/>
      <c r="AO177" s="132"/>
      <c r="AP177" s="132"/>
      <c r="AQ177" s="132"/>
      <c r="AR177" s="132"/>
      <c r="AS177" s="235"/>
    </row>
    <row r="178" spans="1:45" s="20" customFormat="1">
      <c r="A178" s="46" t="s">
        <v>500</v>
      </c>
      <c r="B178" s="20" t="s">
        <v>34</v>
      </c>
      <c r="C178" s="165">
        <v>0</v>
      </c>
      <c r="D178" s="96" t="s">
        <v>9</v>
      </c>
      <c r="E178" s="166">
        <v>0</v>
      </c>
      <c r="F178" s="167">
        <f t="shared" ref="F178:F187" si="570">E178*C178</f>
        <v>0</v>
      </c>
      <c r="G178" s="168">
        <v>0</v>
      </c>
      <c r="H178" s="168">
        <v>40</v>
      </c>
      <c r="I178" s="168">
        <v>0</v>
      </c>
      <c r="J178" s="168">
        <v>16</v>
      </c>
      <c r="K178" s="169">
        <v>0</v>
      </c>
      <c r="L178" s="96" t="s">
        <v>8</v>
      </c>
      <c r="M178" s="166">
        <f t="shared" ref="M178:M187" si="571">IF(R178="PD",((Shop*G178)+(M_Tech*H178)+(CMM*I178)+(ENG*J178)+(DES*K178))*N178,((Shop_RD*G178)+(MTECH_RD*H178)+(CMM_RD*I178)+(ENG_RD*J178)+(DES_RD*K178))*N178)</f>
        <v>5734.8</v>
      </c>
      <c r="N178" s="92">
        <v>1</v>
      </c>
      <c r="O178" s="170">
        <f t="shared" ref="O178:O187" si="572">M178+(F178*N178)</f>
        <v>5734.8</v>
      </c>
      <c r="P178" s="170"/>
      <c r="Q178" s="52" t="s">
        <v>47</v>
      </c>
      <c r="R178" s="71" t="s">
        <v>77</v>
      </c>
      <c r="S178" s="137" t="str">
        <f t="shared" ref="S178:S187" si="573">CONCATENATE(Q178,R178,AB178)</f>
        <v>BPD2011</v>
      </c>
      <c r="T178" s="137" t="str">
        <f t="shared" ref="T178:T187" si="574">CONCATENATE(Q178,U178,AB178)</f>
        <v>B1.5.1.1.32011</v>
      </c>
      <c r="U178" s="137" t="s">
        <v>204</v>
      </c>
      <c r="V178" s="137" t="str">
        <f t="shared" ref="V178:V187" si="575">LOOKUP(U178,$B$539:$B$574,$A$539:$A$574)</f>
        <v>Outer Support Cylinder (OSC)</v>
      </c>
      <c r="AB178" s="33">
        <v>2011</v>
      </c>
      <c r="AC178" s="132">
        <f t="shared" ref="AC178:AC187" si="576">IF($Q178="B", (G178*$N178),0)</f>
        <v>0</v>
      </c>
      <c r="AD178" s="132">
        <f t="shared" ref="AD178:AD187" si="577">IF($Q178="B", (H178*$N178),0)</f>
        <v>40</v>
      </c>
      <c r="AE178" s="132">
        <f t="shared" ref="AE178:AE187" si="578">IF($Q178="B", (I178*$N178),0)</f>
        <v>0</v>
      </c>
      <c r="AF178" s="132">
        <f t="shared" ref="AF178:AF187" si="579">IF($Q178="B", (J178*$N178),0)</f>
        <v>16</v>
      </c>
      <c r="AG178" s="132">
        <f t="shared" ref="AG178:AG187" si="580">IF($Q178="B", (K178*$N178),0)</f>
        <v>0</v>
      </c>
      <c r="AH178" s="234">
        <f t="shared" ref="AH178:AH187" si="581">IF($Q178="B", (F178*$N178),0)</f>
        <v>0</v>
      </c>
      <c r="AI178" s="235"/>
      <c r="AJ178" s="132"/>
      <c r="AK178" s="132"/>
      <c r="AL178" s="166"/>
      <c r="AM178" s="131">
        <f t="shared" ref="AM178:AM187" si="582">IF($Q178="C", (G178*$N178),0)</f>
        <v>0</v>
      </c>
      <c r="AN178" s="132">
        <f t="shared" ref="AN178:AN187" si="583">IF($Q178="C", (H178*$N178),0)</f>
        <v>0</v>
      </c>
      <c r="AO178" s="132">
        <f t="shared" ref="AO178:AO187" si="584">IF($Q178="C", (I178*$N178),0)</f>
        <v>0</v>
      </c>
      <c r="AP178" s="132">
        <f t="shared" ref="AP178:AP187" si="585">IF($Q178="C", (J178*$N178),0)</f>
        <v>0</v>
      </c>
      <c r="AQ178" s="132">
        <f t="shared" ref="AQ178:AQ187" si="586">IF($Q178="C", (K178*$N178),0)</f>
        <v>0</v>
      </c>
      <c r="AR178" s="132">
        <f t="shared" ref="AR178:AR187" si="587">IF($Q178="C", (F178*$N178),0)</f>
        <v>0</v>
      </c>
      <c r="AS178" s="235"/>
    </row>
    <row r="179" spans="1:45" s="20" customFormat="1">
      <c r="A179" s="46" t="s">
        <v>340</v>
      </c>
      <c r="B179" s="20" t="s">
        <v>34</v>
      </c>
      <c r="C179" s="165">
        <v>0</v>
      </c>
      <c r="D179" s="96" t="s">
        <v>9</v>
      </c>
      <c r="E179" s="166">
        <v>0</v>
      </c>
      <c r="F179" s="167">
        <f t="shared" si="570"/>
        <v>0</v>
      </c>
      <c r="G179" s="168">
        <v>0</v>
      </c>
      <c r="H179" s="168">
        <v>24</v>
      </c>
      <c r="I179" s="168">
        <v>0</v>
      </c>
      <c r="J179" s="168">
        <v>8</v>
      </c>
      <c r="K179" s="169">
        <v>0</v>
      </c>
      <c r="L179" s="96" t="s">
        <v>8</v>
      </c>
      <c r="M179" s="166">
        <f t="shared" si="571"/>
        <v>6492.9600000000009</v>
      </c>
      <c r="N179" s="92">
        <v>2</v>
      </c>
      <c r="O179" s="170">
        <f t="shared" si="572"/>
        <v>6492.9600000000009</v>
      </c>
      <c r="P179" s="170"/>
      <c r="Q179" s="52" t="s">
        <v>47</v>
      </c>
      <c r="R179" s="71" t="s">
        <v>77</v>
      </c>
      <c r="S179" s="137" t="str">
        <f t="shared" si="573"/>
        <v>BPD2011</v>
      </c>
      <c r="T179" s="137" t="str">
        <f t="shared" si="574"/>
        <v>B1.5.1.1.32011</v>
      </c>
      <c r="U179" s="137" t="s">
        <v>204</v>
      </c>
      <c r="V179" s="137" t="str">
        <f t="shared" si="575"/>
        <v>Outer Support Cylinder (OSC)</v>
      </c>
      <c r="AB179" s="33">
        <v>2011</v>
      </c>
      <c r="AC179" s="132">
        <f t="shared" si="576"/>
        <v>0</v>
      </c>
      <c r="AD179" s="132">
        <f t="shared" si="577"/>
        <v>48</v>
      </c>
      <c r="AE179" s="132">
        <f t="shared" si="578"/>
        <v>0</v>
      </c>
      <c r="AF179" s="132">
        <f t="shared" si="579"/>
        <v>16</v>
      </c>
      <c r="AG179" s="132">
        <f t="shared" si="580"/>
        <v>0</v>
      </c>
      <c r="AH179" s="234">
        <f t="shared" si="581"/>
        <v>0</v>
      </c>
      <c r="AI179" s="235"/>
      <c r="AJ179" s="132"/>
      <c r="AK179" s="132"/>
      <c r="AL179" s="166"/>
      <c r="AM179" s="131">
        <f t="shared" si="582"/>
        <v>0</v>
      </c>
      <c r="AN179" s="132">
        <f t="shared" si="583"/>
        <v>0</v>
      </c>
      <c r="AO179" s="132">
        <f t="shared" si="584"/>
        <v>0</v>
      </c>
      <c r="AP179" s="132">
        <f t="shared" si="585"/>
        <v>0</v>
      </c>
      <c r="AQ179" s="132">
        <f t="shared" si="586"/>
        <v>0</v>
      </c>
      <c r="AR179" s="132">
        <f t="shared" si="587"/>
        <v>0</v>
      </c>
      <c r="AS179" s="235"/>
    </row>
    <row r="180" spans="1:45" s="20" customFormat="1">
      <c r="A180" s="46" t="s">
        <v>502</v>
      </c>
      <c r="B180" s="20" t="s">
        <v>34</v>
      </c>
      <c r="C180" s="165">
        <v>0</v>
      </c>
      <c r="D180" s="96" t="s">
        <v>9</v>
      </c>
      <c r="E180" s="166">
        <v>0</v>
      </c>
      <c r="F180" s="167">
        <f t="shared" si="570"/>
        <v>0</v>
      </c>
      <c r="G180" s="168">
        <v>0</v>
      </c>
      <c r="H180" s="168">
        <v>24</v>
      </c>
      <c r="I180" s="168">
        <v>8</v>
      </c>
      <c r="J180" s="168">
        <v>8</v>
      </c>
      <c r="K180" s="169">
        <v>0</v>
      </c>
      <c r="L180" s="96" t="s">
        <v>8</v>
      </c>
      <c r="M180" s="166">
        <f t="shared" si="571"/>
        <v>4062.9600000000005</v>
      </c>
      <c r="N180" s="92">
        <v>1</v>
      </c>
      <c r="O180" s="170">
        <f t="shared" si="572"/>
        <v>4062.9600000000005</v>
      </c>
      <c r="P180" s="170"/>
      <c r="Q180" s="52" t="s">
        <v>47</v>
      </c>
      <c r="R180" s="71" t="s">
        <v>77</v>
      </c>
      <c r="S180" s="137" t="str">
        <f t="shared" si="573"/>
        <v>BPD2011</v>
      </c>
      <c r="T180" s="137" t="str">
        <f t="shared" si="574"/>
        <v>B1.5.1.1.32011</v>
      </c>
      <c r="U180" s="137" t="s">
        <v>204</v>
      </c>
      <c r="V180" s="137" t="str">
        <f t="shared" si="575"/>
        <v>Outer Support Cylinder (OSC)</v>
      </c>
      <c r="AB180" s="33">
        <v>2011</v>
      </c>
      <c r="AC180" s="132">
        <f t="shared" si="576"/>
        <v>0</v>
      </c>
      <c r="AD180" s="132">
        <f t="shared" si="577"/>
        <v>24</v>
      </c>
      <c r="AE180" s="132">
        <f t="shared" si="578"/>
        <v>8</v>
      </c>
      <c r="AF180" s="132">
        <f t="shared" si="579"/>
        <v>8</v>
      </c>
      <c r="AG180" s="132">
        <f t="shared" si="580"/>
        <v>0</v>
      </c>
      <c r="AH180" s="234">
        <f t="shared" si="581"/>
        <v>0</v>
      </c>
      <c r="AI180" s="235"/>
      <c r="AJ180" s="132"/>
      <c r="AK180" s="132"/>
      <c r="AL180" s="166"/>
      <c r="AM180" s="131">
        <f t="shared" si="582"/>
        <v>0</v>
      </c>
      <c r="AN180" s="132">
        <f t="shared" si="583"/>
        <v>0</v>
      </c>
      <c r="AO180" s="132">
        <f t="shared" si="584"/>
        <v>0</v>
      </c>
      <c r="AP180" s="132">
        <f t="shared" si="585"/>
        <v>0</v>
      </c>
      <c r="AQ180" s="132">
        <f t="shared" si="586"/>
        <v>0</v>
      </c>
      <c r="AR180" s="132">
        <f t="shared" si="587"/>
        <v>0</v>
      </c>
      <c r="AS180" s="235"/>
    </row>
    <row r="181" spans="1:45" s="20" customFormat="1">
      <c r="A181" s="46" t="s">
        <v>504</v>
      </c>
      <c r="B181" s="20" t="s">
        <v>34</v>
      </c>
      <c r="C181" s="165">
        <v>0</v>
      </c>
      <c r="D181" s="96" t="s">
        <v>9</v>
      </c>
      <c r="E181" s="166">
        <v>0</v>
      </c>
      <c r="F181" s="167">
        <f t="shared" ref="F181:F185" si="588">E181*C181</f>
        <v>0</v>
      </c>
      <c r="G181" s="168">
        <v>0</v>
      </c>
      <c r="H181" s="168">
        <v>40</v>
      </c>
      <c r="I181" s="168">
        <v>0</v>
      </c>
      <c r="J181" s="168">
        <v>16</v>
      </c>
      <c r="K181" s="169">
        <v>0</v>
      </c>
      <c r="L181" s="96" t="s">
        <v>8</v>
      </c>
      <c r="M181" s="166">
        <f t="shared" ref="M181:M185" si="589">IF(R181="PD",((Shop*G181)+(M_Tech*H181)+(CMM*I181)+(ENG*J181)+(DES*K181))*N181,((Shop_RD*G181)+(MTECH_RD*H181)+(CMM_RD*I181)+(ENG_RD*J181)+(DES_RD*K181))*N181)</f>
        <v>5734.8</v>
      </c>
      <c r="N181" s="92">
        <v>1</v>
      </c>
      <c r="O181" s="170">
        <f t="shared" ref="O181:O185" si="590">M181+(F181*N181)</f>
        <v>5734.8</v>
      </c>
      <c r="P181" s="170"/>
      <c r="Q181" s="52" t="s">
        <v>48</v>
      </c>
      <c r="R181" s="71" t="s">
        <v>77</v>
      </c>
      <c r="S181" s="137" t="str">
        <f t="shared" ref="S181:S185" si="591">CONCATENATE(Q181,R181,AB181)</f>
        <v>CPD2012</v>
      </c>
      <c r="T181" s="137" t="str">
        <f t="shared" ref="T181:T185" si="592">CONCATENATE(Q181,U181,AB181)</f>
        <v>C1.5.1.1.32012</v>
      </c>
      <c r="U181" s="137" t="s">
        <v>204</v>
      </c>
      <c r="V181" s="137" t="str">
        <f t="shared" si="575"/>
        <v>Outer Support Cylinder (OSC)</v>
      </c>
      <c r="AB181" s="33">
        <v>2012</v>
      </c>
      <c r="AC181" s="132">
        <f t="shared" ref="AC181:AC185" si="593">IF($Q181="B", (G181*$N181),0)</f>
        <v>0</v>
      </c>
      <c r="AD181" s="132">
        <f t="shared" ref="AD181:AD185" si="594">IF($Q181="B", (H181*$N181),0)</f>
        <v>0</v>
      </c>
      <c r="AE181" s="132">
        <f t="shared" ref="AE181:AE185" si="595">IF($Q181="B", (I181*$N181),0)</f>
        <v>0</v>
      </c>
      <c r="AF181" s="132">
        <f t="shared" ref="AF181:AF185" si="596">IF($Q181="B", (J181*$N181),0)</f>
        <v>0</v>
      </c>
      <c r="AG181" s="132">
        <f t="shared" ref="AG181:AG185" si="597">IF($Q181="B", (K181*$N181),0)</f>
        <v>0</v>
      </c>
      <c r="AH181" s="234">
        <f t="shared" ref="AH181:AH185" si="598">IF($Q181="B", (F181*$N181),0)</f>
        <v>0</v>
      </c>
      <c r="AI181" s="235"/>
      <c r="AJ181" s="132"/>
      <c r="AK181" s="132"/>
      <c r="AL181" s="166"/>
      <c r="AM181" s="131">
        <f t="shared" ref="AM181:AM185" si="599">IF($Q181="C", (G181*$N181),0)</f>
        <v>0</v>
      </c>
      <c r="AN181" s="132">
        <f t="shared" ref="AN181:AN185" si="600">IF($Q181="C", (H181*$N181),0)</f>
        <v>40</v>
      </c>
      <c r="AO181" s="132">
        <f t="shared" ref="AO181:AO185" si="601">IF($Q181="C", (I181*$N181),0)</f>
        <v>0</v>
      </c>
      <c r="AP181" s="132">
        <f t="shared" ref="AP181:AP185" si="602">IF($Q181="C", (J181*$N181),0)</f>
        <v>16</v>
      </c>
      <c r="AQ181" s="132">
        <f t="shared" ref="AQ181:AQ185" si="603">IF($Q181="C", (K181*$N181),0)</f>
        <v>0</v>
      </c>
      <c r="AR181" s="132">
        <f t="shared" ref="AR181:AR185" si="604">IF($Q181="C", (F181*$N181),0)</f>
        <v>0</v>
      </c>
      <c r="AS181" s="235"/>
    </row>
    <row r="182" spans="1:45" s="20" customFormat="1">
      <c r="A182" s="46" t="s">
        <v>505</v>
      </c>
      <c r="B182" s="20" t="s">
        <v>34</v>
      </c>
      <c r="C182" s="165">
        <v>0</v>
      </c>
      <c r="D182" s="96" t="s">
        <v>9</v>
      </c>
      <c r="E182" s="166">
        <v>0</v>
      </c>
      <c r="F182" s="167">
        <f t="shared" si="588"/>
        <v>0</v>
      </c>
      <c r="G182" s="168">
        <v>0</v>
      </c>
      <c r="H182" s="168">
        <v>24</v>
      </c>
      <c r="I182" s="168">
        <v>0</v>
      </c>
      <c r="J182" s="168">
        <v>8</v>
      </c>
      <c r="K182" s="169">
        <v>0</v>
      </c>
      <c r="L182" s="96" t="s">
        <v>8</v>
      </c>
      <c r="M182" s="166">
        <f t="shared" si="589"/>
        <v>3246.4800000000005</v>
      </c>
      <c r="N182" s="92">
        <v>1</v>
      </c>
      <c r="O182" s="170">
        <f t="shared" si="590"/>
        <v>3246.4800000000005</v>
      </c>
      <c r="P182" s="170"/>
      <c r="Q182" s="52" t="s">
        <v>48</v>
      </c>
      <c r="R182" s="71" t="s">
        <v>77</v>
      </c>
      <c r="S182" s="137" t="str">
        <f t="shared" si="591"/>
        <v>CPD2012</v>
      </c>
      <c r="T182" s="137" t="str">
        <f t="shared" si="592"/>
        <v>C1.5.1.1.32012</v>
      </c>
      <c r="U182" s="137" t="s">
        <v>204</v>
      </c>
      <c r="V182" s="137" t="str">
        <f t="shared" si="575"/>
        <v>Outer Support Cylinder (OSC)</v>
      </c>
      <c r="AB182" s="33">
        <v>2012</v>
      </c>
      <c r="AC182" s="132">
        <f t="shared" si="593"/>
        <v>0</v>
      </c>
      <c r="AD182" s="132">
        <f t="shared" si="594"/>
        <v>0</v>
      </c>
      <c r="AE182" s="132">
        <f t="shared" si="595"/>
        <v>0</v>
      </c>
      <c r="AF182" s="132">
        <f t="shared" si="596"/>
        <v>0</v>
      </c>
      <c r="AG182" s="132">
        <f t="shared" si="597"/>
        <v>0</v>
      </c>
      <c r="AH182" s="234">
        <f t="shared" si="598"/>
        <v>0</v>
      </c>
      <c r="AI182" s="235"/>
      <c r="AJ182" s="132"/>
      <c r="AK182" s="132"/>
      <c r="AL182" s="166"/>
      <c r="AM182" s="131">
        <f t="shared" si="599"/>
        <v>0</v>
      </c>
      <c r="AN182" s="132">
        <f t="shared" si="600"/>
        <v>24</v>
      </c>
      <c r="AO182" s="132">
        <f t="shared" si="601"/>
        <v>0</v>
      </c>
      <c r="AP182" s="132">
        <f t="shared" si="602"/>
        <v>8</v>
      </c>
      <c r="AQ182" s="132">
        <f t="shared" si="603"/>
        <v>0</v>
      </c>
      <c r="AR182" s="132">
        <f t="shared" si="604"/>
        <v>0</v>
      </c>
      <c r="AS182" s="235"/>
    </row>
    <row r="183" spans="1:45" s="20" customFormat="1">
      <c r="A183" s="46" t="s">
        <v>503</v>
      </c>
      <c r="B183" s="20" t="s">
        <v>34</v>
      </c>
      <c r="C183" s="165">
        <v>0</v>
      </c>
      <c r="D183" s="96" t="s">
        <v>9</v>
      </c>
      <c r="E183" s="166">
        <v>0</v>
      </c>
      <c r="F183" s="167">
        <f t="shared" si="588"/>
        <v>0</v>
      </c>
      <c r="G183" s="168">
        <v>0</v>
      </c>
      <c r="H183" s="168">
        <v>40</v>
      </c>
      <c r="I183" s="168">
        <v>0</v>
      </c>
      <c r="J183" s="168">
        <v>16</v>
      </c>
      <c r="K183" s="169">
        <v>0</v>
      </c>
      <c r="L183" s="96" t="s">
        <v>8</v>
      </c>
      <c r="M183" s="166">
        <f t="shared" si="589"/>
        <v>5734.8</v>
      </c>
      <c r="N183" s="92">
        <v>1</v>
      </c>
      <c r="O183" s="170">
        <f t="shared" si="590"/>
        <v>5734.8</v>
      </c>
      <c r="P183" s="170"/>
      <c r="Q183" s="52" t="s">
        <v>47</v>
      </c>
      <c r="R183" s="71" t="s">
        <v>77</v>
      </c>
      <c r="S183" s="137" t="str">
        <f t="shared" si="591"/>
        <v>BPD2013</v>
      </c>
      <c r="T183" s="137" t="str">
        <f t="shared" si="592"/>
        <v>B1.5.1.1.32013</v>
      </c>
      <c r="U183" s="137" t="s">
        <v>204</v>
      </c>
      <c r="V183" s="137" t="str">
        <f t="shared" si="575"/>
        <v>Outer Support Cylinder (OSC)</v>
      </c>
      <c r="AB183" s="33">
        <v>2013</v>
      </c>
      <c r="AC183" s="132">
        <f t="shared" si="593"/>
        <v>0</v>
      </c>
      <c r="AD183" s="132">
        <f t="shared" si="594"/>
        <v>40</v>
      </c>
      <c r="AE183" s="132">
        <f t="shared" si="595"/>
        <v>0</v>
      </c>
      <c r="AF183" s="132">
        <f t="shared" si="596"/>
        <v>16</v>
      </c>
      <c r="AG183" s="132">
        <f t="shared" si="597"/>
        <v>0</v>
      </c>
      <c r="AH183" s="234">
        <f t="shared" si="598"/>
        <v>0</v>
      </c>
      <c r="AI183" s="235"/>
      <c r="AJ183" s="132"/>
      <c r="AK183" s="132"/>
      <c r="AL183" s="166"/>
      <c r="AM183" s="131">
        <f t="shared" si="599"/>
        <v>0</v>
      </c>
      <c r="AN183" s="132">
        <f t="shared" si="600"/>
        <v>0</v>
      </c>
      <c r="AO183" s="132">
        <f t="shared" si="601"/>
        <v>0</v>
      </c>
      <c r="AP183" s="132">
        <f t="shared" si="602"/>
        <v>0</v>
      </c>
      <c r="AQ183" s="132">
        <f t="shared" si="603"/>
        <v>0</v>
      </c>
      <c r="AR183" s="132">
        <f t="shared" si="604"/>
        <v>0</v>
      </c>
      <c r="AS183" s="235"/>
    </row>
    <row r="184" spans="1:45" s="20" customFormat="1">
      <c r="A184" s="46" t="s">
        <v>340</v>
      </c>
      <c r="B184" s="20" t="s">
        <v>34</v>
      </c>
      <c r="C184" s="165">
        <v>0</v>
      </c>
      <c r="D184" s="96" t="s">
        <v>9</v>
      </c>
      <c r="E184" s="166">
        <v>0</v>
      </c>
      <c r="F184" s="167">
        <f t="shared" si="588"/>
        <v>0</v>
      </c>
      <c r="G184" s="168">
        <v>0</v>
      </c>
      <c r="H184" s="168">
        <v>24</v>
      </c>
      <c r="I184" s="168">
        <v>0</v>
      </c>
      <c r="J184" s="168">
        <v>0</v>
      </c>
      <c r="K184" s="169">
        <v>0</v>
      </c>
      <c r="L184" s="96" t="s">
        <v>8</v>
      </c>
      <c r="M184" s="166">
        <f t="shared" si="589"/>
        <v>4548.9600000000009</v>
      </c>
      <c r="N184" s="92">
        <v>2</v>
      </c>
      <c r="O184" s="170">
        <f t="shared" si="590"/>
        <v>4548.9600000000009</v>
      </c>
      <c r="P184" s="170"/>
      <c r="Q184" s="52" t="s">
        <v>47</v>
      </c>
      <c r="R184" s="71" t="s">
        <v>77</v>
      </c>
      <c r="S184" s="137" t="str">
        <f t="shared" si="591"/>
        <v>BPD2013</v>
      </c>
      <c r="T184" s="137" t="str">
        <f t="shared" si="592"/>
        <v>B1.5.1.1.32013</v>
      </c>
      <c r="U184" s="137" t="s">
        <v>204</v>
      </c>
      <c r="V184" s="137" t="str">
        <f t="shared" si="575"/>
        <v>Outer Support Cylinder (OSC)</v>
      </c>
      <c r="AB184" s="33">
        <v>2013</v>
      </c>
      <c r="AC184" s="132">
        <f t="shared" si="593"/>
        <v>0</v>
      </c>
      <c r="AD184" s="132">
        <f t="shared" si="594"/>
        <v>48</v>
      </c>
      <c r="AE184" s="132">
        <f t="shared" si="595"/>
        <v>0</v>
      </c>
      <c r="AF184" s="132">
        <f t="shared" si="596"/>
        <v>0</v>
      </c>
      <c r="AG184" s="132">
        <f t="shared" si="597"/>
        <v>0</v>
      </c>
      <c r="AH184" s="234">
        <f t="shared" si="598"/>
        <v>0</v>
      </c>
      <c r="AI184" s="235"/>
      <c r="AJ184" s="132"/>
      <c r="AK184" s="132"/>
      <c r="AL184" s="166"/>
      <c r="AM184" s="131">
        <f t="shared" si="599"/>
        <v>0</v>
      </c>
      <c r="AN184" s="132">
        <f t="shared" si="600"/>
        <v>0</v>
      </c>
      <c r="AO184" s="132">
        <f t="shared" si="601"/>
        <v>0</v>
      </c>
      <c r="AP184" s="132">
        <f t="shared" si="602"/>
        <v>0</v>
      </c>
      <c r="AQ184" s="132">
        <f t="shared" si="603"/>
        <v>0</v>
      </c>
      <c r="AR184" s="132">
        <f t="shared" si="604"/>
        <v>0</v>
      </c>
      <c r="AS184" s="235"/>
    </row>
    <row r="185" spans="1:45" s="20" customFormat="1">
      <c r="A185" s="46" t="s">
        <v>501</v>
      </c>
      <c r="B185" s="20" t="s">
        <v>34</v>
      </c>
      <c r="C185" s="165">
        <v>0</v>
      </c>
      <c r="D185" s="96" t="s">
        <v>9</v>
      </c>
      <c r="E185" s="166">
        <v>0</v>
      </c>
      <c r="F185" s="167">
        <f t="shared" si="588"/>
        <v>0</v>
      </c>
      <c r="G185" s="168">
        <v>0</v>
      </c>
      <c r="H185" s="168">
        <v>24</v>
      </c>
      <c r="I185" s="168">
        <v>24</v>
      </c>
      <c r="J185" s="168">
        <v>8</v>
      </c>
      <c r="K185" s="169">
        <v>0</v>
      </c>
      <c r="L185" s="96" t="s">
        <v>8</v>
      </c>
      <c r="M185" s="166">
        <f t="shared" si="589"/>
        <v>5695.92</v>
      </c>
      <c r="N185" s="92">
        <v>1</v>
      </c>
      <c r="O185" s="170">
        <f t="shared" si="590"/>
        <v>5695.92</v>
      </c>
      <c r="P185" s="170"/>
      <c r="Q185" s="52" t="s">
        <v>47</v>
      </c>
      <c r="R185" s="71" t="s">
        <v>77</v>
      </c>
      <c r="S185" s="137" t="str">
        <f t="shared" si="591"/>
        <v>BPD2013</v>
      </c>
      <c r="T185" s="137" t="str">
        <f t="shared" si="592"/>
        <v>B1.5.1.1.32013</v>
      </c>
      <c r="U185" s="137" t="s">
        <v>204</v>
      </c>
      <c r="V185" s="137" t="str">
        <f t="shared" si="575"/>
        <v>Outer Support Cylinder (OSC)</v>
      </c>
      <c r="AB185" s="33">
        <v>2013</v>
      </c>
      <c r="AC185" s="132">
        <f t="shared" si="593"/>
        <v>0</v>
      </c>
      <c r="AD185" s="132">
        <f t="shared" si="594"/>
        <v>24</v>
      </c>
      <c r="AE185" s="132">
        <f t="shared" si="595"/>
        <v>24</v>
      </c>
      <c r="AF185" s="132">
        <f t="shared" si="596"/>
        <v>8</v>
      </c>
      <c r="AG185" s="132">
        <f t="shared" si="597"/>
        <v>0</v>
      </c>
      <c r="AH185" s="234">
        <f t="shared" si="598"/>
        <v>0</v>
      </c>
      <c r="AI185" s="235"/>
      <c r="AJ185" s="132"/>
      <c r="AK185" s="132"/>
      <c r="AL185" s="166"/>
      <c r="AM185" s="131">
        <f t="shared" si="599"/>
        <v>0</v>
      </c>
      <c r="AN185" s="132">
        <f t="shared" si="600"/>
        <v>0</v>
      </c>
      <c r="AO185" s="132">
        <f t="shared" si="601"/>
        <v>0</v>
      </c>
      <c r="AP185" s="132">
        <f t="shared" si="602"/>
        <v>0</v>
      </c>
      <c r="AQ185" s="132">
        <f t="shared" si="603"/>
        <v>0</v>
      </c>
      <c r="AR185" s="132">
        <f t="shared" si="604"/>
        <v>0</v>
      </c>
      <c r="AS185" s="235"/>
    </row>
    <row r="186" spans="1:45" s="20" customFormat="1">
      <c r="A186" s="46" t="s">
        <v>503</v>
      </c>
      <c r="B186" s="20" t="s">
        <v>34</v>
      </c>
      <c r="C186" s="165">
        <v>0</v>
      </c>
      <c r="D186" s="96" t="s">
        <v>9</v>
      </c>
      <c r="E186" s="166">
        <v>0</v>
      </c>
      <c r="F186" s="167">
        <f t="shared" si="570"/>
        <v>0</v>
      </c>
      <c r="G186" s="168">
        <v>0</v>
      </c>
      <c r="H186" s="168">
        <v>40</v>
      </c>
      <c r="I186" s="168">
        <v>0</v>
      </c>
      <c r="J186" s="168">
        <v>16</v>
      </c>
      <c r="K186" s="169">
        <v>0</v>
      </c>
      <c r="L186" s="96" t="s">
        <v>8</v>
      </c>
      <c r="M186" s="166">
        <f t="shared" si="571"/>
        <v>5734.8</v>
      </c>
      <c r="N186" s="92">
        <v>1</v>
      </c>
      <c r="O186" s="170">
        <f t="shared" si="572"/>
        <v>5734.8</v>
      </c>
      <c r="P186" s="170"/>
      <c r="Q186" s="52" t="s">
        <v>48</v>
      </c>
      <c r="R186" s="71" t="s">
        <v>77</v>
      </c>
      <c r="S186" s="137" t="str">
        <f t="shared" si="573"/>
        <v>CPD2013</v>
      </c>
      <c r="T186" s="137" t="str">
        <f t="shared" si="574"/>
        <v>C1.5.1.1.32013</v>
      </c>
      <c r="U186" s="137" t="s">
        <v>204</v>
      </c>
      <c r="V186" s="137" t="str">
        <f t="shared" si="575"/>
        <v>Outer Support Cylinder (OSC)</v>
      </c>
      <c r="AB186" s="33">
        <v>2013</v>
      </c>
      <c r="AC186" s="132">
        <f t="shared" si="576"/>
        <v>0</v>
      </c>
      <c r="AD186" s="132">
        <f t="shared" si="577"/>
        <v>0</v>
      </c>
      <c r="AE186" s="132">
        <f t="shared" si="578"/>
        <v>0</v>
      </c>
      <c r="AF186" s="132">
        <f t="shared" si="579"/>
        <v>0</v>
      </c>
      <c r="AG186" s="132">
        <f t="shared" si="580"/>
        <v>0</v>
      </c>
      <c r="AH186" s="234">
        <f t="shared" si="581"/>
        <v>0</v>
      </c>
      <c r="AI186" s="235"/>
      <c r="AJ186" s="132"/>
      <c r="AK186" s="132"/>
      <c r="AL186" s="166"/>
      <c r="AM186" s="131">
        <f t="shared" si="582"/>
        <v>0</v>
      </c>
      <c r="AN186" s="132">
        <f t="shared" si="583"/>
        <v>40</v>
      </c>
      <c r="AO186" s="132">
        <f t="shared" si="584"/>
        <v>0</v>
      </c>
      <c r="AP186" s="132">
        <f t="shared" si="585"/>
        <v>16</v>
      </c>
      <c r="AQ186" s="132">
        <f t="shared" si="586"/>
        <v>0</v>
      </c>
      <c r="AR186" s="132">
        <f t="shared" si="587"/>
        <v>0</v>
      </c>
      <c r="AS186" s="235"/>
    </row>
    <row r="187" spans="1:45" s="20" customFormat="1">
      <c r="A187" s="46" t="s">
        <v>340</v>
      </c>
      <c r="B187" s="20" t="s">
        <v>34</v>
      </c>
      <c r="C187" s="165">
        <v>0</v>
      </c>
      <c r="D187" s="96" t="s">
        <v>9</v>
      </c>
      <c r="E187" s="166">
        <v>0</v>
      </c>
      <c r="F187" s="167">
        <f t="shared" si="570"/>
        <v>0</v>
      </c>
      <c r="G187" s="168">
        <v>0</v>
      </c>
      <c r="H187" s="168">
        <v>24</v>
      </c>
      <c r="I187" s="168">
        <v>0</v>
      </c>
      <c r="J187" s="168">
        <v>0</v>
      </c>
      <c r="K187" s="169">
        <v>0</v>
      </c>
      <c r="L187" s="96" t="s">
        <v>8</v>
      </c>
      <c r="M187" s="166">
        <f t="shared" si="571"/>
        <v>2274.4800000000005</v>
      </c>
      <c r="N187" s="92">
        <v>1</v>
      </c>
      <c r="O187" s="170">
        <f t="shared" si="572"/>
        <v>2274.4800000000005</v>
      </c>
      <c r="P187" s="170"/>
      <c r="Q187" s="52" t="s">
        <v>48</v>
      </c>
      <c r="R187" s="71" t="s">
        <v>77</v>
      </c>
      <c r="S187" s="137" t="str">
        <f t="shared" si="573"/>
        <v>CPD2013</v>
      </c>
      <c r="T187" s="137" t="str">
        <f t="shared" si="574"/>
        <v>C1.5.1.1.32013</v>
      </c>
      <c r="U187" s="137" t="s">
        <v>204</v>
      </c>
      <c r="V187" s="137" t="str">
        <f t="shared" si="575"/>
        <v>Outer Support Cylinder (OSC)</v>
      </c>
      <c r="AB187" s="33">
        <v>2013</v>
      </c>
      <c r="AC187" s="132">
        <f t="shared" si="576"/>
        <v>0</v>
      </c>
      <c r="AD187" s="132">
        <f t="shared" si="577"/>
        <v>0</v>
      </c>
      <c r="AE187" s="132">
        <f t="shared" si="578"/>
        <v>0</v>
      </c>
      <c r="AF187" s="132">
        <f t="shared" si="579"/>
        <v>0</v>
      </c>
      <c r="AG187" s="132">
        <f t="shared" si="580"/>
        <v>0</v>
      </c>
      <c r="AH187" s="234">
        <f t="shared" si="581"/>
        <v>0</v>
      </c>
      <c r="AI187" s="235"/>
      <c r="AJ187" s="132"/>
      <c r="AK187" s="132"/>
      <c r="AL187" s="166"/>
      <c r="AM187" s="131">
        <f t="shared" si="582"/>
        <v>0</v>
      </c>
      <c r="AN187" s="132">
        <f t="shared" si="583"/>
        <v>24</v>
      </c>
      <c r="AO187" s="132">
        <f t="shared" si="584"/>
        <v>0</v>
      </c>
      <c r="AP187" s="132">
        <f t="shared" si="585"/>
        <v>0</v>
      </c>
      <c r="AQ187" s="132">
        <f t="shared" si="586"/>
        <v>0</v>
      </c>
      <c r="AR187" s="132">
        <f t="shared" si="587"/>
        <v>0</v>
      </c>
      <c r="AS187" s="235"/>
    </row>
    <row r="188" spans="1:45" s="335" customFormat="1">
      <c r="A188" s="21" t="s">
        <v>357</v>
      </c>
      <c r="B188" s="3"/>
      <c r="C188" s="171"/>
      <c r="D188" s="336"/>
      <c r="E188" s="172"/>
      <c r="F188" s="173"/>
      <c r="G188" s="171"/>
      <c r="H188" s="171"/>
      <c r="I188" s="171"/>
      <c r="J188" s="171"/>
      <c r="K188" s="174"/>
      <c r="L188" s="336"/>
      <c r="M188" s="172">
        <f>SUMIF(Q118:Q172,"B",M118:M187)</f>
        <v>162523.92000000001</v>
      </c>
      <c r="N188" s="428" t="s">
        <v>65</v>
      </c>
      <c r="O188" s="428"/>
      <c r="P188" s="429"/>
      <c r="Q188" s="53"/>
      <c r="R188" s="74"/>
      <c r="S188" s="138"/>
      <c r="T188" s="138"/>
      <c r="U188" s="138"/>
      <c r="V188" s="138"/>
      <c r="W188" s="3"/>
      <c r="X188" s="3"/>
      <c r="Y188" s="3"/>
      <c r="Z188" s="3"/>
      <c r="AA188" s="3"/>
      <c r="AB188" s="34"/>
      <c r="AC188" s="5">
        <f>SUM(AC118:AC187)</f>
        <v>272</v>
      </c>
      <c r="AD188" s="5">
        <f t="shared" ref="AD188:AG188" si="605">SUM(AD118:AD187)</f>
        <v>916</v>
      </c>
      <c r="AE188" s="5">
        <f t="shared" si="605"/>
        <v>40</v>
      </c>
      <c r="AF188" s="5">
        <f t="shared" si="605"/>
        <v>672</v>
      </c>
      <c r="AG188" s="5">
        <f t="shared" si="605"/>
        <v>0</v>
      </c>
      <c r="AH188" s="172"/>
      <c r="AI188" s="173">
        <f>SUM(AH136:AH187)</f>
        <v>18350</v>
      </c>
      <c r="AJ188" s="172">
        <f>(Shop*AC188)+M_Tech*AD188+CMM*AE188+ENG*AF188+DES*AG188+AI188</f>
        <v>218650.04000000004</v>
      </c>
      <c r="AK188" s="172"/>
      <c r="AL188" s="173">
        <f>Shop*AM188+M_Tech*AN188+CMM*AO188+ENG*AP188+DES*AQ188+AS188</f>
        <v>67568.760000000009</v>
      </c>
      <c r="AM188" s="5">
        <f>SUM(AM118:AM187)</f>
        <v>76</v>
      </c>
      <c r="AN188" s="5">
        <f t="shared" ref="AN188" si="606">SUM(AN118:AN187)</f>
        <v>460</v>
      </c>
      <c r="AO188" s="5">
        <f t="shared" ref="AO188" si="607">SUM(AO118:AO187)</f>
        <v>0</v>
      </c>
      <c r="AP188" s="5">
        <f t="shared" ref="AP188" si="608">SUM(AP118:AP187)</f>
        <v>92</v>
      </c>
      <c r="AQ188" s="5">
        <f t="shared" ref="AQ188" si="609">SUM(AQ118:AQ187)</f>
        <v>0</v>
      </c>
      <c r="AR188" s="172"/>
      <c r="AS188" s="173">
        <f>SUM(AR136:AR180)</f>
        <v>5040</v>
      </c>
    </row>
    <row r="189" spans="1:45" s="20" customFormat="1" ht="15.75">
      <c r="A189" s="49" t="s">
        <v>369</v>
      </c>
      <c r="C189" s="165"/>
      <c r="D189" s="96"/>
      <c r="E189" s="166"/>
      <c r="F189" s="167"/>
      <c r="G189" s="168"/>
      <c r="H189" s="168"/>
      <c r="I189" s="168"/>
      <c r="J189" s="168"/>
      <c r="K189" s="169"/>
      <c r="L189" s="96"/>
      <c r="M189" s="166"/>
      <c r="N189" s="92" t="s">
        <v>279</v>
      </c>
      <c r="O189" s="170"/>
      <c r="P189" s="170"/>
      <c r="Q189" s="52"/>
      <c r="R189" s="71"/>
      <c r="S189" s="137"/>
      <c r="T189" s="137"/>
      <c r="U189" s="137"/>
      <c r="V189" s="137"/>
      <c r="AB189" s="33"/>
      <c r="AC189" s="132"/>
      <c r="AD189" s="132"/>
      <c r="AE189" s="132"/>
      <c r="AF189" s="132"/>
      <c r="AG189" s="132"/>
      <c r="AH189" s="234"/>
      <c r="AI189" s="235"/>
      <c r="AJ189" s="132"/>
      <c r="AK189" s="132"/>
      <c r="AL189" s="166"/>
      <c r="AM189" s="131"/>
      <c r="AN189" s="132"/>
      <c r="AO189" s="132"/>
      <c r="AP189" s="132"/>
      <c r="AQ189" s="132"/>
      <c r="AR189" s="132"/>
      <c r="AS189" s="235"/>
    </row>
    <row r="190" spans="1:45" s="19" customFormat="1">
      <c r="A190" s="47" t="s">
        <v>364</v>
      </c>
      <c r="B190" s="20"/>
      <c r="C190" s="151"/>
      <c r="D190" s="96"/>
      <c r="E190" s="109"/>
      <c r="F190" s="160"/>
      <c r="G190" s="168"/>
      <c r="H190" s="158"/>
      <c r="I190" s="158"/>
      <c r="J190" s="158"/>
      <c r="K190" s="175"/>
      <c r="L190" s="217"/>
      <c r="M190" s="177"/>
      <c r="N190" s="65" t="s">
        <v>279</v>
      </c>
      <c r="O190" s="177"/>
      <c r="P190" s="176"/>
      <c r="Q190" s="52"/>
      <c r="R190" s="71"/>
      <c r="S190" s="137"/>
      <c r="T190" s="137"/>
      <c r="U190" s="137"/>
      <c r="V190" s="137"/>
      <c r="W190" s="335"/>
      <c r="X190" s="335"/>
      <c r="Y190" s="335"/>
      <c r="Z190" s="335"/>
      <c r="AA190" s="335"/>
      <c r="AB190" s="33"/>
      <c r="AC190" s="4"/>
      <c r="AD190" s="4"/>
      <c r="AE190" s="4"/>
      <c r="AF190" s="4"/>
      <c r="AG190" s="4"/>
      <c r="AH190" s="159"/>
      <c r="AI190" s="240"/>
      <c r="AJ190" s="241"/>
      <c r="AK190" s="241"/>
      <c r="AL190" s="109"/>
      <c r="AM190" s="32"/>
      <c r="AN190" s="4"/>
      <c r="AO190" s="4"/>
      <c r="AP190" s="4"/>
      <c r="AQ190" s="4"/>
      <c r="AR190" s="4"/>
      <c r="AS190" s="240"/>
    </row>
    <row r="191" spans="1:45" s="61" customFormat="1">
      <c r="A191" s="46" t="s">
        <v>358</v>
      </c>
      <c r="C191" s="178"/>
      <c r="E191" s="179"/>
      <c r="F191" s="180"/>
      <c r="G191" s="181"/>
      <c r="H191" s="181"/>
      <c r="I191" s="181"/>
      <c r="J191" s="181"/>
      <c r="K191" s="182"/>
      <c r="M191" s="179"/>
      <c r="N191" s="400" t="s">
        <v>279</v>
      </c>
      <c r="O191" s="183"/>
      <c r="P191" s="183"/>
      <c r="Q191" s="62"/>
      <c r="R191" s="73"/>
      <c r="S191" s="137"/>
      <c r="T191" s="137"/>
      <c r="U191" s="75"/>
      <c r="V191" s="75"/>
      <c r="W191" s="335"/>
      <c r="X191" s="335"/>
      <c r="Y191" s="335"/>
      <c r="Z191" s="335"/>
      <c r="AA191" s="335"/>
      <c r="AB191" s="63"/>
      <c r="AC191" s="4"/>
      <c r="AD191" s="4"/>
      <c r="AE191" s="4"/>
      <c r="AF191" s="4"/>
      <c r="AG191" s="4"/>
      <c r="AH191" s="159"/>
      <c r="AI191" s="239"/>
      <c r="AJ191" s="4"/>
      <c r="AK191" s="4"/>
      <c r="AL191" s="109"/>
      <c r="AM191" s="32"/>
      <c r="AN191" s="4"/>
      <c r="AO191" s="4"/>
      <c r="AP191" s="4"/>
      <c r="AQ191" s="4"/>
      <c r="AR191" s="4"/>
      <c r="AS191" s="239"/>
    </row>
    <row r="192" spans="1:45" s="133" customFormat="1">
      <c r="A192" s="64" t="s">
        <v>345</v>
      </c>
      <c r="B192" s="20" t="s">
        <v>34</v>
      </c>
      <c r="C192" s="165">
        <v>0</v>
      </c>
      <c r="D192" s="96" t="s">
        <v>9</v>
      </c>
      <c r="E192" s="166">
        <v>0</v>
      </c>
      <c r="F192" s="167">
        <f>E192*C192</f>
        <v>0</v>
      </c>
      <c r="G192" s="168">
        <v>0</v>
      </c>
      <c r="H192" s="168">
        <v>0</v>
      </c>
      <c r="I192" s="168">
        <v>0</v>
      </c>
      <c r="J192" s="168">
        <v>80</v>
      </c>
      <c r="K192" s="169">
        <v>0</v>
      </c>
      <c r="L192" s="96" t="s">
        <v>8</v>
      </c>
      <c r="M192" s="166">
        <f t="shared" ref="M192:M197" si="610">IF(R192="PD",((Shop*G192)+(M_Tech*H192)+(CMM*I192)+(ENG*J192)+(DES*K192))*N192,((Shop_RD*G192)+(MTECH_RD*H192)+(CMM_RD*I192)+(ENG_RD*J192)+(DES_RD*K192))*N192)</f>
        <v>9720.0000000000018</v>
      </c>
      <c r="N192" s="92">
        <v>1</v>
      </c>
      <c r="O192" s="170">
        <f t="shared" ref="O192:O197" si="611">M192+(F192*N192)</f>
        <v>9720.0000000000018</v>
      </c>
      <c r="P192" s="170"/>
      <c r="Q192" s="52" t="s">
        <v>47</v>
      </c>
      <c r="R192" s="71" t="s">
        <v>77</v>
      </c>
      <c r="S192" s="137" t="str">
        <f t="shared" ref="S192:S197" si="612">CONCATENATE(Q192,R192,AB192)</f>
        <v>BPD2011</v>
      </c>
      <c r="T192" s="137" t="str">
        <f t="shared" ref="T192:T197" si="613">CONCATENATE(Q192,U192,AB192)</f>
        <v>B1.5.1.2.42011</v>
      </c>
      <c r="U192" s="137" t="s">
        <v>217</v>
      </c>
      <c r="V192" s="137" t="str">
        <f t="shared" ref="V192:V197" si="614">LOOKUP(U192,$B$539:$B$574,$A$539:$A$574)</f>
        <v>Pixel Support Tube</v>
      </c>
      <c r="W192" s="20"/>
      <c r="X192" s="20"/>
      <c r="Y192" s="20"/>
      <c r="Z192" s="20"/>
      <c r="AA192" s="20"/>
      <c r="AB192" s="33">
        <v>2011</v>
      </c>
      <c r="AC192" s="132">
        <f t="shared" ref="AC192:AC197" si="615">IF($Q192="B", (G192*$N192),0)</f>
        <v>0</v>
      </c>
      <c r="AD192" s="132">
        <f t="shared" ref="AD192:AD197" si="616">IF($Q192="B", (H192*$N192),0)</f>
        <v>0</v>
      </c>
      <c r="AE192" s="132">
        <f t="shared" ref="AE192:AE197" si="617">IF($Q192="B", (I192*$N192),0)</f>
        <v>0</v>
      </c>
      <c r="AF192" s="132">
        <f t="shared" ref="AF192:AF197" si="618">IF($Q192="B", (J192*$N192),0)</f>
        <v>80</v>
      </c>
      <c r="AG192" s="132">
        <f t="shared" ref="AG192:AG197" si="619">IF($Q192="B", (K192*$N192),0)</f>
        <v>0</v>
      </c>
      <c r="AH192" s="234">
        <f t="shared" ref="AH192:AH197" si="620">IF($Q192="B", (F192*$N192),0)</f>
        <v>0</v>
      </c>
      <c r="AI192" s="236"/>
      <c r="AJ192" s="242"/>
      <c r="AK192" s="242"/>
      <c r="AL192" s="166"/>
      <c r="AM192" s="131">
        <f t="shared" ref="AM192:AM197" si="621">IF($Q192="C", (G192*$N192),0)</f>
        <v>0</v>
      </c>
      <c r="AN192" s="132">
        <f t="shared" ref="AN192:AN197" si="622">IF($Q192="C", (H192*$N192),0)</f>
        <v>0</v>
      </c>
      <c r="AO192" s="132">
        <f t="shared" ref="AO192:AO197" si="623">IF($Q192="C", (I192*$N192),0)</f>
        <v>0</v>
      </c>
      <c r="AP192" s="132">
        <f t="shared" ref="AP192:AP197" si="624">IF($Q192="C", (J192*$N192),0)</f>
        <v>0</v>
      </c>
      <c r="AQ192" s="132">
        <f t="shared" ref="AQ192:AQ197" si="625">IF($Q192="C", (K192*$N192),0)</f>
        <v>0</v>
      </c>
      <c r="AR192" s="132">
        <f t="shared" ref="AR192:AR197" si="626">IF($Q192="C", (F192*$N192),0)</f>
        <v>0</v>
      </c>
      <c r="AS192" s="236"/>
    </row>
    <row r="193" spans="1:45" s="133" customFormat="1">
      <c r="A193" s="64" t="s">
        <v>100</v>
      </c>
      <c r="B193" s="20" t="s">
        <v>34</v>
      </c>
      <c r="C193" s="165">
        <v>0</v>
      </c>
      <c r="D193" s="96" t="s">
        <v>9</v>
      </c>
      <c r="E193" s="166">
        <v>0</v>
      </c>
      <c r="F193" s="167">
        <f>E193*C193</f>
        <v>0</v>
      </c>
      <c r="G193" s="168">
        <v>2</v>
      </c>
      <c r="H193" s="168">
        <v>8</v>
      </c>
      <c r="I193" s="168">
        <v>0</v>
      </c>
      <c r="J193" s="168">
        <v>0</v>
      </c>
      <c r="K193" s="169">
        <v>0</v>
      </c>
      <c r="L193" s="96" t="s">
        <v>8</v>
      </c>
      <c r="M193" s="166">
        <f t="shared" si="610"/>
        <v>962.28000000000009</v>
      </c>
      <c r="N193" s="92">
        <v>1</v>
      </c>
      <c r="O193" s="170">
        <f t="shared" si="611"/>
        <v>962.28000000000009</v>
      </c>
      <c r="P193" s="170"/>
      <c r="Q193" s="52" t="s">
        <v>47</v>
      </c>
      <c r="R193" s="71" t="s">
        <v>77</v>
      </c>
      <c r="S193" s="137" t="str">
        <f t="shared" si="612"/>
        <v>BPD2011</v>
      </c>
      <c r="T193" s="137" t="str">
        <f t="shared" si="613"/>
        <v>B1.5.1.2.42011</v>
      </c>
      <c r="U193" s="137" t="s">
        <v>217</v>
      </c>
      <c r="V193" s="137" t="str">
        <f t="shared" si="614"/>
        <v>Pixel Support Tube</v>
      </c>
      <c r="W193" s="20"/>
      <c r="X193" s="20"/>
      <c r="Y193" s="20"/>
      <c r="Z193" s="20"/>
      <c r="AA193" s="20"/>
      <c r="AB193" s="33">
        <v>2011</v>
      </c>
      <c r="AC193" s="132">
        <f t="shared" si="615"/>
        <v>2</v>
      </c>
      <c r="AD193" s="132">
        <f t="shared" si="616"/>
        <v>8</v>
      </c>
      <c r="AE193" s="132">
        <f t="shared" si="617"/>
        <v>0</v>
      </c>
      <c r="AF193" s="132">
        <f t="shared" si="618"/>
        <v>0</v>
      </c>
      <c r="AG193" s="132">
        <f t="shared" si="619"/>
        <v>0</v>
      </c>
      <c r="AH193" s="234">
        <f t="shared" si="620"/>
        <v>0</v>
      </c>
      <c r="AI193" s="236"/>
      <c r="AJ193" s="242"/>
      <c r="AK193" s="242"/>
      <c r="AL193" s="166"/>
      <c r="AM193" s="131">
        <f t="shared" si="621"/>
        <v>0</v>
      </c>
      <c r="AN193" s="132">
        <f t="shared" si="622"/>
        <v>0</v>
      </c>
      <c r="AO193" s="132">
        <f t="shared" si="623"/>
        <v>0</v>
      </c>
      <c r="AP193" s="132">
        <f t="shared" si="624"/>
        <v>0</v>
      </c>
      <c r="AQ193" s="132">
        <f t="shared" si="625"/>
        <v>0</v>
      </c>
      <c r="AR193" s="132">
        <f t="shared" si="626"/>
        <v>0</v>
      </c>
      <c r="AS193" s="236"/>
    </row>
    <row r="194" spans="1:45" s="133" customFormat="1">
      <c r="A194" s="64" t="s">
        <v>362</v>
      </c>
      <c r="B194" s="20" t="s">
        <v>34</v>
      </c>
      <c r="C194" s="165">
        <v>0</v>
      </c>
      <c r="D194" s="96" t="s">
        <v>9</v>
      </c>
      <c r="E194" s="166">
        <v>0</v>
      </c>
      <c r="F194" s="167">
        <f>E194*C194</f>
        <v>0</v>
      </c>
      <c r="G194" s="168">
        <v>24</v>
      </c>
      <c r="H194" s="168">
        <v>8</v>
      </c>
      <c r="I194" s="168">
        <v>0</v>
      </c>
      <c r="J194" s="168">
        <v>0</v>
      </c>
      <c r="K194" s="169">
        <v>0</v>
      </c>
      <c r="L194" s="96" t="s">
        <v>8</v>
      </c>
      <c r="M194" s="166">
        <f t="shared" si="610"/>
        <v>3207.6000000000004</v>
      </c>
      <c r="N194" s="92">
        <v>1</v>
      </c>
      <c r="O194" s="170">
        <f t="shared" si="611"/>
        <v>3207.6000000000004</v>
      </c>
      <c r="P194" s="170"/>
      <c r="Q194" s="52" t="s">
        <v>47</v>
      </c>
      <c r="R194" s="71" t="s">
        <v>77</v>
      </c>
      <c r="S194" s="137" t="str">
        <f t="shared" si="612"/>
        <v>BPD2011</v>
      </c>
      <c r="T194" s="137" t="str">
        <f t="shared" si="613"/>
        <v>B1.5.1.2.42011</v>
      </c>
      <c r="U194" s="137" t="s">
        <v>217</v>
      </c>
      <c r="V194" s="137" t="str">
        <f t="shared" si="614"/>
        <v>Pixel Support Tube</v>
      </c>
      <c r="W194" s="20"/>
      <c r="X194" s="20"/>
      <c r="Y194" s="20"/>
      <c r="Z194" s="20"/>
      <c r="AA194" s="20"/>
      <c r="AB194" s="33">
        <v>2011</v>
      </c>
      <c r="AC194" s="132">
        <f t="shared" si="615"/>
        <v>24</v>
      </c>
      <c r="AD194" s="132">
        <f t="shared" si="616"/>
        <v>8</v>
      </c>
      <c r="AE194" s="132">
        <f t="shared" si="617"/>
        <v>0</v>
      </c>
      <c r="AF194" s="132">
        <f t="shared" si="618"/>
        <v>0</v>
      </c>
      <c r="AG194" s="132">
        <f t="shared" si="619"/>
        <v>0</v>
      </c>
      <c r="AH194" s="234">
        <f t="shared" si="620"/>
        <v>0</v>
      </c>
      <c r="AI194" s="236"/>
      <c r="AJ194" s="242"/>
      <c r="AK194" s="242"/>
      <c r="AL194" s="166"/>
      <c r="AM194" s="131">
        <f t="shared" si="621"/>
        <v>0</v>
      </c>
      <c r="AN194" s="132">
        <f t="shared" si="622"/>
        <v>0</v>
      </c>
      <c r="AO194" s="132">
        <f t="shared" si="623"/>
        <v>0</v>
      </c>
      <c r="AP194" s="132">
        <f t="shared" si="624"/>
        <v>0</v>
      </c>
      <c r="AQ194" s="132">
        <f t="shared" si="625"/>
        <v>0</v>
      </c>
      <c r="AR194" s="132">
        <f t="shared" si="626"/>
        <v>0</v>
      </c>
      <c r="AS194" s="236"/>
    </row>
    <row r="195" spans="1:45" s="133" customFormat="1">
      <c r="A195" s="64" t="s">
        <v>95</v>
      </c>
      <c r="B195" s="20" t="s">
        <v>96</v>
      </c>
      <c r="C195" s="165">
        <v>1</v>
      </c>
      <c r="D195" s="96" t="s">
        <v>9</v>
      </c>
      <c r="E195" s="166">
        <v>1200</v>
      </c>
      <c r="F195" s="167">
        <f t="shared" ref="F195" si="627">E195*C195</f>
        <v>1200</v>
      </c>
      <c r="G195" s="168">
        <v>4</v>
      </c>
      <c r="H195" s="168">
        <v>0</v>
      </c>
      <c r="I195" s="168">
        <v>0</v>
      </c>
      <c r="J195" s="168">
        <v>0</v>
      </c>
      <c r="K195" s="169">
        <v>0</v>
      </c>
      <c r="L195" s="96" t="s">
        <v>8</v>
      </c>
      <c r="M195" s="166">
        <f t="shared" si="610"/>
        <v>408.24</v>
      </c>
      <c r="N195" s="92">
        <v>1</v>
      </c>
      <c r="O195" s="170">
        <f t="shared" si="611"/>
        <v>1608.24</v>
      </c>
      <c r="P195" s="170"/>
      <c r="Q195" s="52" t="s">
        <v>47</v>
      </c>
      <c r="R195" s="71" t="s">
        <v>77</v>
      </c>
      <c r="S195" s="137" t="str">
        <f t="shared" si="612"/>
        <v>BPD2011</v>
      </c>
      <c r="T195" s="137" t="str">
        <f t="shared" si="613"/>
        <v>B1.5.1.2.42011</v>
      </c>
      <c r="U195" s="137" t="s">
        <v>217</v>
      </c>
      <c r="V195" s="137" t="str">
        <f t="shared" si="614"/>
        <v>Pixel Support Tube</v>
      </c>
      <c r="W195" s="20"/>
      <c r="X195" s="20"/>
      <c r="Y195" s="20"/>
      <c r="Z195" s="20"/>
      <c r="AA195" s="20"/>
      <c r="AB195" s="33">
        <v>2011</v>
      </c>
      <c r="AC195" s="132">
        <f t="shared" si="615"/>
        <v>4</v>
      </c>
      <c r="AD195" s="132">
        <f t="shared" si="616"/>
        <v>0</v>
      </c>
      <c r="AE195" s="132">
        <f t="shared" si="617"/>
        <v>0</v>
      </c>
      <c r="AF195" s="132">
        <f t="shared" si="618"/>
        <v>0</v>
      </c>
      <c r="AG195" s="132">
        <f t="shared" si="619"/>
        <v>0</v>
      </c>
      <c r="AH195" s="234">
        <f t="shared" si="620"/>
        <v>1200</v>
      </c>
      <c r="AI195" s="236"/>
      <c r="AJ195" s="242"/>
      <c r="AK195" s="242"/>
      <c r="AL195" s="166"/>
      <c r="AM195" s="131">
        <f t="shared" si="621"/>
        <v>0</v>
      </c>
      <c r="AN195" s="132">
        <f t="shared" si="622"/>
        <v>0</v>
      </c>
      <c r="AO195" s="132">
        <f t="shared" si="623"/>
        <v>0</v>
      </c>
      <c r="AP195" s="132">
        <f t="shared" si="624"/>
        <v>0</v>
      </c>
      <c r="AQ195" s="132">
        <f t="shared" si="625"/>
        <v>0</v>
      </c>
      <c r="AR195" s="132">
        <f t="shared" si="626"/>
        <v>0</v>
      </c>
      <c r="AS195" s="236"/>
    </row>
    <row r="196" spans="1:45" s="133" customFormat="1">
      <c r="A196" s="64" t="s">
        <v>98</v>
      </c>
      <c r="B196" s="20" t="s">
        <v>34</v>
      </c>
      <c r="C196" s="165">
        <v>0</v>
      </c>
      <c r="D196" s="96" t="s">
        <v>9</v>
      </c>
      <c r="E196" s="166">
        <v>0</v>
      </c>
      <c r="F196" s="167">
        <f>E196*C196</f>
        <v>0</v>
      </c>
      <c r="G196" s="168">
        <v>16</v>
      </c>
      <c r="H196" s="168">
        <v>8</v>
      </c>
      <c r="I196" s="168">
        <v>0</v>
      </c>
      <c r="J196" s="168">
        <v>0</v>
      </c>
      <c r="K196" s="169">
        <v>0</v>
      </c>
      <c r="L196" s="96" t="s">
        <v>8</v>
      </c>
      <c r="M196" s="166">
        <f t="shared" si="610"/>
        <v>2391.12</v>
      </c>
      <c r="N196" s="92">
        <v>1</v>
      </c>
      <c r="O196" s="170">
        <f t="shared" si="611"/>
        <v>2391.12</v>
      </c>
      <c r="P196" s="170"/>
      <c r="Q196" s="52" t="s">
        <v>48</v>
      </c>
      <c r="R196" s="71" t="s">
        <v>77</v>
      </c>
      <c r="S196" s="137" t="str">
        <f t="shared" si="612"/>
        <v>CPD2011</v>
      </c>
      <c r="T196" s="137" t="str">
        <f t="shared" si="613"/>
        <v>C1.5.1.2.42011</v>
      </c>
      <c r="U196" s="137" t="s">
        <v>217</v>
      </c>
      <c r="V196" s="137" t="str">
        <f t="shared" si="614"/>
        <v>Pixel Support Tube</v>
      </c>
      <c r="W196" s="20"/>
      <c r="X196" s="20"/>
      <c r="Y196" s="20"/>
      <c r="Z196" s="20"/>
      <c r="AA196" s="20"/>
      <c r="AB196" s="33">
        <v>2011</v>
      </c>
      <c r="AC196" s="132">
        <f t="shared" si="615"/>
        <v>0</v>
      </c>
      <c r="AD196" s="132">
        <f t="shared" si="616"/>
        <v>0</v>
      </c>
      <c r="AE196" s="132">
        <f t="shared" si="617"/>
        <v>0</v>
      </c>
      <c r="AF196" s="132">
        <f t="shared" si="618"/>
        <v>0</v>
      </c>
      <c r="AG196" s="132">
        <f t="shared" si="619"/>
        <v>0</v>
      </c>
      <c r="AH196" s="234">
        <f t="shared" si="620"/>
        <v>0</v>
      </c>
      <c r="AI196" s="236"/>
      <c r="AJ196" s="242"/>
      <c r="AK196" s="242"/>
      <c r="AL196" s="166"/>
      <c r="AM196" s="131">
        <f t="shared" si="621"/>
        <v>16</v>
      </c>
      <c r="AN196" s="132">
        <f t="shared" si="622"/>
        <v>8</v>
      </c>
      <c r="AO196" s="132">
        <f t="shared" si="623"/>
        <v>0</v>
      </c>
      <c r="AP196" s="132">
        <f t="shared" si="624"/>
        <v>0</v>
      </c>
      <c r="AQ196" s="132">
        <f t="shared" si="625"/>
        <v>0</v>
      </c>
      <c r="AR196" s="132">
        <f t="shared" si="626"/>
        <v>0</v>
      </c>
      <c r="AS196" s="236"/>
    </row>
    <row r="197" spans="1:45" s="133" customFormat="1">
      <c r="A197" s="64" t="s">
        <v>99</v>
      </c>
      <c r="B197" s="20" t="s">
        <v>96</v>
      </c>
      <c r="C197" s="165">
        <v>1</v>
      </c>
      <c r="D197" s="96" t="s">
        <v>9</v>
      </c>
      <c r="E197" s="166">
        <v>1200</v>
      </c>
      <c r="F197" s="167">
        <f>E197*C197</f>
        <v>1200</v>
      </c>
      <c r="G197" s="168">
        <v>4</v>
      </c>
      <c r="H197" s="168">
        <v>0</v>
      </c>
      <c r="I197" s="168">
        <v>0</v>
      </c>
      <c r="J197" s="168">
        <v>0</v>
      </c>
      <c r="K197" s="169">
        <v>0</v>
      </c>
      <c r="L197" s="96" t="s">
        <v>8</v>
      </c>
      <c r="M197" s="166">
        <f t="shared" si="610"/>
        <v>408.24</v>
      </c>
      <c r="N197" s="92">
        <v>1</v>
      </c>
      <c r="O197" s="170">
        <f t="shared" si="611"/>
        <v>1608.24</v>
      </c>
      <c r="P197" s="170"/>
      <c r="Q197" s="52" t="s">
        <v>48</v>
      </c>
      <c r="R197" s="71" t="s">
        <v>77</v>
      </c>
      <c r="S197" s="137" t="str">
        <f t="shared" si="612"/>
        <v>CPD2011</v>
      </c>
      <c r="T197" s="137" t="str">
        <f t="shared" si="613"/>
        <v>C1.5.1.2.42011</v>
      </c>
      <c r="U197" s="137" t="s">
        <v>217</v>
      </c>
      <c r="V197" s="137" t="str">
        <f t="shared" si="614"/>
        <v>Pixel Support Tube</v>
      </c>
      <c r="W197" s="20"/>
      <c r="X197" s="20"/>
      <c r="Y197" s="20"/>
      <c r="Z197" s="20"/>
      <c r="AA197" s="20"/>
      <c r="AB197" s="33">
        <v>2011</v>
      </c>
      <c r="AC197" s="132">
        <f t="shared" si="615"/>
        <v>0</v>
      </c>
      <c r="AD197" s="132">
        <f t="shared" si="616"/>
        <v>0</v>
      </c>
      <c r="AE197" s="132">
        <f t="shared" si="617"/>
        <v>0</v>
      </c>
      <c r="AF197" s="132">
        <f t="shared" si="618"/>
        <v>0</v>
      </c>
      <c r="AG197" s="132">
        <f t="shared" si="619"/>
        <v>0</v>
      </c>
      <c r="AH197" s="234">
        <f t="shared" si="620"/>
        <v>0</v>
      </c>
      <c r="AI197" s="236"/>
      <c r="AJ197" s="242"/>
      <c r="AK197" s="242"/>
      <c r="AL197" s="166"/>
      <c r="AM197" s="131">
        <f t="shared" si="621"/>
        <v>4</v>
      </c>
      <c r="AN197" s="132">
        <f t="shared" si="622"/>
        <v>0</v>
      </c>
      <c r="AO197" s="132">
        <f t="shared" si="623"/>
        <v>0</v>
      </c>
      <c r="AP197" s="132">
        <f t="shared" si="624"/>
        <v>0</v>
      </c>
      <c r="AQ197" s="132">
        <f t="shared" si="625"/>
        <v>0</v>
      </c>
      <c r="AR197" s="132">
        <f t="shared" si="626"/>
        <v>1200</v>
      </c>
      <c r="AS197" s="236"/>
    </row>
    <row r="198" spans="1:45" s="61" customFormat="1">
      <c r="A198" s="46" t="s">
        <v>365</v>
      </c>
      <c r="C198" s="178"/>
      <c r="E198" s="179"/>
      <c r="F198" s="180"/>
      <c r="G198" s="181"/>
      <c r="H198" s="181"/>
      <c r="I198" s="181"/>
      <c r="J198" s="181"/>
      <c r="K198" s="182"/>
      <c r="L198" s="217" t="s">
        <v>66</v>
      </c>
      <c r="M198" s="177">
        <f>SUMIF(Q192:Q197,"B",M192:M197)</f>
        <v>14298.120000000003</v>
      </c>
      <c r="N198" s="65" t="s">
        <v>66</v>
      </c>
      <c r="O198" s="177">
        <f>SUMIF(Q188:Q190,"B",O188:O190)</f>
        <v>0</v>
      </c>
      <c r="P198" s="183"/>
      <c r="Q198" s="62"/>
      <c r="R198" s="73"/>
      <c r="S198" s="137"/>
      <c r="T198" s="137"/>
      <c r="U198" s="75"/>
      <c r="V198" s="75"/>
      <c r="W198" s="335"/>
      <c r="X198" s="335"/>
      <c r="Y198" s="335"/>
      <c r="Z198" s="335"/>
      <c r="AA198" s="335"/>
      <c r="AB198" s="63"/>
      <c r="AC198" s="4"/>
      <c r="AD198" s="4"/>
      <c r="AE198" s="4"/>
      <c r="AF198" s="4"/>
      <c r="AG198" s="4"/>
      <c r="AH198" s="159"/>
      <c r="AI198" s="239"/>
      <c r="AJ198" s="4"/>
      <c r="AK198" s="4"/>
      <c r="AL198" s="109"/>
      <c r="AM198" s="32"/>
      <c r="AN198" s="4"/>
      <c r="AO198" s="4"/>
      <c r="AP198" s="4"/>
      <c r="AQ198" s="4"/>
      <c r="AR198" s="4"/>
      <c r="AS198" s="239"/>
    </row>
    <row r="199" spans="1:45" s="133" customFormat="1">
      <c r="A199" s="64" t="s">
        <v>345</v>
      </c>
      <c r="B199" s="20" t="s">
        <v>34</v>
      </c>
      <c r="C199" s="165">
        <v>0</v>
      </c>
      <c r="D199" s="96" t="s">
        <v>9</v>
      </c>
      <c r="E199" s="166">
        <v>0</v>
      </c>
      <c r="F199" s="167">
        <f>E199*C199</f>
        <v>0</v>
      </c>
      <c r="G199" s="168">
        <v>0</v>
      </c>
      <c r="H199" s="168">
        <v>0</v>
      </c>
      <c r="I199" s="168">
        <v>0</v>
      </c>
      <c r="J199" s="168">
        <v>40</v>
      </c>
      <c r="K199" s="169">
        <v>0</v>
      </c>
      <c r="L199" s="96" t="s">
        <v>8</v>
      </c>
      <c r="M199" s="166">
        <f t="shared" ref="M199:M203" si="628">IF(R199="PD",((Shop*G199)+(M_Tech*H199)+(CMM*I199)+(ENG*J199)+(DES*K199))*N199,((Shop_RD*G199)+(MTECH_RD*H199)+(CMM_RD*I199)+(ENG_RD*J199)+(DES_RD*K199))*N199)</f>
        <v>4860.0000000000009</v>
      </c>
      <c r="N199" s="92">
        <v>1</v>
      </c>
      <c r="O199" s="170">
        <f t="shared" ref="O199:O203" si="629">M199+(F199*N199)</f>
        <v>4860.0000000000009</v>
      </c>
      <c r="P199" s="170"/>
      <c r="Q199" s="52" t="s">
        <v>47</v>
      </c>
      <c r="R199" s="71" t="s">
        <v>77</v>
      </c>
      <c r="S199" s="137" t="str">
        <f t="shared" ref="S199:S203" si="630">CONCATENATE(Q199,R199,AB199)</f>
        <v>BPD2012</v>
      </c>
      <c r="T199" s="137" t="str">
        <f t="shared" ref="T199:T203" si="631">CONCATENATE(Q199,U199,AB199)</f>
        <v>B1.5.1.2.42012</v>
      </c>
      <c r="U199" s="137" t="s">
        <v>217</v>
      </c>
      <c r="V199" s="137" t="str">
        <f>LOOKUP(U199,$B$539:$B$574,$A$539:$A$574)</f>
        <v>Pixel Support Tube</v>
      </c>
      <c r="W199" s="20"/>
      <c r="X199" s="20"/>
      <c r="Y199" s="20"/>
      <c r="Z199" s="20"/>
      <c r="AA199" s="20"/>
      <c r="AB199" s="33">
        <v>2012</v>
      </c>
      <c r="AC199" s="132">
        <f t="shared" ref="AC199:AC203" si="632">IF($Q199="B", (G199*$N199),0)</f>
        <v>0</v>
      </c>
      <c r="AD199" s="132">
        <f t="shared" ref="AD199:AD203" si="633">IF($Q199="B", (H199*$N199),0)</f>
        <v>0</v>
      </c>
      <c r="AE199" s="132">
        <f t="shared" ref="AE199:AE203" si="634">IF($Q199="B", (I199*$N199),0)</f>
        <v>0</v>
      </c>
      <c r="AF199" s="132">
        <f t="shared" ref="AF199:AF203" si="635">IF($Q199="B", (J199*$N199),0)</f>
        <v>40</v>
      </c>
      <c r="AG199" s="132">
        <f t="shared" ref="AG199:AG203" si="636">IF($Q199="B", (K199*$N199),0)</f>
        <v>0</v>
      </c>
      <c r="AH199" s="234">
        <f t="shared" ref="AH199:AH203" si="637">IF($Q199="B", (F199*$N199),0)</f>
        <v>0</v>
      </c>
      <c r="AI199" s="236"/>
      <c r="AJ199" s="242"/>
      <c r="AK199" s="242"/>
      <c r="AL199" s="166"/>
      <c r="AM199" s="131">
        <f t="shared" ref="AM199:AM203" si="638">IF($Q199="C", (G199*$N199),0)</f>
        <v>0</v>
      </c>
      <c r="AN199" s="132">
        <f t="shared" ref="AN199:AN203" si="639">IF($Q199="C", (H199*$N199),0)</f>
        <v>0</v>
      </c>
      <c r="AO199" s="132">
        <f t="shared" ref="AO199:AO203" si="640">IF($Q199="C", (I199*$N199),0)</f>
        <v>0</v>
      </c>
      <c r="AP199" s="132">
        <f t="shared" ref="AP199:AP203" si="641">IF($Q199="C", (J199*$N199),0)</f>
        <v>0</v>
      </c>
      <c r="AQ199" s="132">
        <f t="shared" ref="AQ199:AQ203" si="642">IF($Q199="C", (K199*$N199),0)</f>
        <v>0</v>
      </c>
      <c r="AR199" s="132">
        <f t="shared" ref="AR199:AR203" si="643">IF($Q199="C", (F199*$N199),0)</f>
        <v>0</v>
      </c>
      <c r="AS199" s="236"/>
    </row>
    <row r="200" spans="1:45" s="133" customFormat="1">
      <c r="A200" s="64" t="s">
        <v>362</v>
      </c>
      <c r="B200" s="20" t="s">
        <v>34</v>
      </c>
      <c r="C200" s="165">
        <v>0</v>
      </c>
      <c r="D200" s="96" t="s">
        <v>9</v>
      </c>
      <c r="E200" s="166">
        <v>0</v>
      </c>
      <c r="F200" s="167">
        <f>E200*C200</f>
        <v>0</v>
      </c>
      <c r="G200" s="168">
        <v>40</v>
      </c>
      <c r="H200" s="168">
        <v>8</v>
      </c>
      <c r="I200" s="168">
        <v>0</v>
      </c>
      <c r="J200" s="168">
        <v>0</v>
      </c>
      <c r="K200" s="169">
        <v>0</v>
      </c>
      <c r="L200" s="96" t="s">
        <v>8</v>
      </c>
      <c r="M200" s="166">
        <f t="shared" si="628"/>
        <v>4840.5600000000004</v>
      </c>
      <c r="N200" s="92">
        <v>1</v>
      </c>
      <c r="O200" s="170">
        <f t="shared" si="629"/>
        <v>4840.5600000000004</v>
      </c>
      <c r="P200" s="170"/>
      <c r="Q200" s="52" t="s">
        <v>47</v>
      </c>
      <c r="R200" s="71" t="s">
        <v>77</v>
      </c>
      <c r="S200" s="137" t="str">
        <f t="shared" si="630"/>
        <v>BPD2012</v>
      </c>
      <c r="T200" s="137" t="str">
        <f t="shared" si="631"/>
        <v>B1.5.1.2.42012</v>
      </c>
      <c r="U200" s="137" t="s">
        <v>217</v>
      </c>
      <c r="V200" s="137" t="str">
        <f>LOOKUP(U200,$B$539:$B$574,$A$539:$A$574)</f>
        <v>Pixel Support Tube</v>
      </c>
      <c r="W200" s="20"/>
      <c r="X200" s="20"/>
      <c r="Y200" s="20"/>
      <c r="Z200" s="20"/>
      <c r="AA200" s="20"/>
      <c r="AB200" s="33">
        <v>2012</v>
      </c>
      <c r="AC200" s="132">
        <f t="shared" si="632"/>
        <v>40</v>
      </c>
      <c r="AD200" s="132">
        <f t="shared" si="633"/>
        <v>8</v>
      </c>
      <c r="AE200" s="132">
        <f t="shared" si="634"/>
        <v>0</v>
      </c>
      <c r="AF200" s="132">
        <f t="shared" si="635"/>
        <v>0</v>
      </c>
      <c r="AG200" s="132">
        <f t="shared" si="636"/>
        <v>0</v>
      </c>
      <c r="AH200" s="234">
        <f t="shared" si="637"/>
        <v>0</v>
      </c>
      <c r="AI200" s="236"/>
      <c r="AJ200" s="242"/>
      <c r="AK200" s="242"/>
      <c r="AL200" s="166"/>
      <c r="AM200" s="131">
        <f t="shared" si="638"/>
        <v>0</v>
      </c>
      <c r="AN200" s="132">
        <f t="shared" si="639"/>
        <v>0</v>
      </c>
      <c r="AO200" s="132">
        <f t="shared" si="640"/>
        <v>0</v>
      </c>
      <c r="AP200" s="132">
        <f t="shared" si="641"/>
        <v>0</v>
      </c>
      <c r="AQ200" s="132">
        <f t="shared" si="642"/>
        <v>0</v>
      </c>
      <c r="AR200" s="132">
        <f t="shared" si="643"/>
        <v>0</v>
      </c>
      <c r="AS200" s="236"/>
    </row>
    <row r="201" spans="1:45" s="133" customFormat="1">
      <c r="A201" s="64" t="s">
        <v>95</v>
      </c>
      <c r="B201" s="20" t="s">
        <v>96</v>
      </c>
      <c r="C201" s="165">
        <v>1</v>
      </c>
      <c r="D201" s="96" t="s">
        <v>9</v>
      </c>
      <c r="E201" s="166">
        <v>1200</v>
      </c>
      <c r="F201" s="167">
        <f t="shared" ref="F201" si="644">E201*C201</f>
        <v>1200</v>
      </c>
      <c r="G201" s="168">
        <v>4</v>
      </c>
      <c r="H201" s="168">
        <v>0</v>
      </c>
      <c r="I201" s="168">
        <v>0</v>
      </c>
      <c r="J201" s="168">
        <v>0</v>
      </c>
      <c r="K201" s="169">
        <v>0</v>
      </c>
      <c r="L201" s="96" t="s">
        <v>8</v>
      </c>
      <c r="M201" s="166">
        <f t="shared" si="628"/>
        <v>408.24</v>
      </c>
      <c r="N201" s="92">
        <v>1</v>
      </c>
      <c r="O201" s="170">
        <f t="shared" si="629"/>
        <v>1608.24</v>
      </c>
      <c r="P201" s="170"/>
      <c r="Q201" s="52" t="s">
        <v>47</v>
      </c>
      <c r="R201" s="71" t="s">
        <v>77</v>
      </c>
      <c r="S201" s="137" t="str">
        <f t="shared" si="630"/>
        <v>BPD2012</v>
      </c>
      <c r="T201" s="137" t="str">
        <f t="shared" si="631"/>
        <v>B1.5.1.2.42012</v>
      </c>
      <c r="U201" s="137" t="s">
        <v>217</v>
      </c>
      <c r="V201" s="137" t="str">
        <f>LOOKUP(U201,$B$539:$B$574,$A$539:$A$574)</f>
        <v>Pixel Support Tube</v>
      </c>
      <c r="W201" s="20"/>
      <c r="X201" s="20"/>
      <c r="Y201" s="20"/>
      <c r="Z201" s="20"/>
      <c r="AA201" s="20"/>
      <c r="AB201" s="33">
        <v>2012</v>
      </c>
      <c r="AC201" s="132">
        <f t="shared" si="632"/>
        <v>4</v>
      </c>
      <c r="AD201" s="132">
        <f t="shared" si="633"/>
        <v>0</v>
      </c>
      <c r="AE201" s="132">
        <f t="shared" si="634"/>
        <v>0</v>
      </c>
      <c r="AF201" s="132">
        <f t="shared" si="635"/>
        <v>0</v>
      </c>
      <c r="AG201" s="132">
        <f t="shared" si="636"/>
        <v>0</v>
      </c>
      <c r="AH201" s="234">
        <f t="shared" si="637"/>
        <v>1200</v>
      </c>
      <c r="AI201" s="236"/>
      <c r="AJ201" s="242"/>
      <c r="AK201" s="242"/>
      <c r="AL201" s="166"/>
      <c r="AM201" s="131">
        <f t="shared" si="638"/>
        <v>0</v>
      </c>
      <c r="AN201" s="132">
        <f t="shared" si="639"/>
        <v>0</v>
      </c>
      <c r="AO201" s="132">
        <f t="shared" si="640"/>
        <v>0</v>
      </c>
      <c r="AP201" s="132">
        <f t="shared" si="641"/>
        <v>0</v>
      </c>
      <c r="AQ201" s="132">
        <f t="shared" si="642"/>
        <v>0</v>
      </c>
      <c r="AR201" s="132">
        <f t="shared" si="643"/>
        <v>0</v>
      </c>
      <c r="AS201" s="236"/>
    </row>
    <row r="202" spans="1:45" s="133" customFormat="1">
      <c r="A202" s="64" t="s">
        <v>98</v>
      </c>
      <c r="B202" s="20" t="s">
        <v>34</v>
      </c>
      <c r="C202" s="165">
        <v>0</v>
      </c>
      <c r="D202" s="96" t="s">
        <v>9</v>
      </c>
      <c r="E202" s="166">
        <v>0</v>
      </c>
      <c r="F202" s="167">
        <f>E202*C202</f>
        <v>0</v>
      </c>
      <c r="G202" s="168">
        <v>16</v>
      </c>
      <c r="H202" s="168">
        <v>0</v>
      </c>
      <c r="I202" s="168">
        <v>0</v>
      </c>
      <c r="J202" s="168">
        <v>0</v>
      </c>
      <c r="K202" s="169">
        <v>0</v>
      </c>
      <c r="L202" s="96" t="s">
        <v>8</v>
      </c>
      <c r="M202" s="166">
        <f t="shared" si="628"/>
        <v>1632.96</v>
      </c>
      <c r="N202" s="92">
        <v>1</v>
      </c>
      <c r="O202" s="170">
        <f t="shared" si="629"/>
        <v>1632.96</v>
      </c>
      <c r="P202" s="170"/>
      <c r="Q202" s="52" t="s">
        <v>48</v>
      </c>
      <c r="R202" s="71" t="s">
        <v>77</v>
      </c>
      <c r="S202" s="137" t="str">
        <f t="shared" si="630"/>
        <v>CPD2012</v>
      </c>
      <c r="T202" s="137" t="str">
        <f t="shared" si="631"/>
        <v>C1.5.1.2.42012</v>
      </c>
      <c r="U202" s="137" t="s">
        <v>217</v>
      </c>
      <c r="V202" s="137" t="str">
        <f>LOOKUP(U202,$B$539:$B$574,$A$539:$A$574)</f>
        <v>Pixel Support Tube</v>
      </c>
      <c r="W202" s="20"/>
      <c r="X202" s="20"/>
      <c r="Y202" s="20"/>
      <c r="Z202" s="20"/>
      <c r="AA202" s="20"/>
      <c r="AB202" s="33">
        <v>2012</v>
      </c>
      <c r="AC202" s="132">
        <f t="shared" si="632"/>
        <v>0</v>
      </c>
      <c r="AD202" s="132">
        <f t="shared" si="633"/>
        <v>0</v>
      </c>
      <c r="AE202" s="132">
        <f t="shared" si="634"/>
        <v>0</v>
      </c>
      <c r="AF202" s="132">
        <f t="shared" si="635"/>
        <v>0</v>
      </c>
      <c r="AG202" s="132">
        <f t="shared" si="636"/>
        <v>0</v>
      </c>
      <c r="AH202" s="234">
        <f t="shared" si="637"/>
        <v>0</v>
      </c>
      <c r="AI202" s="236"/>
      <c r="AJ202" s="242"/>
      <c r="AK202" s="242"/>
      <c r="AL202" s="166"/>
      <c r="AM202" s="131">
        <f t="shared" si="638"/>
        <v>16</v>
      </c>
      <c r="AN202" s="132">
        <f t="shared" si="639"/>
        <v>0</v>
      </c>
      <c r="AO202" s="132">
        <f t="shared" si="640"/>
        <v>0</v>
      </c>
      <c r="AP202" s="132">
        <f t="shared" si="641"/>
        <v>0</v>
      </c>
      <c r="AQ202" s="132">
        <f t="shared" si="642"/>
        <v>0</v>
      </c>
      <c r="AR202" s="132">
        <f t="shared" si="643"/>
        <v>0</v>
      </c>
      <c r="AS202" s="236"/>
    </row>
    <row r="203" spans="1:45" s="133" customFormat="1">
      <c r="A203" s="64" t="s">
        <v>99</v>
      </c>
      <c r="B203" s="20" t="s">
        <v>96</v>
      </c>
      <c r="C203" s="165">
        <v>1</v>
      </c>
      <c r="D203" s="96" t="s">
        <v>9</v>
      </c>
      <c r="E203" s="166">
        <v>1200</v>
      </c>
      <c r="F203" s="167">
        <f>E203*C203</f>
        <v>1200</v>
      </c>
      <c r="G203" s="168">
        <v>4</v>
      </c>
      <c r="H203" s="168">
        <v>0</v>
      </c>
      <c r="I203" s="168">
        <v>0</v>
      </c>
      <c r="J203" s="168">
        <v>0</v>
      </c>
      <c r="K203" s="169">
        <v>0</v>
      </c>
      <c r="L203" s="96" t="s">
        <v>8</v>
      </c>
      <c r="M203" s="166">
        <f t="shared" si="628"/>
        <v>408.24</v>
      </c>
      <c r="N203" s="92">
        <v>1</v>
      </c>
      <c r="O203" s="170">
        <f t="shared" si="629"/>
        <v>1608.24</v>
      </c>
      <c r="P203" s="170"/>
      <c r="Q203" s="52" t="s">
        <v>48</v>
      </c>
      <c r="R203" s="71" t="s">
        <v>77</v>
      </c>
      <c r="S203" s="137" t="str">
        <f t="shared" si="630"/>
        <v>CPD2012</v>
      </c>
      <c r="T203" s="137" t="str">
        <f t="shared" si="631"/>
        <v>C1.5.1.2.42012</v>
      </c>
      <c r="U203" s="137" t="s">
        <v>217</v>
      </c>
      <c r="V203" s="137" t="str">
        <f>LOOKUP(U203,$B$539:$B$574,$A$539:$A$574)</f>
        <v>Pixel Support Tube</v>
      </c>
      <c r="W203" s="20"/>
      <c r="X203" s="20"/>
      <c r="Y203" s="20"/>
      <c r="Z203" s="20"/>
      <c r="AA203" s="20"/>
      <c r="AB203" s="33">
        <v>2012</v>
      </c>
      <c r="AC203" s="132">
        <f t="shared" si="632"/>
        <v>0</v>
      </c>
      <c r="AD203" s="132">
        <f t="shared" si="633"/>
        <v>0</v>
      </c>
      <c r="AE203" s="132">
        <f t="shared" si="634"/>
        <v>0</v>
      </c>
      <c r="AF203" s="132">
        <f t="shared" si="635"/>
        <v>0</v>
      </c>
      <c r="AG203" s="132">
        <f t="shared" si="636"/>
        <v>0</v>
      </c>
      <c r="AH203" s="234">
        <f t="shared" si="637"/>
        <v>0</v>
      </c>
      <c r="AI203" s="236"/>
      <c r="AJ203" s="242"/>
      <c r="AK203" s="242"/>
      <c r="AL203" s="166"/>
      <c r="AM203" s="131">
        <f t="shared" si="638"/>
        <v>4</v>
      </c>
      <c r="AN203" s="132">
        <f t="shared" si="639"/>
        <v>0</v>
      </c>
      <c r="AO203" s="132">
        <f t="shared" si="640"/>
        <v>0</v>
      </c>
      <c r="AP203" s="132">
        <f t="shared" si="641"/>
        <v>0</v>
      </c>
      <c r="AQ203" s="132">
        <f t="shared" si="642"/>
        <v>0</v>
      </c>
      <c r="AR203" s="132">
        <f t="shared" si="643"/>
        <v>1200</v>
      </c>
      <c r="AS203" s="236"/>
    </row>
    <row r="204" spans="1:45" s="46" customFormat="1">
      <c r="A204" s="46" t="s">
        <v>361</v>
      </c>
      <c r="C204" s="184"/>
      <c r="E204" s="185"/>
      <c r="F204" s="186"/>
      <c r="G204" s="187"/>
      <c r="H204" s="187"/>
      <c r="I204" s="187"/>
      <c r="J204" s="187"/>
      <c r="K204" s="188"/>
      <c r="L204" s="217" t="s">
        <v>66</v>
      </c>
      <c r="M204" s="177">
        <f>SUMIF(Q199:Q203,"B",M199:M203)</f>
        <v>10108.800000000001</v>
      </c>
      <c r="N204" s="65" t="s">
        <v>66</v>
      </c>
      <c r="O204" s="177">
        <f>SUMIF(Q192:Q197,"B",O192:O197)</f>
        <v>15498.120000000003</v>
      </c>
      <c r="P204" s="189"/>
      <c r="Q204" s="62"/>
      <c r="R204" s="73"/>
      <c r="S204" s="137"/>
      <c r="T204" s="137"/>
      <c r="U204" s="75"/>
      <c r="V204" s="75"/>
      <c r="W204" s="20"/>
      <c r="X204" s="20"/>
      <c r="Y204" s="20"/>
      <c r="Z204" s="20"/>
      <c r="AA204" s="20"/>
      <c r="AB204" s="63"/>
      <c r="AC204" s="132"/>
      <c r="AD204" s="132"/>
      <c r="AE204" s="132"/>
      <c r="AF204" s="132"/>
      <c r="AG204" s="132"/>
      <c r="AH204" s="234"/>
      <c r="AI204" s="235"/>
      <c r="AJ204" s="132"/>
      <c r="AK204" s="132"/>
      <c r="AL204" s="166"/>
      <c r="AM204" s="131"/>
      <c r="AN204" s="132"/>
      <c r="AO204" s="132"/>
      <c r="AP204" s="132"/>
      <c r="AQ204" s="132"/>
      <c r="AR204" s="132"/>
      <c r="AS204" s="235"/>
    </row>
    <row r="205" spans="1:45" s="133" customFormat="1">
      <c r="A205" s="64" t="s">
        <v>345</v>
      </c>
      <c r="B205" s="20" t="s">
        <v>34</v>
      </c>
      <c r="C205" s="165">
        <v>0</v>
      </c>
      <c r="D205" s="96" t="s">
        <v>9</v>
      </c>
      <c r="E205" s="166">
        <v>0</v>
      </c>
      <c r="F205" s="167">
        <f>E205*C205</f>
        <v>0</v>
      </c>
      <c r="G205" s="168">
        <v>0</v>
      </c>
      <c r="H205" s="168">
        <v>0</v>
      </c>
      <c r="I205" s="168">
        <v>0</v>
      </c>
      <c r="J205" s="168">
        <v>120</v>
      </c>
      <c r="K205" s="169">
        <v>0</v>
      </c>
      <c r="L205" s="96" t="s">
        <v>8</v>
      </c>
      <c r="M205" s="166">
        <f>IF(R205="PD",((Shop*G205)+(M_Tech*H205)+(CMM*I205)+(ENG*J205)+(DES*K205))*N205,((Shop_RD*G205)+(MTECH_RD*H205)+(CMM_RD*I205)+(ENG_RD*J205)+(DES_RD*K205))*N205)</f>
        <v>18000</v>
      </c>
      <c r="N205" s="92">
        <v>1</v>
      </c>
      <c r="O205" s="170">
        <f>M205+(F205*N205)</f>
        <v>18000</v>
      </c>
      <c r="P205" s="170"/>
      <c r="Q205" s="52" t="s">
        <v>47</v>
      </c>
      <c r="R205" s="71" t="s">
        <v>180</v>
      </c>
      <c r="S205" s="137" t="str">
        <f>CONCATENATE(Q205,R205,AB205)</f>
        <v>BPT2010</v>
      </c>
      <c r="T205" s="137" t="str">
        <f>CONCATENATE(Q205,U205,AB205)</f>
        <v>B1.5.1.2.42010</v>
      </c>
      <c r="U205" s="137" t="s">
        <v>217</v>
      </c>
      <c r="V205" s="137" t="str">
        <f>LOOKUP(U205,$B$539:$B$574,$A$539:$A$574)</f>
        <v>Pixel Support Tube</v>
      </c>
      <c r="W205" s="20"/>
      <c r="X205" s="20"/>
      <c r="Y205" s="20"/>
      <c r="Z205" s="20"/>
      <c r="AA205" s="20"/>
      <c r="AB205" s="487">
        <v>2010</v>
      </c>
      <c r="AC205" s="132">
        <f t="shared" ref="AC205:AC206" si="645">IF($Q205="B", (G205*$N205),0)</f>
        <v>0</v>
      </c>
      <c r="AD205" s="132">
        <f t="shared" ref="AD205:AD206" si="646">IF($Q205="B", (H205*$N205),0)</f>
        <v>0</v>
      </c>
      <c r="AE205" s="132">
        <f t="shared" ref="AE205:AE206" si="647">IF($Q205="B", (I205*$N205),0)</f>
        <v>0</v>
      </c>
      <c r="AF205" s="132">
        <f t="shared" ref="AF205:AF206" si="648">IF($Q205="B", (J205*$N205),0)</f>
        <v>120</v>
      </c>
      <c r="AG205" s="132">
        <f t="shared" ref="AG205:AG206" si="649">IF($Q205="B", (K205*$N205),0)</f>
        <v>0</v>
      </c>
      <c r="AH205" s="234">
        <f>IF($Q205="B", (F205*$N205),0)</f>
        <v>0</v>
      </c>
      <c r="AI205" s="236"/>
      <c r="AJ205" s="242"/>
      <c r="AK205" s="242"/>
      <c r="AL205" s="166"/>
      <c r="AM205" s="131">
        <f t="shared" ref="AM205:AM206" si="650">IF($Q205="C", (G205*$N205),0)</f>
        <v>0</v>
      </c>
      <c r="AN205" s="132">
        <f t="shared" ref="AN205:AN206" si="651">IF($Q205="C", (H205*$N205),0)</f>
        <v>0</v>
      </c>
      <c r="AO205" s="132">
        <f t="shared" ref="AO205:AO206" si="652">IF($Q205="C", (I205*$N205),0)</f>
        <v>0</v>
      </c>
      <c r="AP205" s="132">
        <f t="shared" ref="AP205:AP206" si="653">IF($Q205="C", (J205*$N205),0)</f>
        <v>0</v>
      </c>
      <c r="AQ205" s="132">
        <f t="shared" ref="AQ205:AQ206" si="654">IF($Q205="C", (K205*$N205),0)</f>
        <v>0</v>
      </c>
      <c r="AR205" s="132">
        <f>IF($Q205="C", (F205*$N205),0)</f>
        <v>0</v>
      </c>
      <c r="AS205" s="236"/>
    </row>
    <row r="206" spans="1:45" s="133" customFormat="1">
      <c r="A206" s="64" t="s">
        <v>97</v>
      </c>
      <c r="B206" s="20" t="s">
        <v>7</v>
      </c>
      <c r="C206" s="165">
        <v>40</v>
      </c>
      <c r="D206" s="96" t="s">
        <v>39</v>
      </c>
      <c r="E206" s="166">
        <v>8</v>
      </c>
      <c r="F206" s="167">
        <f>E206*C206</f>
        <v>320</v>
      </c>
      <c r="G206" s="168">
        <v>24</v>
      </c>
      <c r="H206" s="168">
        <v>8</v>
      </c>
      <c r="I206" s="168">
        <v>0</v>
      </c>
      <c r="J206" s="168">
        <v>0</v>
      </c>
      <c r="K206" s="169">
        <v>0</v>
      </c>
      <c r="L206" s="96" t="s">
        <v>8</v>
      </c>
      <c r="M206" s="166">
        <f>IF(R206="PD",((Shop*G206)+(M_Tech*H206)+(CMM*I206)+(ENG*J206)+(DES*K206))*N206,((Shop_RD*G206)+(MTECH_RD*H206)+(CMM_RD*I206)+(ENG_RD*J206)+(DES_RD*K206))*N206)</f>
        <v>3960</v>
      </c>
      <c r="N206" s="92">
        <v>1</v>
      </c>
      <c r="O206" s="170">
        <f>M206+(F206*N206)</f>
        <v>4280</v>
      </c>
      <c r="P206" s="170"/>
      <c r="Q206" s="52" t="s">
        <v>47</v>
      </c>
      <c r="R206" s="71" t="s">
        <v>180</v>
      </c>
      <c r="S206" s="137" t="str">
        <f>CONCATENATE(Q206,R206,AB206)</f>
        <v>BPT2010</v>
      </c>
      <c r="T206" s="137" t="str">
        <f>CONCATENATE(Q206,U206,AB206)</f>
        <v>B1.5.1.2.42010</v>
      </c>
      <c r="U206" s="137" t="s">
        <v>217</v>
      </c>
      <c r="V206" s="137" t="str">
        <f>LOOKUP(U206,$B$539:$B$574,$A$539:$A$574)</f>
        <v>Pixel Support Tube</v>
      </c>
      <c r="W206" s="20"/>
      <c r="X206" s="20"/>
      <c r="Y206" s="20"/>
      <c r="Z206" s="20"/>
      <c r="AA206" s="20"/>
      <c r="AB206" s="33">
        <v>2010</v>
      </c>
      <c r="AC206" s="132">
        <f t="shared" si="645"/>
        <v>24</v>
      </c>
      <c r="AD206" s="132">
        <f t="shared" si="646"/>
        <v>8</v>
      </c>
      <c r="AE206" s="132">
        <f t="shared" si="647"/>
        <v>0</v>
      </c>
      <c r="AF206" s="132">
        <f t="shared" si="648"/>
        <v>0</v>
      </c>
      <c r="AG206" s="132">
        <f t="shared" si="649"/>
        <v>0</v>
      </c>
      <c r="AH206" s="234">
        <f>IF($Q206="B", (F206*$N206),0)</f>
        <v>320</v>
      </c>
      <c r="AI206" s="236"/>
      <c r="AJ206" s="242"/>
      <c r="AK206" s="242"/>
      <c r="AL206" s="166"/>
      <c r="AM206" s="131">
        <f t="shared" si="650"/>
        <v>0</v>
      </c>
      <c r="AN206" s="132">
        <f t="shared" si="651"/>
        <v>0</v>
      </c>
      <c r="AO206" s="132">
        <f t="shared" si="652"/>
        <v>0</v>
      </c>
      <c r="AP206" s="132">
        <f t="shared" si="653"/>
        <v>0</v>
      </c>
      <c r="AQ206" s="132">
        <f t="shared" si="654"/>
        <v>0</v>
      </c>
      <c r="AR206" s="132">
        <f>IF($Q206="C", (F206*$N206),0)</f>
        <v>0</v>
      </c>
      <c r="AS206" s="236"/>
    </row>
    <row r="207" spans="1:45" s="133" customFormat="1">
      <c r="A207" s="64" t="s">
        <v>186</v>
      </c>
      <c r="B207" s="20" t="s">
        <v>7</v>
      </c>
      <c r="C207" s="165">
        <v>40</v>
      </c>
      <c r="D207" s="96" t="s">
        <v>39</v>
      </c>
      <c r="E207" s="166">
        <v>8</v>
      </c>
      <c r="F207" s="167">
        <f>E207*C207</f>
        <v>320</v>
      </c>
      <c r="G207" s="168">
        <v>24</v>
      </c>
      <c r="H207" s="168">
        <v>8</v>
      </c>
      <c r="I207" s="168">
        <v>0</v>
      </c>
      <c r="J207" s="168">
        <v>0</v>
      </c>
      <c r="K207" s="169">
        <v>0</v>
      </c>
      <c r="L207" s="96" t="s">
        <v>8</v>
      </c>
      <c r="M207" s="166">
        <f>IF(R207="PD",((Shop*G207)+(M_Tech*H207)+(CMM*I207)+(ENG*J207)+(DES*K207))*N207,((Shop_RD*G207)+(MTECH_RD*H207)+(CMM_RD*I207)+(ENG_RD*J207)+(DES_RD*K207))*N207)</f>
        <v>3207.6000000000004</v>
      </c>
      <c r="N207" s="92">
        <v>1</v>
      </c>
      <c r="O207" s="170">
        <f>M207+(F207*N207)</f>
        <v>3527.6000000000004</v>
      </c>
      <c r="P207" s="170"/>
      <c r="Q207" s="52" t="s">
        <v>48</v>
      </c>
      <c r="R207" s="71" t="s">
        <v>77</v>
      </c>
      <c r="S207" s="137" t="str">
        <f>CONCATENATE(Q207,R207,AB207)</f>
        <v>CPD2011</v>
      </c>
      <c r="T207" s="137" t="str">
        <f>CONCATENATE(Q207,U207,AB207)</f>
        <v>C1.5.1.2.42011</v>
      </c>
      <c r="U207" s="137" t="s">
        <v>217</v>
      </c>
      <c r="V207" s="137" t="str">
        <f>LOOKUP(U207,$B$539:$B$574,$A$539:$A$574)</f>
        <v>Pixel Support Tube</v>
      </c>
      <c r="W207" s="20"/>
      <c r="X207" s="20"/>
      <c r="Y207" s="20"/>
      <c r="Z207" s="20"/>
      <c r="AA207" s="20"/>
      <c r="AB207" s="33">
        <v>2011</v>
      </c>
      <c r="AC207" s="132">
        <f>IF($Q207="B", (G207*$N207),0)</f>
        <v>0</v>
      </c>
      <c r="AD207" s="132">
        <f>IF($Q207="B", (H207*$N207),0)</f>
        <v>0</v>
      </c>
      <c r="AE207" s="132">
        <f>IF($Q207="B", (I207*$N207),0)</f>
        <v>0</v>
      </c>
      <c r="AF207" s="132">
        <f>IF($Q207="B", (J207*$N207),0)</f>
        <v>0</v>
      </c>
      <c r="AG207" s="132">
        <f>IF($Q207="B", (K207*$N207),0)</f>
        <v>0</v>
      </c>
      <c r="AH207" s="234">
        <f>IF($Q207="B", (F207*$N207),0)</f>
        <v>0</v>
      </c>
      <c r="AI207" s="236"/>
      <c r="AJ207" s="242"/>
      <c r="AK207" s="242"/>
      <c r="AL207" s="166"/>
      <c r="AM207" s="131">
        <f>IF($Q207="C", (G207*$N207),0)</f>
        <v>24</v>
      </c>
      <c r="AN207" s="132">
        <f>IF($Q207="C", (H207*$N207),0)</f>
        <v>8</v>
      </c>
      <c r="AO207" s="132">
        <f>IF($Q207="C", (I207*$N207),0)</f>
        <v>0</v>
      </c>
      <c r="AP207" s="132">
        <f>IF($Q207="C", (J207*$N207),0)</f>
        <v>0</v>
      </c>
      <c r="AQ207" s="132">
        <f>IF($Q207="C", (K207*$N207),0)</f>
        <v>0</v>
      </c>
      <c r="AR207" s="132">
        <f>IF($Q207="C", (F207*$N207),0)</f>
        <v>320</v>
      </c>
      <c r="AS207" s="236"/>
    </row>
    <row r="208" spans="1:45" s="133" customFormat="1">
      <c r="A208" s="64" t="s">
        <v>359</v>
      </c>
      <c r="B208" s="20" t="s">
        <v>7</v>
      </c>
      <c r="C208" s="165">
        <v>40</v>
      </c>
      <c r="D208" s="96" t="s">
        <v>39</v>
      </c>
      <c r="E208" s="166">
        <v>8</v>
      </c>
      <c r="F208" s="167">
        <f>E208*C208</f>
        <v>320</v>
      </c>
      <c r="G208" s="168">
        <v>16</v>
      </c>
      <c r="H208" s="168">
        <v>16</v>
      </c>
      <c r="I208" s="168">
        <v>0</v>
      </c>
      <c r="J208" s="168">
        <v>0</v>
      </c>
      <c r="K208" s="169">
        <v>0</v>
      </c>
      <c r="L208" s="96" t="s">
        <v>8</v>
      </c>
      <c r="M208" s="166">
        <f>IF(R208="PD",((Shop*G208)+(M_Tech*H208)+(CMM*I208)+(ENG*J208)+(DES*K208))*N208,((Shop_RD*G208)+(MTECH_RD*H208)+(CMM_RD*I208)+(ENG_RD*J208)+(DES_RD*K208))*N208)</f>
        <v>3149.28</v>
      </c>
      <c r="N208" s="92">
        <v>1</v>
      </c>
      <c r="O208" s="170">
        <f>M208+(F208*N208)</f>
        <v>3469.28</v>
      </c>
      <c r="P208" s="170"/>
      <c r="Q208" s="52" t="s">
        <v>47</v>
      </c>
      <c r="R208" s="71" t="s">
        <v>77</v>
      </c>
      <c r="S208" s="137" t="str">
        <f>CONCATENATE(Q208,R208,AB208)</f>
        <v>BPD2011</v>
      </c>
      <c r="T208" s="137" t="str">
        <f>CONCATENATE(Q208,U208,AB208)</f>
        <v>B1.5.1.2.42011</v>
      </c>
      <c r="U208" s="137" t="s">
        <v>217</v>
      </c>
      <c r="V208" s="137" t="str">
        <f>LOOKUP(U208,$B$539:$B$574,$A$539:$A$574)</f>
        <v>Pixel Support Tube</v>
      </c>
      <c r="W208" s="20"/>
      <c r="X208" s="20"/>
      <c r="Y208" s="20"/>
      <c r="Z208" s="20"/>
      <c r="AA208" s="20"/>
      <c r="AB208" s="33">
        <v>2011</v>
      </c>
      <c r="AC208" s="132">
        <f t="shared" ref="AC208:AC209" si="655">IF($Q208="B", (G208*$N208),0)</f>
        <v>16</v>
      </c>
      <c r="AD208" s="132">
        <f t="shared" ref="AD208:AD209" si="656">IF($Q208="B", (H208*$N208),0)</f>
        <v>16</v>
      </c>
      <c r="AE208" s="132">
        <f t="shared" ref="AE208:AE209" si="657">IF($Q208="B", (I208*$N208),0)</f>
        <v>0</v>
      </c>
      <c r="AF208" s="132">
        <f t="shared" ref="AF208:AF209" si="658">IF($Q208="B", (J208*$N208),0)</f>
        <v>0</v>
      </c>
      <c r="AG208" s="132">
        <f t="shared" ref="AG208:AG209" si="659">IF($Q208="B", (K208*$N208),0)</f>
        <v>0</v>
      </c>
      <c r="AH208" s="234">
        <f>IF($Q208="B", (F208*$N208),0)</f>
        <v>320</v>
      </c>
      <c r="AI208" s="236"/>
      <c r="AJ208" s="242"/>
      <c r="AK208" s="242"/>
      <c r="AL208" s="166"/>
      <c r="AM208" s="131">
        <f t="shared" ref="AM208:AM209" si="660">IF($Q208="C", (G208*$N208),0)</f>
        <v>0</v>
      </c>
      <c r="AN208" s="132">
        <f t="shared" ref="AN208:AN209" si="661">IF($Q208="C", (H208*$N208),0)</f>
        <v>0</v>
      </c>
      <c r="AO208" s="132">
        <f t="shared" ref="AO208:AO209" si="662">IF($Q208="C", (I208*$N208),0)</f>
        <v>0</v>
      </c>
      <c r="AP208" s="132">
        <f t="shared" ref="AP208:AP209" si="663">IF($Q208="C", (J208*$N208),0)</f>
        <v>0</v>
      </c>
      <c r="AQ208" s="132">
        <f t="shared" ref="AQ208:AQ209" si="664">IF($Q208="C", (K208*$N208),0)</f>
        <v>0</v>
      </c>
      <c r="AR208" s="132">
        <f>IF($Q208="C", (F208*$N208),0)</f>
        <v>0</v>
      </c>
      <c r="AS208" s="236"/>
    </row>
    <row r="209" spans="1:45" s="133" customFormat="1">
      <c r="A209" s="64" t="s">
        <v>185</v>
      </c>
      <c r="B209" s="20" t="s">
        <v>7</v>
      </c>
      <c r="C209" s="165">
        <v>40</v>
      </c>
      <c r="D209" s="96" t="s">
        <v>39</v>
      </c>
      <c r="E209" s="166">
        <v>8</v>
      </c>
      <c r="F209" s="167">
        <f>E209*C209</f>
        <v>320</v>
      </c>
      <c r="G209" s="168">
        <v>16</v>
      </c>
      <c r="H209" s="168">
        <v>16</v>
      </c>
      <c r="I209" s="168">
        <v>0</v>
      </c>
      <c r="J209" s="168">
        <v>0</v>
      </c>
      <c r="K209" s="169">
        <v>0</v>
      </c>
      <c r="L209" s="96" t="s">
        <v>8</v>
      </c>
      <c r="M209" s="166">
        <f>IF(R209="PD",((Shop*G209)+(M_Tech*H209)+(CMM*I209)+(ENG*J209)+(DES*K209))*N209,((Shop_RD*G209)+(MTECH_RD*H209)+(CMM_RD*I209)+(ENG_RD*J209)+(DES_RD*K209))*N209)</f>
        <v>3149.28</v>
      </c>
      <c r="N209" s="92">
        <v>1</v>
      </c>
      <c r="O209" s="170">
        <f>M209+(F209*N209)</f>
        <v>3469.28</v>
      </c>
      <c r="P209" s="170"/>
      <c r="Q209" s="52" t="s">
        <v>47</v>
      </c>
      <c r="R209" s="71" t="s">
        <v>77</v>
      </c>
      <c r="S209" s="137" t="str">
        <f>CONCATENATE(Q209,R209,AB209)</f>
        <v>BPD2011</v>
      </c>
      <c r="T209" s="137" t="str">
        <f>CONCATENATE(Q209,U209,AB209)</f>
        <v>B1.5.1.2.42011</v>
      </c>
      <c r="U209" s="137" t="s">
        <v>217</v>
      </c>
      <c r="V209" s="137" t="str">
        <f>LOOKUP(U209,$B$539:$B$574,$A$539:$A$574)</f>
        <v>Pixel Support Tube</v>
      </c>
      <c r="W209" s="20"/>
      <c r="X209" s="20"/>
      <c r="Y209" s="20"/>
      <c r="Z209" s="20"/>
      <c r="AA209" s="20"/>
      <c r="AB209" s="33">
        <v>2011</v>
      </c>
      <c r="AC209" s="132">
        <f t="shared" si="655"/>
        <v>16</v>
      </c>
      <c r="AD209" s="132">
        <f t="shared" si="656"/>
        <v>16</v>
      </c>
      <c r="AE209" s="132">
        <f t="shared" si="657"/>
        <v>0</v>
      </c>
      <c r="AF209" s="132">
        <f t="shared" si="658"/>
        <v>0</v>
      </c>
      <c r="AG209" s="132">
        <f t="shared" si="659"/>
        <v>0</v>
      </c>
      <c r="AH209" s="234">
        <f>IF($Q209="B", (F209*$N209),0)</f>
        <v>320</v>
      </c>
      <c r="AI209" s="236"/>
      <c r="AJ209" s="242"/>
      <c r="AK209" s="242"/>
      <c r="AL209" s="166"/>
      <c r="AM209" s="131">
        <f t="shared" si="660"/>
        <v>0</v>
      </c>
      <c r="AN209" s="132">
        <f t="shared" si="661"/>
        <v>0</v>
      </c>
      <c r="AO209" s="132">
        <f t="shared" si="662"/>
        <v>0</v>
      </c>
      <c r="AP209" s="132">
        <f t="shared" si="663"/>
        <v>0</v>
      </c>
      <c r="AQ209" s="132">
        <f t="shared" si="664"/>
        <v>0</v>
      </c>
      <c r="AR209" s="132">
        <f>IF($Q209="C", (F209*$N209),0)</f>
        <v>0</v>
      </c>
      <c r="AS209" s="236"/>
    </row>
    <row r="210" spans="1:45" s="20" customFormat="1">
      <c r="A210" s="47" t="s">
        <v>366</v>
      </c>
      <c r="C210" s="165"/>
      <c r="D210" s="96"/>
      <c r="E210" s="57"/>
      <c r="F210" s="58"/>
      <c r="G210" s="59"/>
      <c r="H210" s="59"/>
      <c r="I210" s="59"/>
      <c r="J210" s="59"/>
      <c r="K210" s="60"/>
      <c r="L210" s="217" t="s">
        <v>66</v>
      </c>
      <c r="M210" s="177">
        <f>SUMIF(Q205:Q209,"B",M205:M209)</f>
        <v>28258.559999999998</v>
      </c>
      <c r="N210" s="65" t="s">
        <v>66</v>
      </c>
      <c r="O210" s="170"/>
      <c r="P210" s="170"/>
      <c r="Q210" s="52"/>
      <c r="R210" s="71"/>
      <c r="S210" s="137"/>
      <c r="T210" s="137"/>
      <c r="U210" s="137"/>
      <c r="V210" s="137"/>
      <c r="AB210" s="33"/>
      <c r="AC210" s="132"/>
      <c r="AD210" s="132"/>
      <c r="AE210" s="135"/>
      <c r="AF210" s="132"/>
      <c r="AG210" s="132"/>
      <c r="AH210" s="234"/>
      <c r="AI210" s="235"/>
      <c r="AJ210" s="132"/>
      <c r="AK210" s="132"/>
      <c r="AL210" s="166"/>
      <c r="AM210" s="131"/>
      <c r="AN210" s="132"/>
      <c r="AO210" s="132"/>
      <c r="AP210" s="132"/>
      <c r="AQ210" s="132"/>
      <c r="AR210" s="132"/>
      <c r="AS210" s="235"/>
    </row>
    <row r="211" spans="1:45" s="20" customFormat="1">
      <c r="A211" s="46" t="s">
        <v>345</v>
      </c>
      <c r="B211" s="20" t="s">
        <v>34</v>
      </c>
      <c r="C211" s="165">
        <v>0.03</v>
      </c>
      <c r="D211" s="96" t="s">
        <v>9</v>
      </c>
      <c r="E211" s="166">
        <v>0</v>
      </c>
      <c r="F211" s="167">
        <f>E211*C211</f>
        <v>0</v>
      </c>
      <c r="G211" s="168">
        <v>0</v>
      </c>
      <c r="H211" s="168">
        <v>0</v>
      </c>
      <c r="I211" s="168">
        <v>0</v>
      </c>
      <c r="J211" s="168">
        <v>120</v>
      </c>
      <c r="K211" s="169">
        <v>0</v>
      </c>
      <c r="L211" s="96" t="s">
        <v>8</v>
      </c>
      <c r="M211" s="166">
        <f>IF(R211="PD",((Shop*G211)+(M_Tech*H211)+(CMM*I211)+(ENG*J211)+(DES*K211))*N211,((Shop_RD*G211)+(MTECH_RD*H211)+(CMM_RD*I211)+(ENG_RD*J211)+(DES_RD*K211))*N211)</f>
        <v>14580.000000000002</v>
      </c>
      <c r="N211" s="92">
        <v>1</v>
      </c>
      <c r="O211" s="170">
        <f>M211+(F211*N211)</f>
        <v>14580.000000000002</v>
      </c>
      <c r="P211" s="170"/>
      <c r="Q211" s="52" t="s">
        <v>47</v>
      </c>
      <c r="R211" s="71" t="s">
        <v>77</v>
      </c>
      <c r="S211" s="137" t="str">
        <f>CONCATENATE(Q211,R211,AB211)</f>
        <v>BPD2011</v>
      </c>
      <c r="T211" s="137" t="str">
        <f>CONCATENATE(Q211,U211,AB211)</f>
        <v>B1.5.1.2.42011</v>
      </c>
      <c r="U211" s="137" t="s">
        <v>217</v>
      </c>
      <c r="V211" s="137" t="str">
        <f>LOOKUP(U211,$B$539:$B$574,$A$539:$A$574)</f>
        <v>Pixel Support Tube</v>
      </c>
      <c r="AB211" s="33">
        <v>2011</v>
      </c>
      <c r="AC211" s="132">
        <f t="shared" ref="AC211:AC213" si="665">IF($Q211="B", (G211*$N211),0)</f>
        <v>0</v>
      </c>
      <c r="AD211" s="132">
        <f t="shared" ref="AD211:AD213" si="666">IF($Q211="B", (H211*$N211),0)</f>
        <v>0</v>
      </c>
      <c r="AE211" s="132">
        <f t="shared" ref="AE211:AE213" si="667">IF($Q211="B", (I211*$N211),0)</f>
        <v>0</v>
      </c>
      <c r="AF211" s="132">
        <f t="shared" ref="AF211:AF213" si="668">IF($Q211="B", (J211*$N211),0)</f>
        <v>120</v>
      </c>
      <c r="AG211" s="132">
        <f t="shared" ref="AG211:AG213" si="669">IF($Q211="B", (K211*$N211),0)</f>
        <v>0</v>
      </c>
      <c r="AH211" s="234">
        <f>IF($Q211="B", (F211*$N211),0)</f>
        <v>0</v>
      </c>
      <c r="AI211" s="235"/>
      <c r="AJ211" s="132"/>
      <c r="AK211" s="132"/>
      <c r="AL211" s="166"/>
      <c r="AM211" s="131">
        <f t="shared" ref="AM211:AM213" si="670">IF($Q211="C", (G211*$N211),0)</f>
        <v>0</v>
      </c>
      <c r="AN211" s="132">
        <f t="shared" ref="AN211:AN213" si="671">IF($Q211="C", (H211*$N211),0)</f>
        <v>0</v>
      </c>
      <c r="AO211" s="132">
        <f t="shared" ref="AO211:AO213" si="672">IF($Q211="C", (I211*$N211),0)</f>
        <v>0</v>
      </c>
      <c r="AP211" s="132">
        <f t="shared" ref="AP211:AP213" si="673">IF($Q211="C", (J211*$N211),0)</f>
        <v>0</v>
      </c>
      <c r="AQ211" s="132">
        <f t="shared" ref="AQ211:AQ213" si="674">IF($Q211="C", (K211*$N211),0)</f>
        <v>0</v>
      </c>
      <c r="AR211" s="132">
        <f>IF($Q211="C", (F211*$N211),0)</f>
        <v>0</v>
      </c>
      <c r="AS211" s="235"/>
    </row>
    <row r="212" spans="1:45" s="20" customFormat="1">
      <c r="A212" s="46" t="s">
        <v>318</v>
      </c>
      <c r="B212" s="20" t="s">
        <v>34</v>
      </c>
      <c r="C212" s="165">
        <v>0.03</v>
      </c>
      <c r="D212" s="96" t="s">
        <v>9</v>
      </c>
      <c r="E212" s="166">
        <v>0</v>
      </c>
      <c r="F212" s="167">
        <f>E212*C212</f>
        <v>0</v>
      </c>
      <c r="G212" s="168">
        <v>0</v>
      </c>
      <c r="H212" s="168">
        <v>8</v>
      </c>
      <c r="I212" s="168">
        <v>0</v>
      </c>
      <c r="J212" s="168">
        <v>0</v>
      </c>
      <c r="K212" s="169">
        <v>0</v>
      </c>
      <c r="L212" s="96" t="s">
        <v>8</v>
      </c>
      <c r="M212" s="166">
        <f>IF(R212="PD",((Shop*G212)+(M_Tech*H212)+(CMM*I212)+(ENG*J212)+(DES*K212))*N212,((Shop_RD*G212)+(MTECH_RD*H212)+(CMM_RD*I212)+(ENG_RD*J212)+(DES_RD*K212))*N212)</f>
        <v>2274.4800000000005</v>
      </c>
      <c r="N212" s="92">
        <v>3</v>
      </c>
      <c r="O212" s="170">
        <f>M212+(F212*N212)</f>
        <v>2274.4800000000005</v>
      </c>
      <c r="P212" s="170"/>
      <c r="Q212" s="52" t="s">
        <v>47</v>
      </c>
      <c r="R212" s="71" t="s">
        <v>77</v>
      </c>
      <c r="S212" s="137" t="str">
        <f>CONCATENATE(Q212,R212,AB212)</f>
        <v>BPD2011</v>
      </c>
      <c r="T212" s="137" t="str">
        <f>CONCATENATE(Q212,U212,AB212)</f>
        <v>B1.5.1.2.42011</v>
      </c>
      <c r="U212" s="137" t="s">
        <v>217</v>
      </c>
      <c r="V212" s="137" t="str">
        <f>LOOKUP(U212,$B$539:$B$574,$A$539:$A$574)</f>
        <v>Pixel Support Tube</v>
      </c>
      <c r="AB212" s="33">
        <v>2011</v>
      </c>
      <c r="AC212" s="132">
        <f t="shared" si="665"/>
        <v>0</v>
      </c>
      <c r="AD212" s="132">
        <f t="shared" si="666"/>
        <v>24</v>
      </c>
      <c r="AE212" s="132">
        <f t="shared" si="667"/>
        <v>0</v>
      </c>
      <c r="AF212" s="132">
        <f t="shared" si="668"/>
        <v>0</v>
      </c>
      <c r="AG212" s="132">
        <f t="shared" si="669"/>
        <v>0</v>
      </c>
      <c r="AH212" s="234">
        <f>IF($Q212="B", (F212*$N212),0)</f>
        <v>0</v>
      </c>
      <c r="AI212" s="235"/>
      <c r="AJ212" s="132"/>
      <c r="AK212" s="132"/>
      <c r="AL212" s="166"/>
      <c r="AM212" s="131">
        <f t="shared" si="670"/>
        <v>0</v>
      </c>
      <c r="AN212" s="132">
        <f t="shared" si="671"/>
        <v>0</v>
      </c>
      <c r="AO212" s="132">
        <f t="shared" si="672"/>
        <v>0</v>
      </c>
      <c r="AP212" s="132">
        <f t="shared" si="673"/>
        <v>0</v>
      </c>
      <c r="AQ212" s="132">
        <f t="shared" si="674"/>
        <v>0</v>
      </c>
      <c r="AR212" s="132">
        <f>IF($Q212="C", (F212*$N212),0)</f>
        <v>0</v>
      </c>
      <c r="AS212" s="235"/>
    </row>
    <row r="213" spans="1:45" s="20" customFormat="1">
      <c r="A213" s="46" t="s">
        <v>319</v>
      </c>
      <c r="B213" s="20" t="s">
        <v>58</v>
      </c>
      <c r="C213" s="165">
        <v>22</v>
      </c>
      <c r="D213" s="96" t="s">
        <v>9</v>
      </c>
      <c r="E213" s="166">
        <v>105</v>
      </c>
      <c r="F213" s="167">
        <f>E213*C213</f>
        <v>2310</v>
      </c>
      <c r="G213" s="168">
        <v>0</v>
      </c>
      <c r="H213" s="168">
        <v>48</v>
      </c>
      <c r="I213" s="168">
        <v>0</v>
      </c>
      <c r="J213" s="168">
        <v>0</v>
      </c>
      <c r="K213" s="169">
        <v>0</v>
      </c>
      <c r="L213" s="96" t="s">
        <v>8</v>
      </c>
      <c r="M213" s="166">
        <f>IF(R213="PD",((Shop*G213)+(M_Tech*H213)+(CMM*I213)+(ENG*J213)+(DES*K213))*N213,((Shop_RD*G213)+(MTECH_RD*H213)+(CMM_RD*I213)+(ENG_RD*J213)+(DES_RD*K213))*N213)</f>
        <v>13646.880000000003</v>
      </c>
      <c r="N213" s="92">
        <v>3</v>
      </c>
      <c r="O213" s="170">
        <f>M213+(F213*N213)</f>
        <v>20576.880000000005</v>
      </c>
      <c r="P213" s="170"/>
      <c r="Q213" s="52" t="s">
        <v>47</v>
      </c>
      <c r="R213" s="71" t="s">
        <v>77</v>
      </c>
      <c r="S213" s="137" t="str">
        <f>CONCATENATE(Q213,R213,AB213)</f>
        <v>BPD2011</v>
      </c>
      <c r="T213" s="137" t="str">
        <f>CONCATENATE(Q213,U213,AB213)</f>
        <v>B1.5.1.2.42011</v>
      </c>
      <c r="U213" s="137" t="s">
        <v>217</v>
      </c>
      <c r="V213" s="137" t="str">
        <f>LOOKUP(U213,$B$539:$B$574,$A$539:$A$574)</f>
        <v>Pixel Support Tube</v>
      </c>
      <c r="AB213" s="33">
        <v>2011</v>
      </c>
      <c r="AC213" s="132">
        <f t="shared" si="665"/>
        <v>0</v>
      </c>
      <c r="AD213" s="132">
        <f t="shared" si="666"/>
        <v>144</v>
      </c>
      <c r="AE213" s="132">
        <f t="shared" si="667"/>
        <v>0</v>
      </c>
      <c r="AF213" s="132">
        <f t="shared" si="668"/>
        <v>0</v>
      </c>
      <c r="AG213" s="132">
        <f t="shared" si="669"/>
        <v>0</v>
      </c>
      <c r="AH213" s="234">
        <f>IF($Q213="B", (F213*$N213),0)</f>
        <v>6930</v>
      </c>
      <c r="AI213" s="235"/>
      <c r="AJ213" s="132"/>
      <c r="AK213" s="132"/>
      <c r="AL213" s="166"/>
      <c r="AM213" s="131">
        <f t="shared" si="670"/>
        <v>0</v>
      </c>
      <c r="AN213" s="132">
        <f t="shared" si="671"/>
        <v>0</v>
      </c>
      <c r="AO213" s="132">
        <f t="shared" si="672"/>
        <v>0</v>
      </c>
      <c r="AP213" s="132">
        <f t="shared" si="673"/>
        <v>0</v>
      </c>
      <c r="AQ213" s="132">
        <f t="shared" si="674"/>
        <v>0</v>
      </c>
      <c r="AR213" s="132">
        <f>IF($Q213="C", (F213*$N213),0)</f>
        <v>0</v>
      </c>
      <c r="AS213" s="235"/>
    </row>
    <row r="214" spans="1:45" s="20" customFormat="1">
      <c r="A214" s="47" t="s">
        <v>368</v>
      </c>
      <c r="C214" s="165"/>
      <c r="D214" s="96"/>
      <c r="E214" s="57"/>
      <c r="F214" s="58"/>
      <c r="G214" s="59"/>
      <c r="H214" s="59"/>
      <c r="I214" s="59"/>
      <c r="J214" s="59"/>
      <c r="K214" s="60"/>
      <c r="L214" s="217" t="s">
        <v>66</v>
      </c>
      <c r="M214" s="177">
        <f>SUMIF(Q211:Q213,"B",M211:M213)</f>
        <v>30501.360000000008</v>
      </c>
      <c r="N214" s="65" t="s">
        <v>65</v>
      </c>
      <c r="O214" s="170"/>
      <c r="P214" s="170"/>
      <c r="Q214" s="52"/>
      <c r="R214" s="71"/>
      <c r="S214" s="137"/>
      <c r="T214" s="137"/>
      <c r="U214" s="137"/>
      <c r="V214" s="137"/>
      <c r="AB214" s="33"/>
      <c r="AC214" s="132"/>
      <c r="AD214" s="132"/>
      <c r="AE214" s="135"/>
      <c r="AF214" s="132"/>
      <c r="AG214" s="132"/>
      <c r="AH214" s="234"/>
      <c r="AI214" s="235"/>
      <c r="AJ214" s="132"/>
      <c r="AK214" s="132"/>
      <c r="AL214" s="166"/>
      <c r="AM214" s="131"/>
      <c r="AN214" s="132"/>
      <c r="AO214" s="132"/>
      <c r="AP214" s="132"/>
      <c r="AQ214" s="132"/>
      <c r="AR214" s="132"/>
      <c r="AS214" s="235"/>
    </row>
    <row r="215" spans="1:45" s="20" customFormat="1">
      <c r="A215" s="46" t="s">
        <v>318</v>
      </c>
      <c r="B215" s="20" t="s">
        <v>34</v>
      </c>
      <c r="C215" s="165">
        <v>0.03</v>
      </c>
      <c r="D215" s="96" t="s">
        <v>9</v>
      </c>
      <c r="E215" s="166">
        <v>0</v>
      </c>
      <c r="F215" s="167">
        <f>E215*C215</f>
        <v>0</v>
      </c>
      <c r="G215" s="168">
        <v>0</v>
      </c>
      <c r="H215" s="168">
        <v>16</v>
      </c>
      <c r="I215" s="168">
        <v>0</v>
      </c>
      <c r="J215" s="168">
        <v>8</v>
      </c>
      <c r="K215" s="169">
        <v>0</v>
      </c>
      <c r="L215" s="96" t="s">
        <v>8</v>
      </c>
      <c r="M215" s="166">
        <f>IF(R215="PD",((Shop*G215)+(M_Tech*H215)+(CMM*I215)+(ENG*J215)+(DES*K215))*N215,((Shop_RD*G215)+(MTECH_RD*H215)+(CMM_RD*I215)+(ENG_RD*J215)+(DES_RD*K215))*N215)</f>
        <v>2488.3200000000002</v>
      </c>
      <c r="N215" s="92">
        <v>1</v>
      </c>
      <c r="O215" s="170">
        <f>M215+(F215*N215)</f>
        <v>2488.3200000000002</v>
      </c>
      <c r="P215" s="170"/>
      <c r="Q215" s="52" t="s">
        <v>47</v>
      </c>
      <c r="R215" s="71" t="s">
        <v>77</v>
      </c>
      <c r="S215" s="137" t="str">
        <f>CONCATENATE(Q215,R215,AB215)</f>
        <v>BPD2012</v>
      </c>
      <c r="T215" s="137" t="str">
        <f>CONCATENATE(Q215,U215,AB215)</f>
        <v>B1.5.1.2.42012</v>
      </c>
      <c r="U215" s="137" t="s">
        <v>217</v>
      </c>
      <c r="V215" s="137" t="str">
        <f>LOOKUP(U215,$B$539:$B$574,$A$539:$A$574)</f>
        <v>Pixel Support Tube</v>
      </c>
      <c r="AB215" s="33">
        <v>2012</v>
      </c>
      <c r="AC215" s="132">
        <f t="shared" ref="AC215:AC218" si="675">IF($Q215="B", (G215*$N215),0)</f>
        <v>0</v>
      </c>
      <c r="AD215" s="132">
        <f t="shared" ref="AD215:AD218" si="676">IF($Q215="B", (H215*$N215),0)</f>
        <v>16</v>
      </c>
      <c r="AE215" s="132">
        <f t="shared" ref="AE215:AE218" si="677">IF($Q215="B", (I215*$N215),0)</f>
        <v>0</v>
      </c>
      <c r="AF215" s="132">
        <f t="shared" ref="AF215:AF218" si="678">IF($Q215="B", (J215*$N215),0)</f>
        <v>8</v>
      </c>
      <c r="AG215" s="132">
        <f t="shared" ref="AG215:AG218" si="679">IF($Q215="B", (K215*$N215),0)</f>
        <v>0</v>
      </c>
      <c r="AH215" s="234">
        <f>IF($Q215="B", (F215*$N215),0)</f>
        <v>0</v>
      </c>
      <c r="AI215" s="235"/>
      <c r="AJ215" s="132"/>
      <c r="AK215" s="132"/>
      <c r="AL215" s="166"/>
      <c r="AM215" s="131">
        <f t="shared" ref="AM215:AM218" si="680">IF($Q215="C", (G215*$N215),0)</f>
        <v>0</v>
      </c>
      <c r="AN215" s="132">
        <f t="shared" ref="AN215:AN218" si="681">IF($Q215="C", (H215*$N215),0)</f>
        <v>0</v>
      </c>
      <c r="AO215" s="132">
        <f t="shared" ref="AO215:AO218" si="682">IF($Q215="C", (I215*$N215),0)</f>
        <v>0</v>
      </c>
      <c r="AP215" s="132">
        <f t="shared" ref="AP215:AP218" si="683">IF($Q215="C", (J215*$N215),0)</f>
        <v>0</v>
      </c>
      <c r="AQ215" s="132">
        <f t="shared" ref="AQ215:AQ218" si="684">IF($Q215="C", (K215*$N215),0)</f>
        <v>0</v>
      </c>
      <c r="AR215" s="132">
        <f>IF($Q215="C", (F215*$N215),0)</f>
        <v>0</v>
      </c>
      <c r="AS215" s="235"/>
    </row>
    <row r="216" spans="1:45" s="20" customFormat="1">
      <c r="A216" s="46" t="s">
        <v>319</v>
      </c>
      <c r="B216" s="20" t="s">
        <v>58</v>
      </c>
      <c r="C216" s="165">
        <v>22</v>
      </c>
      <c r="D216" s="96" t="s">
        <v>9</v>
      </c>
      <c r="E216" s="166">
        <v>105</v>
      </c>
      <c r="F216" s="167">
        <f>E216*C216</f>
        <v>2310</v>
      </c>
      <c r="G216" s="168">
        <v>0</v>
      </c>
      <c r="H216" s="168">
        <v>120</v>
      </c>
      <c r="I216" s="168">
        <v>0</v>
      </c>
      <c r="J216" s="168">
        <v>16</v>
      </c>
      <c r="K216" s="169">
        <v>0</v>
      </c>
      <c r="L216" s="96" t="s">
        <v>8</v>
      </c>
      <c r="M216" s="166">
        <f>IF(R216="PD",((Shop*G216)+(M_Tech*H216)+(CMM*I216)+(ENG*J216)+(DES*K216))*N216,((Shop_RD*G216)+(MTECH_RD*H216)+(CMM_RD*I216)+(ENG_RD*J216)+(DES_RD*K216))*N216)</f>
        <v>13316.400000000001</v>
      </c>
      <c r="N216" s="92">
        <v>1</v>
      </c>
      <c r="O216" s="170">
        <f>M216+(F216*N216)</f>
        <v>15626.400000000001</v>
      </c>
      <c r="P216" s="170"/>
      <c r="Q216" s="52" t="s">
        <v>47</v>
      </c>
      <c r="R216" s="71" t="s">
        <v>77</v>
      </c>
      <c r="S216" s="137" t="str">
        <f>CONCATENATE(Q216,R216,AB216)</f>
        <v>BPD2012</v>
      </c>
      <c r="T216" s="137" t="str">
        <f>CONCATENATE(Q216,U216,AB216)</f>
        <v>B1.5.1.2.42012</v>
      </c>
      <c r="U216" s="137" t="s">
        <v>217</v>
      </c>
      <c r="V216" s="137" t="str">
        <f>LOOKUP(U216,$B$539:$B$574,$A$539:$A$574)</f>
        <v>Pixel Support Tube</v>
      </c>
      <c r="AB216" s="33">
        <v>2012</v>
      </c>
      <c r="AC216" s="132">
        <f t="shared" si="675"/>
        <v>0</v>
      </c>
      <c r="AD216" s="132">
        <f t="shared" si="676"/>
        <v>120</v>
      </c>
      <c r="AE216" s="132">
        <f t="shared" si="677"/>
        <v>0</v>
      </c>
      <c r="AF216" s="132">
        <f t="shared" si="678"/>
        <v>16</v>
      </c>
      <c r="AG216" s="132">
        <f t="shared" si="679"/>
        <v>0</v>
      </c>
      <c r="AH216" s="234">
        <f>IF($Q216="B", (F216*$N216),0)</f>
        <v>2310</v>
      </c>
      <c r="AI216" s="235"/>
      <c r="AJ216" s="132"/>
      <c r="AK216" s="132"/>
      <c r="AL216" s="166"/>
      <c r="AM216" s="131">
        <f t="shared" si="680"/>
        <v>0</v>
      </c>
      <c r="AN216" s="132">
        <f t="shared" si="681"/>
        <v>0</v>
      </c>
      <c r="AO216" s="132">
        <f t="shared" si="682"/>
        <v>0</v>
      </c>
      <c r="AP216" s="132">
        <f t="shared" si="683"/>
        <v>0</v>
      </c>
      <c r="AQ216" s="132">
        <f t="shared" si="684"/>
        <v>0</v>
      </c>
      <c r="AR216" s="132">
        <f>IF($Q216="C", (F216*$N216),0)</f>
        <v>0</v>
      </c>
      <c r="AS216" s="235"/>
    </row>
    <row r="217" spans="1:45" s="20" customFormat="1">
      <c r="A217" s="46" t="s">
        <v>318</v>
      </c>
      <c r="B217" s="20" t="s">
        <v>34</v>
      </c>
      <c r="C217" s="165">
        <v>0.03</v>
      </c>
      <c r="D217" s="96" t="s">
        <v>9</v>
      </c>
      <c r="E217" s="166">
        <v>0</v>
      </c>
      <c r="F217" s="167">
        <f>E217*C217</f>
        <v>0</v>
      </c>
      <c r="G217" s="168">
        <v>0</v>
      </c>
      <c r="H217" s="168">
        <v>16</v>
      </c>
      <c r="I217" s="168">
        <v>0</v>
      </c>
      <c r="J217" s="168">
        <v>8</v>
      </c>
      <c r="K217" s="169">
        <v>0</v>
      </c>
      <c r="L217" s="96" t="s">
        <v>8</v>
      </c>
      <c r="M217" s="166">
        <f>IF(R217="PD",((Shop*G217)+(M_Tech*H217)+(CMM*I217)+(ENG*J217)+(DES*K217))*N217,((Shop_RD*G217)+(MTECH_RD*H217)+(CMM_RD*I217)+(ENG_RD*J217)+(DES_RD*K217))*N217)</f>
        <v>2488.3200000000002</v>
      </c>
      <c r="N217" s="92">
        <v>1</v>
      </c>
      <c r="O217" s="170">
        <f>M217+(F217*N217)</f>
        <v>2488.3200000000002</v>
      </c>
      <c r="P217" s="170"/>
      <c r="Q217" s="52" t="s">
        <v>48</v>
      </c>
      <c r="R217" s="71" t="s">
        <v>77</v>
      </c>
      <c r="S217" s="137" t="str">
        <f>CONCATENATE(Q217,R217,AB217)</f>
        <v>CPD2012</v>
      </c>
      <c r="T217" s="137" t="str">
        <f>CONCATENATE(Q217,U217,AB217)</f>
        <v>C1.5.1.2.42012</v>
      </c>
      <c r="U217" s="137" t="s">
        <v>217</v>
      </c>
      <c r="V217" s="137" t="str">
        <f>LOOKUP(U217,$B$539:$B$574,$A$539:$A$574)</f>
        <v>Pixel Support Tube</v>
      </c>
      <c r="AB217" s="33">
        <v>2012</v>
      </c>
      <c r="AC217" s="132">
        <f t="shared" si="675"/>
        <v>0</v>
      </c>
      <c r="AD217" s="132">
        <f t="shared" si="676"/>
        <v>0</v>
      </c>
      <c r="AE217" s="132">
        <f t="shared" si="677"/>
        <v>0</v>
      </c>
      <c r="AF217" s="132">
        <f t="shared" si="678"/>
        <v>0</v>
      </c>
      <c r="AG217" s="132">
        <f t="shared" si="679"/>
        <v>0</v>
      </c>
      <c r="AH217" s="234">
        <f>IF($Q217="B", (F217*$N217),0)</f>
        <v>0</v>
      </c>
      <c r="AI217" s="235"/>
      <c r="AJ217" s="132"/>
      <c r="AK217" s="132"/>
      <c r="AL217" s="166"/>
      <c r="AM217" s="131">
        <f t="shared" si="680"/>
        <v>0</v>
      </c>
      <c r="AN217" s="132">
        <f t="shared" si="681"/>
        <v>16</v>
      </c>
      <c r="AO217" s="132">
        <f t="shared" si="682"/>
        <v>0</v>
      </c>
      <c r="AP217" s="132">
        <f t="shared" si="683"/>
        <v>8</v>
      </c>
      <c r="AQ217" s="132">
        <f t="shared" si="684"/>
        <v>0</v>
      </c>
      <c r="AR217" s="132">
        <f>IF($Q217="C", (F217*$N217),0)</f>
        <v>0</v>
      </c>
      <c r="AS217" s="235"/>
    </row>
    <row r="218" spans="1:45" s="20" customFormat="1">
      <c r="A218" s="46" t="s">
        <v>319</v>
      </c>
      <c r="B218" s="20" t="s">
        <v>58</v>
      </c>
      <c r="C218" s="165">
        <v>22</v>
      </c>
      <c r="D218" s="96" t="s">
        <v>9</v>
      </c>
      <c r="E218" s="166">
        <v>105</v>
      </c>
      <c r="F218" s="167">
        <f>E218*C218</f>
        <v>2310</v>
      </c>
      <c r="G218" s="168">
        <v>0</v>
      </c>
      <c r="H218" s="168">
        <v>120</v>
      </c>
      <c r="I218" s="168">
        <v>0</v>
      </c>
      <c r="J218" s="168">
        <v>16</v>
      </c>
      <c r="K218" s="169">
        <v>0</v>
      </c>
      <c r="L218" s="96" t="s">
        <v>8</v>
      </c>
      <c r="M218" s="166">
        <f>IF(R218="PD",((Shop*G218)+(M_Tech*H218)+(CMM*I218)+(ENG*J218)+(DES*K218))*N218,((Shop_RD*G218)+(MTECH_RD*H218)+(CMM_RD*I218)+(ENG_RD*J218)+(DES_RD*K218))*N218)</f>
        <v>13316.400000000001</v>
      </c>
      <c r="N218" s="92">
        <v>1</v>
      </c>
      <c r="O218" s="170">
        <f>M218+(F218*N218)</f>
        <v>15626.400000000001</v>
      </c>
      <c r="P218" s="170"/>
      <c r="Q218" s="52" t="s">
        <v>48</v>
      </c>
      <c r="R218" s="71" t="s">
        <v>77</v>
      </c>
      <c r="S218" s="137" t="str">
        <f>CONCATENATE(Q218,R218,AB218)</f>
        <v>CPD2012</v>
      </c>
      <c r="T218" s="137" t="str">
        <f>CONCATENATE(Q218,U218,AB218)</f>
        <v>C1.5.1.2.42012</v>
      </c>
      <c r="U218" s="137" t="s">
        <v>217</v>
      </c>
      <c r="V218" s="137" t="str">
        <f>LOOKUP(U218,$B$539:$B$574,$A$539:$A$574)</f>
        <v>Pixel Support Tube</v>
      </c>
      <c r="AB218" s="33">
        <v>2012</v>
      </c>
      <c r="AC218" s="132">
        <f t="shared" si="675"/>
        <v>0</v>
      </c>
      <c r="AD218" s="132">
        <f t="shared" si="676"/>
        <v>0</v>
      </c>
      <c r="AE218" s="132">
        <f t="shared" si="677"/>
        <v>0</v>
      </c>
      <c r="AF218" s="132">
        <f t="shared" si="678"/>
        <v>0</v>
      </c>
      <c r="AG218" s="132">
        <f t="shared" si="679"/>
        <v>0</v>
      </c>
      <c r="AH218" s="234">
        <f>IF($Q218="B", (F218*$N218),0)</f>
        <v>0</v>
      </c>
      <c r="AI218" s="235"/>
      <c r="AJ218" s="132"/>
      <c r="AK218" s="132"/>
      <c r="AL218" s="166"/>
      <c r="AM218" s="131">
        <f t="shared" si="680"/>
        <v>0</v>
      </c>
      <c r="AN218" s="132">
        <f t="shared" si="681"/>
        <v>120</v>
      </c>
      <c r="AO218" s="132">
        <f t="shared" si="682"/>
        <v>0</v>
      </c>
      <c r="AP218" s="132">
        <f t="shared" si="683"/>
        <v>16</v>
      </c>
      <c r="AQ218" s="132">
        <f t="shared" si="684"/>
        <v>0</v>
      </c>
      <c r="AR218" s="132">
        <f>IF($Q218="C", (F218*$N218),0)</f>
        <v>2310</v>
      </c>
      <c r="AS218" s="235"/>
    </row>
    <row r="219" spans="1:45" s="20" customFormat="1">
      <c r="A219" s="47" t="s">
        <v>367</v>
      </c>
      <c r="C219" s="165"/>
      <c r="D219" s="96"/>
      <c r="E219" s="57"/>
      <c r="F219" s="58"/>
      <c r="G219" s="59"/>
      <c r="H219" s="59"/>
      <c r="I219" s="59"/>
      <c r="J219" s="59"/>
      <c r="K219" s="60"/>
      <c r="L219" s="217" t="s">
        <v>66</v>
      </c>
      <c r="M219" s="177">
        <f>SUMIF(Q215:Q218,"B",M215:M218)</f>
        <v>15804.720000000001</v>
      </c>
      <c r="N219" s="65" t="s">
        <v>65</v>
      </c>
      <c r="O219" s="170"/>
      <c r="P219" s="170"/>
      <c r="Q219" s="52"/>
      <c r="R219" s="71"/>
      <c r="S219" s="137"/>
      <c r="T219" s="137"/>
      <c r="U219" s="137"/>
      <c r="V219" s="137"/>
      <c r="AB219" s="33"/>
      <c r="AC219" s="132"/>
      <c r="AD219" s="132"/>
      <c r="AE219" s="135"/>
      <c r="AF219" s="132"/>
      <c r="AG219" s="132"/>
      <c r="AH219" s="234"/>
      <c r="AI219" s="235"/>
      <c r="AJ219" s="132"/>
      <c r="AK219" s="132"/>
      <c r="AL219" s="166"/>
      <c r="AM219" s="131"/>
      <c r="AN219" s="132"/>
      <c r="AO219" s="132"/>
      <c r="AP219" s="132"/>
      <c r="AQ219" s="132"/>
      <c r="AR219" s="132"/>
      <c r="AS219" s="235"/>
    </row>
    <row r="220" spans="1:45" s="20" customFormat="1">
      <c r="A220" s="46" t="s">
        <v>318</v>
      </c>
      <c r="B220" s="20" t="s">
        <v>34</v>
      </c>
      <c r="C220" s="165">
        <v>0.03</v>
      </c>
      <c r="D220" s="96" t="s">
        <v>9</v>
      </c>
      <c r="E220" s="166">
        <v>0</v>
      </c>
      <c r="F220" s="167">
        <f>E220*C220</f>
        <v>0</v>
      </c>
      <c r="G220" s="168">
        <v>0</v>
      </c>
      <c r="H220" s="168">
        <v>16</v>
      </c>
      <c r="I220" s="168">
        <v>0</v>
      </c>
      <c r="J220" s="168">
        <v>8</v>
      </c>
      <c r="K220" s="169">
        <v>0</v>
      </c>
      <c r="L220" s="96" t="s">
        <v>8</v>
      </c>
      <c r="M220" s="166">
        <f>IF(R220="PD",((Shop*G220)+(M_Tech*H220)+(CMM*I220)+(ENG*J220)+(DES*K220))*N220,((Shop_RD*G220)+(MTECH_RD*H220)+(CMM_RD*I220)+(ENG_RD*J220)+(DES_RD*K220))*N220)</f>
        <v>2488.3200000000002</v>
      </c>
      <c r="N220" s="92">
        <v>1</v>
      </c>
      <c r="O220" s="170">
        <f>M220+(F220*N220)</f>
        <v>2488.3200000000002</v>
      </c>
      <c r="P220" s="170"/>
      <c r="Q220" s="52" t="s">
        <v>47</v>
      </c>
      <c r="R220" s="71" t="s">
        <v>77</v>
      </c>
      <c r="S220" s="137" t="str">
        <f>CONCATENATE(Q220,R220,AB220)</f>
        <v>BPD2013</v>
      </c>
      <c r="T220" s="137" t="str">
        <f>CONCATENATE(Q220,U220,AB220)</f>
        <v>B1.5.1.2.42013</v>
      </c>
      <c r="U220" s="137" t="s">
        <v>217</v>
      </c>
      <c r="V220" s="137" t="str">
        <f>LOOKUP(U220,$B$539:$B$574,$A$539:$A$574)</f>
        <v>Pixel Support Tube</v>
      </c>
      <c r="AB220" s="33">
        <v>2013</v>
      </c>
      <c r="AC220" s="132">
        <f t="shared" ref="AC220:AC223" si="685">IF($Q220="B", (G220*$N220),0)</f>
        <v>0</v>
      </c>
      <c r="AD220" s="132">
        <f t="shared" ref="AD220:AD223" si="686">IF($Q220="B", (H220*$N220),0)</f>
        <v>16</v>
      </c>
      <c r="AE220" s="132">
        <f t="shared" ref="AE220:AE223" si="687">IF($Q220="B", (I220*$N220),0)</f>
        <v>0</v>
      </c>
      <c r="AF220" s="132">
        <f t="shared" ref="AF220:AF223" si="688">IF($Q220="B", (J220*$N220),0)</f>
        <v>8</v>
      </c>
      <c r="AG220" s="132">
        <f t="shared" ref="AG220:AG223" si="689">IF($Q220="B", (K220*$N220),0)</f>
        <v>0</v>
      </c>
      <c r="AH220" s="234">
        <f>IF($Q220="B", (F220*$N220),0)</f>
        <v>0</v>
      </c>
      <c r="AI220" s="235"/>
      <c r="AJ220" s="132"/>
      <c r="AK220" s="132"/>
      <c r="AL220" s="166"/>
      <c r="AM220" s="131">
        <f t="shared" ref="AM220:AM223" si="690">IF($Q220="C", (G220*$N220),0)</f>
        <v>0</v>
      </c>
      <c r="AN220" s="132">
        <f t="shared" ref="AN220:AN223" si="691">IF($Q220="C", (H220*$N220),0)</f>
        <v>0</v>
      </c>
      <c r="AO220" s="132">
        <f t="shared" ref="AO220:AO223" si="692">IF($Q220="C", (I220*$N220),0)</f>
        <v>0</v>
      </c>
      <c r="AP220" s="132">
        <f t="shared" ref="AP220:AP223" si="693">IF($Q220="C", (J220*$N220),0)</f>
        <v>0</v>
      </c>
      <c r="AQ220" s="132">
        <f t="shared" ref="AQ220:AQ223" si="694">IF($Q220="C", (K220*$N220),0)</f>
        <v>0</v>
      </c>
      <c r="AR220" s="132">
        <f>IF($Q220="C", (F220*$N220),0)</f>
        <v>0</v>
      </c>
      <c r="AS220" s="235"/>
    </row>
    <row r="221" spans="1:45" s="20" customFormat="1">
      <c r="A221" s="46" t="s">
        <v>319</v>
      </c>
      <c r="B221" s="20" t="s">
        <v>58</v>
      </c>
      <c r="C221" s="165">
        <v>22</v>
      </c>
      <c r="D221" s="96" t="s">
        <v>9</v>
      </c>
      <c r="E221" s="166">
        <v>105</v>
      </c>
      <c r="F221" s="167">
        <f>E221*C221</f>
        <v>2310</v>
      </c>
      <c r="G221" s="168">
        <v>0</v>
      </c>
      <c r="H221" s="168">
        <v>120</v>
      </c>
      <c r="I221" s="168">
        <v>0</v>
      </c>
      <c r="J221" s="168">
        <v>16</v>
      </c>
      <c r="K221" s="169">
        <v>0</v>
      </c>
      <c r="L221" s="96" t="s">
        <v>8</v>
      </c>
      <c r="M221" s="166">
        <f>IF(R221="PD",((Shop*G221)+(M_Tech*H221)+(CMM*I221)+(ENG*J221)+(DES*K221))*N221,((Shop_RD*G221)+(MTECH_RD*H221)+(CMM_RD*I221)+(ENG_RD*J221)+(DES_RD*K221))*N221)</f>
        <v>13316.400000000001</v>
      </c>
      <c r="N221" s="92">
        <v>1</v>
      </c>
      <c r="O221" s="170">
        <f>M221+(F221*N221)</f>
        <v>15626.400000000001</v>
      </c>
      <c r="P221" s="170"/>
      <c r="Q221" s="52" t="s">
        <v>47</v>
      </c>
      <c r="R221" s="71" t="s">
        <v>77</v>
      </c>
      <c r="S221" s="137" t="str">
        <f>CONCATENATE(Q221,R221,AB221)</f>
        <v>BPD2013</v>
      </c>
      <c r="T221" s="137" t="str">
        <f>CONCATENATE(Q221,U221,AB221)</f>
        <v>B1.5.1.2.42013</v>
      </c>
      <c r="U221" s="137" t="s">
        <v>217</v>
      </c>
      <c r="V221" s="137" t="str">
        <f>LOOKUP(U221,$B$539:$B$574,$A$539:$A$574)</f>
        <v>Pixel Support Tube</v>
      </c>
      <c r="AB221" s="33">
        <v>2013</v>
      </c>
      <c r="AC221" s="132">
        <f t="shared" si="685"/>
        <v>0</v>
      </c>
      <c r="AD221" s="132">
        <f t="shared" si="686"/>
        <v>120</v>
      </c>
      <c r="AE221" s="132">
        <f t="shared" si="687"/>
        <v>0</v>
      </c>
      <c r="AF221" s="132">
        <f t="shared" si="688"/>
        <v>16</v>
      </c>
      <c r="AG221" s="132">
        <f t="shared" si="689"/>
        <v>0</v>
      </c>
      <c r="AH221" s="234">
        <f>IF($Q221="B", (F221*$N221),0)</f>
        <v>2310</v>
      </c>
      <c r="AI221" s="235"/>
      <c r="AJ221" s="132"/>
      <c r="AK221" s="132"/>
      <c r="AL221" s="166"/>
      <c r="AM221" s="131">
        <f t="shared" si="690"/>
        <v>0</v>
      </c>
      <c r="AN221" s="132">
        <f t="shared" si="691"/>
        <v>0</v>
      </c>
      <c r="AO221" s="132">
        <f t="shared" si="692"/>
        <v>0</v>
      </c>
      <c r="AP221" s="132">
        <f t="shared" si="693"/>
        <v>0</v>
      </c>
      <c r="AQ221" s="132">
        <f t="shared" si="694"/>
        <v>0</v>
      </c>
      <c r="AR221" s="132">
        <f>IF($Q221="C", (F221*$N221),0)</f>
        <v>0</v>
      </c>
      <c r="AS221" s="235"/>
    </row>
    <row r="222" spans="1:45" s="20" customFormat="1">
      <c r="A222" s="46" t="s">
        <v>318</v>
      </c>
      <c r="B222" s="20" t="s">
        <v>34</v>
      </c>
      <c r="C222" s="165">
        <v>0.03</v>
      </c>
      <c r="D222" s="96" t="s">
        <v>9</v>
      </c>
      <c r="E222" s="166">
        <v>0</v>
      </c>
      <c r="F222" s="167">
        <f>E222*C222</f>
        <v>0</v>
      </c>
      <c r="G222" s="168">
        <v>0</v>
      </c>
      <c r="H222" s="168">
        <v>16</v>
      </c>
      <c r="I222" s="168">
        <v>0</v>
      </c>
      <c r="J222" s="168">
        <v>8</v>
      </c>
      <c r="K222" s="169">
        <v>0</v>
      </c>
      <c r="L222" s="96" t="s">
        <v>8</v>
      </c>
      <c r="M222" s="166">
        <f>IF(R222="PD",((Shop*G222)+(M_Tech*H222)+(CMM*I222)+(ENG*J222)+(DES*K222))*N222,((Shop_RD*G222)+(MTECH_RD*H222)+(CMM_RD*I222)+(ENG_RD*J222)+(DES_RD*K222))*N222)</f>
        <v>2488.3200000000002</v>
      </c>
      <c r="N222" s="92">
        <v>1</v>
      </c>
      <c r="O222" s="170">
        <f>M222+(F222*N222)</f>
        <v>2488.3200000000002</v>
      </c>
      <c r="P222" s="170"/>
      <c r="Q222" s="52" t="s">
        <v>48</v>
      </c>
      <c r="R222" s="71" t="s">
        <v>77</v>
      </c>
      <c r="S222" s="137" t="str">
        <f>CONCATENATE(Q222,R222,AB222)</f>
        <v>CPD2013</v>
      </c>
      <c r="T222" s="137" t="str">
        <f>CONCATENATE(Q222,U222,AB222)</f>
        <v>C1.5.1.2.42013</v>
      </c>
      <c r="U222" s="137" t="s">
        <v>217</v>
      </c>
      <c r="V222" s="137" t="str">
        <f>LOOKUP(U222,$B$539:$B$574,$A$539:$A$574)</f>
        <v>Pixel Support Tube</v>
      </c>
      <c r="AB222" s="33">
        <v>2013</v>
      </c>
      <c r="AC222" s="132">
        <f t="shared" si="685"/>
        <v>0</v>
      </c>
      <c r="AD222" s="132">
        <f t="shared" si="686"/>
        <v>0</v>
      </c>
      <c r="AE222" s="132">
        <f t="shared" si="687"/>
        <v>0</v>
      </c>
      <c r="AF222" s="132">
        <f t="shared" si="688"/>
        <v>0</v>
      </c>
      <c r="AG222" s="132">
        <f t="shared" si="689"/>
        <v>0</v>
      </c>
      <c r="AH222" s="234">
        <f>IF($Q222="B", (F222*$N222),0)</f>
        <v>0</v>
      </c>
      <c r="AI222" s="235"/>
      <c r="AJ222" s="132"/>
      <c r="AK222" s="132"/>
      <c r="AL222" s="166"/>
      <c r="AM222" s="131">
        <f t="shared" si="690"/>
        <v>0</v>
      </c>
      <c r="AN222" s="132">
        <f t="shared" si="691"/>
        <v>16</v>
      </c>
      <c r="AO222" s="132">
        <f t="shared" si="692"/>
        <v>0</v>
      </c>
      <c r="AP222" s="132">
        <f t="shared" si="693"/>
        <v>8</v>
      </c>
      <c r="AQ222" s="132">
        <f t="shared" si="694"/>
        <v>0</v>
      </c>
      <c r="AR222" s="132">
        <f>IF($Q222="C", (F222*$N222),0)</f>
        <v>0</v>
      </c>
      <c r="AS222" s="235"/>
    </row>
    <row r="223" spans="1:45" s="20" customFormat="1">
      <c r="A223" s="46" t="s">
        <v>319</v>
      </c>
      <c r="B223" s="20" t="s">
        <v>58</v>
      </c>
      <c r="C223" s="165">
        <v>22</v>
      </c>
      <c r="D223" s="96" t="s">
        <v>9</v>
      </c>
      <c r="E223" s="166">
        <v>105</v>
      </c>
      <c r="F223" s="167">
        <f>E223*C223</f>
        <v>2310</v>
      </c>
      <c r="G223" s="168">
        <v>0</v>
      </c>
      <c r="H223" s="168">
        <v>120</v>
      </c>
      <c r="I223" s="168">
        <v>0</v>
      </c>
      <c r="J223" s="168">
        <v>16</v>
      </c>
      <c r="K223" s="169">
        <v>0</v>
      </c>
      <c r="L223" s="96" t="s">
        <v>8</v>
      </c>
      <c r="M223" s="166">
        <f>IF(R223="PD",((Shop*G223)+(M_Tech*H223)+(CMM*I223)+(ENG*J223)+(DES*K223))*N223,((Shop_RD*G223)+(MTECH_RD*H223)+(CMM_RD*I223)+(ENG_RD*J223)+(DES_RD*K223))*N223)</f>
        <v>13316.400000000001</v>
      </c>
      <c r="N223" s="92">
        <v>1</v>
      </c>
      <c r="O223" s="170">
        <f>M223+(F223*N223)</f>
        <v>15626.400000000001</v>
      </c>
      <c r="P223" s="170"/>
      <c r="Q223" s="52" t="s">
        <v>48</v>
      </c>
      <c r="R223" s="71" t="s">
        <v>77</v>
      </c>
      <c r="S223" s="137" t="str">
        <f>CONCATENATE(Q223,R223,AB223)</f>
        <v>CPD2013</v>
      </c>
      <c r="T223" s="137" t="str">
        <f>CONCATENATE(Q223,U223,AB223)</f>
        <v>C1.5.1.2.42013</v>
      </c>
      <c r="U223" s="137" t="s">
        <v>217</v>
      </c>
      <c r="V223" s="137" t="str">
        <f>LOOKUP(U223,$B$539:$B$574,$A$539:$A$574)</f>
        <v>Pixel Support Tube</v>
      </c>
      <c r="AB223" s="33">
        <v>2013</v>
      </c>
      <c r="AC223" s="132">
        <f t="shared" si="685"/>
        <v>0</v>
      </c>
      <c r="AD223" s="132">
        <f t="shared" si="686"/>
        <v>0</v>
      </c>
      <c r="AE223" s="132">
        <f t="shared" si="687"/>
        <v>0</v>
      </c>
      <c r="AF223" s="132">
        <f t="shared" si="688"/>
        <v>0</v>
      </c>
      <c r="AG223" s="132">
        <f t="shared" si="689"/>
        <v>0</v>
      </c>
      <c r="AH223" s="234">
        <f>IF($Q223="B", (F223*$N223),0)</f>
        <v>0</v>
      </c>
      <c r="AI223" s="235"/>
      <c r="AJ223" s="132"/>
      <c r="AK223" s="132"/>
      <c r="AL223" s="166"/>
      <c r="AM223" s="131">
        <f t="shared" si="690"/>
        <v>0</v>
      </c>
      <c r="AN223" s="132">
        <f t="shared" si="691"/>
        <v>120</v>
      </c>
      <c r="AO223" s="132">
        <f t="shared" si="692"/>
        <v>0</v>
      </c>
      <c r="AP223" s="132">
        <f t="shared" si="693"/>
        <v>16</v>
      </c>
      <c r="AQ223" s="132">
        <f t="shared" si="694"/>
        <v>0</v>
      </c>
      <c r="AR223" s="132">
        <f>IF($Q223="C", (F223*$N223),0)</f>
        <v>2310</v>
      </c>
      <c r="AS223" s="235"/>
    </row>
    <row r="224" spans="1:45" s="20" customFormat="1">
      <c r="A224" s="47" t="s">
        <v>348</v>
      </c>
      <c r="C224" s="165"/>
      <c r="D224" s="96"/>
      <c r="E224" s="57"/>
      <c r="F224" s="58"/>
      <c r="G224" s="59"/>
      <c r="H224" s="59"/>
      <c r="I224" s="59"/>
      <c r="J224" s="59"/>
      <c r="K224" s="60"/>
      <c r="L224" s="217" t="s">
        <v>66</v>
      </c>
      <c r="M224" s="177">
        <f>SUMIF(Q220:Q223,"B",M220:M223)</f>
        <v>15804.720000000001</v>
      </c>
      <c r="N224" s="65" t="s">
        <v>65</v>
      </c>
      <c r="O224" s="170"/>
      <c r="P224" s="170"/>
      <c r="Q224" s="52"/>
      <c r="R224" s="71"/>
      <c r="S224" s="137"/>
      <c r="T224" s="137"/>
      <c r="U224" s="137"/>
      <c r="V224" s="137"/>
      <c r="AB224" s="33"/>
      <c r="AC224" s="132"/>
      <c r="AD224" s="132"/>
      <c r="AE224" s="135"/>
      <c r="AF224" s="132"/>
      <c r="AG224" s="132"/>
      <c r="AH224" s="234"/>
      <c r="AI224" s="235"/>
      <c r="AJ224" s="132"/>
      <c r="AK224" s="132"/>
      <c r="AL224" s="166"/>
      <c r="AM224" s="131"/>
      <c r="AN224" s="132"/>
      <c r="AO224" s="132"/>
      <c r="AP224" s="132"/>
      <c r="AQ224" s="132"/>
      <c r="AR224" s="132"/>
      <c r="AS224" s="235"/>
    </row>
    <row r="225" spans="1:45" s="20" customFormat="1">
      <c r="A225" s="46" t="s">
        <v>345</v>
      </c>
      <c r="B225" s="20" t="s">
        <v>34</v>
      </c>
      <c r="C225" s="165">
        <v>0.03</v>
      </c>
      <c r="D225" s="96" t="s">
        <v>9</v>
      </c>
      <c r="E225" s="166">
        <v>0</v>
      </c>
      <c r="F225" s="167">
        <f>E225*C225</f>
        <v>0</v>
      </c>
      <c r="G225" s="168">
        <v>0</v>
      </c>
      <c r="H225" s="168">
        <v>0</v>
      </c>
      <c r="I225" s="168">
        <v>0</v>
      </c>
      <c r="J225" s="168">
        <v>40</v>
      </c>
      <c r="K225" s="169">
        <v>0</v>
      </c>
      <c r="L225" s="96" t="s">
        <v>8</v>
      </c>
      <c r="M225" s="166">
        <f>IF(R225="PD",((Shop*G225)+(M_Tech*H225)+(CMM*I225)+(ENG*J225)+(DES*K225))*N225,((Shop_RD*G225)+(MTECH_RD*H225)+(CMM_RD*I225)+(ENG_RD*J225)+(DES_RD*K225))*N225)</f>
        <v>4860.0000000000009</v>
      </c>
      <c r="N225" s="92">
        <v>1</v>
      </c>
      <c r="O225" s="170">
        <f>M225+(F225*N225)</f>
        <v>4860.0000000000009</v>
      </c>
      <c r="P225" s="170"/>
      <c r="Q225" s="52" t="s">
        <v>47</v>
      </c>
      <c r="R225" s="71" t="s">
        <v>77</v>
      </c>
      <c r="S225" s="137" t="str">
        <f>CONCATENATE(Q225,R225,AB225)</f>
        <v>BPD2011</v>
      </c>
      <c r="T225" s="137" t="str">
        <f>CONCATENATE(Q225,U225,AB225)</f>
        <v>B1.5.1.2.42011</v>
      </c>
      <c r="U225" s="137" t="s">
        <v>217</v>
      </c>
      <c r="V225" s="137" t="str">
        <f>LOOKUP(U225,$B$539:$B$574,$A$539:$A$574)</f>
        <v>Pixel Support Tube</v>
      </c>
      <c r="AB225" s="33">
        <v>2011</v>
      </c>
      <c r="AC225" s="132">
        <f t="shared" ref="AC225:AC228" si="695">IF($Q225="B", (G225*$N225),0)</f>
        <v>0</v>
      </c>
      <c r="AD225" s="132">
        <f t="shared" ref="AD225:AD228" si="696">IF($Q225="B", (H225*$N225),0)</f>
        <v>0</v>
      </c>
      <c r="AE225" s="132">
        <f t="shared" ref="AE225:AE228" si="697">IF($Q225="B", (I225*$N225),0)</f>
        <v>0</v>
      </c>
      <c r="AF225" s="132">
        <f t="shared" ref="AF225:AF228" si="698">IF($Q225="B", (J225*$N225),0)</f>
        <v>40</v>
      </c>
      <c r="AG225" s="132">
        <f t="shared" ref="AG225:AG228" si="699">IF($Q225="B", (K225*$N225),0)</f>
        <v>0</v>
      </c>
      <c r="AH225" s="234">
        <f>IF($Q225="B", (F225*$N225),0)</f>
        <v>0</v>
      </c>
      <c r="AI225" s="235"/>
      <c r="AJ225" s="132"/>
      <c r="AK225" s="132"/>
      <c r="AL225" s="166"/>
      <c r="AM225" s="131">
        <f t="shared" ref="AM225:AM228" si="700">IF($Q225="C", (G225*$N225),0)</f>
        <v>0</v>
      </c>
      <c r="AN225" s="132">
        <f t="shared" ref="AN225:AN228" si="701">IF($Q225="C", (H225*$N225),0)</f>
        <v>0</v>
      </c>
      <c r="AO225" s="132">
        <f t="shared" ref="AO225:AO228" si="702">IF($Q225="C", (I225*$N225),0)</f>
        <v>0</v>
      </c>
      <c r="AP225" s="132">
        <f t="shared" ref="AP225:AP228" si="703">IF($Q225="C", (J225*$N225),0)</f>
        <v>0</v>
      </c>
      <c r="AQ225" s="132">
        <f t="shared" ref="AQ225:AQ228" si="704">IF($Q225="C", (K225*$N225),0)</f>
        <v>0</v>
      </c>
      <c r="AR225" s="132">
        <f>IF($Q225="C", (F225*$N225),0)</f>
        <v>0</v>
      </c>
      <c r="AS225" s="235"/>
    </row>
    <row r="226" spans="1:45" s="20" customFormat="1">
      <c r="A226" s="46" t="s">
        <v>318</v>
      </c>
      <c r="B226" s="20" t="s">
        <v>34</v>
      </c>
      <c r="C226" s="165">
        <v>0.03</v>
      </c>
      <c r="D226" s="96" t="s">
        <v>9</v>
      </c>
      <c r="E226" s="166">
        <v>0</v>
      </c>
      <c r="F226" s="167">
        <f>E226*C226</f>
        <v>0</v>
      </c>
      <c r="G226" s="168">
        <v>0</v>
      </c>
      <c r="H226" s="168">
        <v>8</v>
      </c>
      <c r="I226" s="168">
        <v>0</v>
      </c>
      <c r="J226" s="168">
        <v>0</v>
      </c>
      <c r="K226" s="169">
        <v>0</v>
      </c>
      <c r="L226" s="96" t="s">
        <v>8</v>
      </c>
      <c r="M226" s="166">
        <f>IF(R226="PD",((Shop*G226)+(M_Tech*H226)+(CMM*I226)+(ENG*J226)+(DES*K226))*N226,((Shop_RD*G226)+(MTECH_RD*H226)+(CMM_RD*I226)+(ENG_RD*J226)+(DES_RD*K226))*N226)</f>
        <v>758.16000000000008</v>
      </c>
      <c r="N226" s="92">
        <v>1</v>
      </c>
      <c r="O226" s="170">
        <f>M226+(F226*N226)</f>
        <v>758.16000000000008</v>
      </c>
      <c r="P226" s="170"/>
      <c r="Q226" s="52" t="s">
        <v>47</v>
      </c>
      <c r="R226" s="71" t="s">
        <v>77</v>
      </c>
      <c r="S226" s="137" t="str">
        <f>CONCATENATE(Q226,R226,AB226)</f>
        <v>BPD2011</v>
      </c>
      <c r="T226" s="137" t="str">
        <f>CONCATENATE(Q226,U226,AB226)</f>
        <v>B1.5.1.2.42011</v>
      </c>
      <c r="U226" s="137" t="s">
        <v>217</v>
      </c>
      <c r="V226" s="137" t="str">
        <f>LOOKUP(U226,$B$539:$B$574,$A$539:$A$574)</f>
        <v>Pixel Support Tube</v>
      </c>
      <c r="AB226" s="33">
        <v>2011</v>
      </c>
      <c r="AC226" s="132">
        <f t="shared" si="695"/>
        <v>0</v>
      </c>
      <c r="AD226" s="132">
        <f t="shared" si="696"/>
        <v>8</v>
      </c>
      <c r="AE226" s="132">
        <f t="shared" si="697"/>
        <v>0</v>
      </c>
      <c r="AF226" s="132">
        <f t="shared" si="698"/>
        <v>0</v>
      </c>
      <c r="AG226" s="132">
        <f t="shared" si="699"/>
        <v>0</v>
      </c>
      <c r="AH226" s="234">
        <f>IF($Q226="B", (F226*$N226),0)</f>
        <v>0</v>
      </c>
      <c r="AI226" s="235"/>
      <c r="AJ226" s="132"/>
      <c r="AK226" s="132"/>
      <c r="AL226" s="166"/>
      <c r="AM226" s="131">
        <f t="shared" si="700"/>
        <v>0</v>
      </c>
      <c r="AN226" s="132">
        <f t="shared" si="701"/>
        <v>0</v>
      </c>
      <c r="AO226" s="132">
        <f t="shared" si="702"/>
        <v>0</v>
      </c>
      <c r="AP226" s="132">
        <f t="shared" si="703"/>
        <v>0</v>
      </c>
      <c r="AQ226" s="132">
        <f t="shared" si="704"/>
        <v>0</v>
      </c>
      <c r="AR226" s="132">
        <f>IF($Q226="C", (F226*$N226),0)</f>
        <v>0</v>
      </c>
      <c r="AS226" s="235"/>
    </row>
    <row r="227" spans="1:45" s="20" customFormat="1">
      <c r="A227" s="46" t="s">
        <v>322</v>
      </c>
      <c r="B227" s="20" t="s">
        <v>58</v>
      </c>
      <c r="C227" s="165">
        <v>1</v>
      </c>
      <c r="D227" s="96" t="s">
        <v>9</v>
      </c>
      <c r="E227" s="166">
        <v>105</v>
      </c>
      <c r="F227" s="167">
        <f>E227*C227</f>
        <v>105</v>
      </c>
      <c r="G227" s="168">
        <v>0</v>
      </c>
      <c r="H227" s="168">
        <v>8</v>
      </c>
      <c r="I227" s="168">
        <v>0</v>
      </c>
      <c r="J227" s="168">
        <v>0</v>
      </c>
      <c r="K227" s="169">
        <v>0</v>
      </c>
      <c r="L227" s="96" t="s">
        <v>8</v>
      </c>
      <c r="M227" s="166">
        <f>IF(R227="PD",((Shop*G227)+(M_Tech*H227)+(CMM*I227)+(ENG*J227)+(DES*K227))*N227,((Shop_RD*G227)+(MTECH_RD*H227)+(CMM_RD*I227)+(ENG_RD*J227)+(DES_RD*K227))*N227)</f>
        <v>1516.3200000000002</v>
      </c>
      <c r="N227" s="92">
        <v>2</v>
      </c>
      <c r="O227" s="170">
        <f>M227+(F227*N227)</f>
        <v>1726.3200000000002</v>
      </c>
      <c r="P227" s="170"/>
      <c r="Q227" s="52" t="s">
        <v>47</v>
      </c>
      <c r="R227" s="71" t="s">
        <v>77</v>
      </c>
      <c r="S227" s="137" t="str">
        <f>CONCATENATE(Q227,R227,AB227)</f>
        <v>BPD2011</v>
      </c>
      <c r="T227" s="137" t="str">
        <f>CONCATENATE(Q227,U227,AB227)</f>
        <v>B1.5.1.2.42011</v>
      </c>
      <c r="U227" s="137" t="s">
        <v>217</v>
      </c>
      <c r="V227" s="137" t="str">
        <f>LOOKUP(U227,$B$539:$B$574,$A$539:$A$574)</f>
        <v>Pixel Support Tube</v>
      </c>
      <c r="AB227" s="33">
        <v>2011</v>
      </c>
      <c r="AC227" s="132">
        <f t="shared" si="695"/>
        <v>0</v>
      </c>
      <c r="AD227" s="132">
        <f t="shared" si="696"/>
        <v>16</v>
      </c>
      <c r="AE227" s="132">
        <f t="shared" si="697"/>
        <v>0</v>
      </c>
      <c r="AF227" s="132">
        <f t="shared" si="698"/>
        <v>0</v>
      </c>
      <c r="AG227" s="132">
        <f t="shared" si="699"/>
        <v>0</v>
      </c>
      <c r="AH227" s="234">
        <f>IF($Q227="B", (F227*$N227),0)</f>
        <v>210</v>
      </c>
      <c r="AI227" s="235"/>
      <c r="AJ227" s="132"/>
      <c r="AK227" s="132"/>
      <c r="AL227" s="166"/>
      <c r="AM227" s="131">
        <f t="shared" si="700"/>
        <v>0</v>
      </c>
      <c r="AN227" s="132">
        <f t="shared" si="701"/>
        <v>0</v>
      </c>
      <c r="AO227" s="132">
        <f t="shared" si="702"/>
        <v>0</v>
      </c>
      <c r="AP227" s="132">
        <f t="shared" si="703"/>
        <v>0</v>
      </c>
      <c r="AQ227" s="132">
        <f t="shared" si="704"/>
        <v>0</v>
      </c>
      <c r="AR227" s="132">
        <f>IF($Q227="C", (F227*$N227),0)</f>
        <v>0</v>
      </c>
      <c r="AS227" s="235"/>
    </row>
    <row r="228" spans="1:45" s="20" customFormat="1">
      <c r="A228" s="46" t="s">
        <v>321</v>
      </c>
      <c r="B228" s="20" t="s">
        <v>58</v>
      </c>
      <c r="C228" s="165">
        <v>1</v>
      </c>
      <c r="D228" s="96" t="s">
        <v>9</v>
      </c>
      <c r="E228" s="166">
        <v>105</v>
      </c>
      <c r="F228" s="167">
        <f>E228*C228</f>
        <v>105</v>
      </c>
      <c r="G228" s="168">
        <v>2</v>
      </c>
      <c r="H228" s="168">
        <v>8</v>
      </c>
      <c r="I228" s="168">
        <v>0</v>
      </c>
      <c r="J228" s="168">
        <v>0</v>
      </c>
      <c r="K228" s="169">
        <v>0</v>
      </c>
      <c r="L228" s="96" t="s">
        <v>8</v>
      </c>
      <c r="M228" s="166">
        <f>IF(R228="PD",((Shop*G228)+(M_Tech*H228)+(CMM*I228)+(ENG*J228)+(DES*K228))*N228,((Shop_RD*G228)+(MTECH_RD*H228)+(CMM_RD*I228)+(ENG_RD*J228)+(DES_RD*K228))*N228)</f>
        <v>1924.5600000000002</v>
      </c>
      <c r="N228" s="92">
        <v>2</v>
      </c>
      <c r="O228" s="170">
        <f>M228+(F228*N228)</f>
        <v>2134.5600000000004</v>
      </c>
      <c r="P228" s="170"/>
      <c r="Q228" s="52" t="s">
        <v>47</v>
      </c>
      <c r="R228" s="71" t="s">
        <v>77</v>
      </c>
      <c r="S228" s="137" t="str">
        <f>CONCATENATE(Q228,R228,AB228)</f>
        <v>BPD2011</v>
      </c>
      <c r="T228" s="137" t="str">
        <f>CONCATENATE(Q228,U228,AB228)</f>
        <v>B1.5.1.2.42011</v>
      </c>
      <c r="U228" s="137" t="s">
        <v>217</v>
      </c>
      <c r="V228" s="137" t="str">
        <f>LOOKUP(U228,$B$539:$B$574,$A$539:$A$574)</f>
        <v>Pixel Support Tube</v>
      </c>
      <c r="AB228" s="33">
        <v>2011</v>
      </c>
      <c r="AC228" s="132">
        <f t="shared" si="695"/>
        <v>4</v>
      </c>
      <c r="AD228" s="132">
        <f t="shared" si="696"/>
        <v>16</v>
      </c>
      <c r="AE228" s="132">
        <f t="shared" si="697"/>
        <v>0</v>
      </c>
      <c r="AF228" s="132">
        <f t="shared" si="698"/>
        <v>0</v>
      </c>
      <c r="AG228" s="132">
        <f t="shared" si="699"/>
        <v>0</v>
      </c>
      <c r="AH228" s="234">
        <f>IF($Q228="B", (F228*$N228),0)</f>
        <v>210</v>
      </c>
      <c r="AI228" s="235"/>
      <c r="AJ228" s="132"/>
      <c r="AK228" s="132"/>
      <c r="AL228" s="166"/>
      <c r="AM228" s="131">
        <f t="shared" si="700"/>
        <v>0</v>
      </c>
      <c r="AN228" s="132">
        <f t="shared" si="701"/>
        <v>0</v>
      </c>
      <c r="AO228" s="132">
        <f t="shared" si="702"/>
        <v>0</v>
      </c>
      <c r="AP228" s="132">
        <f t="shared" si="703"/>
        <v>0</v>
      </c>
      <c r="AQ228" s="132">
        <f t="shared" si="704"/>
        <v>0</v>
      </c>
      <c r="AR228" s="132">
        <f>IF($Q228="C", (F228*$N228),0)</f>
        <v>0</v>
      </c>
      <c r="AS228" s="235"/>
    </row>
    <row r="229" spans="1:45" s="20" customFormat="1">
      <c r="A229" s="47" t="s">
        <v>349</v>
      </c>
      <c r="C229" s="165"/>
      <c r="D229" s="96"/>
      <c r="E229" s="57"/>
      <c r="F229" s="58"/>
      <c r="G229" s="59"/>
      <c r="H229" s="59"/>
      <c r="I229" s="59"/>
      <c r="J229" s="59"/>
      <c r="K229" s="60"/>
      <c r="L229" s="217" t="s">
        <v>66</v>
      </c>
      <c r="M229" s="177">
        <f>SUMIF(Q225:Q228,"B",M225:M228)</f>
        <v>9059.0400000000009</v>
      </c>
      <c r="N229" s="65" t="s">
        <v>65</v>
      </c>
      <c r="O229" s="170"/>
      <c r="P229" s="170"/>
      <c r="Q229" s="52"/>
      <c r="R229" s="71"/>
      <c r="S229" s="137"/>
      <c r="T229" s="137"/>
      <c r="U229" s="137"/>
      <c r="V229" s="137"/>
      <c r="AB229" s="33"/>
      <c r="AC229" s="132"/>
      <c r="AD229" s="132"/>
      <c r="AE229" s="135"/>
      <c r="AF229" s="132"/>
      <c r="AG229" s="132"/>
      <c r="AH229" s="234"/>
      <c r="AI229" s="235"/>
      <c r="AJ229" s="132"/>
      <c r="AK229" s="132"/>
      <c r="AL229" s="166"/>
      <c r="AM229" s="131"/>
      <c r="AN229" s="132"/>
      <c r="AO229" s="132"/>
      <c r="AP229" s="132"/>
      <c r="AQ229" s="132"/>
      <c r="AR229" s="132"/>
      <c r="AS229" s="235"/>
    </row>
    <row r="230" spans="1:45" s="20" customFormat="1">
      <c r="A230" s="46" t="s">
        <v>318</v>
      </c>
      <c r="B230" s="20" t="s">
        <v>34</v>
      </c>
      <c r="C230" s="165">
        <v>0.03</v>
      </c>
      <c r="D230" s="96" t="s">
        <v>9</v>
      </c>
      <c r="E230" s="166">
        <v>0</v>
      </c>
      <c r="F230" s="167">
        <f t="shared" ref="F230:F235" si="705">E230*C230</f>
        <v>0</v>
      </c>
      <c r="G230" s="168">
        <v>0</v>
      </c>
      <c r="H230" s="168">
        <v>8</v>
      </c>
      <c r="I230" s="168">
        <v>0</v>
      </c>
      <c r="J230" s="168">
        <v>2</v>
      </c>
      <c r="K230" s="169">
        <v>0</v>
      </c>
      <c r="L230" s="96" t="s">
        <v>8</v>
      </c>
      <c r="M230" s="166">
        <f t="shared" ref="M230:M235" si="706">IF(R230="PD",((Shop*G230)+(M_Tech*H230)+(CMM*I230)+(ENG*J230)+(DES*K230))*N230,((Shop_RD*G230)+(MTECH_RD*H230)+(CMM_RD*I230)+(ENG_RD*J230)+(DES_RD*K230))*N230)</f>
        <v>1001.1600000000001</v>
      </c>
      <c r="N230" s="92">
        <v>1</v>
      </c>
      <c r="O230" s="170">
        <f t="shared" ref="O230:O235" si="707">M230+(F230*N230)</f>
        <v>1001.1600000000001</v>
      </c>
      <c r="P230" s="170"/>
      <c r="Q230" s="52" t="s">
        <v>47</v>
      </c>
      <c r="R230" s="71" t="s">
        <v>77</v>
      </c>
      <c r="S230" s="137" t="str">
        <f t="shared" ref="S230:S235" si="708">CONCATENATE(Q230,R230,AB230)</f>
        <v>BPD2012</v>
      </c>
      <c r="T230" s="137" t="str">
        <f t="shared" ref="T230:T235" si="709">CONCATENATE(Q230,U230,AB230)</f>
        <v>B1.5.1.2.42012</v>
      </c>
      <c r="U230" s="137" t="s">
        <v>217</v>
      </c>
      <c r="V230" s="137" t="str">
        <f t="shared" ref="V230:V235" si="710">LOOKUP(U230,$B$539:$B$574,$A$539:$A$574)</f>
        <v>Pixel Support Tube</v>
      </c>
      <c r="AB230" s="33">
        <v>2012</v>
      </c>
      <c r="AC230" s="132">
        <f t="shared" ref="AC230:AC235" si="711">IF($Q230="B", (G230*$N230),0)</f>
        <v>0</v>
      </c>
      <c r="AD230" s="132">
        <f t="shared" ref="AD230:AD235" si="712">IF($Q230="B", (H230*$N230),0)</f>
        <v>8</v>
      </c>
      <c r="AE230" s="132">
        <f t="shared" ref="AE230:AE235" si="713">IF($Q230="B", (I230*$N230),0)</f>
        <v>0</v>
      </c>
      <c r="AF230" s="132">
        <f t="shared" ref="AF230:AF235" si="714">IF($Q230="B", (J230*$N230),0)</f>
        <v>2</v>
      </c>
      <c r="AG230" s="132">
        <f t="shared" ref="AG230:AG235" si="715">IF($Q230="B", (K230*$N230),0)</f>
        <v>0</v>
      </c>
      <c r="AH230" s="234">
        <f t="shared" ref="AH230:AH235" si="716">IF($Q230="B", (F230*$N230),0)</f>
        <v>0</v>
      </c>
      <c r="AI230" s="235"/>
      <c r="AJ230" s="132"/>
      <c r="AK230" s="132"/>
      <c r="AL230" s="166"/>
      <c r="AM230" s="131">
        <f t="shared" ref="AM230:AM235" si="717">IF($Q230="C", (G230*$N230),0)</f>
        <v>0</v>
      </c>
      <c r="AN230" s="132">
        <f t="shared" ref="AN230:AN235" si="718">IF($Q230="C", (H230*$N230),0)</f>
        <v>0</v>
      </c>
      <c r="AO230" s="132">
        <f t="shared" ref="AO230:AO235" si="719">IF($Q230="C", (I230*$N230),0)</f>
        <v>0</v>
      </c>
      <c r="AP230" s="132">
        <f t="shared" ref="AP230:AP235" si="720">IF($Q230="C", (J230*$N230),0)</f>
        <v>0</v>
      </c>
      <c r="AQ230" s="132">
        <f t="shared" ref="AQ230:AQ235" si="721">IF($Q230="C", (K230*$N230),0)</f>
        <v>0</v>
      </c>
      <c r="AR230" s="132">
        <f t="shared" ref="AR230:AR235" si="722">IF($Q230="C", (F230*$N230),0)</f>
        <v>0</v>
      </c>
      <c r="AS230" s="235"/>
    </row>
    <row r="231" spans="1:45" s="20" customFormat="1">
      <c r="A231" s="46" t="s">
        <v>322</v>
      </c>
      <c r="B231" s="20" t="s">
        <v>58</v>
      </c>
      <c r="C231" s="165">
        <v>1</v>
      </c>
      <c r="D231" s="96" t="s">
        <v>9</v>
      </c>
      <c r="E231" s="166">
        <v>105</v>
      </c>
      <c r="F231" s="167">
        <f t="shared" si="705"/>
        <v>105</v>
      </c>
      <c r="G231" s="168">
        <v>0</v>
      </c>
      <c r="H231" s="168">
        <v>8</v>
      </c>
      <c r="I231" s="168">
        <v>0</v>
      </c>
      <c r="J231" s="168">
        <v>1</v>
      </c>
      <c r="K231" s="169">
        <v>0</v>
      </c>
      <c r="L231" s="96" t="s">
        <v>8</v>
      </c>
      <c r="M231" s="166">
        <f t="shared" si="706"/>
        <v>1759.3200000000002</v>
      </c>
      <c r="N231" s="92">
        <v>2</v>
      </c>
      <c r="O231" s="170">
        <f t="shared" si="707"/>
        <v>1969.3200000000002</v>
      </c>
      <c r="P231" s="170"/>
      <c r="Q231" s="52" t="s">
        <v>47</v>
      </c>
      <c r="R231" s="71" t="s">
        <v>77</v>
      </c>
      <c r="S231" s="137" t="str">
        <f t="shared" si="708"/>
        <v>BPD2012</v>
      </c>
      <c r="T231" s="137" t="str">
        <f t="shared" si="709"/>
        <v>B1.5.1.2.42012</v>
      </c>
      <c r="U231" s="137" t="s">
        <v>217</v>
      </c>
      <c r="V231" s="137" t="str">
        <f t="shared" si="710"/>
        <v>Pixel Support Tube</v>
      </c>
      <c r="AB231" s="33">
        <v>2012</v>
      </c>
      <c r="AC231" s="132">
        <f t="shared" si="711"/>
        <v>0</v>
      </c>
      <c r="AD231" s="132">
        <f t="shared" si="712"/>
        <v>16</v>
      </c>
      <c r="AE231" s="132">
        <f t="shared" si="713"/>
        <v>0</v>
      </c>
      <c r="AF231" s="132">
        <f t="shared" si="714"/>
        <v>2</v>
      </c>
      <c r="AG231" s="132">
        <f t="shared" si="715"/>
        <v>0</v>
      </c>
      <c r="AH231" s="234">
        <f t="shared" si="716"/>
        <v>210</v>
      </c>
      <c r="AI231" s="235"/>
      <c r="AJ231" s="132"/>
      <c r="AK231" s="132"/>
      <c r="AL231" s="166"/>
      <c r="AM231" s="131">
        <f t="shared" si="717"/>
        <v>0</v>
      </c>
      <c r="AN231" s="132">
        <f t="shared" si="718"/>
        <v>0</v>
      </c>
      <c r="AO231" s="132">
        <f t="shared" si="719"/>
        <v>0</v>
      </c>
      <c r="AP231" s="132">
        <f t="shared" si="720"/>
        <v>0</v>
      </c>
      <c r="AQ231" s="132">
        <f t="shared" si="721"/>
        <v>0</v>
      </c>
      <c r="AR231" s="132">
        <f t="shared" si="722"/>
        <v>0</v>
      </c>
      <c r="AS231" s="235"/>
    </row>
    <row r="232" spans="1:45" s="20" customFormat="1">
      <c r="A232" s="46" t="s">
        <v>321</v>
      </c>
      <c r="B232" s="20" t="s">
        <v>58</v>
      </c>
      <c r="C232" s="165">
        <v>1</v>
      </c>
      <c r="D232" s="96" t="s">
        <v>9</v>
      </c>
      <c r="E232" s="166">
        <v>105</v>
      </c>
      <c r="F232" s="167">
        <f t="shared" si="705"/>
        <v>105</v>
      </c>
      <c r="G232" s="168">
        <v>2</v>
      </c>
      <c r="H232" s="168">
        <v>8</v>
      </c>
      <c r="I232" s="168">
        <v>0</v>
      </c>
      <c r="J232" s="168">
        <v>1</v>
      </c>
      <c r="K232" s="169">
        <v>0</v>
      </c>
      <c r="L232" s="96" t="s">
        <v>8</v>
      </c>
      <c r="M232" s="166">
        <f t="shared" si="706"/>
        <v>2167.5600000000004</v>
      </c>
      <c r="N232" s="92">
        <v>2</v>
      </c>
      <c r="O232" s="170">
        <f t="shared" si="707"/>
        <v>2377.5600000000004</v>
      </c>
      <c r="P232" s="170"/>
      <c r="Q232" s="52" t="s">
        <v>47</v>
      </c>
      <c r="R232" s="71" t="s">
        <v>77</v>
      </c>
      <c r="S232" s="137" t="str">
        <f t="shared" si="708"/>
        <v>BPD2012</v>
      </c>
      <c r="T232" s="137" t="str">
        <f t="shared" si="709"/>
        <v>B1.5.1.2.42012</v>
      </c>
      <c r="U232" s="137" t="s">
        <v>217</v>
      </c>
      <c r="V232" s="137" t="str">
        <f t="shared" si="710"/>
        <v>Pixel Support Tube</v>
      </c>
      <c r="AB232" s="33">
        <v>2012</v>
      </c>
      <c r="AC232" s="132">
        <f t="shared" si="711"/>
        <v>4</v>
      </c>
      <c r="AD232" s="132">
        <f t="shared" si="712"/>
        <v>16</v>
      </c>
      <c r="AE232" s="132">
        <f t="shared" si="713"/>
        <v>0</v>
      </c>
      <c r="AF232" s="132">
        <f t="shared" si="714"/>
        <v>2</v>
      </c>
      <c r="AG232" s="132">
        <f t="shared" si="715"/>
        <v>0</v>
      </c>
      <c r="AH232" s="234">
        <f t="shared" si="716"/>
        <v>210</v>
      </c>
      <c r="AI232" s="235"/>
      <c r="AJ232" s="132"/>
      <c r="AK232" s="132"/>
      <c r="AL232" s="166"/>
      <c r="AM232" s="131">
        <f t="shared" si="717"/>
        <v>0</v>
      </c>
      <c r="AN232" s="132">
        <f t="shared" si="718"/>
        <v>0</v>
      </c>
      <c r="AO232" s="132">
        <f t="shared" si="719"/>
        <v>0</v>
      </c>
      <c r="AP232" s="132">
        <f t="shared" si="720"/>
        <v>0</v>
      </c>
      <c r="AQ232" s="132">
        <f t="shared" si="721"/>
        <v>0</v>
      </c>
      <c r="AR232" s="132">
        <f t="shared" si="722"/>
        <v>0</v>
      </c>
      <c r="AS232" s="235"/>
    </row>
    <row r="233" spans="1:45" s="20" customFormat="1">
      <c r="A233" s="46" t="s">
        <v>323</v>
      </c>
      <c r="B233" s="20" t="s">
        <v>34</v>
      </c>
      <c r="C233" s="165">
        <v>0.03</v>
      </c>
      <c r="D233" s="96" t="s">
        <v>9</v>
      </c>
      <c r="E233" s="166">
        <v>0</v>
      </c>
      <c r="F233" s="167">
        <f t="shared" si="705"/>
        <v>0</v>
      </c>
      <c r="G233" s="168">
        <v>0</v>
      </c>
      <c r="H233" s="168">
        <v>6</v>
      </c>
      <c r="I233" s="168">
        <v>0</v>
      </c>
      <c r="J233" s="168">
        <v>2</v>
      </c>
      <c r="K233" s="169">
        <v>0</v>
      </c>
      <c r="L233" s="96" t="s">
        <v>8</v>
      </c>
      <c r="M233" s="166">
        <f t="shared" si="706"/>
        <v>811.62000000000012</v>
      </c>
      <c r="N233" s="92">
        <v>1</v>
      </c>
      <c r="O233" s="170">
        <f t="shared" si="707"/>
        <v>811.62000000000012</v>
      </c>
      <c r="P233" s="170"/>
      <c r="Q233" s="52" t="s">
        <v>48</v>
      </c>
      <c r="R233" s="71" t="s">
        <v>77</v>
      </c>
      <c r="S233" s="137" t="str">
        <f t="shared" si="708"/>
        <v>CPD2012</v>
      </c>
      <c r="T233" s="137" t="str">
        <f t="shared" si="709"/>
        <v>C1.5.1.2.42012</v>
      </c>
      <c r="U233" s="137" t="s">
        <v>217</v>
      </c>
      <c r="V233" s="137" t="str">
        <f t="shared" si="710"/>
        <v>Pixel Support Tube</v>
      </c>
      <c r="AB233" s="33">
        <v>2012</v>
      </c>
      <c r="AC233" s="132">
        <f t="shared" si="711"/>
        <v>0</v>
      </c>
      <c r="AD233" s="132">
        <f t="shared" si="712"/>
        <v>0</v>
      </c>
      <c r="AE233" s="132">
        <f t="shared" si="713"/>
        <v>0</v>
      </c>
      <c r="AF233" s="132">
        <f t="shared" si="714"/>
        <v>0</v>
      </c>
      <c r="AG233" s="132">
        <f t="shared" si="715"/>
        <v>0</v>
      </c>
      <c r="AH233" s="234">
        <f t="shared" si="716"/>
        <v>0</v>
      </c>
      <c r="AI233" s="235"/>
      <c r="AJ233" s="132"/>
      <c r="AK233" s="132"/>
      <c r="AL233" s="166"/>
      <c r="AM233" s="131">
        <f t="shared" si="717"/>
        <v>0</v>
      </c>
      <c r="AN233" s="132">
        <f t="shared" si="718"/>
        <v>6</v>
      </c>
      <c r="AO233" s="132">
        <f t="shared" si="719"/>
        <v>0</v>
      </c>
      <c r="AP233" s="132">
        <f t="shared" si="720"/>
        <v>2</v>
      </c>
      <c r="AQ233" s="132">
        <f t="shared" si="721"/>
        <v>0</v>
      </c>
      <c r="AR233" s="132">
        <f t="shared" si="722"/>
        <v>0</v>
      </c>
      <c r="AS233" s="235"/>
    </row>
    <row r="234" spans="1:45" s="20" customFormat="1">
      <c r="A234" s="46" t="s">
        <v>324</v>
      </c>
      <c r="B234" s="20" t="s">
        <v>58</v>
      </c>
      <c r="C234" s="165">
        <v>1</v>
      </c>
      <c r="D234" s="96" t="s">
        <v>9</v>
      </c>
      <c r="E234" s="166">
        <v>105</v>
      </c>
      <c r="F234" s="167">
        <f t="shared" si="705"/>
        <v>105</v>
      </c>
      <c r="G234" s="168">
        <v>0</v>
      </c>
      <c r="H234" s="168">
        <v>8</v>
      </c>
      <c r="I234" s="168">
        <v>0</v>
      </c>
      <c r="J234" s="168">
        <v>0</v>
      </c>
      <c r="K234" s="169">
        <v>0</v>
      </c>
      <c r="L234" s="96" t="s">
        <v>8</v>
      </c>
      <c r="M234" s="166">
        <f t="shared" si="706"/>
        <v>758.16000000000008</v>
      </c>
      <c r="N234" s="92">
        <v>1</v>
      </c>
      <c r="O234" s="170">
        <f t="shared" si="707"/>
        <v>863.16000000000008</v>
      </c>
      <c r="P234" s="170"/>
      <c r="Q234" s="52" t="s">
        <v>48</v>
      </c>
      <c r="R234" s="71" t="s">
        <v>77</v>
      </c>
      <c r="S234" s="137" t="str">
        <f t="shared" si="708"/>
        <v>CPD2012</v>
      </c>
      <c r="T234" s="137" t="str">
        <f t="shared" si="709"/>
        <v>C1.5.1.2.42012</v>
      </c>
      <c r="U234" s="137" t="s">
        <v>217</v>
      </c>
      <c r="V234" s="137" t="str">
        <f t="shared" si="710"/>
        <v>Pixel Support Tube</v>
      </c>
      <c r="AB234" s="33">
        <v>2012</v>
      </c>
      <c r="AC234" s="132">
        <f t="shared" si="711"/>
        <v>0</v>
      </c>
      <c r="AD234" s="132">
        <f t="shared" si="712"/>
        <v>0</v>
      </c>
      <c r="AE234" s="132">
        <f t="shared" si="713"/>
        <v>0</v>
      </c>
      <c r="AF234" s="132">
        <f t="shared" si="714"/>
        <v>0</v>
      </c>
      <c r="AG234" s="132">
        <f t="shared" si="715"/>
        <v>0</v>
      </c>
      <c r="AH234" s="234">
        <f t="shared" si="716"/>
        <v>0</v>
      </c>
      <c r="AI234" s="235"/>
      <c r="AJ234" s="132"/>
      <c r="AK234" s="132"/>
      <c r="AL234" s="166"/>
      <c r="AM234" s="131">
        <f t="shared" si="717"/>
        <v>0</v>
      </c>
      <c r="AN234" s="132">
        <f t="shared" si="718"/>
        <v>8</v>
      </c>
      <c r="AO234" s="132">
        <f t="shared" si="719"/>
        <v>0</v>
      </c>
      <c r="AP234" s="132">
        <f t="shared" si="720"/>
        <v>0</v>
      </c>
      <c r="AQ234" s="132">
        <f t="shared" si="721"/>
        <v>0</v>
      </c>
      <c r="AR234" s="132">
        <f t="shared" si="722"/>
        <v>105</v>
      </c>
      <c r="AS234" s="235"/>
    </row>
    <row r="235" spans="1:45" s="20" customFormat="1">
      <c r="A235" s="46" t="s">
        <v>325</v>
      </c>
      <c r="B235" s="20" t="s">
        <v>58</v>
      </c>
      <c r="C235" s="165">
        <v>1</v>
      </c>
      <c r="D235" s="96" t="s">
        <v>9</v>
      </c>
      <c r="E235" s="166">
        <v>105</v>
      </c>
      <c r="F235" s="167">
        <f t="shared" si="705"/>
        <v>105</v>
      </c>
      <c r="G235" s="168">
        <v>2</v>
      </c>
      <c r="H235" s="168">
        <v>8</v>
      </c>
      <c r="I235" s="168">
        <v>0</v>
      </c>
      <c r="J235" s="168">
        <v>0</v>
      </c>
      <c r="K235" s="169">
        <v>0</v>
      </c>
      <c r="L235" s="96" t="s">
        <v>8</v>
      </c>
      <c r="M235" s="166">
        <f t="shared" si="706"/>
        <v>962.28000000000009</v>
      </c>
      <c r="N235" s="92">
        <v>1</v>
      </c>
      <c r="O235" s="170">
        <f t="shared" si="707"/>
        <v>1067.2800000000002</v>
      </c>
      <c r="P235" s="170"/>
      <c r="Q235" s="52" t="s">
        <v>48</v>
      </c>
      <c r="R235" s="71" t="s">
        <v>77</v>
      </c>
      <c r="S235" s="137" t="str">
        <f t="shared" si="708"/>
        <v>CPD2012</v>
      </c>
      <c r="T235" s="137" t="str">
        <f t="shared" si="709"/>
        <v>C1.5.1.2.42012</v>
      </c>
      <c r="U235" s="137" t="s">
        <v>217</v>
      </c>
      <c r="V235" s="137" t="str">
        <f t="shared" si="710"/>
        <v>Pixel Support Tube</v>
      </c>
      <c r="AB235" s="33">
        <v>2012</v>
      </c>
      <c r="AC235" s="132">
        <f t="shared" si="711"/>
        <v>0</v>
      </c>
      <c r="AD235" s="132">
        <f t="shared" si="712"/>
        <v>0</v>
      </c>
      <c r="AE235" s="132">
        <f t="shared" si="713"/>
        <v>0</v>
      </c>
      <c r="AF235" s="132">
        <f t="shared" si="714"/>
        <v>0</v>
      </c>
      <c r="AG235" s="132">
        <f t="shared" si="715"/>
        <v>0</v>
      </c>
      <c r="AH235" s="234">
        <f t="shared" si="716"/>
        <v>0</v>
      </c>
      <c r="AI235" s="235"/>
      <c r="AJ235" s="132"/>
      <c r="AK235" s="132"/>
      <c r="AL235" s="166"/>
      <c r="AM235" s="131">
        <f t="shared" si="717"/>
        <v>2</v>
      </c>
      <c r="AN235" s="132">
        <f t="shared" si="718"/>
        <v>8</v>
      </c>
      <c r="AO235" s="132">
        <f t="shared" si="719"/>
        <v>0</v>
      </c>
      <c r="AP235" s="132">
        <f t="shared" si="720"/>
        <v>0</v>
      </c>
      <c r="AQ235" s="132">
        <f t="shared" si="721"/>
        <v>0</v>
      </c>
      <c r="AR235" s="132">
        <f t="shared" si="722"/>
        <v>105</v>
      </c>
      <c r="AS235" s="235"/>
    </row>
    <row r="236" spans="1:45" s="20" customFormat="1">
      <c r="A236" s="47" t="s">
        <v>350</v>
      </c>
      <c r="C236" s="165"/>
      <c r="D236" s="96"/>
      <c r="E236" s="57"/>
      <c r="F236" s="58"/>
      <c r="G236" s="59"/>
      <c r="H236" s="59"/>
      <c r="I236" s="59"/>
      <c r="J236" s="59"/>
      <c r="K236" s="60"/>
      <c r="L236" s="217" t="s">
        <v>66</v>
      </c>
      <c r="M236" s="177">
        <f>SUMIF(Q230:Q235,"B",M230:M235)</f>
        <v>4928.0400000000009</v>
      </c>
      <c r="N236" s="65" t="s">
        <v>65</v>
      </c>
      <c r="O236" s="170"/>
      <c r="P236" s="170"/>
      <c r="Q236" s="52"/>
      <c r="R236" s="71"/>
      <c r="S236" s="137"/>
      <c r="T236" s="137"/>
      <c r="U236" s="137"/>
      <c r="V236" s="137"/>
      <c r="AB236" s="33"/>
      <c r="AC236" s="132"/>
      <c r="AD236" s="132"/>
      <c r="AE236" s="135"/>
      <c r="AF236" s="132"/>
      <c r="AG236" s="132"/>
      <c r="AH236" s="234"/>
      <c r="AI236" s="235"/>
      <c r="AJ236" s="132"/>
      <c r="AK236" s="132"/>
      <c r="AL236" s="166"/>
      <c r="AM236" s="131"/>
      <c r="AN236" s="132"/>
      <c r="AO236" s="132"/>
      <c r="AP236" s="132"/>
      <c r="AQ236" s="132"/>
      <c r="AR236" s="132"/>
      <c r="AS236" s="235"/>
    </row>
    <row r="237" spans="1:45" s="20" customFormat="1">
      <c r="A237" s="46" t="s">
        <v>318</v>
      </c>
      <c r="B237" s="20" t="s">
        <v>34</v>
      </c>
      <c r="C237" s="165">
        <v>0.03</v>
      </c>
      <c r="D237" s="96" t="s">
        <v>9</v>
      </c>
      <c r="E237" s="166">
        <v>0</v>
      </c>
      <c r="F237" s="167">
        <f t="shared" ref="F237:F242" si="723">E237*C237</f>
        <v>0</v>
      </c>
      <c r="G237" s="168">
        <v>0</v>
      </c>
      <c r="H237" s="168">
        <v>8</v>
      </c>
      <c r="I237" s="168">
        <v>0</v>
      </c>
      <c r="J237" s="168">
        <v>2</v>
      </c>
      <c r="K237" s="169">
        <v>0</v>
      </c>
      <c r="L237" s="96" t="s">
        <v>8</v>
      </c>
      <c r="M237" s="166">
        <f t="shared" ref="M237:M242" si="724">IF(R237="PD",((Shop*G237)+(M_Tech*H237)+(CMM*I237)+(ENG*J237)+(DES*K237))*N237,((Shop_RD*G237)+(MTECH_RD*H237)+(CMM_RD*I237)+(ENG_RD*J237)+(DES_RD*K237))*N237)</f>
        <v>1001.1600000000001</v>
      </c>
      <c r="N237" s="92">
        <v>1</v>
      </c>
      <c r="O237" s="170">
        <f t="shared" ref="O237:O242" si="725">M237+(F237*N237)</f>
        <v>1001.1600000000001</v>
      </c>
      <c r="P237" s="170"/>
      <c r="Q237" s="52" t="s">
        <v>47</v>
      </c>
      <c r="R237" s="71" t="s">
        <v>77</v>
      </c>
      <c r="S237" s="137" t="str">
        <f t="shared" ref="S237:S242" si="726">CONCATENATE(Q237,R237,AB237)</f>
        <v>BPD2012</v>
      </c>
      <c r="T237" s="137" t="str">
        <f t="shared" ref="T237:T242" si="727">CONCATENATE(Q237,U237,AB237)</f>
        <v>B1.5.1.2.42012</v>
      </c>
      <c r="U237" s="137" t="s">
        <v>217</v>
      </c>
      <c r="V237" s="137" t="str">
        <f t="shared" ref="V237:V242" si="728">LOOKUP(U237,$B$539:$B$574,$A$539:$A$574)</f>
        <v>Pixel Support Tube</v>
      </c>
      <c r="AB237" s="33">
        <v>2012</v>
      </c>
      <c r="AC237" s="132">
        <f t="shared" ref="AC237:AC242" si="729">IF($Q237="B", (G237*$N237),0)</f>
        <v>0</v>
      </c>
      <c r="AD237" s="132">
        <f t="shared" ref="AD237:AD242" si="730">IF($Q237="B", (H237*$N237),0)</f>
        <v>8</v>
      </c>
      <c r="AE237" s="132">
        <f t="shared" ref="AE237:AE242" si="731">IF($Q237="B", (I237*$N237),0)</f>
        <v>0</v>
      </c>
      <c r="AF237" s="132">
        <f t="shared" ref="AF237:AF242" si="732">IF($Q237="B", (J237*$N237),0)</f>
        <v>2</v>
      </c>
      <c r="AG237" s="132">
        <f t="shared" ref="AG237:AG242" si="733">IF($Q237="B", (K237*$N237),0)</f>
        <v>0</v>
      </c>
      <c r="AH237" s="234">
        <f t="shared" ref="AH237:AH242" si="734">IF($Q237="B", (F237*$N237),0)</f>
        <v>0</v>
      </c>
      <c r="AI237" s="235"/>
      <c r="AJ237" s="132"/>
      <c r="AK237" s="132"/>
      <c r="AL237" s="166"/>
      <c r="AM237" s="131">
        <f t="shared" ref="AM237:AM242" si="735">IF($Q237="C", (G237*$N237),0)</f>
        <v>0</v>
      </c>
      <c r="AN237" s="132">
        <f t="shared" ref="AN237:AN242" si="736">IF($Q237="C", (H237*$N237),0)</f>
        <v>0</v>
      </c>
      <c r="AO237" s="132">
        <f t="shared" ref="AO237:AO242" si="737">IF($Q237="C", (I237*$N237),0)</f>
        <v>0</v>
      </c>
      <c r="AP237" s="132">
        <f t="shared" ref="AP237:AP242" si="738">IF($Q237="C", (J237*$N237),0)</f>
        <v>0</v>
      </c>
      <c r="AQ237" s="132">
        <f t="shared" ref="AQ237:AQ242" si="739">IF($Q237="C", (K237*$N237),0)</f>
        <v>0</v>
      </c>
      <c r="AR237" s="132">
        <f t="shared" ref="AR237:AR242" si="740">IF($Q237="C", (F237*$N237),0)</f>
        <v>0</v>
      </c>
      <c r="AS237" s="235"/>
    </row>
    <row r="238" spans="1:45" s="20" customFormat="1">
      <c r="A238" s="46" t="s">
        <v>322</v>
      </c>
      <c r="B238" s="20" t="s">
        <v>58</v>
      </c>
      <c r="C238" s="165">
        <v>1</v>
      </c>
      <c r="D238" s="96" t="s">
        <v>9</v>
      </c>
      <c r="E238" s="166">
        <v>105</v>
      </c>
      <c r="F238" s="167">
        <f t="shared" si="723"/>
        <v>105</v>
      </c>
      <c r="G238" s="168">
        <v>0</v>
      </c>
      <c r="H238" s="168">
        <v>8</v>
      </c>
      <c r="I238" s="168">
        <v>0</v>
      </c>
      <c r="J238" s="168">
        <v>1</v>
      </c>
      <c r="K238" s="169">
        <v>0</v>
      </c>
      <c r="L238" s="96" t="s">
        <v>8</v>
      </c>
      <c r="M238" s="166">
        <f t="shared" si="724"/>
        <v>1759.3200000000002</v>
      </c>
      <c r="N238" s="92">
        <v>2</v>
      </c>
      <c r="O238" s="170">
        <f t="shared" si="725"/>
        <v>1969.3200000000002</v>
      </c>
      <c r="P238" s="170"/>
      <c r="Q238" s="52" t="s">
        <v>47</v>
      </c>
      <c r="R238" s="71" t="s">
        <v>77</v>
      </c>
      <c r="S238" s="137" t="str">
        <f t="shared" si="726"/>
        <v>BPD2012</v>
      </c>
      <c r="T238" s="137" t="str">
        <f t="shared" si="727"/>
        <v>B1.5.1.2.42012</v>
      </c>
      <c r="U238" s="137" t="s">
        <v>217</v>
      </c>
      <c r="V238" s="137" t="str">
        <f t="shared" si="728"/>
        <v>Pixel Support Tube</v>
      </c>
      <c r="AB238" s="33">
        <v>2012</v>
      </c>
      <c r="AC238" s="132">
        <f t="shared" si="729"/>
        <v>0</v>
      </c>
      <c r="AD238" s="132">
        <f t="shared" si="730"/>
        <v>16</v>
      </c>
      <c r="AE238" s="132">
        <f t="shared" si="731"/>
        <v>0</v>
      </c>
      <c r="AF238" s="132">
        <f t="shared" si="732"/>
        <v>2</v>
      </c>
      <c r="AG238" s="132">
        <f t="shared" si="733"/>
        <v>0</v>
      </c>
      <c r="AH238" s="234">
        <f t="shared" si="734"/>
        <v>210</v>
      </c>
      <c r="AI238" s="235"/>
      <c r="AJ238" s="132"/>
      <c r="AK238" s="132"/>
      <c r="AL238" s="166"/>
      <c r="AM238" s="131">
        <f t="shared" si="735"/>
        <v>0</v>
      </c>
      <c r="AN238" s="132">
        <f t="shared" si="736"/>
        <v>0</v>
      </c>
      <c r="AO238" s="132">
        <f t="shared" si="737"/>
        <v>0</v>
      </c>
      <c r="AP238" s="132">
        <f t="shared" si="738"/>
        <v>0</v>
      </c>
      <c r="AQ238" s="132">
        <f t="shared" si="739"/>
        <v>0</v>
      </c>
      <c r="AR238" s="132">
        <f t="shared" si="740"/>
        <v>0</v>
      </c>
      <c r="AS238" s="235"/>
    </row>
    <row r="239" spans="1:45" s="20" customFormat="1">
      <c r="A239" s="46" t="s">
        <v>321</v>
      </c>
      <c r="B239" s="20" t="s">
        <v>58</v>
      </c>
      <c r="C239" s="165">
        <v>1</v>
      </c>
      <c r="D239" s="96" t="s">
        <v>9</v>
      </c>
      <c r="E239" s="166">
        <v>105</v>
      </c>
      <c r="F239" s="167">
        <f t="shared" si="723"/>
        <v>105</v>
      </c>
      <c r="G239" s="168">
        <v>2</v>
      </c>
      <c r="H239" s="168">
        <v>8</v>
      </c>
      <c r="I239" s="168">
        <v>0</v>
      </c>
      <c r="J239" s="168">
        <v>1</v>
      </c>
      <c r="K239" s="169">
        <v>0</v>
      </c>
      <c r="L239" s="96" t="s">
        <v>8</v>
      </c>
      <c r="M239" s="166">
        <f t="shared" si="724"/>
        <v>2167.5600000000004</v>
      </c>
      <c r="N239" s="92">
        <v>2</v>
      </c>
      <c r="O239" s="170">
        <f t="shared" si="725"/>
        <v>2377.5600000000004</v>
      </c>
      <c r="P239" s="170"/>
      <c r="Q239" s="52" t="s">
        <v>47</v>
      </c>
      <c r="R239" s="71" t="s">
        <v>77</v>
      </c>
      <c r="S239" s="137" t="str">
        <f t="shared" si="726"/>
        <v>BPD2012</v>
      </c>
      <c r="T239" s="137" t="str">
        <f t="shared" si="727"/>
        <v>B1.5.1.2.42012</v>
      </c>
      <c r="U239" s="137" t="s">
        <v>217</v>
      </c>
      <c r="V239" s="137" t="str">
        <f t="shared" si="728"/>
        <v>Pixel Support Tube</v>
      </c>
      <c r="AB239" s="33">
        <v>2012</v>
      </c>
      <c r="AC239" s="132">
        <f t="shared" si="729"/>
        <v>4</v>
      </c>
      <c r="AD239" s="132">
        <f t="shared" si="730"/>
        <v>16</v>
      </c>
      <c r="AE239" s="132">
        <f t="shared" si="731"/>
        <v>0</v>
      </c>
      <c r="AF239" s="132">
        <f t="shared" si="732"/>
        <v>2</v>
      </c>
      <c r="AG239" s="132">
        <f t="shared" si="733"/>
        <v>0</v>
      </c>
      <c r="AH239" s="234">
        <f t="shared" si="734"/>
        <v>210</v>
      </c>
      <c r="AI239" s="235"/>
      <c r="AJ239" s="132"/>
      <c r="AK239" s="132"/>
      <c r="AL239" s="166"/>
      <c r="AM239" s="131">
        <f t="shared" si="735"/>
        <v>0</v>
      </c>
      <c r="AN239" s="132">
        <f t="shared" si="736"/>
        <v>0</v>
      </c>
      <c r="AO239" s="132">
        <f t="shared" si="737"/>
        <v>0</v>
      </c>
      <c r="AP239" s="132">
        <f t="shared" si="738"/>
        <v>0</v>
      </c>
      <c r="AQ239" s="132">
        <f t="shared" si="739"/>
        <v>0</v>
      </c>
      <c r="AR239" s="132">
        <f t="shared" si="740"/>
        <v>0</v>
      </c>
      <c r="AS239" s="235"/>
    </row>
    <row r="240" spans="1:45" s="20" customFormat="1">
      <c r="A240" s="46" t="s">
        <v>323</v>
      </c>
      <c r="B240" s="20" t="s">
        <v>34</v>
      </c>
      <c r="C240" s="165">
        <v>0.03</v>
      </c>
      <c r="D240" s="96" t="s">
        <v>9</v>
      </c>
      <c r="E240" s="166">
        <v>0</v>
      </c>
      <c r="F240" s="167">
        <f t="shared" si="723"/>
        <v>0</v>
      </c>
      <c r="G240" s="168">
        <v>0</v>
      </c>
      <c r="H240" s="168">
        <v>6</v>
      </c>
      <c r="I240" s="168">
        <v>0</v>
      </c>
      <c r="J240" s="168">
        <v>2</v>
      </c>
      <c r="K240" s="169">
        <v>0</v>
      </c>
      <c r="L240" s="96" t="s">
        <v>8</v>
      </c>
      <c r="M240" s="166">
        <f t="shared" si="724"/>
        <v>811.62000000000012</v>
      </c>
      <c r="N240" s="92">
        <v>1</v>
      </c>
      <c r="O240" s="170">
        <f t="shared" si="725"/>
        <v>811.62000000000012</v>
      </c>
      <c r="P240" s="170"/>
      <c r="Q240" s="52" t="s">
        <v>48</v>
      </c>
      <c r="R240" s="71" t="s">
        <v>77</v>
      </c>
      <c r="S240" s="137" t="str">
        <f t="shared" si="726"/>
        <v>CPD2013</v>
      </c>
      <c r="T240" s="137" t="str">
        <f t="shared" si="727"/>
        <v>C1.5.1.2.42013</v>
      </c>
      <c r="U240" s="137" t="s">
        <v>217</v>
      </c>
      <c r="V240" s="137" t="str">
        <f t="shared" si="728"/>
        <v>Pixel Support Tube</v>
      </c>
      <c r="AB240" s="33">
        <v>2013</v>
      </c>
      <c r="AC240" s="132">
        <f t="shared" si="729"/>
        <v>0</v>
      </c>
      <c r="AD240" s="132">
        <f t="shared" si="730"/>
        <v>0</v>
      </c>
      <c r="AE240" s="132">
        <f t="shared" si="731"/>
        <v>0</v>
      </c>
      <c r="AF240" s="132">
        <f t="shared" si="732"/>
        <v>0</v>
      </c>
      <c r="AG240" s="132">
        <f t="shared" si="733"/>
        <v>0</v>
      </c>
      <c r="AH240" s="234">
        <f t="shared" si="734"/>
        <v>0</v>
      </c>
      <c r="AI240" s="235"/>
      <c r="AJ240" s="132"/>
      <c r="AK240" s="132"/>
      <c r="AL240" s="166"/>
      <c r="AM240" s="131">
        <f t="shared" si="735"/>
        <v>0</v>
      </c>
      <c r="AN240" s="132">
        <f t="shared" si="736"/>
        <v>6</v>
      </c>
      <c r="AO240" s="132">
        <f t="shared" si="737"/>
        <v>0</v>
      </c>
      <c r="AP240" s="132">
        <f t="shared" si="738"/>
        <v>2</v>
      </c>
      <c r="AQ240" s="132">
        <f t="shared" si="739"/>
        <v>0</v>
      </c>
      <c r="AR240" s="132">
        <f t="shared" si="740"/>
        <v>0</v>
      </c>
      <c r="AS240" s="235"/>
    </row>
    <row r="241" spans="1:45" s="20" customFormat="1">
      <c r="A241" s="46" t="s">
        <v>324</v>
      </c>
      <c r="B241" s="20" t="s">
        <v>58</v>
      </c>
      <c r="C241" s="165">
        <v>1</v>
      </c>
      <c r="D241" s="96" t="s">
        <v>9</v>
      </c>
      <c r="E241" s="166">
        <v>105</v>
      </c>
      <c r="F241" s="167">
        <f t="shared" si="723"/>
        <v>105</v>
      </c>
      <c r="G241" s="168">
        <v>0</v>
      </c>
      <c r="H241" s="168">
        <v>8</v>
      </c>
      <c r="I241" s="168">
        <v>0</v>
      </c>
      <c r="J241" s="168">
        <v>0</v>
      </c>
      <c r="K241" s="169">
        <v>0</v>
      </c>
      <c r="L241" s="96" t="s">
        <v>8</v>
      </c>
      <c r="M241" s="166">
        <f t="shared" si="724"/>
        <v>758.16000000000008</v>
      </c>
      <c r="N241" s="92">
        <v>1</v>
      </c>
      <c r="O241" s="170">
        <f t="shared" si="725"/>
        <v>863.16000000000008</v>
      </c>
      <c r="P241" s="170"/>
      <c r="Q241" s="52" t="s">
        <v>48</v>
      </c>
      <c r="R241" s="71" t="s">
        <v>77</v>
      </c>
      <c r="S241" s="137" t="str">
        <f t="shared" si="726"/>
        <v>CPD2013</v>
      </c>
      <c r="T241" s="137" t="str">
        <f t="shared" si="727"/>
        <v>C1.5.1.2.42013</v>
      </c>
      <c r="U241" s="137" t="s">
        <v>217</v>
      </c>
      <c r="V241" s="137" t="str">
        <f t="shared" si="728"/>
        <v>Pixel Support Tube</v>
      </c>
      <c r="AB241" s="33">
        <v>2013</v>
      </c>
      <c r="AC241" s="132">
        <f t="shared" si="729"/>
        <v>0</v>
      </c>
      <c r="AD241" s="132">
        <f t="shared" si="730"/>
        <v>0</v>
      </c>
      <c r="AE241" s="132">
        <f t="shared" si="731"/>
        <v>0</v>
      </c>
      <c r="AF241" s="132">
        <f t="shared" si="732"/>
        <v>0</v>
      </c>
      <c r="AG241" s="132">
        <f t="shared" si="733"/>
        <v>0</v>
      </c>
      <c r="AH241" s="234">
        <f t="shared" si="734"/>
        <v>0</v>
      </c>
      <c r="AI241" s="235"/>
      <c r="AJ241" s="132"/>
      <c r="AK241" s="132"/>
      <c r="AL241" s="166"/>
      <c r="AM241" s="131">
        <f t="shared" si="735"/>
        <v>0</v>
      </c>
      <c r="AN241" s="132">
        <f t="shared" si="736"/>
        <v>8</v>
      </c>
      <c r="AO241" s="132">
        <f t="shared" si="737"/>
        <v>0</v>
      </c>
      <c r="AP241" s="132">
        <f t="shared" si="738"/>
        <v>0</v>
      </c>
      <c r="AQ241" s="132">
        <f t="shared" si="739"/>
        <v>0</v>
      </c>
      <c r="AR241" s="132">
        <f t="shared" si="740"/>
        <v>105</v>
      </c>
      <c r="AS241" s="235"/>
    </row>
    <row r="242" spans="1:45" s="20" customFormat="1">
      <c r="A242" s="46" t="s">
        <v>325</v>
      </c>
      <c r="B242" s="20" t="s">
        <v>58</v>
      </c>
      <c r="C242" s="165">
        <v>1</v>
      </c>
      <c r="D242" s="96" t="s">
        <v>9</v>
      </c>
      <c r="E242" s="166">
        <v>105</v>
      </c>
      <c r="F242" s="167">
        <f t="shared" si="723"/>
        <v>105</v>
      </c>
      <c r="G242" s="168">
        <v>2</v>
      </c>
      <c r="H242" s="168">
        <v>8</v>
      </c>
      <c r="I242" s="168">
        <v>0</v>
      </c>
      <c r="J242" s="168">
        <v>0</v>
      </c>
      <c r="K242" s="169">
        <v>0</v>
      </c>
      <c r="L242" s="96" t="s">
        <v>8</v>
      </c>
      <c r="M242" s="166">
        <f t="shared" si="724"/>
        <v>962.28000000000009</v>
      </c>
      <c r="N242" s="92">
        <v>1</v>
      </c>
      <c r="O242" s="170">
        <f t="shared" si="725"/>
        <v>1067.2800000000002</v>
      </c>
      <c r="P242" s="170"/>
      <c r="Q242" s="52" t="s">
        <v>48</v>
      </c>
      <c r="R242" s="71" t="s">
        <v>77</v>
      </c>
      <c r="S242" s="137" t="str">
        <f t="shared" si="726"/>
        <v>CPD2013</v>
      </c>
      <c r="T242" s="137" t="str">
        <f t="shared" si="727"/>
        <v>C1.5.1.2.42013</v>
      </c>
      <c r="U242" s="137" t="s">
        <v>217</v>
      </c>
      <c r="V242" s="137" t="str">
        <f t="shared" si="728"/>
        <v>Pixel Support Tube</v>
      </c>
      <c r="AB242" s="33">
        <v>2013</v>
      </c>
      <c r="AC242" s="132">
        <f t="shared" si="729"/>
        <v>0</v>
      </c>
      <c r="AD242" s="132">
        <f t="shared" si="730"/>
        <v>0</v>
      </c>
      <c r="AE242" s="132">
        <f t="shared" si="731"/>
        <v>0</v>
      </c>
      <c r="AF242" s="132">
        <f t="shared" si="732"/>
        <v>0</v>
      </c>
      <c r="AG242" s="132">
        <f t="shared" si="733"/>
        <v>0</v>
      </c>
      <c r="AH242" s="234">
        <f t="shared" si="734"/>
        <v>0</v>
      </c>
      <c r="AI242" s="235"/>
      <c r="AJ242" s="132"/>
      <c r="AK242" s="132"/>
      <c r="AL242" s="166"/>
      <c r="AM242" s="131">
        <f t="shared" si="735"/>
        <v>2</v>
      </c>
      <c r="AN242" s="132">
        <f t="shared" si="736"/>
        <v>8</v>
      </c>
      <c r="AO242" s="132">
        <f t="shared" si="737"/>
        <v>0</v>
      </c>
      <c r="AP242" s="132">
        <f t="shared" si="738"/>
        <v>0</v>
      </c>
      <c r="AQ242" s="132">
        <f t="shared" si="739"/>
        <v>0</v>
      </c>
      <c r="AR242" s="132">
        <f t="shared" si="740"/>
        <v>105</v>
      </c>
      <c r="AS242" s="235"/>
    </row>
    <row r="243" spans="1:45" s="20" customFormat="1">
      <c r="A243" s="47" t="s">
        <v>330</v>
      </c>
      <c r="C243" s="165"/>
      <c r="D243" s="96"/>
      <c r="E243" s="57"/>
      <c r="F243" s="58"/>
      <c r="G243" s="59"/>
      <c r="H243" s="59"/>
      <c r="I243" s="59"/>
      <c r="J243" s="59"/>
      <c r="K243" s="60"/>
      <c r="L243" s="217" t="s">
        <v>66</v>
      </c>
      <c r="M243" s="177">
        <f>SUMIF(Q237:Q242,"B",M237:M242)</f>
        <v>4928.0400000000009</v>
      </c>
      <c r="N243" s="65" t="s">
        <v>65</v>
      </c>
      <c r="O243" s="170"/>
      <c r="P243" s="170"/>
      <c r="Q243" s="52"/>
      <c r="R243" s="71"/>
      <c r="S243" s="137"/>
      <c r="T243" s="137"/>
      <c r="U243" s="137"/>
      <c r="V243" s="137"/>
      <c r="AB243" s="33"/>
      <c r="AC243" s="132"/>
      <c r="AD243" s="132"/>
      <c r="AE243" s="135"/>
      <c r="AF243" s="132"/>
      <c r="AG243" s="132"/>
      <c r="AH243" s="234"/>
      <c r="AI243" s="235"/>
      <c r="AJ243" s="132"/>
      <c r="AK243" s="132"/>
      <c r="AL243" s="166"/>
      <c r="AM243" s="131"/>
      <c r="AN243" s="132"/>
      <c r="AO243" s="132"/>
      <c r="AP243" s="132"/>
      <c r="AQ243" s="132"/>
      <c r="AR243" s="132"/>
      <c r="AS243" s="235"/>
    </row>
    <row r="244" spans="1:45" s="20" customFormat="1">
      <c r="A244" s="46" t="s">
        <v>351</v>
      </c>
      <c r="B244" s="20" t="s">
        <v>57</v>
      </c>
      <c r="C244" s="165">
        <v>1</v>
      </c>
      <c r="D244" s="96" t="s">
        <v>9</v>
      </c>
      <c r="E244" s="166">
        <v>500</v>
      </c>
      <c r="F244" s="167">
        <f t="shared" ref="F244:F245" si="741">E244*C244</f>
        <v>500</v>
      </c>
      <c r="G244" s="168">
        <v>0</v>
      </c>
      <c r="H244" s="168">
        <v>4</v>
      </c>
      <c r="I244" s="168">
        <v>0</v>
      </c>
      <c r="J244" s="168">
        <v>0</v>
      </c>
      <c r="K244" s="169">
        <v>0</v>
      </c>
      <c r="L244" s="96" t="s">
        <v>8</v>
      </c>
      <c r="M244" s="166">
        <f t="shared" ref="M244:M245" si="742">IF(R244="PD",((Shop*G244)+(M_Tech*H244)+(CMM*I244)+(ENG*J244)+(DES*K244))*N244,((Shop_RD*G244)+(MTECH_RD*H244)+(CMM_RD*I244)+(ENG_RD*J244)+(DES_RD*K244))*N244)</f>
        <v>1137.2400000000002</v>
      </c>
      <c r="N244" s="92">
        <v>3</v>
      </c>
      <c r="O244" s="170">
        <f t="shared" ref="O244:O245" si="743">M244+(F244*N244)</f>
        <v>2637.2400000000002</v>
      </c>
      <c r="P244" s="170"/>
      <c r="Q244" s="52" t="s">
        <v>47</v>
      </c>
      <c r="R244" s="71" t="s">
        <v>77</v>
      </c>
      <c r="S244" s="137" t="str">
        <f t="shared" ref="S244:S245" si="744">CONCATENATE(Q244,R244,AB244)</f>
        <v>BPD2012</v>
      </c>
      <c r="T244" s="137" t="str">
        <f t="shared" ref="T244:T245" si="745">CONCATENATE(Q244,U244,AB244)</f>
        <v>B1.5.1.1.32012</v>
      </c>
      <c r="U244" s="137" t="s">
        <v>204</v>
      </c>
      <c r="V244" s="137" t="str">
        <f>LOOKUP(U244,$B$539:$B$574,$A$539:$A$574)</f>
        <v>Outer Support Cylinder (OSC)</v>
      </c>
      <c r="AB244" s="33">
        <v>2012</v>
      </c>
      <c r="AC244" s="132">
        <f t="shared" ref="AC244:AC245" si="746">IF($Q244="B", (G244*$N244),0)</f>
        <v>0</v>
      </c>
      <c r="AD244" s="132">
        <f t="shared" ref="AD244:AD245" si="747">IF($Q244="B", (H244*$N244),0)</f>
        <v>12</v>
      </c>
      <c r="AE244" s="132">
        <f t="shared" ref="AE244:AE245" si="748">IF($Q244="B", (I244*$N244),0)</f>
        <v>0</v>
      </c>
      <c r="AF244" s="132">
        <f t="shared" ref="AF244:AF245" si="749">IF($Q244="B", (J244*$N244),0)</f>
        <v>0</v>
      </c>
      <c r="AG244" s="132">
        <f t="shared" ref="AG244:AG245" si="750">IF($Q244="B", (K244*$N244),0)</f>
        <v>0</v>
      </c>
      <c r="AH244" s="234">
        <f t="shared" ref="AH244:AH245" si="751">IF($Q244="B", (F244*$N244),0)</f>
        <v>1500</v>
      </c>
      <c r="AI244" s="235"/>
      <c r="AJ244" s="132"/>
      <c r="AK244" s="132"/>
      <c r="AL244" s="166"/>
      <c r="AM244" s="131">
        <f t="shared" ref="AM244:AM245" si="752">IF($Q244="C", (G244*$N244),0)</f>
        <v>0</v>
      </c>
      <c r="AN244" s="132">
        <f t="shared" ref="AN244:AN245" si="753">IF($Q244="C", (H244*$N244),0)</f>
        <v>0</v>
      </c>
      <c r="AO244" s="132">
        <f t="shared" ref="AO244:AO245" si="754">IF($Q244="C", (I244*$N244),0)</f>
        <v>0</v>
      </c>
      <c r="AP244" s="132">
        <f t="shared" ref="AP244:AP245" si="755">IF($Q244="C", (J244*$N244),0)</f>
        <v>0</v>
      </c>
      <c r="AQ244" s="132">
        <f t="shared" ref="AQ244:AQ245" si="756">IF($Q244="C", (K244*$N244),0)</f>
        <v>0</v>
      </c>
      <c r="AR244" s="132">
        <f t="shared" ref="AR244:AR245" si="757">IF($Q244="C", (F244*$N244),0)</f>
        <v>0</v>
      </c>
      <c r="AS244" s="235"/>
    </row>
    <row r="245" spans="1:45" s="20" customFormat="1">
      <c r="A245" s="46" t="s">
        <v>278</v>
      </c>
      <c r="B245" s="20" t="s">
        <v>7</v>
      </c>
      <c r="C245" s="165">
        <v>0.1</v>
      </c>
      <c r="D245" s="96" t="s">
        <v>39</v>
      </c>
      <c r="E245" s="166">
        <v>8</v>
      </c>
      <c r="F245" s="167">
        <f t="shared" si="741"/>
        <v>0.8</v>
      </c>
      <c r="G245" s="168">
        <v>0.2</v>
      </c>
      <c r="H245" s="168">
        <v>0</v>
      </c>
      <c r="I245" s="168">
        <v>0</v>
      </c>
      <c r="J245" s="168">
        <v>0</v>
      </c>
      <c r="K245" s="169">
        <v>0</v>
      </c>
      <c r="L245" s="96" t="s">
        <v>8</v>
      </c>
      <c r="M245" s="166">
        <f t="shared" si="742"/>
        <v>1020.6000000000001</v>
      </c>
      <c r="N245" s="92">
        <v>50</v>
      </c>
      <c r="O245" s="170">
        <f t="shared" si="743"/>
        <v>1060.6000000000001</v>
      </c>
      <c r="P245" s="170"/>
      <c r="Q245" s="52" t="s">
        <v>47</v>
      </c>
      <c r="R245" s="71" t="s">
        <v>77</v>
      </c>
      <c r="S245" s="137" t="str">
        <f t="shared" si="744"/>
        <v>BPD2012</v>
      </c>
      <c r="T245" s="137" t="str">
        <f t="shared" si="745"/>
        <v>B1.5.1.1.32012</v>
      </c>
      <c r="U245" s="137" t="s">
        <v>204</v>
      </c>
      <c r="V245" s="137" t="str">
        <f>LOOKUP(U245,$B$539:$B$574,$A$539:$A$574)</f>
        <v>Outer Support Cylinder (OSC)</v>
      </c>
      <c r="AB245" s="33">
        <v>2012</v>
      </c>
      <c r="AC245" s="132">
        <f t="shared" si="746"/>
        <v>10</v>
      </c>
      <c r="AD245" s="132">
        <f t="shared" si="747"/>
        <v>0</v>
      </c>
      <c r="AE245" s="132">
        <f t="shared" si="748"/>
        <v>0</v>
      </c>
      <c r="AF245" s="132">
        <f t="shared" si="749"/>
        <v>0</v>
      </c>
      <c r="AG245" s="132">
        <f t="shared" si="750"/>
        <v>0</v>
      </c>
      <c r="AH245" s="234">
        <f t="shared" si="751"/>
        <v>40</v>
      </c>
      <c r="AI245" s="235"/>
      <c r="AJ245" s="132"/>
      <c r="AK245" s="132"/>
      <c r="AL245" s="166"/>
      <c r="AM245" s="131">
        <f t="shared" si="752"/>
        <v>0</v>
      </c>
      <c r="AN245" s="132">
        <f t="shared" si="753"/>
        <v>0</v>
      </c>
      <c r="AO245" s="132">
        <f t="shared" si="754"/>
        <v>0</v>
      </c>
      <c r="AP245" s="132">
        <f t="shared" si="755"/>
        <v>0</v>
      </c>
      <c r="AQ245" s="132">
        <f t="shared" si="756"/>
        <v>0</v>
      </c>
      <c r="AR245" s="132">
        <f t="shared" si="757"/>
        <v>0</v>
      </c>
      <c r="AS245" s="235"/>
    </row>
    <row r="246" spans="1:45" s="20" customFormat="1">
      <c r="A246" s="47" t="s">
        <v>371</v>
      </c>
      <c r="C246" s="165"/>
      <c r="D246" s="96"/>
      <c r="E246" s="57"/>
      <c r="F246" s="58"/>
      <c r="G246" s="59"/>
      <c r="H246" s="59"/>
      <c r="I246" s="59"/>
      <c r="J246" s="59"/>
      <c r="K246" s="60"/>
      <c r="L246" s="217" t="s">
        <v>66</v>
      </c>
      <c r="M246" s="177">
        <f>SUMIF(Q244:Q245,"B",M244:M245)</f>
        <v>2157.84</v>
      </c>
      <c r="N246" s="65" t="s">
        <v>65</v>
      </c>
      <c r="O246" s="170"/>
      <c r="P246" s="170"/>
      <c r="Q246" s="52"/>
      <c r="R246" s="71"/>
      <c r="S246" s="137"/>
      <c r="T246" s="137"/>
      <c r="U246" s="137"/>
      <c r="V246" s="137"/>
      <c r="AB246" s="33"/>
      <c r="AC246" s="132"/>
      <c r="AD246" s="132"/>
      <c r="AE246" s="135"/>
      <c r="AF246" s="132"/>
      <c r="AG246" s="132"/>
      <c r="AH246" s="234"/>
      <c r="AI246" s="235"/>
      <c r="AJ246" s="132"/>
      <c r="AK246" s="132"/>
      <c r="AL246" s="166"/>
      <c r="AM246" s="131"/>
      <c r="AN246" s="132"/>
      <c r="AO246" s="132"/>
      <c r="AP246" s="132"/>
      <c r="AQ246" s="132"/>
      <c r="AR246" s="132"/>
      <c r="AS246" s="235"/>
    </row>
    <row r="247" spans="1:45" s="20" customFormat="1">
      <c r="A247" s="46" t="s">
        <v>355</v>
      </c>
      <c r="B247" s="20" t="s">
        <v>34</v>
      </c>
      <c r="C247" s="165">
        <v>0.03</v>
      </c>
      <c r="D247" s="96" t="s">
        <v>9</v>
      </c>
      <c r="E247" s="166">
        <v>0</v>
      </c>
      <c r="F247" s="167">
        <f t="shared" ref="F247:F250" si="758">E247*C247</f>
        <v>0</v>
      </c>
      <c r="G247" s="168">
        <v>0</v>
      </c>
      <c r="H247" s="168">
        <v>0</v>
      </c>
      <c r="I247" s="168">
        <v>0</v>
      </c>
      <c r="J247" s="168">
        <v>80</v>
      </c>
      <c r="K247" s="169">
        <v>0</v>
      </c>
      <c r="L247" s="96" t="s">
        <v>8</v>
      </c>
      <c r="M247" s="166">
        <f t="shared" ref="M247:M250" si="759">IF(R247="PD",((Shop*G247)+(M_Tech*H247)+(CMM*I247)+(ENG*J247)+(DES*K247))*N247,((Shop_RD*G247)+(MTECH_RD*H247)+(CMM_RD*I247)+(ENG_RD*J247)+(DES_RD*K247))*N247)</f>
        <v>9720.0000000000018</v>
      </c>
      <c r="N247" s="92">
        <v>1</v>
      </c>
      <c r="O247" s="170">
        <f t="shared" ref="O247:O250" si="760">M247+(F247*N247)</f>
        <v>9720.0000000000018</v>
      </c>
      <c r="P247" s="170"/>
      <c r="Q247" s="52" t="s">
        <v>47</v>
      </c>
      <c r="R247" s="71" t="s">
        <v>77</v>
      </c>
      <c r="S247" s="137" t="str">
        <f t="shared" ref="S247:S250" si="761">CONCATENATE(Q247,R247,AB247)</f>
        <v>BPD2011</v>
      </c>
      <c r="T247" s="137" t="str">
        <f t="shared" ref="T247:T250" si="762">CONCATENATE(Q247,U247,AB247)</f>
        <v>B1.5.1.1.32011</v>
      </c>
      <c r="U247" s="137" t="s">
        <v>204</v>
      </c>
      <c r="V247" s="137" t="str">
        <f>LOOKUP(U247,$B$539:$B$574,$A$539:$A$574)</f>
        <v>Outer Support Cylinder (OSC)</v>
      </c>
      <c r="AB247" s="33">
        <v>2011</v>
      </c>
      <c r="AC247" s="132">
        <f t="shared" ref="AC247:AC250" si="763">IF($Q247="B", (G247*$N247),0)</f>
        <v>0</v>
      </c>
      <c r="AD247" s="132">
        <f t="shared" ref="AD247:AD250" si="764">IF($Q247="B", (H247*$N247),0)</f>
        <v>0</v>
      </c>
      <c r="AE247" s="132">
        <f t="shared" ref="AE247:AE250" si="765">IF($Q247="B", (I247*$N247),0)</f>
        <v>0</v>
      </c>
      <c r="AF247" s="132">
        <f t="shared" ref="AF247:AF250" si="766">IF($Q247="B", (J247*$N247),0)</f>
        <v>80</v>
      </c>
      <c r="AG247" s="132">
        <f t="shared" ref="AG247:AG250" si="767">IF($Q247="B", (K247*$N247),0)</f>
        <v>0</v>
      </c>
      <c r="AH247" s="234">
        <f t="shared" ref="AH247:AH250" si="768">IF($Q247="B", (F247*$N247),0)</f>
        <v>0</v>
      </c>
      <c r="AI247" s="235"/>
      <c r="AJ247" s="132"/>
      <c r="AK247" s="132"/>
      <c r="AL247" s="166"/>
      <c r="AM247" s="131">
        <f t="shared" ref="AM247:AM250" si="769">IF($Q247="C", (G247*$N247),0)</f>
        <v>0</v>
      </c>
      <c r="AN247" s="132">
        <f t="shared" ref="AN247:AN250" si="770">IF($Q247="C", (H247*$N247),0)</f>
        <v>0</v>
      </c>
      <c r="AO247" s="132">
        <f t="shared" ref="AO247:AO250" si="771">IF($Q247="C", (I247*$N247),0)</f>
        <v>0</v>
      </c>
      <c r="AP247" s="132">
        <f t="shared" ref="AP247:AP250" si="772">IF($Q247="C", (J247*$N247),0)</f>
        <v>0</v>
      </c>
      <c r="AQ247" s="132">
        <f t="shared" ref="AQ247:AQ250" si="773">IF($Q247="C", (K247*$N247),0)</f>
        <v>0</v>
      </c>
      <c r="AR247" s="132">
        <f t="shared" ref="AR247:AR250" si="774">IF($Q247="C", (F247*$N247),0)</f>
        <v>0</v>
      </c>
      <c r="AS247" s="235"/>
    </row>
    <row r="248" spans="1:45" s="20" customFormat="1">
      <c r="A248" s="46" t="s">
        <v>354</v>
      </c>
      <c r="B248" s="20" t="s">
        <v>7</v>
      </c>
      <c r="C248" s="165">
        <v>200</v>
      </c>
      <c r="D248" s="96" t="s">
        <v>39</v>
      </c>
      <c r="E248" s="166">
        <v>8</v>
      </c>
      <c r="F248" s="167">
        <f t="shared" si="758"/>
        <v>1600</v>
      </c>
      <c r="G248" s="168">
        <v>40</v>
      </c>
      <c r="H248" s="168">
        <v>16</v>
      </c>
      <c r="I248" s="168">
        <v>0</v>
      </c>
      <c r="J248" s="168">
        <v>0</v>
      </c>
      <c r="K248" s="169">
        <v>0</v>
      </c>
      <c r="L248" s="96" t="s">
        <v>8</v>
      </c>
      <c r="M248" s="166">
        <f t="shared" si="759"/>
        <v>5598.72</v>
      </c>
      <c r="N248" s="92">
        <v>1</v>
      </c>
      <c r="O248" s="170">
        <f t="shared" si="760"/>
        <v>7198.72</v>
      </c>
      <c r="P248" s="170"/>
      <c r="Q248" s="52" t="s">
        <v>47</v>
      </c>
      <c r="R248" s="71" t="s">
        <v>77</v>
      </c>
      <c r="S248" s="137" t="str">
        <f t="shared" si="761"/>
        <v>BPD2011</v>
      </c>
      <c r="T248" s="137" t="str">
        <f t="shared" si="762"/>
        <v>B1.5.1.1.32011</v>
      </c>
      <c r="U248" s="137" t="s">
        <v>204</v>
      </c>
      <c r="V248" s="137" t="str">
        <f t="shared" ref="V248" si="775">LOOKUP(U248,$B$539:$B$574,$A$539:$A$574)</f>
        <v>Outer Support Cylinder (OSC)</v>
      </c>
      <c r="AB248" s="33">
        <v>2011</v>
      </c>
      <c r="AC248" s="132">
        <f t="shared" si="763"/>
        <v>40</v>
      </c>
      <c r="AD248" s="132">
        <f t="shared" si="764"/>
        <v>16</v>
      </c>
      <c r="AE248" s="132">
        <f t="shared" si="765"/>
        <v>0</v>
      </c>
      <c r="AF248" s="132">
        <f t="shared" si="766"/>
        <v>0</v>
      </c>
      <c r="AG248" s="132">
        <f t="shared" si="767"/>
        <v>0</v>
      </c>
      <c r="AH248" s="234">
        <f t="shared" si="768"/>
        <v>1600</v>
      </c>
      <c r="AI248" s="235"/>
      <c r="AJ248" s="132"/>
      <c r="AK248" s="132"/>
      <c r="AL248" s="166"/>
      <c r="AM248" s="131">
        <f t="shared" si="769"/>
        <v>0</v>
      </c>
      <c r="AN248" s="132">
        <f t="shared" si="770"/>
        <v>0</v>
      </c>
      <c r="AO248" s="132">
        <f t="shared" si="771"/>
        <v>0</v>
      </c>
      <c r="AP248" s="132">
        <f t="shared" si="772"/>
        <v>0</v>
      </c>
      <c r="AQ248" s="132">
        <f t="shared" si="773"/>
        <v>0</v>
      </c>
      <c r="AR248" s="132">
        <f t="shared" si="774"/>
        <v>0</v>
      </c>
      <c r="AS248" s="235"/>
    </row>
    <row r="249" spans="1:45" s="20" customFormat="1">
      <c r="A249" s="46" t="s">
        <v>353</v>
      </c>
      <c r="B249" s="20" t="s">
        <v>94</v>
      </c>
      <c r="C249" s="165">
        <v>100</v>
      </c>
      <c r="D249" s="96" t="s">
        <v>39</v>
      </c>
      <c r="E249" s="166">
        <v>4</v>
      </c>
      <c r="F249" s="167">
        <f t="shared" si="758"/>
        <v>400</v>
      </c>
      <c r="G249" s="168">
        <v>24</v>
      </c>
      <c r="H249" s="168">
        <v>0</v>
      </c>
      <c r="I249" s="168">
        <v>0</v>
      </c>
      <c r="J249" s="168">
        <v>0</v>
      </c>
      <c r="K249" s="169">
        <v>0</v>
      </c>
      <c r="L249" s="96" t="s">
        <v>8</v>
      </c>
      <c r="M249" s="166">
        <f t="shared" si="759"/>
        <v>2449.44</v>
      </c>
      <c r="N249" s="92">
        <v>1</v>
      </c>
      <c r="O249" s="170">
        <f t="shared" si="760"/>
        <v>2849.44</v>
      </c>
      <c r="P249" s="170"/>
      <c r="Q249" s="52" t="s">
        <v>47</v>
      </c>
      <c r="R249" s="71" t="s">
        <v>77</v>
      </c>
      <c r="S249" s="137" t="str">
        <f t="shared" si="761"/>
        <v>BPD2011</v>
      </c>
      <c r="T249" s="137" t="str">
        <f t="shared" si="762"/>
        <v>B1.5.1.1.32011</v>
      </c>
      <c r="U249" s="137" t="s">
        <v>204</v>
      </c>
      <c r="V249" s="137" t="str">
        <f>LOOKUP(U249,$B$539:$B$574,$A$539:$A$574)</f>
        <v>Outer Support Cylinder (OSC)</v>
      </c>
      <c r="AB249" s="33">
        <v>2011</v>
      </c>
      <c r="AC249" s="132">
        <f t="shared" si="763"/>
        <v>24</v>
      </c>
      <c r="AD249" s="132">
        <f t="shared" si="764"/>
        <v>0</v>
      </c>
      <c r="AE249" s="132">
        <f t="shared" si="765"/>
        <v>0</v>
      </c>
      <c r="AF249" s="132">
        <f t="shared" si="766"/>
        <v>0</v>
      </c>
      <c r="AG249" s="132">
        <f t="shared" si="767"/>
        <v>0</v>
      </c>
      <c r="AH249" s="234">
        <f t="shared" si="768"/>
        <v>400</v>
      </c>
      <c r="AI249" s="235"/>
      <c r="AJ249" s="132"/>
      <c r="AK249" s="132"/>
      <c r="AL249" s="166"/>
      <c r="AM249" s="131">
        <f t="shared" si="769"/>
        <v>0</v>
      </c>
      <c r="AN249" s="132">
        <f t="shared" si="770"/>
        <v>0</v>
      </c>
      <c r="AO249" s="132">
        <f t="shared" si="771"/>
        <v>0</v>
      </c>
      <c r="AP249" s="132">
        <f t="shared" si="772"/>
        <v>0</v>
      </c>
      <c r="AQ249" s="132">
        <f t="shared" si="773"/>
        <v>0</v>
      </c>
      <c r="AR249" s="132">
        <f t="shared" si="774"/>
        <v>0</v>
      </c>
      <c r="AS249" s="235"/>
    </row>
    <row r="250" spans="1:45" s="20" customFormat="1">
      <c r="A250" s="46" t="s">
        <v>334</v>
      </c>
      <c r="B250" s="20" t="s">
        <v>34</v>
      </c>
      <c r="C250" s="165">
        <v>0</v>
      </c>
      <c r="D250" s="96" t="s">
        <v>9</v>
      </c>
      <c r="E250" s="166">
        <v>0</v>
      </c>
      <c r="F250" s="167">
        <f t="shared" si="758"/>
        <v>0</v>
      </c>
      <c r="G250" s="168">
        <v>0</v>
      </c>
      <c r="H250" s="168">
        <v>40</v>
      </c>
      <c r="I250" s="168">
        <v>8</v>
      </c>
      <c r="J250" s="168">
        <v>16</v>
      </c>
      <c r="K250" s="169">
        <v>0</v>
      </c>
      <c r="L250" s="96" t="s">
        <v>8</v>
      </c>
      <c r="M250" s="166">
        <f t="shared" si="759"/>
        <v>6551.2800000000007</v>
      </c>
      <c r="N250" s="92">
        <v>1</v>
      </c>
      <c r="O250" s="170">
        <f t="shared" si="760"/>
        <v>6551.2800000000007</v>
      </c>
      <c r="P250" s="170"/>
      <c r="Q250" s="52" t="s">
        <v>47</v>
      </c>
      <c r="R250" s="71" t="s">
        <v>77</v>
      </c>
      <c r="S250" s="137" t="str">
        <f t="shared" si="761"/>
        <v>BPD2011</v>
      </c>
      <c r="T250" s="137" t="str">
        <f t="shared" si="762"/>
        <v>B1.5.1.1.32011</v>
      </c>
      <c r="U250" s="137" t="s">
        <v>204</v>
      </c>
      <c r="V250" s="137" t="str">
        <f>LOOKUP(U250,$B$539:$B$574,$A$539:$A$574)</f>
        <v>Outer Support Cylinder (OSC)</v>
      </c>
      <c r="AB250" s="33">
        <v>2011</v>
      </c>
      <c r="AC250" s="132">
        <f t="shared" si="763"/>
        <v>0</v>
      </c>
      <c r="AD250" s="132">
        <f t="shared" si="764"/>
        <v>40</v>
      </c>
      <c r="AE250" s="132">
        <f t="shared" si="765"/>
        <v>8</v>
      </c>
      <c r="AF250" s="132">
        <f t="shared" si="766"/>
        <v>16</v>
      </c>
      <c r="AG250" s="132">
        <f t="shared" si="767"/>
        <v>0</v>
      </c>
      <c r="AH250" s="234">
        <f t="shared" si="768"/>
        <v>0</v>
      </c>
      <c r="AI250" s="235"/>
      <c r="AJ250" s="132"/>
      <c r="AK250" s="132"/>
      <c r="AL250" s="166"/>
      <c r="AM250" s="131">
        <f t="shared" si="769"/>
        <v>0</v>
      </c>
      <c r="AN250" s="132">
        <f t="shared" si="770"/>
        <v>0</v>
      </c>
      <c r="AO250" s="132">
        <f t="shared" si="771"/>
        <v>0</v>
      </c>
      <c r="AP250" s="132">
        <f t="shared" si="772"/>
        <v>0</v>
      </c>
      <c r="AQ250" s="132">
        <f t="shared" si="773"/>
        <v>0</v>
      </c>
      <c r="AR250" s="132">
        <f t="shared" si="774"/>
        <v>0</v>
      </c>
      <c r="AS250" s="235"/>
    </row>
    <row r="251" spans="1:45" s="20" customFormat="1">
      <c r="A251" s="47" t="s">
        <v>374</v>
      </c>
      <c r="C251" s="165"/>
      <c r="D251" s="96"/>
      <c r="E251" s="57"/>
      <c r="F251" s="58"/>
      <c r="G251" s="59"/>
      <c r="H251" s="59"/>
      <c r="I251" s="59"/>
      <c r="J251" s="59"/>
      <c r="K251" s="60"/>
      <c r="L251" s="217" t="s">
        <v>66</v>
      </c>
      <c r="M251" s="177">
        <f>SUMIF(Q247:Q250,"B",M247:M250)</f>
        <v>24319.440000000002</v>
      </c>
      <c r="N251" s="65" t="s">
        <v>65</v>
      </c>
      <c r="O251" s="170"/>
      <c r="P251" s="170"/>
      <c r="Q251" s="52"/>
      <c r="R251" s="71"/>
      <c r="S251" s="137"/>
      <c r="T251" s="137"/>
      <c r="U251" s="137"/>
      <c r="V251" s="137"/>
      <c r="AB251" s="33"/>
      <c r="AC251" s="132"/>
      <c r="AD251" s="132"/>
      <c r="AE251" s="135"/>
      <c r="AF251" s="132"/>
      <c r="AG251" s="132"/>
      <c r="AH251" s="234"/>
      <c r="AI251" s="235"/>
      <c r="AJ251" s="132"/>
      <c r="AK251" s="132"/>
      <c r="AL251" s="166"/>
      <c r="AM251" s="131"/>
      <c r="AN251" s="132"/>
      <c r="AO251" s="132"/>
      <c r="AP251" s="132"/>
      <c r="AQ251" s="132"/>
      <c r="AR251" s="132"/>
      <c r="AS251" s="235"/>
    </row>
    <row r="252" spans="1:45" s="20" customFormat="1">
      <c r="A252" s="46" t="s">
        <v>345</v>
      </c>
      <c r="B252" s="20" t="s">
        <v>34</v>
      </c>
      <c r="C252" s="165">
        <v>0</v>
      </c>
      <c r="D252" s="96" t="s">
        <v>9</v>
      </c>
      <c r="E252" s="166">
        <v>0</v>
      </c>
      <c r="F252" s="167">
        <f>E252*C252</f>
        <v>0</v>
      </c>
      <c r="G252" s="168">
        <v>0</v>
      </c>
      <c r="H252" s="168">
        <v>0</v>
      </c>
      <c r="I252" s="168">
        <v>0</v>
      </c>
      <c r="J252" s="168">
        <v>40</v>
      </c>
      <c r="K252" s="169">
        <v>0</v>
      </c>
      <c r="L252" s="96" t="s">
        <v>8</v>
      </c>
      <c r="M252" s="166">
        <f>IF(R252="PD",((Shop*G252)+(M_Tech*H252)+(CMM*I252)+(ENG*J252)+(DES*K252))*N252,((Shop_RD*G252)+(MTECH_RD*H252)+(CMM_RD*I252)+(ENG_RD*J252)+(DES_RD*K252))*N252)</f>
        <v>4860.0000000000009</v>
      </c>
      <c r="N252" s="92">
        <v>1</v>
      </c>
      <c r="O252" s="170">
        <f>M252+(F252*N252)</f>
        <v>4860.0000000000009</v>
      </c>
      <c r="P252" s="170"/>
      <c r="Q252" s="52" t="s">
        <v>47</v>
      </c>
      <c r="R252" s="71" t="s">
        <v>77</v>
      </c>
      <c r="S252" s="137" t="str">
        <f>CONCATENATE(Q252,R252,AB252)</f>
        <v>BPD2012</v>
      </c>
      <c r="T252" s="137" t="str">
        <f>CONCATENATE(Q252,U252,AB252)</f>
        <v>B1.5.1.1.32012</v>
      </c>
      <c r="U252" s="137" t="s">
        <v>204</v>
      </c>
      <c r="V252" s="137" t="str">
        <f>LOOKUP(U252,$B$539:$B$574,$A$539:$A$574)</f>
        <v>Outer Support Cylinder (OSC)</v>
      </c>
      <c r="AB252" s="33">
        <v>2012</v>
      </c>
      <c r="AC252" s="132">
        <f t="shared" ref="AC252:AC255" si="776">IF($Q252="B", (G252*$N252),0)</f>
        <v>0</v>
      </c>
      <c r="AD252" s="132">
        <f t="shared" ref="AD252:AD255" si="777">IF($Q252="B", (H252*$N252),0)</f>
        <v>0</v>
      </c>
      <c r="AE252" s="132">
        <f t="shared" ref="AE252:AE255" si="778">IF($Q252="B", (I252*$N252),0)</f>
        <v>0</v>
      </c>
      <c r="AF252" s="132">
        <f t="shared" ref="AF252:AF255" si="779">IF($Q252="B", (J252*$N252),0)</f>
        <v>40</v>
      </c>
      <c r="AG252" s="132">
        <f t="shared" ref="AG252:AG255" si="780">IF($Q252="B", (K252*$N252),0)</f>
        <v>0</v>
      </c>
      <c r="AH252" s="234">
        <f>IF($Q252="B", (F252*$N252),0)</f>
        <v>0</v>
      </c>
      <c r="AI252" s="235"/>
      <c r="AJ252" s="132"/>
      <c r="AK252" s="132"/>
      <c r="AL252" s="166"/>
      <c r="AM252" s="131">
        <f t="shared" ref="AM252:AM255" si="781">IF($Q252="C", (G252*$N252),0)</f>
        <v>0</v>
      </c>
      <c r="AN252" s="132">
        <f t="shared" ref="AN252:AN255" si="782">IF($Q252="C", (H252*$N252),0)</f>
        <v>0</v>
      </c>
      <c r="AO252" s="132">
        <f t="shared" ref="AO252:AO255" si="783">IF($Q252="C", (I252*$N252),0)</f>
        <v>0</v>
      </c>
      <c r="AP252" s="132">
        <f t="shared" ref="AP252:AP255" si="784">IF($Q252="C", (J252*$N252),0)</f>
        <v>0</v>
      </c>
      <c r="AQ252" s="132">
        <f t="shared" ref="AQ252:AQ255" si="785">IF($Q252="C", (K252*$N252),0)</f>
        <v>0</v>
      </c>
      <c r="AR252" s="132">
        <f>IF($Q252="C", (F252*$N252),0)</f>
        <v>0</v>
      </c>
      <c r="AS252" s="235"/>
    </row>
    <row r="253" spans="1:45" s="20" customFormat="1">
      <c r="A253" s="46" t="s">
        <v>341</v>
      </c>
      <c r="B253" s="20" t="s">
        <v>34</v>
      </c>
      <c r="C253" s="165">
        <v>0</v>
      </c>
      <c r="D253" s="96" t="s">
        <v>9</v>
      </c>
      <c r="E253" s="166">
        <v>0</v>
      </c>
      <c r="F253" s="167">
        <f>E253*C253</f>
        <v>0</v>
      </c>
      <c r="G253" s="168">
        <v>0</v>
      </c>
      <c r="H253" s="168">
        <v>24</v>
      </c>
      <c r="I253" s="168">
        <v>8</v>
      </c>
      <c r="J253" s="168">
        <v>0</v>
      </c>
      <c r="K253" s="169">
        <v>0</v>
      </c>
      <c r="L253" s="96" t="s">
        <v>8</v>
      </c>
      <c r="M253" s="166">
        <f>IF(R253="PD",((Shop*G253)+(M_Tech*H253)+(CMM*I253)+(ENG*J253)+(DES*K253))*N253,((Shop_RD*G253)+(MTECH_RD*H253)+(CMM_RD*I253)+(ENG_RD*J253)+(DES_RD*K253))*N253)</f>
        <v>6181.920000000001</v>
      </c>
      <c r="N253" s="92">
        <v>2</v>
      </c>
      <c r="O253" s="170">
        <f>M253+(F253*N253)</f>
        <v>6181.920000000001</v>
      </c>
      <c r="P253" s="170"/>
      <c r="Q253" s="52" t="s">
        <v>47</v>
      </c>
      <c r="R253" s="71" t="s">
        <v>77</v>
      </c>
      <c r="S253" s="137" t="str">
        <f>CONCATENATE(Q253,R253,AB253)</f>
        <v>BPD2012</v>
      </c>
      <c r="T253" s="137" t="str">
        <f>CONCATENATE(Q253,U253,AB253)</f>
        <v>B1.5.1.1.32012</v>
      </c>
      <c r="U253" s="137" t="s">
        <v>204</v>
      </c>
      <c r="V253" s="137" t="str">
        <f>LOOKUP(U253,$B$539:$B$574,$A$539:$A$574)</f>
        <v>Outer Support Cylinder (OSC)</v>
      </c>
      <c r="AB253" s="33">
        <v>2012</v>
      </c>
      <c r="AC253" s="132">
        <f t="shared" si="776"/>
        <v>0</v>
      </c>
      <c r="AD253" s="132">
        <f t="shared" si="777"/>
        <v>48</v>
      </c>
      <c r="AE253" s="132">
        <f t="shared" si="778"/>
        <v>16</v>
      </c>
      <c r="AF253" s="132">
        <f t="shared" si="779"/>
        <v>0</v>
      </c>
      <c r="AG253" s="132">
        <f t="shared" si="780"/>
        <v>0</v>
      </c>
      <c r="AH253" s="234">
        <f>IF($Q253="B", (F253*$N253),0)</f>
        <v>0</v>
      </c>
      <c r="AI253" s="235"/>
      <c r="AJ253" s="132"/>
      <c r="AK253" s="132"/>
      <c r="AL253" s="166"/>
      <c r="AM253" s="131">
        <f t="shared" si="781"/>
        <v>0</v>
      </c>
      <c r="AN253" s="132">
        <f t="shared" si="782"/>
        <v>0</v>
      </c>
      <c r="AO253" s="132">
        <f t="shared" si="783"/>
        <v>0</v>
      </c>
      <c r="AP253" s="132">
        <f t="shared" si="784"/>
        <v>0</v>
      </c>
      <c r="AQ253" s="132">
        <f t="shared" si="785"/>
        <v>0</v>
      </c>
      <c r="AR253" s="132">
        <f>IF($Q253="C", (F253*$N253),0)</f>
        <v>0</v>
      </c>
      <c r="AS253" s="235"/>
    </row>
    <row r="254" spans="1:45" s="20" customFormat="1">
      <c r="A254" s="46" t="s">
        <v>372</v>
      </c>
      <c r="B254" s="20" t="s">
        <v>34</v>
      </c>
      <c r="C254" s="165">
        <v>0</v>
      </c>
      <c r="D254" s="96" t="s">
        <v>9</v>
      </c>
      <c r="E254" s="166">
        <v>0</v>
      </c>
      <c r="F254" s="167">
        <f>E254*C254</f>
        <v>0</v>
      </c>
      <c r="G254" s="168">
        <v>0</v>
      </c>
      <c r="H254" s="168">
        <v>24</v>
      </c>
      <c r="I254" s="168">
        <v>8</v>
      </c>
      <c r="J254" s="168">
        <v>0</v>
      </c>
      <c r="K254" s="169">
        <v>0</v>
      </c>
      <c r="L254" s="96" t="s">
        <v>8</v>
      </c>
      <c r="M254" s="166">
        <f>IF(R254="PD",((Shop*G254)+(M_Tech*H254)+(CMM*I254)+(ENG*J254)+(DES*K254))*N254,((Shop_RD*G254)+(MTECH_RD*H254)+(CMM_RD*I254)+(ENG_RD*J254)+(DES_RD*K254))*N254)</f>
        <v>3090.9600000000005</v>
      </c>
      <c r="N254" s="92">
        <v>1</v>
      </c>
      <c r="O254" s="170">
        <f>M254+(F254*N254)</f>
        <v>3090.9600000000005</v>
      </c>
      <c r="P254" s="170"/>
      <c r="Q254" s="52" t="s">
        <v>47</v>
      </c>
      <c r="R254" s="71" t="s">
        <v>77</v>
      </c>
      <c r="S254" s="137" t="str">
        <f>CONCATENATE(Q254,R254,AB254)</f>
        <v>BPD2012</v>
      </c>
      <c r="T254" s="137" t="str">
        <f>CONCATENATE(Q254,U254,AB254)</f>
        <v>B1.5.1.1.32012</v>
      </c>
      <c r="U254" s="137" t="s">
        <v>204</v>
      </c>
      <c r="V254" s="137" t="str">
        <f>LOOKUP(U254,$B$539:$B$574,$A$539:$A$574)</f>
        <v>Outer Support Cylinder (OSC)</v>
      </c>
      <c r="AB254" s="33">
        <v>2012</v>
      </c>
      <c r="AC254" s="132">
        <f t="shared" si="776"/>
        <v>0</v>
      </c>
      <c r="AD254" s="132">
        <f t="shared" si="777"/>
        <v>24</v>
      </c>
      <c r="AE254" s="132">
        <f t="shared" si="778"/>
        <v>8</v>
      </c>
      <c r="AF254" s="132">
        <f t="shared" si="779"/>
        <v>0</v>
      </c>
      <c r="AG254" s="132">
        <f t="shared" si="780"/>
        <v>0</v>
      </c>
      <c r="AH254" s="234">
        <f>IF($Q254="B", (F254*$N254),0)</f>
        <v>0</v>
      </c>
      <c r="AI254" s="235"/>
      <c r="AJ254" s="132"/>
      <c r="AK254" s="132"/>
      <c r="AL254" s="166"/>
      <c r="AM254" s="131">
        <f t="shared" si="781"/>
        <v>0</v>
      </c>
      <c r="AN254" s="132">
        <f t="shared" si="782"/>
        <v>0</v>
      </c>
      <c r="AO254" s="132">
        <f t="shared" si="783"/>
        <v>0</v>
      </c>
      <c r="AP254" s="132">
        <f t="shared" si="784"/>
        <v>0</v>
      </c>
      <c r="AQ254" s="132">
        <f t="shared" si="785"/>
        <v>0</v>
      </c>
      <c r="AR254" s="132">
        <f>IF($Q254="C", (F254*$N254),0)</f>
        <v>0</v>
      </c>
      <c r="AS254" s="235"/>
    </row>
    <row r="255" spans="1:45" s="20" customFormat="1">
      <c r="A255" s="46" t="s">
        <v>373</v>
      </c>
      <c r="B255" s="20" t="s">
        <v>34</v>
      </c>
      <c r="C255" s="165">
        <v>0</v>
      </c>
      <c r="D255" s="96" t="s">
        <v>9</v>
      </c>
      <c r="E255" s="166">
        <v>0</v>
      </c>
      <c r="F255" s="167">
        <f>E255*C255</f>
        <v>0</v>
      </c>
      <c r="G255" s="168">
        <v>0</v>
      </c>
      <c r="H255" s="168">
        <v>24</v>
      </c>
      <c r="I255" s="168">
        <v>0</v>
      </c>
      <c r="J255" s="168">
        <v>0</v>
      </c>
      <c r="K255" s="169">
        <v>0</v>
      </c>
      <c r="L255" s="96" t="s">
        <v>8</v>
      </c>
      <c r="M255" s="166">
        <f>IF(R255="PD",((Shop*G255)+(M_Tech*H255)+(CMM*I255)+(ENG*J255)+(DES*K255))*N255,((Shop_RD*G255)+(MTECH_RD*H255)+(CMM_RD*I255)+(ENG_RD*J255)+(DES_RD*K255))*N255)</f>
        <v>2274.4800000000005</v>
      </c>
      <c r="N255" s="92">
        <v>1</v>
      </c>
      <c r="O255" s="170">
        <f>M255+(F255*N255)</f>
        <v>2274.4800000000005</v>
      </c>
      <c r="P255" s="170"/>
      <c r="Q255" s="52" t="s">
        <v>47</v>
      </c>
      <c r="R255" s="71" t="s">
        <v>77</v>
      </c>
      <c r="S255" s="137" t="str">
        <f>CONCATENATE(Q255,R255,AB255)</f>
        <v>BPD2012</v>
      </c>
      <c r="T255" s="137" t="str">
        <f>CONCATENATE(Q255,U255,AB255)</f>
        <v>B1.5.1.1.32012</v>
      </c>
      <c r="U255" s="137" t="s">
        <v>204</v>
      </c>
      <c r="V255" s="137" t="str">
        <f>LOOKUP(U255,$B$539:$B$574,$A$539:$A$574)</f>
        <v>Outer Support Cylinder (OSC)</v>
      </c>
      <c r="AB255" s="33">
        <v>2012</v>
      </c>
      <c r="AC255" s="132">
        <f t="shared" si="776"/>
        <v>0</v>
      </c>
      <c r="AD255" s="132">
        <f t="shared" si="777"/>
        <v>24</v>
      </c>
      <c r="AE255" s="132">
        <f t="shared" si="778"/>
        <v>0</v>
      </c>
      <c r="AF255" s="132">
        <f t="shared" si="779"/>
        <v>0</v>
      </c>
      <c r="AG255" s="132">
        <f t="shared" si="780"/>
        <v>0</v>
      </c>
      <c r="AH255" s="234">
        <f>IF($Q255="B", (F255*$N255),0)</f>
        <v>0</v>
      </c>
      <c r="AI255" s="235"/>
      <c r="AJ255" s="132"/>
      <c r="AK255" s="132"/>
      <c r="AL255" s="166"/>
      <c r="AM255" s="131">
        <f t="shared" si="781"/>
        <v>0</v>
      </c>
      <c r="AN255" s="132">
        <f t="shared" si="782"/>
        <v>0</v>
      </c>
      <c r="AO255" s="132">
        <f t="shared" si="783"/>
        <v>0</v>
      </c>
      <c r="AP255" s="132">
        <f t="shared" si="784"/>
        <v>0</v>
      </c>
      <c r="AQ255" s="132">
        <f t="shared" si="785"/>
        <v>0</v>
      </c>
      <c r="AR255" s="132">
        <f>IF($Q255="C", (F255*$N255),0)</f>
        <v>0</v>
      </c>
      <c r="AS255" s="235"/>
    </row>
    <row r="256" spans="1:45" s="20" customFormat="1">
      <c r="A256" s="47" t="s">
        <v>375</v>
      </c>
      <c r="C256" s="165"/>
      <c r="D256" s="96"/>
      <c r="E256" s="57"/>
      <c r="F256" s="58"/>
      <c r="G256" s="59"/>
      <c r="H256" s="59"/>
      <c r="I256" s="59"/>
      <c r="J256" s="59"/>
      <c r="K256" s="60"/>
      <c r="L256" s="217" t="s">
        <v>66</v>
      </c>
      <c r="M256" s="177">
        <f>SUMIF(Q252:Q255,"B",M252:M255)</f>
        <v>16407.360000000004</v>
      </c>
      <c r="N256" s="65" t="s">
        <v>65</v>
      </c>
      <c r="O256" s="170"/>
      <c r="P256" s="170"/>
      <c r="Q256" s="52"/>
      <c r="R256" s="71"/>
      <c r="S256" s="137"/>
      <c r="T256" s="137"/>
      <c r="U256" s="137"/>
      <c r="V256" s="137"/>
      <c r="AB256" s="33"/>
      <c r="AC256" s="132"/>
      <c r="AD256" s="132"/>
      <c r="AE256" s="135"/>
      <c r="AF256" s="132"/>
      <c r="AG256" s="132"/>
      <c r="AH256" s="234"/>
      <c r="AI256" s="235"/>
      <c r="AJ256" s="132"/>
      <c r="AK256" s="132"/>
      <c r="AL256" s="166"/>
      <c r="AM256" s="131"/>
      <c r="AN256" s="132"/>
      <c r="AO256" s="132"/>
      <c r="AP256" s="132"/>
      <c r="AQ256" s="132"/>
      <c r="AR256" s="132"/>
      <c r="AS256" s="235"/>
    </row>
    <row r="257" spans="1:45" s="20" customFormat="1">
      <c r="A257" s="46" t="s">
        <v>345</v>
      </c>
      <c r="B257" s="20" t="s">
        <v>34</v>
      </c>
      <c r="C257" s="165">
        <v>0</v>
      </c>
      <c r="D257" s="96" t="s">
        <v>9</v>
      </c>
      <c r="E257" s="166">
        <v>0</v>
      </c>
      <c r="F257" s="167">
        <f>E257*C257</f>
        <v>0</v>
      </c>
      <c r="G257" s="168">
        <v>0</v>
      </c>
      <c r="H257" s="168">
        <v>0</v>
      </c>
      <c r="I257" s="168">
        <v>0</v>
      </c>
      <c r="J257" s="168">
        <v>40</v>
      </c>
      <c r="K257" s="169">
        <v>0</v>
      </c>
      <c r="L257" s="96" t="s">
        <v>8</v>
      </c>
      <c r="M257" s="166">
        <f>IF(R257="PD",((Shop*G257)+(M_Tech*H257)+(CMM*I257)+(ENG*J257)+(DES*K257))*N257,((Shop_RD*G257)+(MTECH_RD*H257)+(CMM_RD*I257)+(ENG_RD*J257)+(DES_RD*K257))*N257)</f>
        <v>4860.0000000000009</v>
      </c>
      <c r="N257" s="92">
        <v>1</v>
      </c>
      <c r="O257" s="170">
        <f>M257+(F257*N257)</f>
        <v>4860.0000000000009</v>
      </c>
      <c r="P257" s="170"/>
      <c r="Q257" s="52" t="s">
        <v>47</v>
      </c>
      <c r="R257" s="71" t="s">
        <v>77</v>
      </c>
      <c r="S257" s="137" t="str">
        <f>CONCATENATE(Q257,R257,AB257)</f>
        <v>BPD2013</v>
      </c>
      <c r="T257" s="137" t="str">
        <f>CONCATENATE(Q257,U257,AB257)</f>
        <v>B1.5.1.1.32013</v>
      </c>
      <c r="U257" s="137" t="s">
        <v>204</v>
      </c>
      <c r="V257" s="137" t="str">
        <f>LOOKUP(U257,$B$539:$B$574,$A$539:$A$574)</f>
        <v>Outer Support Cylinder (OSC)</v>
      </c>
      <c r="AB257" s="33">
        <v>2013</v>
      </c>
      <c r="AC257" s="132">
        <f t="shared" ref="AC257:AC260" si="786">IF($Q257="B", (G257*$N257),0)</f>
        <v>0</v>
      </c>
      <c r="AD257" s="132">
        <f t="shared" ref="AD257:AD260" si="787">IF($Q257="B", (H257*$N257),0)</f>
        <v>0</v>
      </c>
      <c r="AE257" s="132">
        <f t="shared" ref="AE257:AE260" si="788">IF($Q257="B", (I257*$N257),0)</f>
        <v>0</v>
      </c>
      <c r="AF257" s="132">
        <f t="shared" ref="AF257:AF260" si="789">IF($Q257="B", (J257*$N257),0)</f>
        <v>40</v>
      </c>
      <c r="AG257" s="132">
        <f t="shared" ref="AG257:AG260" si="790">IF($Q257="B", (K257*$N257),0)</f>
        <v>0</v>
      </c>
      <c r="AH257" s="234">
        <f>IF($Q257="B", (F257*$N257),0)</f>
        <v>0</v>
      </c>
      <c r="AI257" s="235"/>
      <c r="AJ257" s="132"/>
      <c r="AK257" s="132"/>
      <c r="AL257" s="166"/>
      <c r="AM257" s="131">
        <f t="shared" ref="AM257:AM260" si="791">IF($Q257="C", (G257*$N257),0)</f>
        <v>0</v>
      </c>
      <c r="AN257" s="132">
        <f t="shared" ref="AN257:AN260" si="792">IF($Q257="C", (H257*$N257),0)</f>
        <v>0</v>
      </c>
      <c r="AO257" s="132">
        <f t="shared" ref="AO257:AO260" si="793">IF($Q257="C", (I257*$N257),0)</f>
        <v>0</v>
      </c>
      <c r="AP257" s="132">
        <f t="shared" ref="AP257:AP260" si="794">IF($Q257="C", (J257*$N257),0)</f>
        <v>0</v>
      </c>
      <c r="AQ257" s="132">
        <f t="shared" ref="AQ257:AQ260" si="795">IF($Q257="C", (K257*$N257),0)</f>
        <v>0</v>
      </c>
      <c r="AR257" s="132">
        <f>IF($Q257="C", (F257*$N257),0)</f>
        <v>0</v>
      </c>
      <c r="AS257" s="235"/>
    </row>
    <row r="258" spans="1:45" s="20" customFormat="1">
      <c r="A258" s="46" t="s">
        <v>341</v>
      </c>
      <c r="B258" s="20" t="s">
        <v>34</v>
      </c>
      <c r="C258" s="165">
        <v>0</v>
      </c>
      <c r="D258" s="96" t="s">
        <v>9</v>
      </c>
      <c r="E258" s="166">
        <v>0</v>
      </c>
      <c r="F258" s="167">
        <f>E258*C258</f>
        <v>0</v>
      </c>
      <c r="G258" s="168">
        <v>0</v>
      </c>
      <c r="H258" s="168">
        <v>24</v>
      </c>
      <c r="I258" s="168">
        <v>8</v>
      </c>
      <c r="J258" s="168">
        <v>0</v>
      </c>
      <c r="K258" s="169">
        <v>0</v>
      </c>
      <c r="L258" s="96" t="s">
        <v>8</v>
      </c>
      <c r="M258" s="166">
        <f>IF(R258="PD",((Shop*G258)+(M_Tech*H258)+(CMM*I258)+(ENG*J258)+(DES*K258))*N258,((Shop_RD*G258)+(MTECH_RD*H258)+(CMM_RD*I258)+(ENG_RD*J258)+(DES_RD*K258))*N258)</f>
        <v>6181.920000000001</v>
      </c>
      <c r="N258" s="92">
        <v>2</v>
      </c>
      <c r="O258" s="170">
        <f>M258+(F258*N258)</f>
        <v>6181.920000000001</v>
      </c>
      <c r="P258" s="170"/>
      <c r="Q258" s="52" t="s">
        <v>47</v>
      </c>
      <c r="R258" s="71" t="s">
        <v>77</v>
      </c>
      <c r="S258" s="137" t="str">
        <f>CONCATENATE(Q258,R258,AB258)</f>
        <v>BPD2013</v>
      </c>
      <c r="T258" s="137" t="str">
        <f>CONCATENATE(Q258,U258,AB258)</f>
        <v>B1.5.1.1.32013</v>
      </c>
      <c r="U258" s="137" t="s">
        <v>204</v>
      </c>
      <c r="V258" s="137" t="str">
        <f>LOOKUP(U258,$B$539:$B$574,$A$539:$A$574)</f>
        <v>Outer Support Cylinder (OSC)</v>
      </c>
      <c r="AB258" s="33">
        <v>2013</v>
      </c>
      <c r="AC258" s="132">
        <f t="shared" si="786"/>
        <v>0</v>
      </c>
      <c r="AD258" s="132">
        <f t="shared" si="787"/>
        <v>48</v>
      </c>
      <c r="AE258" s="132">
        <f t="shared" si="788"/>
        <v>16</v>
      </c>
      <c r="AF258" s="132">
        <f t="shared" si="789"/>
        <v>0</v>
      </c>
      <c r="AG258" s="132">
        <f t="shared" si="790"/>
        <v>0</v>
      </c>
      <c r="AH258" s="234">
        <f>IF($Q258="B", (F258*$N258),0)</f>
        <v>0</v>
      </c>
      <c r="AI258" s="235"/>
      <c r="AJ258" s="132"/>
      <c r="AK258" s="132"/>
      <c r="AL258" s="166"/>
      <c r="AM258" s="131">
        <f t="shared" si="791"/>
        <v>0</v>
      </c>
      <c r="AN258" s="132">
        <f t="shared" si="792"/>
        <v>0</v>
      </c>
      <c r="AO258" s="132">
        <f t="shared" si="793"/>
        <v>0</v>
      </c>
      <c r="AP258" s="132">
        <f t="shared" si="794"/>
        <v>0</v>
      </c>
      <c r="AQ258" s="132">
        <f t="shared" si="795"/>
        <v>0</v>
      </c>
      <c r="AR258" s="132">
        <f>IF($Q258="C", (F258*$N258),0)</f>
        <v>0</v>
      </c>
      <c r="AS258" s="235"/>
    </row>
    <row r="259" spans="1:45" s="20" customFormat="1">
      <c r="A259" s="46" t="s">
        <v>372</v>
      </c>
      <c r="B259" s="20" t="s">
        <v>34</v>
      </c>
      <c r="C259" s="165">
        <v>0</v>
      </c>
      <c r="D259" s="96" t="s">
        <v>9</v>
      </c>
      <c r="E259" s="166">
        <v>0</v>
      </c>
      <c r="F259" s="167">
        <f>E259*C259</f>
        <v>0</v>
      </c>
      <c r="G259" s="168">
        <v>0</v>
      </c>
      <c r="H259" s="168">
        <v>24</v>
      </c>
      <c r="I259" s="168">
        <v>8</v>
      </c>
      <c r="J259" s="168">
        <v>0</v>
      </c>
      <c r="K259" s="169">
        <v>0</v>
      </c>
      <c r="L259" s="96" t="s">
        <v>8</v>
      </c>
      <c r="M259" s="166">
        <f>IF(R259="PD",((Shop*G259)+(M_Tech*H259)+(CMM*I259)+(ENG*J259)+(DES*K259))*N259,((Shop_RD*G259)+(MTECH_RD*H259)+(CMM_RD*I259)+(ENG_RD*J259)+(DES_RD*K259))*N259)</f>
        <v>3090.9600000000005</v>
      </c>
      <c r="N259" s="92">
        <v>1</v>
      </c>
      <c r="O259" s="170">
        <f>M259+(F259*N259)</f>
        <v>3090.9600000000005</v>
      </c>
      <c r="P259" s="170"/>
      <c r="Q259" s="52" t="s">
        <v>47</v>
      </c>
      <c r="R259" s="71" t="s">
        <v>77</v>
      </c>
      <c r="S259" s="137" t="str">
        <f>CONCATENATE(Q259,R259,AB259)</f>
        <v>BPD2013</v>
      </c>
      <c r="T259" s="137" t="str">
        <f>CONCATENATE(Q259,U259,AB259)</f>
        <v>B1.5.1.1.32013</v>
      </c>
      <c r="U259" s="137" t="s">
        <v>204</v>
      </c>
      <c r="V259" s="137" t="str">
        <f>LOOKUP(U259,$B$539:$B$574,$A$539:$A$574)</f>
        <v>Outer Support Cylinder (OSC)</v>
      </c>
      <c r="AB259" s="33">
        <v>2013</v>
      </c>
      <c r="AC259" s="132">
        <f t="shared" si="786"/>
        <v>0</v>
      </c>
      <c r="AD259" s="132">
        <f t="shared" si="787"/>
        <v>24</v>
      </c>
      <c r="AE259" s="132">
        <f t="shared" si="788"/>
        <v>8</v>
      </c>
      <c r="AF259" s="132">
        <f t="shared" si="789"/>
        <v>0</v>
      </c>
      <c r="AG259" s="132">
        <f t="shared" si="790"/>
        <v>0</v>
      </c>
      <c r="AH259" s="234">
        <f>IF($Q259="B", (F259*$N259),0)</f>
        <v>0</v>
      </c>
      <c r="AI259" s="235"/>
      <c r="AJ259" s="132"/>
      <c r="AK259" s="132"/>
      <c r="AL259" s="166"/>
      <c r="AM259" s="131">
        <f t="shared" si="791"/>
        <v>0</v>
      </c>
      <c r="AN259" s="132">
        <f t="shared" si="792"/>
        <v>0</v>
      </c>
      <c r="AO259" s="132">
        <f t="shared" si="793"/>
        <v>0</v>
      </c>
      <c r="AP259" s="132">
        <f t="shared" si="794"/>
        <v>0</v>
      </c>
      <c r="AQ259" s="132">
        <f t="shared" si="795"/>
        <v>0</v>
      </c>
      <c r="AR259" s="132">
        <f>IF($Q259="C", (F259*$N259),0)</f>
        <v>0</v>
      </c>
      <c r="AS259" s="235"/>
    </row>
    <row r="260" spans="1:45" s="20" customFormat="1">
      <c r="A260" s="46" t="s">
        <v>373</v>
      </c>
      <c r="B260" s="20" t="s">
        <v>34</v>
      </c>
      <c r="C260" s="165">
        <v>0</v>
      </c>
      <c r="D260" s="96" t="s">
        <v>9</v>
      </c>
      <c r="E260" s="166">
        <v>0</v>
      </c>
      <c r="F260" s="167">
        <f>E260*C260</f>
        <v>0</v>
      </c>
      <c r="G260" s="168">
        <v>0</v>
      </c>
      <c r="H260" s="168">
        <v>24</v>
      </c>
      <c r="I260" s="168">
        <v>0</v>
      </c>
      <c r="J260" s="168">
        <v>0</v>
      </c>
      <c r="K260" s="169">
        <v>0</v>
      </c>
      <c r="L260" s="96" t="s">
        <v>8</v>
      </c>
      <c r="M260" s="166">
        <f>IF(R260="PD",((Shop*G260)+(M_Tech*H260)+(CMM*I260)+(ENG*J260)+(DES*K260))*N260,((Shop_RD*G260)+(MTECH_RD*H260)+(CMM_RD*I260)+(ENG_RD*J260)+(DES_RD*K260))*N260)</f>
        <v>2274.4800000000005</v>
      </c>
      <c r="N260" s="92">
        <v>1</v>
      </c>
      <c r="O260" s="170">
        <f>M260+(F260*N260)</f>
        <v>2274.4800000000005</v>
      </c>
      <c r="P260" s="170"/>
      <c r="Q260" s="52" t="s">
        <v>47</v>
      </c>
      <c r="R260" s="71" t="s">
        <v>77</v>
      </c>
      <c r="S260" s="137" t="str">
        <f>CONCATENATE(Q260,R260,AB260)</f>
        <v>BPD2013</v>
      </c>
      <c r="T260" s="137" t="str">
        <f>CONCATENATE(Q260,U260,AB260)</f>
        <v>B1.5.1.1.32013</v>
      </c>
      <c r="U260" s="137" t="s">
        <v>204</v>
      </c>
      <c r="V260" s="137" t="str">
        <f>LOOKUP(U260,$B$539:$B$574,$A$539:$A$574)</f>
        <v>Outer Support Cylinder (OSC)</v>
      </c>
      <c r="AB260" s="33">
        <v>2013</v>
      </c>
      <c r="AC260" s="132">
        <f t="shared" si="786"/>
        <v>0</v>
      </c>
      <c r="AD260" s="132">
        <f t="shared" si="787"/>
        <v>24</v>
      </c>
      <c r="AE260" s="132">
        <f t="shared" si="788"/>
        <v>0</v>
      </c>
      <c r="AF260" s="132">
        <f t="shared" si="789"/>
        <v>0</v>
      </c>
      <c r="AG260" s="132">
        <f t="shared" si="790"/>
        <v>0</v>
      </c>
      <c r="AH260" s="234">
        <f>IF($Q260="B", (F260*$N260),0)</f>
        <v>0</v>
      </c>
      <c r="AI260" s="235"/>
      <c r="AJ260" s="132"/>
      <c r="AK260" s="132"/>
      <c r="AL260" s="166"/>
      <c r="AM260" s="131">
        <f t="shared" si="791"/>
        <v>0</v>
      </c>
      <c r="AN260" s="132">
        <f t="shared" si="792"/>
        <v>0</v>
      </c>
      <c r="AO260" s="132">
        <f t="shared" si="793"/>
        <v>0</v>
      </c>
      <c r="AP260" s="132">
        <f t="shared" si="794"/>
        <v>0</v>
      </c>
      <c r="AQ260" s="132">
        <f t="shared" si="795"/>
        <v>0</v>
      </c>
      <c r="AR260" s="132">
        <f>IF($Q260="C", (F260*$N260),0)</f>
        <v>0</v>
      </c>
      <c r="AS260" s="235"/>
    </row>
    <row r="261" spans="1:45" s="20" customFormat="1">
      <c r="A261" s="47" t="s">
        <v>376</v>
      </c>
      <c r="C261" s="165"/>
      <c r="D261" s="96"/>
      <c r="E261" s="57"/>
      <c r="F261" s="58"/>
      <c r="G261" s="59"/>
      <c r="H261" s="59"/>
      <c r="I261" s="59"/>
      <c r="J261" s="59"/>
      <c r="K261" s="60"/>
      <c r="L261" s="217" t="s">
        <v>66</v>
      </c>
      <c r="M261" s="177">
        <f>SUMIF(Q257:Q260,"B",M257:M260)</f>
        <v>16407.360000000004</v>
      </c>
      <c r="N261" s="65" t="s">
        <v>65</v>
      </c>
      <c r="O261" s="170"/>
      <c r="P261" s="170"/>
      <c r="Q261" s="52"/>
      <c r="R261" s="71"/>
      <c r="S261" s="137"/>
      <c r="T261" s="137"/>
      <c r="U261" s="137"/>
      <c r="V261" s="137"/>
      <c r="AB261" s="33"/>
      <c r="AC261" s="132"/>
      <c r="AD261" s="132"/>
      <c r="AE261" s="135"/>
      <c r="AF261" s="132"/>
      <c r="AG261" s="132"/>
      <c r="AH261" s="234"/>
      <c r="AI261" s="235"/>
      <c r="AJ261" s="132"/>
      <c r="AK261" s="132"/>
      <c r="AL261" s="166"/>
      <c r="AM261" s="131"/>
      <c r="AN261" s="132"/>
      <c r="AO261" s="132"/>
      <c r="AP261" s="132"/>
      <c r="AQ261" s="132"/>
      <c r="AR261" s="132"/>
      <c r="AS261" s="235"/>
    </row>
    <row r="262" spans="1:45" s="20" customFormat="1">
      <c r="A262" s="46" t="s">
        <v>345</v>
      </c>
      <c r="B262" s="20" t="s">
        <v>34</v>
      </c>
      <c r="C262" s="165">
        <v>0</v>
      </c>
      <c r="D262" s="96" t="s">
        <v>9</v>
      </c>
      <c r="E262" s="166">
        <v>0</v>
      </c>
      <c r="F262" s="167">
        <f>E262*C262</f>
        <v>0</v>
      </c>
      <c r="G262" s="168">
        <v>0</v>
      </c>
      <c r="H262" s="168">
        <v>0</v>
      </c>
      <c r="I262" s="168">
        <v>0</v>
      </c>
      <c r="J262" s="168">
        <v>40</v>
      </c>
      <c r="K262" s="169">
        <v>0</v>
      </c>
      <c r="L262" s="96" t="s">
        <v>8</v>
      </c>
      <c r="M262" s="166">
        <f>IF(R262="PD",((Shop*G262)+(M_Tech*H262)+(CMM*I262)+(ENG*J262)+(DES*K262))*N262,((Shop_RD*G262)+(MTECH_RD*H262)+(CMM_RD*I262)+(ENG_RD*J262)+(DES_RD*K262))*N262)</f>
        <v>4860.0000000000009</v>
      </c>
      <c r="N262" s="92">
        <v>1</v>
      </c>
      <c r="O262" s="170">
        <f>M262+(F262*N262)</f>
        <v>4860.0000000000009</v>
      </c>
      <c r="P262" s="170"/>
      <c r="Q262" s="52" t="s">
        <v>48</v>
      </c>
      <c r="R262" s="71" t="s">
        <v>77</v>
      </c>
      <c r="S262" s="137" t="str">
        <f>CONCATENATE(Q262,R262,AB262)</f>
        <v>CPD2013</v>
      </c>
      <c r="T262" s="137" t="str">
        <f>CONCATENATE(Q262,U262,AB262)</f>
        <v>C1.5.1.1.32013</v>
      </c>
      <c r="U262" s="137" t="s">
        <v>204</v>
      </c>
      <c r="V262" s="137" t="str">
        <f>LOOKUP(U262,$B$539:$B$574,$A$539:$A$574)</f>
        <v>Outer Support Cylinder (OSC)</v>
      </c>
      <c r="AB262" s="33">
        <v>2013</v>
      </c>
      <c r="AC262" s="132">
        <f t="shared" ref="AC262:AC265" si="796">IF($Q262="B", (G262*$N262),0)</f>
        <v>0</v>
      </c>
      <c r="AD262" s="132">
        <f t="shared" ref="AD262:AD265" si="797">IF($Q262="B", (H262*$N262),0)</f>
        <v>0</v>
      </c>
      <c r="AE262" s="132">
        <f t="shared" ref="AE262:AE265" si="798">IF($Q262="B", (I262*$N262),0)</f>
        <v>0</v>
      </c>
      <c r="AF262" s="132">
        <f t="shared" ref="AF262:AF265" si="799">IF($Q262="B", (J262*$N262),0)</f>
        <v>0</v>
      </c>
      <c r="AG262" s="132">
        <f t="shared" ref="AG262:AG265" si="800">IF($Q262="B", (K262*$N262),0)</f>
        <v>0</v>
      </c>
      <c r="AH262" s="234">
        <f>IF($Q262="B", (F262*$N262),0)</f>
        <v>0</v>
      </c>
      <c r="AI262" s="235"/>
      <c r="AJ262" s="132"/>
      <c r="AK262" s="132"/>
      <c r="AL262" s="166"/>
      <c r="AM262" s="131">
        <f t="shared" ref="AM262:AM265" si="801">IF($Q262="C", (G262*$N262),0)</f>
        <v>0</v>
      </c>
      <c r="AN262" s="132">
        <f t="shared" ref="AN262:AN265" si="802">IF($Q262="C", (H262*$N262),0)</f>
        <v>0</v>
      </c>
      <c r="AO262" s="132">
        <f t="shared" ref="AO262:AO265" si="803">IF($Q262="C", (I262*$N262),0)</f>
        <v>0</v>
      </c>
      <c r="AP262" s="132">
        <f t="shared" ref="AP262:AP265" si="804">IF($Q262="C", (J262*$N262),0)</f>
        <v>40</v>
      </c>
      <c r="AQ262" s="132">
        <f t="shared" ref="AQ262:AQ265" si="805">IF($Q262="C", (K262*$N262),0)</f>
        <v>0</v>
      </c>
      <c r="AR262" s="132">
        <f>IF($Q262="C", (F262*$N262),0)</f>
        <v>0</v>
      </c>
      <c r="AS262" s="235"/>
    </row>
    <row r="263" spans="1:45" s="20" customFormat="1">
      <c r="A263" s="46" t="s">
        <v>341</v>
      </c>
      <c r="B263" s="20" t="s">
        <v>34</v>
      </c>
      <c r="C263" s="165">
        <v>0</v>
      </c>
      <c r="D263" s="96" t="s">
        <v>9</v>
      </c>
      <c r="E263" s="166">
        <v>0</v>
      </c>
      <c r="F263" s="167">
        <f>E263*C263</f>
        <v>0</v>
      </c>
      <c r="G263" s="168">
        <v>0</v>
      </c>
      <c r="H263" s="168">
        <v>24</v>
      </c>
      <c r="I263" s="168">
        <v>8</v>
      </c>
      <c r="J263" s="168">
        <v>0</v>
      </c>
      <c r="K263" s="169">
        <v>0</v>
      </c>
      <c r="L263" s="96" t="s">
        <v>8</v>
      </c>
      <c r="M263" s="166">
        <f>IF(R263="PD",((Shop*G263)+(M_Tech*H263)+(CMM*I263)+(ENG*J263)+(DES*K263))*N263,((Shop_RD*G263)+(MTECH_RD*H263)+(CMM_RD*I263)+(ENG_RD*J263)+(DES_RD*K263))*N263)</f>
        <v>6181.920000000001</v>
      </c>
      <c r="N263" s="92">
        <v>2</v>
      </c>
      <c r="O263" s="170">
        <f>M263+(F263*N263)</f>
        <v>6181.920000000001</v>
      </c>
      <c r="P263" s="170"/>
      <c r="Q263" s="52" t="s">
        <v>48</v>
      </c>
      <c r="R263" s="71" t="s">
        <v>77</v>
      </c>
      <c r="S263" s="137" t="str">
        <f>CONCATENATE(Q263,R263,AB263)</f>
        <v>CPD2013</v>
      </c>
      <c r="T263" s="137" t="str">
        <f>CONCATENATE(Q263,U263,AB263)</f>
        <v>C1.5.1.1.32013</v>
      </c>
      <c r="U263" s="137" t="s">
        <v>204</v>
      </c>
      <c r="V263" s="137" t="str">
        <f>LOOKUP(U263,$B$539:$B$574,$A$539:$A$574)</f>
        <v>Outer Support Cylinder (OSC)</v>
      </c>
      <c r="AB263" s="33">
        <v>2013</v>
      </c>
      <c r="AC263" s="132">
        <f t="shared" ref="AC263" si="806">IF($Q263="B", (G263*$N263),0)</f>
        <v>0</v>
      </c>
      <c r="AD263" s="132">
        <f t="shared" ref="AD263" si="807">IF($Q263="B", (H263*$N263),0)</f>
        <v>0</v>
      </c>
      <c r="AE263" s="132">
        <f t="shared" ref="AE263" si="808">IF($Q263="B", (I263*$N263),0)</f>
        <v>0</v>
      </c>
      <c r="AF263" s="132">
        <f t="shared" ref="AF263" si="809">IF($Q263="B", (J263*$N263),0)</f>
        <v>0</v>
      </c>
      <c r="AG263" s="132">
        <f t="shared" ref="AG263" si="810">IF($Q263="B", (K263*$N263),0)</f>
        <v>0</v>
      </c>
      <c r="AH263" s="234">
        <f>IF($Q263="B", (F263*$N263),0)</f>
        <v>0</v>
      </c>
      <c r="AI263" s="235"/>
      <c r="AJ263" s="132"/>
      <c r="AK263" s="132"/>
      <c r="AL263" s="166"/>
      <c r="AM263" s="131">
        <f t="shared" ref="AM263" si="811">IF($Q263="C", (G263*$N263),0)</f>
        <v>0</v>
      </c>
      <c r="AN263" s="132">
        <f t="shared" ref="AN263" si="812">IF($Q263="C", (H263*$N263),0)</f>
        <v>48</v>
      </c>
      <c r="AO263" s="132">
        <f t="shared" ref="AO263" si="813">IF($Q263="C", (I263*$N263),0)</f>
        <v>16</v>
      </c>
      <c r="AP263" s="132">
        <f t="shared" ref="AP263" si="814">IF($Q263="C", (J263*$N263),0)</f>
        <v>0</v>
      </c>
      <c r="AQ263" s="132">
        <f t="shared" ref="AQ263" si="815">IF($Q263="C", (K263*$N263),0)</f>
        <v>0</v>
      </c>
      <c r="AR263" s="132">
        <f>IF($Q263="C", (F263*$N263),0)</f>
        <v>0</v>
      </c>
      <c r="AS263" s="235"/>
    </row>
    <row r="264" spans="1:45" s="20" customFormat="1">
      <c r="A264" s="46" t="s">
        <v>372</v>
      </c>
      <c r="B264" s="20" t="s">
        <v>34</v>
      </c>
      <c r="C264" s="165">
        <v>0</v>
      </c>
      <c r="D264" s="96" t="s">
        <v>9</v>
      </c>
      <c r="E264" s="166">
        <v>0</v>
      </c>
      <c r="F264" s="167">
        <f>E264*C264</f>
        <v>0</v>
      </c>
      <c r="G264" s="168">
        <v>0</v>
      </c>
      <c r="H264" s="168">
        <v>24</v>
      </c>
      <c r="I264" s="168">
        <v>8</v>
      </c>
      <c r="J264" s="168">
        <v>0</v>
      </c>
      <c r="K264" s="169">
        <v>0</v>
      </c>
      <c r="L264" s="96" t="s">
        <v>8</v>
      </c>
      <c r="M264" s="166">
        <f>IF(R264="PD",((Shop*G264)+(M_Tech*H264)+(CMM*I264)+(ENG*J264)+(DES*K264))*N264,((Shop_RD*G264)+(MTECH_RD*H264)+(CMM_RD*I264)+(ENG_RD*J264)+(DES_RD*K264))*N264)</f>
        <v>3090.9600000000005</v>
      </c>
      <c r="N264" s="92">
        <v>1</v>
      </c>
      <c r="O264" s="170">
        <f>M264+(F264*N264)</f>
        <v>3090.9600000000005</v>
      </c>
      <c r="P264" s="170"/>
      <c r="Q264" s="52" t="s">
        <v>48</v>
      </c>
      <c r="R264" s="71" t="s">
        <v>77</v>
      </c>
      <c r="S264" s="137" t="str">
        <f>CONCATENATE(Q264,R264,AB264)</f>
        <v>CPD2013</v>
      </c>
      <c r="T264" s="137" t="str">
        <f>CONCATENATE(Q264,U264,AB264)</f>
        <v>C1.5.1.1.32013</v>
      </c>
      <c r="U264" s="137" t="s">
        <v>204</v>
      </c>
      <c r="V264" s="137" t="str">
        <f>LOOKUP(U264,$B$539:$B$574,$A$539:$A$574)</f>
        <v>Outer Support Cylinder (OSC)</v>
      </c>
      <c r="AB264" s="33">
        <v>2013</v>
      </c>
      <c r="AC264" s="132">
        <f t="shared" si="796"/>
        <v>0</v>
      </c>
      <c r="AD264" s="132">
        <f t="shared" si="797"/>
        <v>0</v>
      </c>
      <c r="AE264" s="132">
        <f t="shared" si="798"/>
        <v>0</v>
      </c>
      <c r="AF264" s="132">
        <f t="shared" si="799"/>
        <v>0</v>
      </c>
      <c r="AG264" s="132">
        <f t="shared" si="800"/>
        <v>0</v>
      </c>
      <c r="AH264" s="234">
        <f>IF($Q264="B", (F264*$N264),0)</f>
        <v>0</v>
      </c>
      <c r="AI264" s="235"/>
      <c r="AJ264" s="132"/>
      <c r="AK264" s="132"/>
      <c r="AL264" s="166"/>
      <c r="AM264" s="131">
        <f t="shared" si="801"/>
        <v>0</v>
      </c>
      <c r="AN264" s="132">
        <f t="shared" si="802"/>
        <v>24</v>
      </c>
      <c r="AO264" s="132">
        <f t="shared" si="803"/>
        <v>8</v>
      </c>
      <c r="AP264" s="132">
        <f t="shared" si="804"/>
        <v>0</v>
      </c>
      <c r="AQ264" s="132">
        <f t="shared" si="805"/>
        <v>0</v>
      </c>
      <c r="AR264" s="132">
        <f>IF($Q264="C", (F264*$N264),0)</f>
        <v>0</v>
      </c>
      <c r="AS264" s="235"/>
    </row>
    <row r="265" spans="1:45" s="20" customFormat="1">
      <c r="A265" s="46" t="s">
        <v>373</v>
      </c>
      <c r="B265" s="20" t="s">
        <v>34</v>
      </c>
      <c r="C265" s="165">
        <v>0</v>
      </c>
      <c r="D265" s="96" t="s">
        <v>9</v>
      </c>
      <c r="E265" s="166">
        <v>0</v>
      </c>
      <c r="F265" s="167">
        <f>E265*C265</f>
        <v>0</v>
      </c>
      <c r="G265" s="168">
        <v>0</v>
      </c>
      <c r="H265" s="168">
        <v>24</v>
      </c>
      <c r="I265" s="168">
        <v>0</v>
      </c>
      <c r="J265" s="168">
        <v>0</v>
      </c>
      <c r="K265" s="169">
        <v>0</v>
      </c>
      <c r="L265" s="96" t="s">
        <v>8</v>
      </c>
      <c r="M265" s="166">
        <f>IF(R265="PD",((Shop*G265)+(M_Tech*H265)+(CMM*I265)+(ENG*J265)+(DES*K265))*N265,((Shop_RD*G265)+(MTECH_RD*H265)+(CMM_RD*I265)+(ENG_RD*J265)+(DES_RD*K265))*N265)</f>
        <v>2274.4800000000005</v>
      </c>
      <c r="N265" s="92">
        <v>1</v>
      </c>
      <c r="O265" s="170">
        <f>M265+(F265*N265)</f>
        <v>2274.4800000000005</v>
      </c>
      <c r="P265" s="170"/>
      <c r="Q265" s="52" t="s">
        <v>48</v>
      </c>
      <c r="R265" s="71" t="s">
        <v>77</v>
      </c>
      <c r="S265" s="137" t="str">
        <f>CONCATENATE(Q265,R265,AB265)</f>
        <v>CPD2013</v>
      </c>
      <c r="T265" s="137" t="str">
        <f>CONCATENATE(Q265,U265,AB265)</f>
        <v>C1.5.1.1.32013</v>
      </c>
      <c r="U265" s="137" t="s">
        <v>204</v>
      </c>
      <c r="V265" s="137" t="str">
        <f>LOOKUP(U265,$B$539:$B$574,$A$539:$A$574)</f>
        <v>Outer Support Cylinder (OSC)</v>
      </c>
      <c r="AB265" s="33">
        <v>2013</v>
      </c>
      <c r="AC265" s="132">
        <f t="shared" si="796"/>
        <v>0</v>
      </c>
      <c r="AD265" s="132">
        <f t="shared" si="797"/>
        <v>0</v>
      </c>
      <c r="AE265" s="132">
        <f t="shared" si="798"/>
        <v>0</v>
      </c>
      <c r="AF265" s="132">
        <f t="shared" si="799"/>
        <v>0</v>
      </c>
      <c r="AG265" s="132">
        <f t="shared" si="800"/>
        <v>0</v>
      </c>
      <c r="AH265" s="234">
        <f>IF($Q265="B", (F265*$N265),0)</f>
        <v>0</v>
      </c>
      <c r="AI265" s="235"/>
      <c r="AJ265" s="132"/>
      <c r="AK265" s="132"/>
      <c r="AL265" s="166"/>
      <c r="AM265" s="131">
        <f t="shared" si="801"/>
        <v>0</v>
      </c>
      <c r="AN265" s="132">
        <f t="shared" si="802"/>
        <v>24</v>
      </c>
      <c r="AO265" s="132">
        <f t="shared" si="803"/>
        <v>0</v>
      </c>
      <c r="AP265" s="132">
        <f t="shared" si="804"/>
        <v>0</v>
      </c>
      <c r="AQ265" s="132">
        <f t="shared" si="805"/>
        <v>0</v>
      </c>
      <c r="AR265" s="132">
        <f>IF($Q265="C", (F265*$N265),0)</f>
        <v>0</v>
      </c>
      <c r="AS265" s="235"/>
    </row>
    <row r="266" spans="1:45" s="335" customFormat="1">
      <c r="A266" s="21" t="s">
        <v>386</v>
      </c>
      <c r="B266" s="3"/>
      <c r="C266" s="171"/>
      <c r="D266" s="336"/>
      <c r="E266" s="172"/>
      <c r="F266" s="173"/>
      <c r="G266" s="171"/>
      <c r="H266" s="171"/>
      <c r="I266" s="171"/>
      <c r="J266" s="171"/>
      <c r="K266" s="174"/>
      <c r="L266" s="336"/>
      <c r="M266" s="172">
        <f>SUMIF(Q192:Q264,"B",M192:M265)</f>
        <v>192983.40000000008</v>
      </c>
      <c r="N266" s="456" t="s">
        <v>65</v>
      </c>
      <c r="O266" s="456"/>
      <c r="P266" s="459"/>
      <c r="Q266" s="53"/>
      <c r="R266" s="74"/>
      <c r="S266" s="138"/>
      <c r="T266" s="138"/>
      <c r="U266" s="138"/>
      <c r="V266" s="138"/>
      <c r="W266" s="3"/>
      <c r="X266" s="3"/>
      <c r="Y266" s="3"/>
      <c r="Z266" s="3"/>
      <c r="AA266" s="3"/>
      <c r="AB266" s="34"/>
      <c r="AC266" s="5">
        <f>SUM(AC192:AC265)</f>
        <v>216</v>
      </c>
      <c r="AD266" s="5">
        <f t="shared" ref="AD266:AG266" si="816">SUM(AD192:AD265)</f>
        <v>884</v>
      </c>
      <c r="AE266" s="5">
        <f t="shared" si="816"/>
        <v>56</v>
      </c>
      <c r="AF266" s="5">
        <f t="shared" si="816"/>
        <v>636</v>
      </c>
      <c r="AG266" s="5">
        <f t="shared" si="816"/>
        <v>0</v>
      </c>
      <c r="AH266" s="172"/>
      <c r="AI266" s="173">
        <f>SUM(AH192:AH265)</f>
        <v>19710</v>
      </c>
      <c r="AJ266" s="172">
        <f>(Shop*AC266)+M_Tech*AD266+CMM*AE266+ENG*AF266+DES*AG266+AI266</f>
        <v>208521.00000000003</v>
      </c>
      <c r="AK266" s="172"/>
      <c r="AL266" s="173">
        <f>Shop*AM266+M_Tech*AN266+CMM*AO266+ENG*AP266+DES*AQ266+AS266</f>
        <v>68889.080000000016</v>
      </c>
      <c r="AM266" s="5">
        <f>SUM(AM192:AM265)</f>
        <v>68</v>
      </c>
      <c r="AN266" s="5">
        <f t="shared" ref="AN266" si="817">SUM(AN192:AN265)</f>
        <v>428</v>
      </c>
      <c r="AO266" s="5">
        <f t="shared" ref="AO266" si="818">SUM(AO192:AO265)</f>
        <v>24</v>
      </c>
      <c r="AP266" s="5">
        <f t="shared" ref="AP266" si="819">SUM(AP192:AP265)</f>
        <v>92</v>
      </c>
      <c r="AQ266" s="5">
        <f t="shared" ref="AQ266" si="820">SUM(AQ192:AQ265)</f>
        <v>0</v>
      </c>
      <c r="AR266" s="172"/>
      <c r="AS266" s="173">
        <f>SUM(AR192:AR265)</f>
        <v>7760</v>
      </c>
    </row>
    <row r="267" spans="1:45" s="20" customFormat="1" ht="15.75">
      <c r="A267" s="49" t="s">
        <v>370</v>
      </c>
      <c r="C267" s="165"/>
      <c r="D267" s="96"/>
      <c r="E267" s="166"/>
      <c r="F267" s="167"/>
      <c r="G267" s="168"/>
      <c r="H267" s="168"/>
      <c r="I267" s="168"/>
      <c r="J267" s="168"/>
      <c r="K267" s="169"/>
      <c r="L267" s="217" t="s">
        <v>66</v>
      </c>
      <c r="M267" s="177">
        <f>SUMIF(Q262:Q265,"B",M262:M265)</f>
        <v>0</v>
      </c>
      <c r="N267" s="65" t="s">
        <v>65</v>
      </c>
      <c r="O267" s="170"/>
      <c r="P267" s="170"/>
      <c r="Q267" s="52"/>
      <c r="R267" s="71"/>
      <c r="S267" s="137"/>
      <c r="T267" s="137"/>
      <c r="U267" s="137"/>
      <c r="V267" s="137"/>
      <c r="AB267" s="33"/>
      <c r="AC267" s="132"/>
      <c r="AD267" s="132"/>
      <c r="AE267" s="132"/>
      <c r="AF267" s="132"/>
      <c r="AG267" s="132"/>
      <c r="AH267" s="234"/>
      <c r="AI267" s="235"/>
      <c r="AJ267" s="132"/>
      <c r="AK267" s="132"/>
      <c r="AL267" s="166"/>
      <c r="AM267" s="131"/>
      <c r="AN267" s="132"/>
      <c r="AO267" s="132"/>
      <c r="AP267" s="132"/>
      <c r="AQ267" s="132"/>
      <c r="AR267" s="132"/>
      <c r="AS267" s="235"/>
    </row>
    <row r="268" spans="1:45" s="20" customFormat="1">
      <c r="A268" s="47" t="s">
        <v>377</v>
      </c>
      <c r="C268" s="165"/>
      <c r="D268" s="96"/>
      <c r="E268" s="57"/>
      <c r="F268" s="58"/>
      <c r="G268" s="59"/>
      <c r="H268" s="59"/>
      <c r="I268" s="59"/>
      <c r="J268" s="59"/>
      <c r="K268" s="60"/>
      <c r="L268" s="217"/>
      <c r="M268" s="177"/>
      <c r="N268" s="65" t="s">
        <v>279</v>
      </c>
      <c r="O268" s="170"/>
      <c r="P268" s="170"/>
      <c r="Q268" s="52"/>
      <c r="R268" s="71"/>
      <c r="S268" s="137"/>
      <c r="T268" s="137"/>
      <c r="U268" s="137"/>
      <c r="V268" s="137"/>
      <c r="AB268" s="33"/>
      <c r="AC268" s="132"/>
      <c r="AD268" s="132"/>
      <c r="AE268" s="135"/>
      <c r="AF268" s="132"/>
      <c r="AG268" s="132"/>
      <c r="AH268" s="234"/>
      <c r="AI268" s="235"/>
      <c r="AJ268" s="132"/>
      <c r="AK268" s="132"/>
      <c r="AL268" s="166"/>
      <c r="AM268" s="131"/>
      <c r="AN268" s="132"/>
      <c r="AO268" s="132"/>
      <c r="AP268" s="132"/>
      <c r="AQ268" s="132"/>
      <c r="AR268" s="132"/>
      <c r="AS268" s="235"/>
    </row>
    <row r="269" spans="1:45" s="20" customFormat="1">
      <c r="A269" s="46" t="s">
        <v>318</v>
      </c>
      <c r="B269" s="20" t="s">
        <v>34</v>
      </c>
      <c r="C269" s="165">
        <v>0.03</v>
      </c>
      <c r="D269" s="96" t="s">
        <v>9</v>
      </c>
      <c r="E269" s="166">
        <v>0</v>
      </c>
      <c r="F269" s="167">
        <f>E269*C269</f>
        <v>0</v>
      </c>
      <c r="G269" s="168">
        <v>0</v>
      </c>
      <c r="H269" s="168">
        <v>16</v>
      </c>
      <c r="I269" s="168">
        <v>0</v>
      </c>
      <c r="J269" s="168">
        <v>8</v>
      </c>
      <c r="K269" s="169">
        <v>0</v>
      </c>
      <c r="L269" s="96" t="s">
        <v>8</v>
      </c>
      <c r="M269" s="166">
        <f>IF(R269="PD",((Shop*G269)+(M_Tech*H269)+(CMM*I269)+(ENG*J269)+(DES*K269))*N269,((Shop_RD*G269)+(MTECH_RD*H269)+(CMM_RD*I269)+(ENG_RD*J269)+(DES_RD*K269))*N269)</f>
        <v>2488.3200000000002</v>
      </c>
      <c r="N269" s="92">
        <v>1</v>
      </c>
      <c r="O269" s="170">
        <f>M269+(F269*N269)</f>
        <v>2488.3200000000002</v>
      </c>
      <c r="P269" s="170"/>
      <c r="Q269" s="52" t="s">
        <v>47</v>
      </c>
      <c r="R269" s="71" t="s">
        <v>77</v>
      </c>
      <c r="S269" s="137" t="str">
        <f>CONCATENATE(Q269,R269,AB269)</f>
        <v>BPD2012</v>
      </c>
      <c r="T269" s="137" t="str">
        <f>CONCATENATE(Q269,U269,AB269)</f>
        <v>B1.5.1.2.12012</v>
      </c>
      <c r="U269" s="137" t="s">
        <v>214</v>
      </c>
      <c r="V269" s="137" t="str">
        <f>LOOKUP(U269,$B$539:$B$574,$A$539:$A$574)</f>
        <v>Pixel Insertion Tube</v>
      </c>
      <c r="AB269" s="33">
        <v>2012</v>
      </c>
      <c r="AC269" s="132">
        <f t="shared" ref="AC269:AC272" si="821">IF($Q269="B", (G269*$N269),0)</f>
        <v>0</v>
      </c>
      <c r="AD269" s="132">
        <f t="shared" ref="AD269:AD272" si="822">IF($Q269="B", (H269*$N269),0)</f>
        <v>16</v>
      </c>
      <c r="AE269" s="132">
        <f t="shared" ref="AE269:AE272" si="823">IF($Q269="B", (I269*$N269),0)</f>
        <v>0</v>
      </c>
      <c r="AF269" s="132">
        <f t="shared" ref="AF269:AF272" si="824">IF($Q269="B", (J269*$N269),0)</f>
        <v>8</v>
      </c>
      <c r="AG269" s="132">
        <f t="shared" ref="AG269:AG272" si="825">IF($Q269="B", (K269*$N269),0)</f>
        <v>0</v>
      </c>
      <c r="AH269" s="234">
        <f>IF($Q269="B", (F269*$N269),0)</f>
        <v>0</v>
      </c>
      <c r="AI269" s="235"/>
      <c r="AJ269" s="132"/>
      <c r="AK269" s="132"/>
      <c r="AL269" s="166"/>
      <c r="AM269" s="131">
        <f t="shared" ref="AM269:AM272" si="826">IF($Q269="C", (G269*$N269),0)</f>
        <v>0</v>
      </c>
      <c r="AN269" s="132">
        <f t="shared" ref="AN269:AN272" si="827">IF($Q269="C", (H269*$N269),0)</f>
        <v>0</v>
      </c>
      <c r="AO269" s="132">
        <f t="shared" ref="AO269:AO272" si="828">IF($Q269="C", (I269*$N269),0)</f>
        <v>0</v>
      </c>
      <c r="AP269" s="132">
        <f t="shared" ref="AP269:AP272" si="829">IF($Q269="C", (J269*$N269),0)</f>
        <v>0</v>
      </c>
      <c r="AQ269" s="132">
        <f t="shared" ref="AQ269:AQ272" si="830">IF($Q269="C", (K269*$N269),0)</f>
        <v>0</v>
      </c>
      <c r="AR269" s="132">
        <f>IF($Q269="C", (F269*$N269),0)</f>
        <v>0</v>
      </c>
      <c r="AS269" s="235"/>
    </row>
    <row r="270" spans="1:45" s="20" customFormat="1">
      <c r="A270" s="46" t="s">
        <v>319</v>
      </c>
      <c r="B270" s="20" t="s">
        <v>58</v>
      </c>
      <c r="C270" s="165">
        <v>22</v>
      </c>
      <c r="D270" s="96" t="s">
        <v>9</v>
      </c>
      <c r="E270" s="166">
        <v>105</v>
      </c>
      <c r="F270" s="167">
        <f>E270*C270</f>
        <v>2310</v>
      </c>
      <c r="G270" s="168">
        <v>0</v>
      </c>
      <c r="H270" s="168">
        <v>120</v>
      </c>
      <c r="I270" s="168">
        <v>0</v>
      </c>
      <c r="J270" s="168">
        <v>16</v>
      </c>
      <c r="K270" s="169">
        <v>0</v>
      </c>
      <c r="L270" s="96" t="s">
        <v>8</v>
      </c>
      <c r="M270" s="166">
        <f>IF(R270="PD",((Shop*G270)+(M_Tech*H270)+(CMM*I270)+(ENG*J270)+(DES*K270))*N270,((Shop_RD*G270)+(MTECH_RD*H270)+(CMM_RD*I270)+(ENG_RD*J270)+(DES_RD*K270))*N270)</f>
        <v>13316.400000000001</v>
      </c>
      <c r="N270" s="92">
        <v>1</v>
      </c>
      <c r="O270" s="170">
        <f>M270+(F270*N270)</f>
        <v>15626.400000000001</v>
      </c>
      <c r="P270" s="170"/>
      <c r="Q270" s="52" t="s">
        <v>47</v>
      </c>
      <c r="R270" s="71" t="s">
        <v>77</v>
      </c>
      <c r="S270" s="137" t="str">
        <f>CONCATENATE(Q270,R270,AB270)</f>
        <v>BPD2012</v>
      </c>
      <c r="T270" s="137" t="str">
        <f>CONCATENATE(Q270,U270,AB270)</f>
        <v>B1.5.1.2.12012</v>
      </c>
      <c r="U270" s="137" t="s">
        <v>214</v>
      </c>
      <c r="V270" s="137" t="str">
        <f>LOOKUP(U270,$B$539:$B$574,$A$539:$A$574)</f>
        <v>Pixel Insertion Tube</v>
      </c>
      <c r="AB270" s="33">
        <v>2012</v>
      </c>
      <c r="AC270" s="132">
        <f t="shared" si="821"/>
        <v>0</v>
      </c>
      <c r="AD270" s="132">
        <f t="shared" si="822"/>
        <v>120</v>
      </c>
      <c r="AE270" s="132">
        <f t="shared" si="823"/>
        <v>0</v>
      </c>
      <c r="AF270" s="132">
        <f t="shared" si="824"/>
        <v>16</v>
      </c>
      <c r="AG270" s="132">
        <f t="shared" si="825"/>
        <v>0</v>
      </c>
      <c r="AH270" s="234">
        <f>IF($Q270="B", (F270*$N270),0)</f>
        <v>2310</v>
      </c>
      <c r="AI270" s="235"/>
      <c r="AJ270" s="132"/>
      <c r="AK270" s="132"/>
      <c r="AL270" s="166"/>
      <c r="AM270" s="131">
        <f t="shared" si="826"/>
        <v>0</v>
      </c>
      <c r="AN270" s="132">
        <f t="shared" si="827"/>
        <v>0</v>
      </c>
      <c r="AO270" s="132">
        <f t="shared" si="828"/>
        <v>0</v>
      </c>
      <c r="AP270" s="132">
        <f t="shared" si="829"/>
        <v>0</v>
      </c>
      <c r="AQ270" s="132">
        <f t="shared" si="830"/>
        <v>0</v>
      </c>
      <c r="AR270" s="132">
        <f>IF($Q270="C", (F270*$N270),0)</f>
        <v>0</v>
      </c>
      <c r="AS270" s="235"/>
    </row>
    <row r="271" spans="1:45" s="20" customFormat="1">
      <c r="A271" s="46" t="s">
        <v>318</v>
      </c>
      <c r="B271" s="20" t="s">
        <v>34</v>
      </c>
      <c r="C271" s="165">
        <v>0.03</v>
      </c>
      <c r="D271" s="96" t="s">
        <v>9</v>
      </c>
      <c r="E271" s="166">
        <v>0</v>
      </c>
      <c r="F271" s="167">
        <f>E271*C271</f>
        <v>0</v>
      </c>
      <c r="G271" s="168">
        <v>0</v>
      </c>
      <c r="H271" s="168">
        <v>16</v>
      </c>
      <c r="I271" s="168">
        <v>0</v>
      </c>
      <c r="J271" s="168">
        <v>8</v>
      </c>
      <c r="K271" s="169">
        <v>0</v>
      </c>
      <c r="L271" s="96" t="s">
        <v>8</v>
      </c>
      <c r="M271" s="166">
        <f>IF(R271="PD",((Shop*G271)+(M_Tech*H271)+(CMM*I271)+(ENG*J271)+(DES*K271))*N271,((Shop_RD*G271)+(MTECH_RD*H271)+(CMM_RD*I271)+(ENG_RD*J271)+(DES_RD*K271))*N271)</f>
        <v>2488.3200000000002</v>
      </c>
      <c r="N271" s="92">
        <v>1</v>
      </c>
      <c r="O271" s="170">
        <f>M271+(F271*N271)</f>
        <v>2488.3200000000002</v>
      </c>
      <c r="P271" s="170"/>
      <c r="Q271" s="52" t="s">
        <v>48</v>
      </c>
      <c r="R271" s="71" t="s">
        <v>77</v>
      </c>
      <c r="S271" s="137" t="str">
        <f>CONCATENATE(Q271,R271,AB271)</f>
        <v>CPD2012</v>
      </c>
      <c r="T271" s="137" t="str">
        <f>CONCATENATE(Q271,U271,AB271)</f>
        <v>C1.5.1.2.12012</v>
      </c>
      <c r="U271" s="137" t="s">
        <v>214</v>
      </c>
      <c r="V271" s="137" t="str">
        <f>LOOKUP(U271,$B$539:$B$574,$A$539:$A$574)</f>
        <v>Pixel Insertion Tube</v>
      </c>
      <c r="AB271" s="33">
        <v>2012</v>
      </c>
      <c r="AC271" s="132">
        <f t="shared" si="821"/>
        <v>0</v>
      </c>
      <c r="AD271" s="132">
        <f t="shared" si="822"/>
        <v>0</v>
      </c>
      <c r="AE271" s="132">
        <f t="shared" si="823"/>
        <v>0</v>
      </c>
      <c r="AF271" s="132">
        <f t="shared" si="824"/>
        <v>0</v>
      </c>
      <c r="AG271" s="132">
        <f t="shared" si="825"/>
        <v>0</v>
      </c>
      <c r="AH271" s="234">
        <f>IF($Q271="B", (F271*$N271),0)</f>
        <v>0</v>
      </c>
      <c r="AI271" s="235"/>
      <c r="AJ271" s="132"/>
      <c r="AK271" s="132"/>
      <c r="AL271" s="166"/>
      <c r="AM271" s="131">
        <f t="shared" si="826"/>
        <v>0</v>
      </c>
      <c r="AN271" s="132">
        <f t="shared" si="827"/>
        <v>16</v>
      </c>
      <c r="AO271" s="132">
        <f t="shared" si="828"/>
        <v>0</v>
      </c>
      <c r="AP271" s="132">
        <f t="shared" si="829"/>
        <v>8</v>
      </c>
      <c r="AQ271" s="132">
        <f t="shared" si="830"/>
        <v>0</v>
      </c>
      <c r="AR271" s="132">
        <f>IF($Q271="C", (F271*$N271),0)</f>
        <v>0</v>
      </c>
      <c r="AS271" s="235"/>
    </row>
    <row r="272" spans="1:45" s="20" customFormat="1">
      <c r="A272" s="46" t="s">
        <v>319</v>
      </c>
      <c r="B272" s="20" t="s">
        <v>58</v>
      </c>
      <c r="C272" s="165">
        <v>22</v>
      </c>
      <c r="D272" s="96" t="s">
        <v>9</v>
      </c>
      <c r="E272" s="166">
        <v>105</v>
      </c>
      <c r="F272" s="167">
        <f>E272*C272</f>
        <v>2310</v>
      </c>
      <c r="G272" s="168">
        <v>0</v>
      </c>
      <c r="H272" s="168">
        <v>120</v>
      </c>
      <c r="I272" s="168">
        <v>0</v>
      </c>
      <c r="J272" s="168">
        <v>16</v>
      </c>
      <c r="K272" s="169">
        <v>0</v>
      </c>
      <c r="L272" s="96" t="s">
        <v>8</v>
      </c>
      <c r="M272" s="166">
        <f>IF(R272="PD",((Shop*G272)+(M_Tech*H272)+(CMM*I272)+(ENG*J272)+(DES*K272))*N272,((Shop_RD*G272)+(MTECH_RD*H272)+(CMM_RD*I272)+(ENG_RD*J272)+(DES_RD*K272))*N272)</f>
        <v>13316.400000000001</v>
      </c>
      <c r="N272" s="92">
        <v>1</v>
      </c>
      <c r="O272" s="170">
        <f>M272+(F272*N272)</f>
        <v>15626.400000000001</v>
      </c>
      <c r="P272" s="170"/>
      <c r="Q272" s="52" t="s">
        <v>48</v>
      </c>
      <c r="R272" s="71" t="s">
        <v>77</v>
      </c>
      <c r="S272" s="137" t="str">
        <f>CONCATENATE(Q272,R272,AB272)</f>
        <v>CPD2012</v>
      </c>
      <c r="T272" s="137" t="str">
        <f>CONCATENATE(Q272,U272,AB272)</f>
        <v>C1.5.1.2.12012</v>
      </c>
      <c r="U272" s="137" t="s">
        <v>214</v>
      </c>
      <c r="V272" s="137" t="str">
        <f>LOOKUP(U272,$B$539:$B$574,$A$539:$A$574)</f>
        <v>Pixel Insertion Tube</v>
      </c>
      <c r="AB272" s="33">
        <v>2012</v>
      </c>
      <c r="AC272" s="132">
        <f t="shared" si="821"/>
        <v>0</v>
      </c>
      <c r="AD272" s="132">
        <f t="shared" si="822"/>
        <v>0</v>
      </c>
      <c r="AE272" s="132">
        <f t="shared" si="823"/>
        <v>0</v>
      </c>
      <c r="AF272" s="132">
        <f t="shared" si="824"/>
        <v>0</v>
      </c>
      <c r="AG272" s="132">
        <f t="shared" si="825"/>
        <v>0</v>
      </c>
      <c r="AH272" s="234">
        <f>IF($Q272="B", (F272*$N272),0)</f>
        <v>0</v>
      </c>
      <c r="AI272" s="235"/>
      <c r="AJ272" s="132"/>
      <c r="AK272" s="132"/>
      <c r="AL272" s="166"/>
      <c r="AM272" s="131">
        <f t="shared" si="826"/>
        <v>0</v>
      </c>
      <c r="AN272" s="132">
        <f t="shared" si="827"/>
        <v>120</v>
      </c>
      <c r="AO272" s="132">
        <f t="shared" si="828"/>
        <v>0</v>
      </c>
      <c r="AP272" s="132">
        <f t="shared" si="829"/>
        <v>16</v>
      </c>
      <c r="AQ272" s="132">
        <f t="shared" si="830"/>
        <v>0</v>
      </c>
      <c r="AR272" s="132">
        <f>IF($Q272="C", (F272*$N272),0)</f>
        <v>2310</v>
      </c>
      <c r="AS272" s="235"/>
    </row>
    <row r="273" spans="1:45" s="20" customFormat="1">
      <c r="A273" s="47" t="s">
        <v>367</v>
      </c>
      <c r="C273" s="165"/>
      <c r="D273" s="96"/>
      <c r="E273" s="57"/>
      <c r="F273" s="58"/>
      <c r="G273" s="59"/>
      <c r="H273" s="59"/>
      <c r="I273" s="59"/>
      <c r="J273" s="59"/>
      <c r="K273" s="60"/>
      <c r="L273" s="217" t="s">
        <v>66</v>
      </c>
      <c r="M273" s="177">
        <f>SUMIF(Q269:Q272,"B",M269:M272)</f>
        <v>15804.720000000001</v>
      </c>
      <c r="N273" s="65" t="s">
        <v>65</v>
      </c>
      <c r="O273" s="170"/>
      <c r="P273" s="170"/>
      <c r="Q273" s="52"/>
      <c r="R273" s="71"/>
      <c r="S273" s="137"/>
      <c r="T273" s="137"/>
      <c r="U273" s="137"/>
      <c r="V273" s="137"/>
      <c r="AB273" s="33"/>
      <c r="AC273" s="132"/>
      <c r="AD273" s="132"/>
      <c r="AE273" s="135"/>
      <c r="AF273" s="132"/>
      <c r="AG273" s="132"/>
      <c r="AH273" s="234"/>
      <c r="AI273" s="235"/>
      <c r="AJ273" s="132"/>
      <c r="AK273" s="132"/>
      <c r="AL273" s="166"/>
      <c r="AM273" s="131"/>
      <c r="AN273" s="132"/>
      <c r="AO273" s="132"/>
      <c r="AP273" s="132"/>
      <c r="AQ273" s="132"/>
      <c r="AR273" s="132"/>
      <c r="AS273" s="235"/>
    </row>
    <row r="274" spans="1:45" s="20" customFormat="1">
      <c r="A274" s="46" t="s">
        <v>318</v>
      </c>
      <c r="B274" s="20" t="s">
        <v>34</v>
      </c>
      <c r="C274" s="165">
        <v>0.03</v>
      </c>
      <c r="D274" s="96" t="s">
        <v>9</v>
      </c>
      <c r="E274" s="166">
        <v>0</v>
      </c>
      <c r="F274" s="167">
        <f>E274*C274</f>
        <v>0</v>
      </c>
      <c r="G274" s="168">
        <v>0</v>
      </c>
      <c r="H274" s="168">
        <v>16</v>
      </c>
      <c r="I274" s="168">
        <v>0</v>
      </c>
      <c r="J274" s="168">
        <v>8</v>
      </c>
      <c r="K274" s="169">
        <v>0</v>
      </c>
      <c r="L274" s="96" t="s">
        <v>8</v>
      </c>
      <c r="M274" s="166">
        <f>IF(R274="PD",((Shop*G274)+(M_Tech*H274)+(CMM*I274)+(ENG*J274)+(DES*K274))*N274,((Shop_RD*G274)+(MTECH_RD*H274)+(CMM_RD*I274)+(ENG_RD*J274)+(DES_RD*K274))*N274)</f>
        <v>2488.3200000000002</v>
      </c>
      <c r="N274" s="92">
        <v>1</v>
      </c>
      <c r="O274" s="170">
        <f>M274+(F274*N274)</f>
        <v>2488.3200000000002</v>
      </c>
      <c r="P274" s="170"/>
      <c r="Q274" s="52" t="s">
        <v>47</v>
      </c>
      <c r="R274" s="71" t="s">
        <v>77</v>
      </c>
      <c r="S274" s="137" t="str">
        <f>CONCATENATE(Q274,R274,AB274)</f>
        <v>BPD2013</v>
      </c>
      <c r="T274" s="137" t="str">
        <f>CONCATENATE(Q274,U274,AB274)</f>
        <v>B1.5.1.2.12013</v>
      </c>
      <c r="U274" s="137" t="s">
        <v>214</v>
      </c>
      <c r="V274" s="137" t="str">
        <f>LOOKUP(U274,$B$539:$B$574,$A$539:$A$574)</f>
        <v>Pixel Insertion Tube</v>
      </c>
      <c r="AB274" s="33">
        <v>2013</v>
      </c>
      <c r="AC274" s="132">
        <f t="shared" ref="AC274:AC277" si="831">IF($Q274="B", (G274*$N274),0)</f>
        <v>0</v>
      </c>
      <c r="AD274" s="132">
        <f t="shared" ref="AD274:AD277" si="832">IF($Q274="B", (H274*$N274),0)</f>
        <v>16</v>
      </c>
      <c r="AE274" s="132">
        <f t="shared" ref="AE274:AE277" si="833">IF($Q274="B", (I274*$N274),0)</f>
        <v>0</v>
      </c>
      <c r="AF274" s="132">
        <f t="shared" ref="AF274:AF277" si="834">IF($Q274="B", (J274*$N274),0)</f>
        <v>8</v>
      </c>
      <c r="AG274" s="132">
        <f t="shared" ref="AG274:AG277" si="835">IF($Q274="B", (K274*$N274),0)</f>
        <v>0</v>
      </c>
      <c r="AH274" s="234">
        <f>IF($Q274="B", (F274*$N274),0)</f>
        <v>0</v>
      </c>
      <c r="AI274" s="235"/>
      <c r="AJ274" s="132"/>
      <c r="AK274" s="132"/>
      <c r="AL274" s="166"/>
      <c r="AM274" s="131">
        <f t="shared" ref="AM274:AM277" si="836">IF($Q274="C", (G274*$N274),0)</f>
        <v>0</v>
      </c>
      <c r="AN274" s="132">
        <f t="shared" ref="AN274:AN277" si="837">IF($Q274="C", (H274*$N274),0)</f>
        <v>0</v>
      </c>
      <c r="AO274" s="132">
        <f t="shared" ref="AO274:AO277" si="838">IF($Q274="C", (I274*$N274),0)</f>
        <v>0</v>
      </c>
      <c r="AP274" s="132">
        <f t="shared" ref="AP274:AP277" si="839">IF($Q274="C", (J274*$N274),0)</f>
        <v>0</v>
      </c>
      <c r="AQ274" s="132">
        <f t="shared" ref="AQ274:AQ277" si="840">IF($Q274="C", (K274*$N274),0)</f>
        <v>0</v>
      </c>
      <c r="AR274" s="132">
        <f>IF($Q274="C", (F274*$N274),0)</f>
        <v>0</v>
      </c>
      <c r="AS274" s="235"/>
    </row>
    <row r="275" spans="1:45" s="20" customFormat="1">
      <c r="A275" s="46" t="s">
        <v>319</v>
      </c>
      <c r="B275" s="20" t="s">
        <v>58</v>
      </c>
      <c r="C275" s="165">
        <v>22</v>
      </c>
      <c r="D275" s="96" t="s">
        <v>9</v>
      </c>
      <c r="E275" s="166">
        <v>105</v>
      </c>
      <c r="F275" s="167">
        <f>E275*C275</f>
        <v>2310</v>
      </c>
      <c r="G275" s="168">
        <v>0</v>
      </c>
      <c r="H275" s="168">
        <v>120</v>
      </c>
      <c r="I275" s="168">
        <v>0</v>
      </c>
      <c r="J275" s="168">
        <v>16</v>
      </c>
      <c r="K275" s="169">
        <v>0</v>
      </c>
      <c r="L275" s="96" t="s">
        <v>8</v>
      </c>
      <c r="M275" s="166">
        <f>IF(R275="PD",((Shop*G275)+(M_Tech*H275)+(CMM*I275)+(ENG*J275)+(DES*K275))*N275,((Shop_RD*G275)+(MTECH_RD*H275)+(CMM_RD*I275)+(ENG_RD*J275)+(DES_RD*K275))*N275)</f>
        <v>13316.400000000001</v>
      </c>
      <c r="N275" s="92">
        <v>1</v>
      </c>
      <c r="O275" s="170">
        <f>M275+(F275*N275)</f>
        <v>15626.400000000001</v>
      </c>
      <c r="P275" s="170"/>
      <c r="Q275" s="52" t="s">
        <v>47</v>
      </c>
      <c r="R275" s="71" t="s">
        <v>77</v>
      </c>
      <c r="S275" s="137" t="str">
        <f>CONCATENATE(Q275,R275,AB275)</f>
        <v>BPD2013</v>
      </c>
      <c r="T275" s="137" t="str">
        <f>CONCATENATE(Q275,U275,AB275)</f>
        <v>B1.5.1.2.12013</v>
      </c>
      <c r="U275" s="137" t="s">
        <v>214</v>
      </c>
      <c r="V275" s="137" t="str">
        <f>LOOKUP(U275,$B$539:$B$574,$A$539:$A$574)</f>
        <v>Pixel Insertion Tube</v>
      </c>
      <c r="AB275" s="33">
        <v>2013</v>
      </c>
      <c r="AC275" s="132">
        <f t="shared" si="831"/>
        <v>0</v>
      </c>
      <c r="AD275" s="132">
        <f t="shared" si="832"/>
        <v>120</v>
      </c>
      <c r="AE275" s="132">
        <f t="shared" si="833"/>
        <v>0</v>
      </c>
      <c r="AF275" s="132">
        <f t="shared" si="834"/>
        <v>16</v>
      </c>
      <c r="AG275" s="132">
        <f t="shared" si="835"/>
        <v>0</v>
      </c>
      <c r="AH275" s="234">
        <f>IF($Q275="B", (F275*$N275),0)</f>
        <v>2310</v>
      </c>
      <c r="AI275" s="235"/>
      <c r="AJ275" s="132"/>
      <c r="AK275" s="132"/>
      <c r="AL275" s="166"/>
      <c r="AM275" s="131">
        <f t="shared" si="836"/>
        <v>0</v>
      </c>
      <c r="AN275" s="132">
        <f t="shared" si="837"/>
        <v>0</v>
      </c>
      <c r="AO275" s="132">
        <f t="shared" si="838"/>
        <v>0</v>
      </c>
      <c r="AP275" s="132">
        <f t="shared" si="839"/>
        <v>0</v>
      </c>
      <c r="AQ275" s="132">
        <f t="shared" si="840"/>
        <v>0</v>
      </c>
      <c r="AR275" s="132">
        <f>IF($Q275="C", (F275*$N275),0)</f>
        <v>0</v>
      </c>
      <c r="AS275" s="235"/>
    </row>
    <row r="276" spans="1:45" s="20" customFormat="1">
      <c r="A276" s="46" t="s">
        <v>318</v>
      </c>
      <c r="B276" s="20" t="s">
        <v>34</v>
      </c>
      <c r="C276" s="165">
        <v>0.03</v>
      </c>
      <c r="D276" s="96" t="s">
        <v>9</v>
      </c>
      <c r="E276" s="166">
        <v>0</v>
      </c>
      <c r="F276" s="167">
        <f>E276*C276</f>
        <v>0</v>
      </c>
      <c r="G276" s="168">
        <v>0</v>
      </c>
      <c r="H276" s="168">
        <v>16</v>
      </c>
      <c r="I276" s="168">
        <v>0</v>
      </c>
      <c r="J276" s="168">
        <v>8</v>
      </c>
      <c r="K276" s="169">
        <v>0</v>
      </c>
      <c r="L276" s="96" t="s">
        <v>8</v>
      </c>
      <c r="M276" s="166">
        <f>IF(R276="PD",((Shop*G276)+(M_Tech*H276)+(CMM*I276)+(ENG*J276)+(DES*K276))*N276,((Shop_RD*G276)+(MTECH_RD*H276)+(CMM_RD*I276)+(ENG_RD*J276)+(DES_RD*K276))*N276)</f>
        <v>2488.3200000000002</v>
      </c>
      <c r="N276" s="92">
        <v>1</v>
      </c>
      <c r="O276" s="170">
        <f>M276+(F276*N276)</f>
        <v>2488.3200000000002</v>
      </c>
      <c r="P276" s="170"/>
      <c r="Q276" s="52" t="s">
        <v>48</v>
      </c>
      <c r="R276" s="71" t="s">
        <v>77</v>
      </c>
      <c r="S276" s="137" t="str">
        <f>CONCATENATE(Q276,R276,AB276)</f>
        <v>CPD2013</v>
      </c>
      <c r="T276" s="137" t="str">
        <f>CONCATENATE(Q276,U276,AB276)</f>
        <v>C1.5.1.2.12013</v>
      </c>
      <c r="U276" s="137" t="s">
        <v>214</v>
      </c>
      <c r="V276" s="137" t="str">
        <f>LOOKUP(U276,$B$539:$B$574,$A$539:$A$574)</f>
        <v>Pixel Insertion Tube</v>
      </c>
      <c r="AB276" s="33">
        <v>2013</v>
      </c>
      <c r="AC276" s="132">
        <f t="shared" si="831"/>
        <v>0</v>
      </c>
      <c r="AD276" s="132">
        <f t="shared" si="832"/>
        <v>0</v>
      </c>
      <c r="AE276" s="132">
        <f t="shared" si="833"/>
        <v>0</v>
      </c>
      <c r="AF276" s="132">
        <f t="shared" si="834"/>
        <v>0</v>
      </c>
      <c r="AG276" s="132">
        <f t="shared" si="835"/>
        <v>0</v>
      </c>
      <c r="AH276" s="234">
        <f>IF($Q276="B", (F276*$N276),0)</f>
        <v>0</v>
      </c>
      <c r="AI276" s="235"/>
      <c r="AJ276" s="132"/>
      <c r="AK276" s="132"/>
      <c r="AL276" s="166"/>
      <c r="AM276" s="131">
        <f t="shared" si="836"/>
        <v>0</v>
      </c>
      <c r="AN276" s="132">
        <f t="shared" si="837"/>
        <v>16</v>
      </c>
      <c r="AO276" s="132">
        <f t="shared" si="838"/>
        <v>0</v>
      </c>
      <c r="AP276" s="132">
        <f t="shared" si="839"/>
        <v>8</v>
      </c>
      <c r="AQ276" s="132">
        <f t="shared" si="840"/>
        <v>0</v>
      </c>
      <c r="AR276" s="132">
        <f>IF($Q276="C", (F276*$N276),0)</f>
        <v>0</v>
      </c>
      <c r="AS276" s="235"/>
    </row>
    <row r="277" spans="1:45" s="20" customFormat="1">
      <c r="A277" s="46" t="s">
        <v>319</v>
      </c>
      <c r="B277" s="20" t="s">
        <v>58</v>
      </c>
      <c r="C277" s="165">
        <v>22</v>
      </c>
      <c r="D277" s="96" t="s">
        <v>9</v>
      </c>
      <c r="E277" s="166">
        <v>105</v>
      </c>
      <c r="F277" s="167">
        <f>E277*C277</f>
        <v>2310</v>
      </c>
      <c r="G277" s="168">
        <v>0</v>
      </c>
      <c r="H277" s="168">
        <v>120</v>
      </c>
      <c r="I277" s="168">
        <v>0</v>
      </c>
      <c r="J277" s="168">
        <v>16</v>
      </c>
      <c r="K277" s="169">
        <v>0</v>
      </c>
      <c r="L277" s="96" t="s">
        <v>8</v>
      </c>
      <c r="M277" s="166">
        <f>IF(R277="PD",((Shop*G277)+(M_Tech*H277)+(CMM*I277)+(ENG*J277)+(DES*K277))*N277,((Shop_RD*G277)+(MTECH_RD*H277)+(CMM_RD*I277)+(ENG_RD*J277)+(DES_RD*K277))*N277)</f>
        <v>13316.400000000001</v>
      </c>
      <c r="N277" s="92">
        <v>1</v>
      </c>
      <c r="O277" s="170">
        <f>M277+(F277*N277)</f>
        <v>15626.400000000001</v>
      </c>
      <c r="P277" s="170"/>
      <c r="Q277" s="52" t="s">
        <v>48</v>
      </c>
      <c r="R277" s="71" t="s">
        <v>77</v>
      </c>
      <c r="S277" s="137" t="str">
        <f>CONCATENATE(Q277,R277,AB277)</f>
        <v>CPD2013</v>
      </c>
      <c r="T277" s="137" t="str">
        <f>CONCATENATE(Q277,U277,AB277)</f>
        <v>C1.5.1.2.12013</v>
      </c>
      <c r="U277" s="137" t="s">
        <v>214</v>
      </c>
      <c r="V277" s="137" t="str">
        <f>LOOKUP(U277,$B$539:$B$574,$A$539:$A$574)</f>
        <v>Pixel Insertion Tube</v>
      </c>
      <c r="AB277" s="33">
        <v>2013</v>
      </c>
      <c r="AC277" s="132">
        <f t="shared" si="831"/>
        <v>0</v>
      </c>
      <c r="AD277" s="132">
        <f t="shared" si="832"/>
        <v>0</v>
      </c>
      <c r="AE277" s="132">
        <f t="shared" si="833"/>
        <v>0</v>
      </c>
      <c r="AF277" s="132">
        <f t="shared" si="834"/>
        <v>0</v>
      </c>
      <c r="AG277" s="132">
        <f t="shared" si="835"/>
        <v>0</v>
      </c>
      <c r="AH277" s="234">
        <f>IF($Q277="B", (F277*$N277),0)</f>
        <v>0</v>
      </c>
      <c r="AI277" s="235"/>
      <c r="AJ277" s="132"/>
      <c r="AK277" s="132"/>
      <c r="AL277" s="166"/>
      <c r="AM277" s="131">
        <f t="shared" si="836"/>
        <v>0</v>
      </c>
      <c r="AN277" s="132">
        <f t="shared" si="837"/>
        <v>120</v>
      </c>
      <c r="AO277" s="132">
        <f t="shared" si="838"/>
        <v>0</v>
      </c>
      <c r="AP277" s="132">
        <f t="shared" si="839"/>
        <v>16</v>
      </c>
      <c r="AQ277" s="132">
        <f t="shared" si="840"/>
        <v>0</v>
      </c>
      <c r="AR277" s="132">
        <f>IF($Q277="C", (F277*$N277),0)</f>
        <v>2310</v>
      </c>
      <c r="AS277" s="235"/>
    </row>
    <row r="278" spans="1:45" s="20" customFormat="1">
      <c r="A278" s="47" t="s">
        <v>348</v>
      </c>
      <c r="C278" s="165"/>
      <c r="D278" s="96"/>
      <c r="E278" s="57"/>
      <c r="F278" s="58"/>
      <c r="G278" s="59"/>
      <c r="H278" s="59"/>
      <c r="I278" s="59"/>
      <c r="J278" s="59"/>
      <c r="K278" s="60"/>
      <c r="L278" s="217" t="s">
        <v>66</v>
      </c>
      <c r="M278" s="177">
        <f>SUMIF(Q274:Q277,"B",M274:M277)</f>
        <v>15804.720000000001</v>
      </c>
      <c r="N278" s="65" t="s">
        <v>65</v>
      </c>
      <c r="O278" s="170"/>
      <c r="P278" s="170"/>
      <c r="Q278" s="52"/>
      <c r="R278" s="71"/>
      <c r="S278" s="137"/>
      <c r="T278" s="137"/>
      <c r="U278" s="137"/>
      <c r="V278" s="137"/>
      <c r="AB278" s="33"/>
      <c r="AC278" s="132"/>
      <c r="AD278" s="132"/>
      <c r="AE278" s="135"/>
      <c r="AF278" s="132"/>
      <c r="AG278" s="132"/>
      <c r="AH278" s="234"/>
      <c r="AI278" s="235"/>
      <c r="AJ278" s="132"/>
      <c r="AK278" s="132"/>
      <c r="AL278" s="166"/>
      <c r="AM278" s="131"/>
      <c r="AN278" s="132"/>
      <c r="AO278" s="132"/>
      <c r="AP278" s="132"/>
      <c r="AQ278" s="132"/>
      <c r="AR278" s="132"/>
      <c r="AS278" s="235"/>
    </row>
    <row r="279" spans="1:45" s="20" customFormat="1">
      <c r="A279" s="46" t="s">
        <v>345</v>
      </c>
      <c r="B279" s="20" t="s">
        <v>34</v>
      </c>
      <c r="C279" s="165">
        <v>0.03</v>
      </c>
      <c r="D279" s="96" t="s">
        <v>9</v>
      </c>
      <c r="E279" s="166">
        <v>0</v>
      </c>
      <c r="F279" s="167">
        <f>E279*C279</f>
        <v>0</v>
      </c>
      <c r="G279" s="168">
        <v>0</v>
      </c>
      <c r="H279" s="168">
        <v>0</v>
      </c>
      <c r="I279" s="168">
        <v>0</v>
      </c>
      <c r="J279" s="168">
        <v>40</v>
      </c>
      <c r="K279" s="169">
        <v>0</v>
      </c>
      <c r="L279" s="96" t="s">
        <v>8</v>
      </c>
      <c r="M279" s="166">
        <f>IF(R279="PD",((Shop*G279)+(M_Tech*H279)+(CMM*I279)+(ENG*J279)+(DES*K279))*N279,((Shop_RD*G279)+(MTECH_RD*H279)+(CMM_RD*I279)+(ENG_RD*J279)+(DES_RD*K279))*N279)</f>
        <v>4860.0000000000009</v>
      </c>
      <c r="N279" s="92">
        <v>1</v>
      </c>
      <c r="O279" s="170">
        <f>M279+(F279*N279)</f>
        <v>4860.0000000000009</v>
      </c>
      <c r="P279" s="170"/>
      <c r="Q279" s="52" t="s">
        <v>47</v>
      </c>
      <c r="R279" s="71" t="s">
        <v>77</v>
      </c>
      <c r="S279" s="137" t="str">
        <f>CONCATENATE(Q279,R279,AB279)</f>
        <v>BPD2011</v>
      </c>
      <c r="T279" s="137" t="str">
        <f>CONCATENATE(Q279,U279,AB279)</f>
        <v>B1.5.1.2.12011</v>
      </c>
      <c r="U279" s="137" t="s">
        <v>214</v>
      </c>
      <c r="V279" s="137" t="str">
        <f>LOOKUP(U279,$B$539:$B$574,$A$539:$A$574)</f>
        <v>Pixel Insertion Tube</v>
      </c>
      <c r="AB279" s="33">
        <v>2011</v>
      </c>
      <c r="AC279" s="132">
        <f t="shared" ref="AC279:AC282" si="841">IF($Q279="B", (G279*$N279),0)</f>
        <v>0</v>
      </c>
      <c r="AD279" s="132">
        <f t="shared" ref="AD279:AD282" si="842">IF($Q279="B", (H279*$N279),0)</f>
        <v>0</v>
      </c>
      <c r="AE279" s="132">
        <f t="shared" ref="AE279:AE282" si="843">IF($Q279="B", (I279*$N279),0)</f>
        <v>0</v>
      </c>
      <c r="AF279" s="132">
        <f t="shared" ref="AF279:AF282" si="844">IF($Q279="B", (J279*$N279),0)</f>
        <v>40</v>
      </c>
      <c r="AG279" s="132">
        <f t="shared" ref="AG279:AG282" si="845">IF($Q279="B", (K279*$N279),0)</f>
        <v>0</v>
      </c>
      <c r="AH279" s="234">
        <f>IF($Q279="B", (F279*$N279),0)</f>
        <v>0</v>
      </c>
      <c r="AI279" s="235"/>
      <c r="AJ279" s="132"/>
      <c r="AK279" s="132"/>
      <c r="AL279" s="166"/>
      <c r="AM279" s="131">
        <f t="shared" ref="AM279:AM282" si="846">IF($Q279="C", (G279*$N279),0)</f>
        <v>0</v>
      </c>
      <c r="AN279" s="132">
        <f t="shared" ref="AN279:AN282" si="847">IF($Q279="C", (H279*$N279),0)</f>
        <v>0</v>
      </c>
      <c r="AO279" s="132">
        <f t="shared" ref="AO279:AO282" si="848">IF($Q279="C", (I279*$N279),0)</f>
        <v>0</v>
      </c>
      <c r="AP279" s="132">
        <f t="shared" ref="AP279:AP282" si="849">IF($Q279="C", (J279*$N279),0)</f>
        <v>0</v>
      </c>
      <c r="AQ279" s="132">
        <f t="shared" ref="AQ279:AQ282" si="850">IF($Q279="C", (K279*$N279),0)</f>
        <v>0</v>
      </c>
      <c r="AR279" s="132">
        <f>IF($Q279="C", (F279*$N279),0)</f>
        <v>0</v>
      </c>
      <c r="AS279" s="235"/>
    </row>
    <row r="280" spans="1:45" s="20" customFormat="1">
      <c r="A280" s="46" t="s">
        <v>318</v>
      </c>
      <c r="B280" s="20" t="s">
        <v>34</v>
      </c>
      <c r="C280" s="165">
        <v>0.03</v>
      </c>
      <c r="D280" s="96" t="s">
        <v>9</v>
      </c>
      <c r="E280" s="166">
        <v>0</v>
      </c>
      <c r="F280" s="167">
        <f>E280*C280</f>
        <v>0</v>
      </c>
      <c r="G280" s="168">
        <v>0</v>
      </c>
      <c r="H280" s="168">
        <v>8</v>
      </c>
      <c r="I280" s="168">
        <v>0</v>
      </c>
      <c r="J280" s="168">
        <v>0</v>
      </c>
      <c r="K280" s="169">
        <v>0</v>
      </c>
      <c r="L280" s="96" t="s">
        <v>8</v>
      </c>
      <c r="M280" s="166">
        <f>IF(R280="PD",((Shop*G280)+(M_Tech*H280)+(CMM*I280)+(ENG*J280)+(DES*K280))*N280,((Shop_RD*G280)+(MTECH_RD*H280)+(CMM_RD*I280)+(ENG_RD*J280)+(DES_RD*K280))*N280)</f>
        <v>758.16000000000008</v>
      </c>
      <c r="N280" s="92">
        <v>1</v>
      </c>
      <c r="O280" s="170">
        <f>M280+(F280*N280)</f>
        <v>758.16000000000008</v>
      </c>
      <c r="P280" s="170"/>
      <c r="Q280" s="52" t="s">
        <v>47</v>
      </c>
      <c r="R280" s="71" t="s">
        <v>77</v>
      </c>
      <c r="S280" s="137" t="str">
        <f>CONCATENATE(Q280,R280,AB280)</f>
        <v>BPD2011</v>
      </c>
      <c r="T280" s="137" t="str">
        <f>CONCATENATE(Q280,U280,AB280)</f>
        <v>B1.5.1.2.12011</v>
      </c>
      <c r="U280" s="137" t="s">
        <v>214</v>
      </c>
      <c r="V280" s="137" t="str">
        <f>LOOKUP(U280,$B$539:$B$574,$A$539:$A$574)</f>
        <v>Pixel Insertion Tube</v>
      </c>
      <c r="AB280" s="33">
        <v>2011</v>
      </c>
      <c r="AC280" s="132">
        <f t="shared" si="841"/>
        <v>0</v>
      </c>
      <c r="AD280" s="132">
        <f t="shared" si="842"/>
        <v>8</v>
      </c>
      <c r="AE280" s="132">
        <f t="shared" si="843"/>
        <v>0</v>
      </c>
      <c r="AF280" s="132">
        <f t="shared" si="844"/>
        <v>0</v>
      </c>
      <c r="AG280" s="132">
        <f t="shared" si="845"/>
        <v>0</v>
      </c>
      <c r="AH280" s="234">
        <f>IF($Q280="B", (F280*$N280),0)</f>
        <v>0</v>
      </c>
      <c r="AI280" s="235"/>
      <c r="AJ280" s="132"/>
      <c r="AK280" s="132"/>
      <c r="AL280" s="166"/>
      <c r="AM280" s="131">
        <f t="shared" si="846"/>
        <v>0</v>
      </c>
      <c r="AN280" s="132">
        <f t="shared" si="847"/>
        <v>0</v>
      </c>
      <c r="AO280" s="132">
        <f t="shared" si="848"/>
        <v>0</v>
      </c>
      <c r="AP280" s="132">
        <f t="shared" si="849"/>
        <v>0</v>
      </c>
      <c r="AQ280" s="132">
        <f t="shared" si="850"/>
        <v>0</v>
      </c>
      <c r="AR280" s="132">
        <f>IF($Q280="C", (F280*$N280),0)</f>
        <v>0</v>
      </c>
      <c r="AS280" s="235"/>
    </row>
    <row r="281" spans="1:45" s="20" customFormat="1">
      <c r="A281" s="46" t="s">
        <v>322</v>
      </c>
      <c r="B281" s="20" t="s">
        <v>58</v>
      </c>
      <c r="C281" s="165">
        <v>1</v>
      </c>
      <c r="D281" s="96" t="s">
        <v>9</v>
      </c>
      <c r="E281" s="166">
        <v>105</v>
      </c>
      <c r="F281" s="167">
        <f>E281*C281</f>
        <v>105</v>
      </c>
      <c r="G281" s="168">
        <v>0</v>
      </c>
      <c r="H281" s="168">
        <v>8</v>
      </c>
      <c r="I281" s="168">
        <v>0</v>
      </c>
      <c r="J281" s="168">
        <v>0</v>
      </c>
      <c r="K281" s="169">
        <v>0</v>
      </c>
      <c r="L281" s="96" t="s">
        <v>8</v>
      </c>
      <c r="M281" s="166">
        <f>IF(R281="PD",((Shop*G281)+(M_Tech*H281)+(CMM*I281)+(ENG*J281)+(DES*K281))*N281,((Shop_RD*G281)+(MTECH_RD*H281)+(CMM_RD*I281)+(ENG_RD*J281)+(DES_RD*K281))*N281)</f>
        <v>1516.3200000000002</v>
      </c>
      <c r="N281" s="92">
        <v>2</v>
      </c>
      <c r="O281" s="170">
        <f>M281+(F281*N281)</f>
        <v>1726.3200000000002</v>
      </c>
      <c r="P281" s="170"/>
      <c r="Q281" s="52" t="s">
        <v>47</v>
      </c>
      <c r="R281" s="71" t="s">
        <v>77</v>
      </c>
      <c r="S281" s="137" t="str">
        <f>CONCATENATE(Q281,R281,AB281)</f>
        <v>BPD2011</v>
      </c>
      <c r="T281" s="137" t="str">
        <f>CONCATENATE(Q281,U281,AB281)</f>
        <v>B1.5.1.2.12011</v>
      </c>
      <c r="U281" s="137" t="s">
        <v>214</v>
      </c>
      <c r="V281" s="137" t="str">
        <f>LOOKUP(U281,$B$539:$B$574,$A$539:$A$574)</f>
        <v>Pixel Insertion Tube</v>
      </c>
      <c r="AB281" s="33">
        <v>2011</v>
      </c>
      <c r="AC281" s="132">
        <f t="shared" si="841"/>
        <v>0</v>
      </c>
      <c r="AD281" s="132">
        <f t="shared" si="842"/>
        <v>16</v>
      </c>
      <c r="AE281" s="132">
        <f t="shared" si="843"/>
        <v>0</v>
      </c>
      <c r="AF281" s="132">
        <f t="shared" si="844"/>
        <v>0</v>
      </c>
      <c r="AG281" s="132">
        <f t="shared" si="845"/>
        <v>0</v>
      </c>
      <c r="AH281" s="234">
        <f>IF($Q281="B", (F281*$N281),0)</f>
        <v>210</v>
      </c>
      <c r="AI281" s="235"/>
      <c r="AJ281" s="132"/>
      <c r="AK281" s="132"/>
      <c r="AL281" s="166"/>
      <c r="AM281" s="131">
        <f t="shared" si="846"/>
        <v>0</v>
      </c>
      <c r="AN281" s="132">
        <f t="shared" si="847"/>
        <v>0</v>
      </c>
      <c r="AO281" s="132">
        <f t="shared" si="848"/>
        <v>0</v>
      </c>
      <c r="AP281" s="132">
        <f t="shared" si="849"/>
        <v>0</v>
      </c>
      <c r="AQ281" s="132">
        <f t="shared" si="850"/>
        <v>0</v>
      </c>
      <c r="AR281" s="132">
        <f>IF($Q281="C", (F281*$N281),0)</f>
        <v>0</v>
      </c>
      <c r="AS281" s="235"/>
    </row>
    <row r="282" spans="1:45" s="20" customFormat="1">
      <c r="A282" s="46" t="s">
        <v>321</v>
      </c>
      <c r="B282" s="20" t="s">
        <v>58</v>
      </c>
      <c r="C282" s="165">
        <v>1</v>
      </c>
      <c r="D282" s="96" t="s">
        <v>9</v>
      </c>
      <c r="E282" s="166">
        <v>105</v>
      </c>
      <c r="F282" s="167">
        <f>E282*C282</f>
        <v>105</v>
      </c>
      <c r="G282" s="168">
        <v>2</v>
      </c>
      <c r="H282" s="168">
        <v>8</v>
      </c>
      <c r="I282" s="168">
        <v>0</v>
      </c>
      <c r="J282" s="168">
        <v>0</v>
      </c>
      <c r="K282" s="169">
        <v>0</v>
      </c>
      <c r="L282" s="96" t="s">
        <v>8</v>
      </c>
      <c r="M282" s="166">
        <f>IF(R282="PD",((Shop*G282)+(M_Tech*H282)+(CMM*I282)+(ENG*J282)+(DES*K282))*N282,((Shop_RD*G282)+(MTECH_RD*H282)+(CMM_RD*I282)+(ENG_RD*J282)+(DES_RD*K282))*N282)</f>
        <v>1924.5600000000002</v>
      </c>
      <c r="N282" s="92">
        <v>2</v>
      </c>
      <c r="O282" s="170">
        <f>M282+(F282*N282)</f>
        <v>2134.5600000000004</v>
      </c>
      <c r="P282" s="170"/>
      <c r="Q282" s="52" t="s">
        <v>47</v>
      </c>
      <c r="R282" s="71" t="s">
        <v>77</v>
      </c>
      <c r="S282" s="137" t="str">
        <f>CONCATENATE(Q282,R282,AB282)</f>
        <v>BPD2011</v>
      </c>
      <c r="T282" s="137" t="str">
        <f>CONCATENATE(Q282,U282,AB282)</f>
        <v>B1.5.1.2.12011</v>
      </c>
      <c r="U282" s="137" t="s">
        <v>214</v>
      </c>
      <c r="V282" s="137" t="str">
        <f>LOOKUP(U282,$B$539:$B$574,$A$539:$A$574)</f>
        <v>Pixel Insertion Tube</v>
      </c>
      <c r="AB282" s="33">
        <v>2011</v>
      </c>
      <c r="AC282" s="132">
        <f t="shared" si="841"/>
        <v>4</v>
      </c>
      <c r="AD282" s="132">
        <f t="shared" si="842"/>
        <v>16</v>
      </c>
      <c r="AE282" s="132">
        <f t="shared" si="843"/>
        <v>0</v>
      </c>
      <c r="AF282" s="132">
        <f t="shared" si="844"/>
        <v>0</v>
      </c>
      <c r="AG282" s="132">
        <f t="shared" si="845"/>
        <v>0</v>
      </c>
      <c r="AH282" s="234">
        <f>IF($Q282="B", (F282*$N282),0)</f>
        <v>210</v>
      </c>
      <c r="AI282" s="235"/>
      <c r="AJ282" s="132"/>
      <c r="AK282" s="132"/>
      <c r="AL282" s="166"/>
      <c r="AM282" s="131">
        <f t="shared" si="846"/>
        <v>0</v>
      </c>
      <c r="AN282" s="132">
        <f t="shared" si="847"/>
        <v>0</v>
      </c>
      <c r="AO282" s="132">
        <f t="shared" si="848"/>
        <v>0</v>
      </c>
      <c r="AP282" s="132">
        <f t="shared" si="849"/>
        <v>0</v>
      </c>
      <c r="AQ282" s="132">
        <f t="shared" si="850"/>
        <v>0</v>
      </c>
      <c r="AR282" s="132">
        <f>IF($Q282="C", (F282*$N282),0)</f>
        <v>0</v>
      </c>
      <c r="AS282" s="235"/>
    </row>
    <row r="283" spans="1:45" s="20" customFormat="1">
      <c r="A283" s="47" t="s">
        <v>349</v>
      </c>
      <c r="C283" s="165"/>
      <c r="D283" s="96"/>
      <c r="E283" s="57"/>
      <c r="F283" s="58"/>
      <c r="G283" s="59"/>
      <c r="H283" s="59"/>
      <c r="I283" s="59"/>
      <c r="J283" s="59"/>
      <c r="K283" s="60"/>
      <c r="L283" s="217" t="s">
        <v>66</v>
      </c>
      <c r="M283" s="177">
        <f>SUMIF(Q279:Q282,"B",M279:M282)</f>
        <v>9059.0400000000009</v>
      </c>
      <c r="N283" s="65" t="s">
        <v>65</v>
      </c>
      <c r="O283" s="170"/>
      <c r="P283" s="170"/>
      <c r="Q283" s="52"/>
      <c r="R283" s="71"/>
      <c r="S283" s="137"/>
      <c r="T283" s="137"/>
      <c r="U283" s="137"/>
      <c r="V283" s="137"/>
      <c r="AB283" s="33"/>
      <c r="AC283" s="132"/>
      <c r="AD283" s="132"/>
      <c r="AE283" s="135"/>
      <c r="AF283" s="132"/>
      <c r="AG283" s="132"/>
      <c r="AH283" s="234"/>
      <c r="AI283" s="235"/>
      <c r="AJ283" s="132"/>
      <c r="AK283" s="132"/>
      <c r="AL283" s="166"/>
      <c r="AM283" s="131"/>
      <c r="AN283" s="132"/>
      <c r="AO283" s="132"/>
      <c r="AP283" s="132"/>
      <c r="AQ283" s="132"/>
      <c r="AR283" s="132"/>
      <c r="AS283" s="235"/>
    </row>
    <row r="284" spans="1:45" s="20" customFormat="1">
      <c r="A284" s="46" t="s">
        <v>318</v>
      </c>
      <c r="B284" s="20" t="s">
        <v>34</v>
      </c>
      <c r="C284" s="165">
        <v>0.03</v>
      </c>
      <c r="D284" s="96" t="s">
        <v>9</v>
      </c>
      <c r="E284" s="166">
        <v>0</v>
      </c>
      <c r="F284" s="167">
        <f t="shared" ref="F284:F289" si="851">E284*C284</f>
        <v>0</v>
      </c>
      <c r="G284" s="168">
        <v>0</v>
      </c>
      <c r="H284" s="168">
        <v>8</v>
      </c>
      <c r="I284" s="168">
        <v>0</v>
      </c>
      <c r="J284" s="168">
        <v>2</v>
      </c>
      <c r="K284" s="169">
        <v>0</v>
      </c>
      <c r="L284" s="96" t="s">
        <v>8</v>
      </c>
      <c r="M284" s="166">
        <f t="shared" ref="M284:M289" si="852">IF(R284="PD",((Shop*G284)+(M_Tech*H284)+(CMM*I284)+(ENG*J284)+(DES*K284))*N284,((Shop_RD*G284)+(MTECH_RD*H284)+(CMM_RD*I284)+(ENG_RD*J284)+(DES_RD*K284))*N284)</f>
        <v>1001.1600000000001</v>
      </c>
      <c r="N284" s="92">
        <v>1</v>
      </c>
      <c r="O284" s="170">
        <f t="shared" ref="O284:O289" si="853">M284+(F284*N284)</f>
        <v>1001.1600000000001</v>
      </c>
      <c r="P284" s="170"/>
      <c r="Q284" s="52" t="s">
        <v>47</v>
      </c>
      <c r="R284" s="71" t="s">
        <v>77</v>
      </c>
      <c r="S284" s="137" t="str">
        <f t="shared" ref="S284:S289" si="854">CONCATENATE(Q284,R284,AB284)</f>
        <v>BPD2012</v>
      </c>
      <c r="T284" s="137" t="str">
        <f t="shared" ref="T284:T289" si="855">CONCATENATE(Q284,U284,AB284)</f>
        <v>B1.5.1.2.12012</v>
      </c>
      <c r="U284" s="137" t="s">
        <v>214</v>
      </c>
      <c r="V284" s="137" t="str">
        <f t="shared" ref="V284:V289" si="856">LOOKUP(U284,$B$539:$B$574,$A$539:$A$574)</f>
        <v>Pixel Insertion Tube</v>
      </c>
      <c r="AB284" s="33">
        <v>2012</v>
      </c>
      <c r="AC284" s="132">
        <f t="shared" ref="AC284:AC289" si="857">IF($Q284="B", (G284*$N284),0)</f>
        <v>0</v>
      </c>
      <c r="AD284" s="132">
        <f t="shared" ref="AD284:AD289" si="858">IF($Q284="B", (H284*$N284),0)</f>
        <v>8</v>
      </c>
      <c r="AE284" s="132">
        <f t="shared" ref="AE284:AE289" si="859">IF($Q284="B", (I284*$N284),0)</f>
        <v>0</v>
      </c>
      <c r="AF284" s="132">
        <f t="shared" ref="AF284:AF289" si="860">IF($Q284="B", (J284*$N284),0)</f>
        <v>2</v>
      </c>
      <c r="AG284" s="132">
        <f t="shared" ref="AG284:AG289" si="861">IF($Q284="B", (K284*$N284),0)</f>
        <v>0</v>
      </c>
      <c r="AH284" s="234">
        <f t="shared" ref="AH284:AH289" si="862">IF($Q284="B", (F284*$N284),0)</f>
        <v>0</v>
      </c>
      <c r="AI284" s="235"/>
      <c r="AJ284" s="132"/>
      <c r="AK284" s="132"/>
      <c r="AL284" s="166"/>
      <c r="AM284" s="131">
        <f t="shared" ref="AM284:AM289" si="863">IF($Q284="C", (G284*$N284),0)</f>
        <v>0</v>
      </c>
      <c r="AN284" s="132">
        <f t="shared" ref="AN284:AN289" si="864">IF($Q284="C", (H284*$N284),0)</f>
        <v>0</v>
      </c>
      <c r="AO284" s="132">
        <f t="shared" ref="AO284:AO289" si="865">IF($Q284="C", (I284*$N284),0)</f>
        <v>0</v>
      </c>
      <c r="AP284" s="132">
        <f t="shared" ref="AP284:AP289" si="866">IF($Q284="C", (J284*$N284),0)</f>
        <v>0</v>
      </c>
      <c r="AQ284" s="132">
        <f t="shared" ref="AQ284:AQ289" si="867">IF($Q284="C", (K284*$N284),0)</f>
        <v>0</v>
      </c>
      <c r="AR284" s="132">
        <f t="shared" ref="AR284:AR289" si="868">IF($Q284="C", (F284*$N284),0)</f>
        <v>0</v>
      </c>
      <c r="AS284" s="235"/>
    </row>
    <row r="285" spans="1:45" s="20" customFormat="1">
      <c r="A285" s="46" t="s">
        <v>322</v>
      </c>
      <c r="B285" s="20" t="s">
        <v>58</v>
      </c>
      <c r="C285" s="165">
        <v>1</v>
      </c>
      <c r="D285" s="96" t="s">
        <v>9</v>
      </c>
      <c r="E285" s="166">
        <v>105</v>
      </c>
      <c r="F285" s="167">
        <f t="shared" si="851"/>
        <v>105</v>
      </c>
      <c r="G285" s="168">
        <v>0</v>
      </c>
      <c r="H285" s="168">
        <v>8</v>
      </c>
      <c r="I285" s="168">
        <v>0</v>
      </c>
      <c r="J285" s="168">
        <v>1</v>
      </c>
      <c r="K285" s="169">
        <v>0</v>
      </c>
      <c r="L285" s="96" t="s">
        <v>8</v>
      </c>
      <c r="M285" s="166">
        <f t="shared" si="852"/>
        <v>1759.3200000000002</v>
      </c>
      <c r="N285" s="92">
        <v>2</v>
      </c>
      <c r="O285" s="170">
        <f t="shared" si="853"/>
        <v>1969.3200000000002</v>
      </c>
      <c r="P285" s="170"/>
      <c r="Q285" s="52" t="s">
        <v>47</v>
      </c>
      <c r="R285" s="71" t="s">
        <v>77</v>
      </c>
      <c r="S285" s="137" t="str">
        <f t="shared" si="854"/>
        <v>BPD2012</v>
      </c>
      <c r="T285" s="137" t="str">
        <f t="shared" si="855"/>
        <v>B1.5.1.2.12012</v>
      </c>
      <c r="U285" s="137" t="s">
        <v>214</v>
      </c>
      <c r="V285" s="137" t="str">
        <f t="shared" si="856"/>
        <v>Pixel Insertion Tube</v>
      </c>
      <c r="AB285" s="33">
        <v>2012</v>
      </c>
      <c r="AC285" s="132">
        <f t="shared" si="857"/>
        <v>0</v>
      </c>
      <c r="AD285" s="132">
        <f t="shared" si="858"/>
        <v>16</v>
      </c>
      <c r="AE285" s="132">
        <f t="shared" si="859"/>
        <v>0</v>
      </c>
      <c r="AF285" s="132">
        <f t="shared" si="860"/>
        <v>2</v>
      </c>
      <c r="AG285" s="132">
        <f t="shared" si="861"/>
        <v>0</v>
      </c>
      <c r="AH285" s="234">
        <f t="shared" si="862"/>
        <v>210</v>
      </c>
      <c r="AI285" s="235"/>
      <c r="AJ285" s="132"/>
      <c r="AK285" s="132"/>
      <c r="AL285" s="166"/>
      <c r="AM285" s="131">
        <f t="shared" si="863"/>
        <v>0</v>
      </c>
      <c r="AN285" s="132">
        <f t="shared" si="864"/>
        <v>0</v>
      </c>
      <c r="AO285" s="132">
        <f t="shared" si="865"/>
        <v>0</v>
      </c>
      <c r="AP285" s="132">
        <f t="shared" si="866"/>
        <v>0</v>
      </c>
      <c r="AQ285" s="132">
        <f t="shared" si="867"/>
        <v>0</v>
      </c>
      <c r="AR285" s="132">
        <f t="shared" si="868"/>
        <v>0</v>
      </c>
      <c r="AS285" s="235"/>
    </row>
    <row r="286" spans="1:45" s="20" customFormat="1">
      <c r="A286" s="46" t="s">
        <v>321</v>
      </c>
      <c r="B286" s="20" t="s">
        <v>58</v>
      </c>
      <c r="C286" s="165">
        <v>1</v>
      </c>
      <c r="D286" s="96" t="s">
        <v>9</v>
      </c>
      <c r="E286" s="166">
        <v>105</v>
      </c>
      <c r="F286" s="167">
        <f t="shared" si="851"/>
        <v>105</v>
      </c>
      <c r="G286" s="168">
        <v>2</v>
      </c>
      <c r="H286" s="168">
        <v>8</v>
      </c>
      <c r="I286" s="168">
        <v>0</v>
      </c>
      <c r="J286" s="168">
        <v>1</v>
      </c>
      <c r="K286" s="169">
        <v>0</v>
      </c>
      <c r="L286" s="96" t="s">
        <v>8</v>
      </c>
      <c r="M286" s="166">
        <f t="shared" si="852"/>
        <v>2167.5600000000004</v>
      </c>
      <c r="N286" s="92">
        <v>2</v>
      </c>
      <c r="O286" s="170">
        <f t="shared" si="853"/>
        <v>2377.5600000000004</v>
      </c>
      <c r="P286" s="170"/>
      <c r="Q286" s="52" t="s">
        <v>47</v>
      </c>
      <c r="R286" s="71" t="s">
        <v>77</v>
      </c>
      <c r="S286" s="137" t="str">
        <f t="shared" si="854"/>
        <v>BPD2012</v>
      </c>
      <c r="T286" s="137" t="str">
        <f t="shared" si="855"/>
        <v>B1.5.1.2.12012</v>
      </c>
      <c r="U286" s="137" t="s">
        <v>214</v>
      </c>
      <c r="V286" s="137" t="str">
        <f t="shared" si="856"/>
        <v>Pixel Insertion Tube</v>
      </c>
      <c r="AB286" s="33">
        <v>2012</v>
      </c>
      <c r="AC286" s="132">
        <f t="shared" si="857"/>
        <v>4</v>
      </c>
      <c r="AD286" s="132">
        <f t="shared" si="858"/>
        <v>16</v>
      </c>
      <c r="AE286" s="132">
        <f t="shared" si="859"/>
        <v>0</v>
      </c>
      <c r="AF286" s="132">
        <f t="shared" si="860"/>
        <v>2</v>
      </c>
      <c r="AG286" s="132">
        <f t="shared" si="861"/>
        <v>0</v>
      </c>
      <c r="AH286" s="234">
        <f t="shared" si="862"/>
        <v>210</v>
      </c>
      <c r="AI286" s="235"/>
      <c r="AJ286" s="132"/>
      <c r="AK286" s="132"/>
      <c r="AL286" s="166"/>
      <c r="AM286" s="131">
        <f t="shared" si="863"/>
        <v>0</v>
      </c>
      <c r="AN286" s="132">
        <f t="shared" si="864"/>
        <v>0</v>
      </c>
      <c r="AO286" s="132">
        <f t="shared" si="865"/>
        <v>0</v>
      </c>
      <c r="AP286" s="132">
        <f t="shared" si="866"/>
        <v>0</v>
      </c>
      <c r="AQ286" s="132">
        <f t="shared" si="867"/>
        <v>0</v>
      </c>
      <c r="AR286" s="132">
        <f t="shared" si="868"/>
        <v>0</v>
      </c>
      <c r="AS286" s="235"/>
    </row>
    <row r="287" spans="1:45" s="20" customFormat="1">
      <c r="A287" s="46" t="s">
        <v>323</v>
      </c>
      <c r="B287" s="20" t="s">
        <v>34</v>
      </c>
      <c r="C287" s="165">
        <v>0.03</v>
      </c>
      <c r="D287" s="96" t="s">
        <v>9</v>
      </c>
      <c r="E287" s="166">
        <v>0</v>
      </c>
      <c r="F287" s="167">
        <f t="shared" si="851"/>
        <v>0</v>
      </c>
      <c r="G287" s="168">
        <v>0</v>
      </c>
      <c r="H287" s="168">
        <v>6</v>
      </c>
      <c r="I287" s="168">
        <v>0</v>
      </c>
      <c r="J287" s="168">
        <v>2</v>
      </c>
      <c r="K287" s="169">
        <v>0</v>
      </c>
      <c r="L287" s="96" t="s">
        <v>8</v>
      </c>
      <c r="M287" s="166">
        <f t="shared" si="852"/>
        <v>811.62000000000012</v>
      </c>
      <c r="N287" s="92">
        <v>1</v>
      </c>
      <c r="O287" s="170">
        <f t="shared" si="853"/>
        <v>811.62000000000012</v>
      </c>
      <c r="P287" s="170"/>
      <c r="Q287" s="52" t="s">
        <v>48</v>
      </c>
      <c r="R287" s="71" t="s">
        <v>77</v>
      </c>
      <c r="S287" s="137" t="str">
        <f t="shared" si="854"/>
        <v>CPD2012</v>
      </c>
      <c r="T287" s="137" t="str">
        <f t="shared" si="855"/>
        <v>C1.5.1.2.12012</v>
      </c>
      <c r="U287" s="137" t="s">
        <v>214</v>
      </c>
      <c r="V287" s="137" t="str">
        <f t="shared" si="856"/>
        <v>Pixel Insertion Tube</v>
      </c>
      <c r="AB287" s="33">
        <v>2012</v>
      </c>
      <c r="AC287" s="132">
        <f t="shared" si="857"/>
        <v>0</v>
      </c>
      <c r="AD287" s="132">
        <f t="shared" si="858"/>
        <v>0</v>
      </c>
      <c r="AE287" s="132">
        <f t="shared" si="859"/>
        <v>0</v>
      </c>
      <c r="AF287" s="132">
        <f t="shared" si="860"/>
        <v>0</v>
      </c>
      <c r="AG287" s="132">
        <f t="shared" si="861"/>
        <v>0</v>
      </c>
      <c r="AH287" s="234">
        <f t="shared" si="862"/>
        <v>0</v>
      </c>
      <c r="AI287" s="235"/>
      <c r="AJ287" s="132"/>
      <c r="AK287" s="132"/>
      <c r="AL287" s="166"/>
      <c r="AM287" s="131">
        <f t="shared" si="863"/>
        <v>0</v>
      </c>
      <c r="AN287" s="132">
        <f t="shared" si="864"/>
        <v>6</v>
      </c>
      <c r="AO287" s="132">
        <f t="shared" si="865"/>
        <v>0</v>
      </c>
      <c r="AP287" s="132">
        <f t="shared" si="866"/>
        <v>2</v>
      </c>
      <c r="AQ287" s="132">
        <f t="shared" si="867"/>
        <v>0</v>
      </c>
      <c r="AR287" s="132">
        <f t="shared" si="868"/>
        <v>0</v>
      </c>
      <c r="AS287" s="235"/>
    </row>
    <row r="288" spans="1:45" s="20" customFormat="1">
      <c r="A288" s="46" t="s">
        <v>324</v>
      </c>
      <c r="B288" s="20" t="s">
        <v>58</v>
      </c>
      <c r="C288" s="165">
        <v>1</v>
      </c>
      <c r="D288" s="96" t="s">
        <v>9</v>
      </c>
      <c r="E288" s="166">
        <v>105</v>
      </c>
      <c r="F288" s="167">
        <f t="shared" si="851"/>
        <v>105</v>
      </c>
      <c r="G288" s="168">
        <v>0</v>
      </c>
      <c r="H288" s="168">
        <v>8</v>
      </c>
      <c r="I288" s="168">
        <v>0</v>
      </c>
      <c r="J288" s="168">
        <v>0</v>
      </c>
      <c r="K288" s="169">
        <v>0</v>
      </c>
      <c r="L288" s="96" t="s">
        <v>8</v>
      </c>
      <c r="M288" s="166">
        <f t="shared" si="852"/>
        <v>758.16000000000008</v>
      </c>
      <c r="N288" s="92">
        <v>1</v>
      </c>
      <c r="O288" s="170">
        <f t="shared" si="853"/>
        <v>863.16000000000008</v>
      </c>
      <c r="P288" s="170"/>
      <c r="Q288" s="52" t="s">
        <v>48</v>
      </c>
      <c r="R288" s="71" t="s">
        <v>77</v>
      </c>
      <c r="S288" s="137" t="str">
        <f t="shared" si="854"/>
        <v>CPD2012</v>
      </c>
      <c r="T288" s="137" t="str">
        <f t="shared" si="855"/>
        <v>C1.5.1.2.12012</v>
      </c>
      <c r="U288" s="137" t="s">
        <v>214</v>
      </c>
      <c r="V288" s="137" t="str">
        <f t="shared" si="856"/>
        <v>Pixel Insertion Tube</v>
      </c>
      <c r="AB288" s="33">
        <v>2012</v>
      </c>
      <c r="AC288" s="132">
        <f t="shared" si="857"/>
        <v>0</v>
      </c>
      <c r="AD288" s="132">
        <f t="shared" si="858"/>
        <v>0</v>
      </c>
      <c r="AE288" s="132">
        <f t="shared" si="859"/>
        <v>0</v>
      </c>
      <c r="AF288" s="132">
        <f t="shared" si="860"/>
        <v>0</v>
      </c>
      <c r="AG288" s="132">
        <f t="shared" si="861"/>
        <v>0</v>
      </c>
      <c r="AH288" s="234">
        <f t="shared" si="862"/>
        <v>0</v>
      </c>
      <c r="AI288" s="235"/>
      <c r="AJ288" s="132"/>
      <c r="AK288" s="132"/>
      <c r="AL288" s="166"/>
      <c r="AM288" s="131">
        <f t="shared" si="863"/>
        <v>0</v>
      </c>
      <c r="AN288" s="132">
        <f t="shared" si="864"/>
        <v>8</v>
      </c>
      <c r="AO288" s="132">
        <f t="shared" si="865"/>
        <v>0</v>
      </c>
      <c r="AP288" s="132">
        <f t="shared" si="866"/>
        <v>0</v>
      </c>
      <c r="AQ288" s="132">
        <f t="shared" si="867"/>
        <v>0</v>
      </c>
      <c r="AR288" s="132">
        <f t="shared" si="868"/>
        <v>105</v>
      </c>
      <c r="AS288" s="235"/>
    </row>
    <row r="289" spans="1:45" s="20" customFormat="1">
      <c r="A289" s="46" t="s">
        <v>325</v>
      </c>
      <c r="B289" s="20" t="s">
        <v>58</v>
      </c>
      <c r="C289" s="165">
        <v>1</v>
      </c>
      <c r="D289" s="96" t="s">
        <v>9</v>
      </c>
      <c r="E289" s="166">
        <v>105</v>
      </c>
      <c r="F289" s="167">
        <f t="shared" si="851"/>
        <v>105</v>
      </c>
      <c r="G289" s="168">
        <v>2</v>
      </c>
      <c r="H289" s="168">
        <v>8</v>
      </c>
      <c r="I289" s="168">
        <v>0</v>
      </c>
      <c r="J289" s="168">
        <v>0</v>
      </c>
      <c r="K289" s="169">
        <v>0</v>
      </c>
      <c r="L289" s="96" t="s">
        <v>8</v>
      </c>
      <c r="M289" s="166">
        <f t="shared" si="852"/>
        <v>962.28000000000009</v>
      </c>
      <c r="N289" s="92">
        <v>1</v>
      </c>
      <c r="O289" s="170">
        <f t="shared" si="853"/>
        <v>1067.2800000000002</v>
      </c>
      <c r="P289" s="170"/>
      <c r="Q289" s="52" t="s">
        <v>48</v>
      </c>
      <c r="R289" s="71" t="s">
        <v>77</v>
      </c>
      <c r="S289" s="137" t="str">
        <f t="shared" si="854"/>
        <v>CPD2012</v>
      </c>
      <c r="T289" s="137" t="str">
        <f t="shared" si="855"/>
        <v>C1.5.1.2.12012</v>
      </c>
      <c r="U289" s="137" t="s">
        <v>214</v>
      </c>
      <c r="V289" s="137" t="str">
        <f t="shared" si="856"/>
        <v>Pixel Insertion Tube</v>
      </c>
      <c r="AB289" s="33">
        <v>2012</v>
      </c>
      <c r="AC289" s="132">
        <f t="shared" si="857"/>
        <v>0</v>
      </c>
      <c r="AD289" s="132">
        <f t="shared" si="858"/>
        <v>0</v>
      </c>
      <c r="AE289" s="132">
        <f t="shared" si="859"/>
        <v>0</v>
      </c>
      <c r="AF289" s="132">
        <f t="shared" si="860"/>
        <v>0</v>
      </c>
      <c r="AG289" s="132">
        <f t="shared" si="861"/>
        <v>0</v>
      </c>
      <c r="AH289" s="234">
        <f t="shared" si="862"/>
        <v>0</v>
      </c>
      <c r="AI289" s="235"/>
      <c r="AJ289" s="132"/>
      <c r="AK289" s="132"/>
      <c r="AL289" s="166"/>
      <c r="AM289" s="131">
        <f t="shared" si="863"/>
        <v>2</v>
      </c>
      <c r="AN289" s="132">
        <f t="shared" si="864"/>
        <v>8</v>
      </c>
      <c r="AO289" s="132">
        <f t="shared" si="865"/>
        <v>0</v>
      </c>
      <c r="AP289" s="132">
        <f t="shared" si="866"/>
        <v>0</v>
      </c>
      <c r="AQ289" s="132">
        <f t="shared" si="867"/>
        <v>0</v>
      </c>
      <c r="AR289" s="132">
        <f t="shared" si="868"/>
        <v>105</v>
      </c>
      <c r="AS289" s="235"/>
    </row>
    <row r="290" spans="1:45" s="20" customFormat="1">
      <c r="A290" s="47" t="s">
        <v>350</v>
      </c>
      <c r="C290" s="165"/>
      <c r="D290" s="96"/>
      <c r="E290" s="57"/>
      <c r="F290" s="58"/>
      <c r="G290" s="59"/>
      <c r="H290" s="59"/>
      <c r="I290" s="59"/>
      <c r="J290" s="59"/>
      <c r="K290" s="60"/>
      <c r="L290" s="217" t="s">
        <v>66</v>
      </c>
      <c r="M290" s="177">
        <f>SUMIF(Q284:Q289,"B",M284:M289)</f>
        <v>4928.0400000000009</v>
      </c>
      <c r="N290" s="65" t="s">
        <v>65</v>
      </c>
      <c r="O290" s="170"/>
      <c r="P290" s="170"/>
      <c r="Q290" s="52"/>
      <c r="R290" s="71"/>
      <c r="S290" s="137"/>
      <c r="T290" s="137"/>
      <c r="U290" s="137"/>
      <c r="V290" s="137"/>
      <c r="AB290" s="33"/>
      <c r="AC290" s="132"/>
      <c r="AD290" s="132"/>
      <c r="AE290" s="135"/>
      <c r="AF290" s="132"/>
      <c r="AG290" s="132"/>
      <c r="AH290" s="234"/>
      <c r="AI290" s="235"/>
      <c r="AJ290" s="132"/>
      <c r="AK290" s="132"/>
      <c r="AL290" s="166"/>
      <c r="AM290" s="131"/>
      <c r="AN290" s="132"/>
      <c r="AO290" s="132"/>
      <c r="AP290" s="132"/>
      <c r="AQ290" s="132"/>
      <c r="AR290" s="132"/>
      <c r="AS290" s="235"/>
    </row>
    <row r="291" spans="1:45" s="20" customFormat="1">
      <c r="A291" s="46" t="s">
        <v>318</v>
      </c>
      <c r="B291" s="20" t="s">
        <v>34</v>
      </c>
      <c r="C291" s="165">
        <v>0.03</v>
      </c>
      <c r="D291" s="96" t="s">
        <v>9</v>
      </c>
      <c r="E291" s="166">
        <v>0</v>
      </c>
      <c r="F291" s="167">
        <f t="shared" ref="F291:F296" si="869">E291*C291</f>
        <v>0</v>
      </c>
      <c r="G291" s="168">
        <v>0</v>
      </c>
      <c r="H291" s="168">
        <v>8</v>
      </c>
      <c r="I291" s="168">
        <v>0</v>
      </c>
      <c r="J291" s="168">
        <v>2</v>
      </c>
      <c r="K291" s="169">
        <v>0</v>
      </c>
      <c r="L291" s="96" t="s">
        <v>8</v>
      </c>
      <c r="M291" s="166">
        <f t="shared" ref="M291:M296" si="870">IF(R291="PD",((Shop*G291)+(M_Tech*H291)+(CMM*I291)+(ENG*J291)+(DES*K291))*N291,((Shop_RD*G291)+(MTECH_RD*H291)+(CMM_RD*I291)+(ENG_RD*J291)+(DES_RD*K291))*N291)</f>
        <v>1001.1600000000001</v>
      </c>
      <c r="N291" s="92">
        <v>1</v>
      </c>
      <c r="O291" s="170">
        <f t="shared" ref="O291:O296" si="871">M291+(F291*N291)</f>
        <v>1001.1600000000001</v>
      </c>
      <c r="P291" s="170"/>
      <c r="Q291" s="52" t="s">
        <v>47</v>
      </c>
      <c r="R291" s="71" t="s">
        <v>77</v>
      </c>
      <c r="S291" s="137" t="str">
        <f t="shared" ref="S291:S296" si="872">CONCATENATE(Q291,R291,AB291)</f>
        <v>BPD2012</v>
      </c>
      <c r="T291" s="137" t="str">
        <f t="shared" ref="T291:T296" si="873">CONCATENATE(Q291,U291,AB291)</f>
        <v>B1.5.1.2.12012</v>
      </c>
      <c r="U291" s="137" t="s">
        <v>214</v>
      </c>
      <c r="V291" s="137" t="str">
        <f t="shared" ref="V291:V296" si="874">LOOKUP(U291,$B$539:$B$574,$A$539:$A$574)</f>
        <v>Pixel Insertion Tube</v>
      </c>
      <c r="AB291" s="33">
        <v>2012</v>
      </c>
      <c r="AC291" s="132">
        <f t="shared" ref="AC291:AC296" si="875">IF($Q291="B", (G291*$N291),0)</f>
        <v>0</v>
      </c>
      <c r="AD291" s="132">
        <f t="shared" ref="AD291:AD296" si="876">IF($Q291="B", (H291*$N291),0)</f>
        <v>8</v>
      </c>
      <c r="AE291" s="132">
        <f t="shared" ref="AE291:AE296" si="877">IF($Q291="B", (I291*$N291),0)</f>
        <v>0</v>
      </c>
      <c r="AF291" s="132">
        <f t="shared" ref="AF291:AF296" si="878">IF($Q291="B", (J291*$N291),0)</f>
        <v>2</v>
      </c>
      <c r="AG291" s="132">
        <f t="shared" ref="AG291:AG296" si="879">IF($Q291="B", (K291*$N291),0)</f>
        <v>0</v>
      </c>
      <c r="AH291" s="234">
        <f t="shared" ref="AH291:AH296" si="880">IF($Q291="B", (F291*$N291),0)</f>
        <v>0</v>
      </c>
      <c r="AI291" s="235"/>
      <c r="AJ291" s="132"/>
      <c r="AK291" s="132"/>
      <c r="AL291" s="166"/>
      <c r="AM291" s="131">
        <f t="shared" ref="AM291:AM296" si="881">IF($Q291="C", (G291*$N291),0)</f>
        <v>0</v>
      </c>
      <c r="AN291" s="132">
        <f t="shared" ref="AN291:AN296" si="882">IF($Q291="C", (H291*$N291),0)</f>
        <v>0</v>
      </c>
      <c r="AO291" s="132">
        <f t="shared" ref="AO291:AO296" si="883">IF($Q291="C", (I291*$N291),0)</f>
        <v>0</v>
      </c>
      <c r="AP291" s="132">
        <f t="shared" ref="AP291:AP296" si="884">IF($Q291="C", (J291*$N291),0)</f>
        <v>0</v>
      </c>
      <c r="AQ291" s="132">
        <f t="shared" ref="AQ291:AQ296" si="885">IF($Q291="C", (K291*$N291),0)</f>
        <v>0</v>
      </c>
      <c r="AR291" s="132">
        <f t="shared" ref="AR291:AR296" si="886">IF($Q291="C", (F291*$N291),0)</f>
        <v>0</v>
      </c>
      <c r="AS291" s="235"/>
    </row>
    <row r="292" spans="1:45" s="20" customFormat="1">
      <c r="A292" s="46" t="s">
        <v>322</v>
      </c>
      <c r="B292" s="20" t="s">
        <v>58</v>
      </c>
      <c r="C292" s="165">
        <v>1</v>
      </c>
      <c r="D292" s="96" t="s">
        <v>9</v>
      </c>
      <c r="E292" s="166">
        <v>105</v>
      </c>
      <c r="F292" s="167">
        <f t="shared" si="869"/>
        <v>105</v>
      </c>
      <c r="G292" s="168">
        <v>0</v>
      </c>
      <c r="H292" s="168">
        <v>8</v>
      </c>
      <c r="I292" s="168">
        <v>0</v>
      </c>
      <c r="J292" s="168">
        <v>1</v>
      </c>
      <c r="K292" s="169">
        <v>0</v>
      </c>
      <c r="L292" s="96" t="s">
        <v>8</v>
      </c>
      <c r="M292" s="166">
        <f t="shared" si="870"/>
        <v>1759.3200000000002</v>
      </c>
      <c r="N292" s="92">
        <v>2</v>
      </c>
      <c r="O292" s="170">
        <f t="shared" si="871"/>
        <v>1969.3200000000002</v>
      </c>
      <c r="P292" s="170"/>
      <c r="Q292" s="52" t="s">
        <v>47</v>
      </c>
      <c r="R292" s="71" t="s">
        <v>77</v>
      </c>
      <c r="S292" s="137" t="str">
        <f t="shared" si="872"/>
        <v>BPD2012</v>
      </c>
      <c r="T292" s="137" t="str">
        <f t="shared" si="873"/>
        <v>B1.5.1.2.12012</v>
      </c>
      <c r="U292" s="137" t="s">
        <v>214</v>
      </c>
      <c r="V292" s="137" t="str">
        <f t="shared" si="874"/>
        <v>Pixel Insertion Tube</v>
      </c>
      <c r="AB292" s="33">
        <v>2012</v>
      </c>
      <c r="AC292" s="132">
        <f t="shared" si="875"/>
        <v>0</v>
      </c>
      <c r="AD292" s="132">
        <f t="shared" si="876"/>
        <v>16</v>
      </c>
      <c r="AE292" s="132">
        <f t="shared" si="877"/>
        <v>0</v>
      </c>
      <c r="AF292" s="132">
        <f t="shared" si="878"/>
        <v>2</v>
      </c>
      <c r="AG292" s="132">
        <f t="shared" si="879"/>
        <v>0</v>
      </c>
      <c r="AH292" s="234">
        <f t="shared" si="880"/>
        <v>210</v>
      </c>
      <c r="AI292" s="235"/>
      <c r="AJ292" s="132"/>
      <c r="AK292" s="132"/>
      <c r="AL292" s="166"/>
      <c r="AM292" s="131">
        <f t="shared" si="881"/>
        <v>0</v>
      </c>
      <c r="AN292" s="132">
        <f t="shared" si="882"/>
        <v>0</v>
      </c>
      <c r="AO292" s="132">
        <f t="shared" si="883"/>
        <v>0</v>
      </c>
      <c r="AP292" s="132">
        <f t="shared" si="884"/>
        <v>0</v>
      </c>
      <c r="AQ292" s="132">
        <f t="shared" si="885"/>
        <v>0</v>
      </c>
      <c r="AR292" s="132">
        <f t="shared" si="886"/>
        <v>0</v>
      </c>
      <c r="AS292" s="235"/>
    </row>
    <row r="293" spans="1:45" s="20" customFormat="1">
      <c r="A293" s="46" t="s">
        <v>321</v>
      </c>
      <c r="B293" s="20" t="s">
        <v>58</v>
      </c>
      <c r="C293" s="165">
        <v>1</v>
      </c>
      <c r="D293" s="96" t="s">
        <v>9</v>
      </c>
      <c r="E293" s="166">
        <v>105</v>
      </c>
      <c r="F293" s="167">
        <f t="shared" si="869"/>
        <v>105</v>
      </c>
      <c r="G293" s="168">
        <v>2</v>
      </c>
      <c r="H293" s="168">
        <v>8</v>
      </c>
      <c r="I293" s="168">
        <v>0</v>
      </c>
      <c r="J293" s="168">
        <v>1</v>
      </c>
      <c r="K293" s="169">
        <v>0</v>
      </c>
      <c r="L293" s="96" t="s">
        <v>8</v>
      </c>
      <c r="M293" s="166">
        <f t="shared" si="870"/>
        <v>2167.5600000000004</v>
      </c>
      <c r="N293" s="92">
        <v>2</v>
      </c>
      <c r="O293" s="170">
        <f t="shared" si="871"/>
        <v>2377.5600000000004</v>
      </c>
      <c r="P293" s="170"/>
      <c r="Q293" s="52" t="s">
        <v>47</v>
      </c>
      <c r="R293" s="71" t="s">
        <v>77</v>
      </c>
      <c r="S293" s="137" t="str">
        <f t="shared" si="872"/>
        <v>BPD2012</v>
      </c>
      <c r="T293" s="137" t="str">
        <f t="shared" si="873"/>
        <v>B1.5.1.2.12012</v>
      </c>
      <c r="U293" s="137" t="s">
        <v>214</v>
      </c>
      <c r="V293" s="137" t="str">
        <f t="shared" si="874"/>
        <v>Pixel Insertion Tube</v>
      </c>
      <c r="AB293" s="33">
        <v>2012</v>
      </c>
      <c r="AC293" s="132">
        <f t="shared" si="875"/>
        <v>4</v>
      </c>
      <c r="AD293" s="132">
        <f t="shared" si="876"/>
        <v>16</v>
      </c>
      <c r="AE293" s="132">
        <f t="shared" si="877"/>
        <v>0</v>
      </c>
      <c r="AF293" s="132">
        <f t="shared" si="878"/>
        <v>2</v>
      </c>
      <c r="AG293" s="132">
        <f t="shared" si="879"/>
        <v>0</v>
      </c>
      <c r="AH293" s="234">
        <f t="shared" si="880"/>
        <v>210</v>
      </c>
      <c r="AI293" s="235"/>
      <c r="AJ293" s="132"/>
      <c r="AK293" s="132"/>
      <c r="AL293" s="166"/>
      <c r="AM293" s="131">
        <f t="shared" si="881"/>
        <v>0</v>
      </c>
      <c r="AN293" s="132">
        <f t="shared" si="882"/>
        <v>0</v>
      </c>
      <c r="AO293" s="132">
        <f t="shared" si="883"/>
        <v>0</v>
      </c>
      <c r="AP293" s="132">
        <f t="shared" si="884"/>
        <v>0</v>
      </c>
      <c r="AQ293" s="132">
        <f t="shared" si="885"/>
        <v>0</v>
      </c>
      <c r="AR293" s="132">
        <f t="shared" si="886"/>
        <v>0</v>
      </c>
      <c r="AS293" s="235"/>
    </row>
    <row r="294" spans="1:45" s="20" customFormat="1">
      <c r="A294" s="46" t="s">
        <v>323</v>
      </c>
      <c r="B294" s="20" t="s">
        <v>34</v>
      </c>
      <c r="C294" s="165">
        <v>0.03</v>
      </c>
      <c r="D294" s="96" t="s">
        <v>9</v>
      </c>
      <c r="E294" s="166">
        <v>0</v>
      </c>
      <c r="F294" s="167">
        <f t="shared" si="869"/>
        <v>0</v>
      </c>
      <c r="G294" s="168">
        <v>0</v>
      </c>
      <c r="H294" s="168">
        <v>6</v>
      </c>
      <c r="I294" s="168">
        <v>0</v>
      </c>
      <c r="J294" s="168">
        <v>2</v>
      </c>
      <c r="K294" s="169">
        <v>0</v>
      </c>
      <c r="L294" s="96" t="s">
        <v>8</v>
      </c>
      <c r="M294" s="166">
        <f t="shared" si="870"/>
        <v>811.62000000000012</v>
      </c>
      <c r="N294" s="92">
        <v>1</v>
      </c>
      <c r="O294" s="170">
        <f t="shared" si="871"/>
        <v>811.62000000000012</v>
      </c>
      <c r="P294" s="170"/>
      <c r="Q294" s="52" t="s">
        <v>48</v>
      </c>
      <c r="R294" s="71" t="s">
        <v>77</v>
      </c>
      <c r="S294" s="137" t="str">
        <f t="shared" si="872"/>
        <v>CPD2013</v>
      </c>
      <c r="T294" s="137" t="str">
        <f t="shared" si="873"/>
        <v>C1.5.1.2.12013</v>
      </c>
      <c r="U294" s="137" t="s">
        <v>214</v>
      </c>
      <c r="V294" s="137" t="str">
        <f t="shared" si="874"/>
        <v>Pixel Insertion Tube</v>
      </c>
      <c r="AB294" s="33">
        <v>2013</v>
      </c>
      <c r="AC294" s="132">
        <f t="shared" si="875"/>
        <v>0</v>
      </c>
      <c r="AD294" s="132">
        <f t="shared" si="876"/>
        <v>0</v>
      </c>
      <c r="AE294" s="132">
        <f t="shared" si="877"/>
        <v>0</v>
      </c>
      <c r="AF294" s="132">
        <f t="shared" si="878"/>
        <v>0</v>
      </c>
      <c r="AG294" s="132">
        <f t="shared" si="879"/>
        <v>0</v>
      </c>
      <c r="AH294" s="234">
        <f t="shared" si="880"/>
        <v>0</v>
      </c>
      <c r="AI294" s="235"/>
      <c r="AJ294" s="132"/>
      <c r="AK294" s="132"/>
      <c r="AL294" s="166"/>
      <c r="AM294" s="131">
        <f t="shared" si="881"/>
        <v>0</v>
      </c>
      <c r="AN294" s="132">
        <f t="shared" si="882"/>
        <v>6</v>
      </c>
      <c r="AO294" s="132">
        <f t="shared" si="883"/>
        <v>0</v>
      </c>
      <c r="AP294" s="132">
        <f t="shared" si="884"/>
        <v>2</v>
      </c>
      <c r="AQ294" s="132">
        <f t="shared" si="885"/>
        <v>0</v>
      </c>
      <c r="AR294" s="132">
        <f t="shared" si="886"/>
        <v>0</v>
      </c>
      <c r="AS294" s="235"/>
    </row>
    <row r="295" spans="1:45" s="20" customFormat="1">
      <c r="A295" s="46" t="s">
        <v>324</v>
      </c>
      <c r="B295" s="20" t="s">
        <v>58</v>
      </c>
      <c r="C295" s="165">
        <v>1</v>
      </c>
      <c r="D295" s="96" t="s">
        <v>9</v>
      </c>
      <c r="E295" s="166">
        <v>105</v>
      </c>
      <c r="F295" s="167">
        <f t="shared" si="869"/>
        <v>105</v>
      </c>
      <c r="G295" s="168">
        <v>0</v>
      </c>
      <c r="H295" s="168">
        <v>8</v>
      </c>
      <c r="I295" s="168">
        <v>0</v>
      </c>
      <c r="J295" s="168">
        <v>0</v>
      </c>
      <c r="K295" s="169">
        <v>0</v>
      </c>
      <c r="L295" s="96" t="s">
        <v>8</v>
      </c>
      <c r="M295" s="166">
        <f t="shared" si="870"/>
        <v>758.16000000000008</v>
      </c>
      <c r="N295" s="92">
        <v>1</v>
      </c>
      <c r="O295" s="170">
        <f t="shared" si="871"/>
        <v>863.16000000000008</v>
      </c>
      <c r="P295" s="170"/>
      <c r="Q295" s="52" t="s">
        <v>48</v>
      </c>
      <c r="R295" s="71" t="s">
        <v>77</v>
      </c>
      <c r="S295" s="137" t="str">
        <f t="shared" si="872"/>
        <v>CPD2013</v>
      </c>
      <c r="T295" s="137" t="str">
        <f t="shared" si="873"/>
        <v>C1.5.1.2.12013</v>
      </c>
      <c r="U295" s="137" t="s">
        <v>214</v>
      </c>
      <c r="V295" s="137" t="str">
        <f t="shared" si="874"/>
        <v>Pixel Insertion Tube</v>
      </c>
      <c r="AB295" s="33">
        <v>2013</v>
      </c>
      <c r="AC295" s="132">
        <f t="shared" si="875"/>
        <v>0</v>
      </c>
      <c r="AD295" s="132">
        <f t="shared" si="876"/>
        <v>0</v>
      </c>
      <c r="AE295" s="132">
        <f t="shared" si="877"/>
        <v>0</v>
      </c>
      <c r="AF295" s="132">
        <f t="shared" si="878"/>
        <v>0</v>
      </c>
      <c r="AG295" s="132">
        <f t="shared" si="879"/>
        <v>0</v>
      </c>
      <c r="AH295" s="234">
        <f t="shared" si="880"/>
        <v>0</v>
      </c>
      <c r="AI295" s="235"/>
      <c r="AJ295" s="132"/>
      <c r="AK295" s="132"/>
      <c r="AL295" s="166"/>
      <c r="AM295" s="131">
        <f t="shared" si="881"/>
        <v>0</v>
      </c>
      <c r="AN295" s="132">
        <f t="shared" si="882"/>
        <v>8</v>
      </c>
      <c r="AO295" s="132">
        <f t="shared" si="883"/>
        <v>0</v>
      </c>
      <c r="AP295" s="132">
        <f t="shared" si="884"/>
        <v>0</v>
      </c>
      <c r="AQ295" s="132">
        <f t="shared" si="885"/>
        <v>0</v>
      </c>
      <c r="AR295" s="132">
        <f t="shared" si="886"/>
        <v>105</v>
      </c>
      <c r="AS295" s="235"/>
    </row>
    <row r="296" spans="1:45" s="20" customFormat="1">
      <c r="A296" s="46" t="s">
        <v>325</v>
      </c>
      <c r="B296" s="20" t="s">
        <v>58</v>
      </c>
      <c r="C296" s="165">
        <v>1</v>
      </c>
      <c r="D296" s="96" t="s">
        <v>9</v>
      </c>
      <c r="E296" s="166">
        <v>105</v>
      </c>
      <c r="F296" s="167">
        <f t="shared" si="869"/>
        <v>105</v>
      </c>
      <c r="G296" s="168">
        <v>2</v>
      </c>
      <c r="H296" s="168">
        <v>8</v>
      </c>
      <c r="I296" s="168">
        <v>0</v>
      </c>
      <c r="J296" s="168">
        <v>0</v>
      </c>
      <c r="K296" s="169">
        <v>0</v>
      </c>
      <c r="L296" s="96" t="s">
        <v>8</v>
      </c>
      <c r="M296" s="166">
        <f t="shared" si="870"/>
        <v>962.28000000000009</v>
      </c>
      <c r="N296" s="92">
        <v>1</v>
      </c>
      <c r="O296" s="170">
        <f t="shared" si="871"/>
        <v>1067.2800000000002</v>
      </c>
      <c r="P296" s="170"/>
      <c r="Q296" s="52" t="s">
        <v>48</v>
      </c>
      <c r="R296" s="71" t="s">
        <v>77</v>
      </c>
      <c r="S296" s="137" t="str">
        <f t="shared" si="872"/>
        <v>CPD2013</v>
      </c>
      <c r="T296" s="137" t="str">
        <f t="shared" si="873"/>
        <v>C1.5.1.2.12013</v>
      </c>
      <c r="U296" s="137" t="s">
        <v>214</v>
      </c>
      <c r="V296" s="137" t="str">
        <f t="shared" si="874"/>
        <v>Pixel Insertion Tube</v>
      </c>
      <c r="AB296" s="33">
        <v>2013</v>
      </c>
      <c r="AC296" s="132">
        <f t="shared" si="875"/>
        <v>0</v>
      </c>
      <c r="AD296" s="132">
        <f t="shared" si="876"/>
        <v>0</v>
      </c>
      <c r="AE296" s="132">
        <f t="shared" si="877"/>
        <v>0</v>
      </c>
      <c r="AF296" s="132">
        <f t="shared" si="878"/>
        <v>0</v>
      </c>
      <c r="AG296" s="132">
        <f t="shared" si="879"/>
        <v>0</v>
      </c>
      <c r="AH296" s="234">
        <f t="shared" si="880"/>
        <v>0</v>
      </c>
      <c r="AI296" s="235"/>
      <c r="AJ296" s="132"/>
      <c r="AK296" s="132"/>
      <c r="AL296" s="166"/>
      <c r="AM296" s="131">
        <f t="shared" si="881"/>
        <v>2</v>
      </c>
      <c r="AN296" s="132">
        <f t="shared" si="882"/>
        <v>8</v>
      </c>
      <c r="AO296" s="132">
        <f t="shared" si="883"/>
        <v>0</v>
      </c>
      <c r="AP296" s="132">
        <f t="shared" si="884"/>
        <v>0</v>
      </c>
      <c r="AQ296" s="132">
        <f t="shared" si="885"/>
        <v>0</v>
      </c>
      <c r="AR296" s="132">
        <f t="shared" si="886"/>
        <v>105</v>
      </c>
      <c r="AS296" s="235"/>
    </row>
    <row r="297" spans="1:45" s="20" customFormat="1">
      <c r="A297" s="47" t="s">
        <v>380</v>
      </c>
      <c r="C297" s="165"/>
      <c r="D297" s="96"/>
      <c r="E297" s="57"/>
      <c r="F297" s="58"/>
      <c r="G297" s="59"/>
      <c r="H297" s="59"/>
      <c r="I297" s="59"/>
      <c r="J297" s="59"/>
      <c r="K297" s="60"/>
      <c r="L297" s="217" t="s">
        <v>66</v>
      </c>
      <c r="M297" s="177">
        <f>SUMIF(Q291:Q296,"B",M291:M296)</f>
        <v>4928.0400000000009</v>
      </c>
      <c r="N297" s="65" t="s">
        <v>65</v>
      </c>
      <c r="O297" s="170"/>
      <c r="P297" s="170"/>
      <c r="Q297" s="52"/>
      <c r="R297" s="71"/>
      <c r="S297" s="137"/>
      <c r="T297" s="137"/>
      <c r="U297" s="137"/>
      <c r="V297" s="137"/>
      <c r="AB297" s="33"/>
      <c r="AC297" s="132"/>
      <c r="AD297" s="132"/>
      <c r="AE297" s="135"/>
      <c r="AF297" s="132"/>
      <c r="AG297" s="132"/>
      <c r="AH297" s="234"/>
      <c r="AI297" s="235"/>
      <c r="AJ297" s="132"/>
      <c r="AK297" s="132"/>
      <c r="AL297" s="166"/>
      <c r="AM297" s="131"/>
      <c r="AN297" s="132"/>
      <c r="AO297" s="132"/>
      <c r="AP297" s="132"/>
      <c r="AQ297" s="132"/>
      <c r="AR297" s="132"/>
      <c r="AS297" s="235"/>
    </row>
    <row r="298" spans="1:45" s="20" customFormat="1">
      <c r="A298" s="46" t="s">
        <v>355</v>
      </c>
      <c r="B298" s="20" t="s">
        <v>34</v>
      </c>
      <c r="C298" s="165">
        <v>0.03</v>
      </c>
      <c r="D298" s="96" t="s">
        <v>9</v>
      </c>
      <c r="E298" s="166">
        <v>0</v>
      </c>
      <c r="F298" s="167">
        <f>E298*C298</f>
        <v>0</v>
      </c>
      <c r="G298" s="168">
        <v>0</v>
      </c>
      <c r="H298" s="168">
        <v>0</v>
      </c>
      <c r="I298" s="168">
        <v>0</v>
      </c>
      <c r="J298" s="168">
        <v>40</v>
      </c>
      <c r="K298" s="169">
        <v>0</v>
      </c>
      <c r="L298" s="96" t="s">
        <v>8</v>
      </c>
      <c r="M298" s="166">
        <f>IF(R298="PD",((Shop*G298)+(M_Tech*H298)+(CMM*I298)+(ENG*J298)+(DES*K298))*N298,((Shop_RD*G298)+(MTECH_RD*H298)+(CMM_RD*I298)+(ENG_RD*J298)+(DES_RD*K298))*N298)</f>
        <v>4860.0000000000009</v>
      </c>
      <c r="N298" s="92">
        <v>1</v>
      </c>
      <c r="O298" s="170">
        <f>M298+(F298*N298)</f>
        <v>4860.0000000000009</v>
      </c>
      <c r="P298" s="170"/>
      <c r="Q298" s="52" t="s">
        <v>47</v>
      </c>
      <c r="R298" s="71" t="s">
        <v>77</v>
      </c>
      <c r="S298" s="137" t="str">
        <f>CONCATENATE(Q298,R298,AB298)</f>
        <v>BPD2012</v>
      </c>
      <c r="T298" s="137" t="str">
        <f>CONCATENATE(Q298,U298,AB298)</f>
        <v>B1.5.1.2.12012</v>
      </c>
      <c r="U298" s="137" t="s">
        <v>214</v>
      </c>
      <c r="V298" s="137" t="str">
        <f>LOOKUP(U298,$B$539:$B$574,$A$539:$A$574)</f>
        <v>Pixel Insertion Tube</v>
      </c>
      <c r="AB298" s="33">
        <v>2012</v>
      </c>
      <c r="AC298" s="132">
        <f t="shared" ref="AC298:AC301" si="887">IF($Q298="B", (G298*$N298),0)</f>
        <v>0</v>
      </c>
      <c r="AD298" s="132">
        <f t="shared" ref="AD298:AD301" si="888">IF($Q298="B", (H298*$N298),0)</f>
        <v>0</v>
      </c>
      <c r="AE298" s="132">
        <f t="shared" ref="AE298:AE301" si="889">IF($Q298="B", (I298*$N298),0)</f>
        <v>0</v>
      </c>
      <c r="AF298" s="132">
        <f t="shared" ref="AF298:AF301" si="890">IF($Q298="B", (J298*$N298),0)</f>
        <v>40</v>
      </c>
      <c r="AG298" s="132">
        <f t="shared" ref="AG298:AG301" si="891">IF($Q298="B", (K298*$N298),0)</f>
        <v>0</v>
      </c>
      <c r="AH298" s="234">
        <f>IF($Q298="B", (F298*$N298),0)</f>
        <v>0</v>
      </c>
      <c r="AI298" s="235"/>
      <c r="AJ298" s="132"/>
      <c r="AK298" s="132"/>
      <c r="AL298" s="166"/>
      <c r="AM298" s="131">
        <f t="shared" ref="AM298:AM301" si="892">IF($Q298="C", (G298*$N298),0)</f>
        <v>0</v>
      </c>
      <c r="AN298" s="132">
        <f t="shared" ref="AN298:AN301" si="893">IF($Q298="C", (H298*$N298),0)</f>
        <v>0</v>
      </c>
      <c r="AO298" s="132">
        <f t="shared" ref="AO298:AO301" si="894">IF($Q298="C", (I298*$N298),0)</f>
        <v>0</v>
      </c>
      <c r="AP298" s="132">
        <f t="shared" ref="AP298:AP301" si="895">IF($Q298="C", (J298*$N298),0)</f>
        <v>0</v>
      </c>
      <c r="AQ298" s="132">
        <f t="shared" ref="AQ298:AQ301" si="896">IF($Q298="C", (K298*$N298),0)</f>
        <v>0</v>
      </c>
      <c r="AR298" s="132">
        <f>IF($Q298="C", (F298*$N298),0)</f>
        <v>0</v>
      </c>
      <c r="AS298" s="235"/>
    </row>
    <row r="299" spans="1:45" s="20" customFormat="1">
      <c r="A299" s="46" t="s">
        <v>378</v>
      </c>
      <c r="B299" s="20" t="s">
        <v>7</v>
      </c>
      <c r="C299" s="165">
        <v>200</v>
      </c>
      <c r="D299" s="96" t="s">
        <v>39</v>
      </c>
      <c r="E299" s="166">
        <v>8</v>
      </c>
      <c r="F299" s="167">
        <f>E299*C299</f>
        <v>1600</v>
      </c>
      <c r="G299" s="168">
        <v>60</v>
      </c>
      <c r="H299" s="168">
        <v>16</v>
      </c>
      <c r="I299" s="168">
        <v>0</v>
      </c>
      <c r="J299" s="168">
        <v>0</v>
      </c>
      <c r="K299" s="169">
        <v>0</v>
      </c>
      <c r="L299" s="96" t="s">
        <v>8</v>
      </c>
      <c r="M299" s="166">
        <f>IF(R299="PD",((Shop*G299)+(M_Tech*H299)+(CMM*I299)+(ENG*J299)+(DES*K299))*N299,((Shop_RD*G299)+(MTECH_RD*H299)+(CMM_RD*I299)+(ENG_RD*J299)+(DES_RD*K299))*N299)</f>
        <v>7639.92</v>
      </c>
      <c r="N299" s="92">
        <v>1</v>
      </c>
      <c r="O299" s="170">
        <f>M299+(F299*N299)</f>
        <v>9239.92</v>
      </c>
      <c r="P299" s="170"/>
      <c r="Q299" s="52" t="s">
        <v>47</v>
      </c>
      <c r="R299" s="71" t="s">
        <v>77</v>
      </c>
      <c r="S299" s="137" t="str">
        <f>CONCATENATE(Q299,R299,AB299)</f>
        <v>BPD2012</v>
      </c>
      <c r="T299" s="137" t="str">
        <f>CONCATENATE(Q299,U299,AB299)</f>
        <v>B1.5.1.2.12012</v>
      </c>
      <c r="U299" s="137" t="s">
        <v>214</v>
      </c>
      <c r="V299" s="137" t="str">
        <f>LOOKUP(U299,$B$539:$B$574,$A$539:$A$574)</f>
        <v>Pixel Insertion Tube</v>
      </c>
      <c r="AB299" s="33">
        <v>2012</v>
      </c>
      <c r="AC299" s="132">
        <f t="shared" si="887"/>
        <v>60</v>
      </c>
      <c r="AD299" s="132">
        <f t="shared" si="888"/>
        <v>16</v>
      </c>
      <c r="AE299" s="132">
        <f t="shared" si="889"/>
        <v>0</v>
      </c>
      <c r="AF299" s="132">
        <f t="shared" si="890"/>
        <v>0</v>
      </c>
      <c r="AG299" s="132">
        <f t="shared" si="891"/>
        <v>0</v>
      </c>
      <c r="AH299" s="234">
        <f>IF($Q299="B", (F299*$N299),0)</f>
        <v>1600</v>
      </c>
      <c r="AI299" s="235"/>
      <c r="AJ299" s="132"/>
      <c r="AK299" s="132"/>
      <c r="AL299" s="166"/>
      <c r="AM299" s="131">
        <f t="shared" si="892"/>
        <v>0</v>
      </c>
      <c r="AN299" s="132">
        <f t="shared" si="893"/>
        <v>0</v>
      </c>
      <c r="AO299" s="132">
        <f t="shared" si="894"/>
        <v>0</v>
      </c>
      <c r="AP299" s="132">
        <f t="shared" si="895"/>
        <v>0</v>
      </c>
      <c r="AQ299" s="132">
        <f t="shared" si="896"/>
        <v>0</v>
      </c>
      <c r="AR299" s="132">
        <f>IF($Q299="C", (F299*$N299),0)</f>
        <v>0</v>
      </c>
      <c r="AS299" s="235"/>
    </row>
    <row r="300" spans="1:45" s="20" customFormat="1">
      <c r="A300" s="46" t="s">
        <v>355</v>
      </c>
      <c r="B300" s="20" t="s">
        <v>34</v>
      </c>
      <c r="C300" s="165">
        <v>0.03</v>
      </c>
      <c r="D300" s="96" t="s">
        <v>9</v>
      </c>
      <c r="E300" s="166">
        <v>0</v>
      </c>
      <c r="F300" s="167">
        <f>E300*C300</f>
        <v>0</v>
      </c>
      <c r="G300" s="168">
        <v>0</v>
      </c>
      <c r="H300" s="168">
        <v>0</v>
      </c>
      <c r="I300" s="168">
        <v>0</v>
      </c>
      <c r="J300" s="168">
        <v>40</v>
      </c>
      <c r="K300" s="169">
        <v>0</v>
      </c>
      <c r="L300" s="96" t="s">
        <v>8</v>
      </c>
      <c r="M300" s="166">
        <f>IF(R300="PD",((Shop*G300)+(M_Tech*H300)+(CMM*I300)+(ENG*J300)+(DES*K300))*N300,((Shop_RD*G300)+(MTECH_RD*H300)+(CMM_RD*I300)+(ENG_RD*J300)+(DES_RD*K300))*N300)</f>
        <v>4860.0000000000009</v>
      </c>
      <c r="N300" s="92">
        <v>1</v>
      </c>
      <c r="O300" s="170">
        <f>M300+(F300*N300)</f>
        <v>4860.0000000000009</v>
      </c>
      <c r="P300" s="170"/>
      <c r="Q300" s="52" t="s">
        <v>48</v>
      </c>
      <c r="R300" s="71" t="s">
        <v>77</v>
      </c>
      <c r="S300" s="137" t="str">
        <f>CONCATENATE(Q300,R300,AB300)</f>
        <v>CPD2012</v>
      </c>
      <c r="T300" s="137" t="str">
        <f>CONCATENATE(Q300,U300,AB300)</f>
        <v>C1.5.1.2.12012</v>
      </c>
      <c r="U300" s="137" t="s">
        <v>214</v>
      </c>
      <c r="V300" s="137" t="str">
        <f>LOOKUP(U300,$B$539:$B$574,$A$539:$A$574)</f>
        <v>Pixel Insertion Tube</v>
      </c>
      <c r="AB300" s="33">
        <v>2012</v>
      </c>
      <c r="AC300" s="132">
        <f t="shared" ref="AC300" si="897">IF($Q300="B", (G300*$N300),0)</f>
        <v>0</v>
      </c>
      <c r="AD300" s="132">
        <f t="shared" ref="AD300" si="898">IF($Q300="B", (H300*$N300),0)</f>
        <v>0</v>
      </c>
      <c r="AE300" s="132">
        <f t="shared" ref="AE300" si="899">IF($Q300="B", (I300*$N300),0)</f>
        <v>0</v>
      </c>
      <c r="AF300" s="132">
        <f t="shared" ref="AF300" si="900">IF($Q300="B", (J300*$N300),0)</f>
        <v>0</v>
      </c>
      <c r="AG300" s="132">
        <f t="shared" ref="AG300" si="901">IF($Q300="B", (K300*$N300),0)</f>
        <v>0</v>
      </c>
      <c r="AH300" s="234">
        <f>IF($Q300="B", (F300*$N300),0)</f>
        <v>0</v>
      </c>
      <c r="AI300" s="235"/>
      <c r="AJ300" s="132"/>
      <c r="AK300" s="132"/>
      <c r="AL300" s="166"/>
      <c r="AM300" s="131">
        <f t="shared" ref="AM300" si="902">IF($Q300="C", (G300*$N300),0)</f>
        <v>0</v>
      </c>
      <c r="AN300" s="132">
        <f t="shared" ref="AN300" si="903">IF($Q300="C", (H300*$N300),0)</f>
        <v>0</v>
      </c>
      <c r="AO300" s="132">
        <f t="shared" ref="AO300" si="904">IF($Q300="C", (I300*$N300),0)</f>
        <v>0</v>
      </c>
      <c r="AP300" s="132">
        <f t="shared" ref="AP300" si="905">IF($Q300="C", (J300*$N300),0)</f>
        <v>40</v>
      </c>
      <c r="AQ300" s="132">
        <f t="shared" ref="AQ300" si="906">IF($Q300="C", (K300*$N300),0)</f>
        <v>0</v>
      </c>
      <c r="AR300" s="132">
        <f>IF($Q300="C", (F300*$N300),0)</f>
        <v>0</v>
      </c>
      <c r="AS300" s="235"/>
    </row>
    <row r="301" spans="1:45" s="20" customFormat="1">
      <c r="A301" s="46" t="s">
        <v>379</v>
      </c>
      <c r="B301" s="20" t="s">
        <v>7</v>
      </c>
      <c r="C301" s="165">
        <v>200</v>
      </c>
      <c r="D301" s="96" t="s">
        <v>39</v>
      </c>
      <c r="E301" s="166">
        <v>8</v>
      </c>
      <c r="F301" s="167">
        <f>E301*C301</f>
        <v>1600</v>
      </c>
      <c r="G301" s="168">
        <v>60</v>
      </c>
      <c r="H301" s="168">
        <v>16</v>
      </c>
      <c r="I301" s="168">
        <v>0</v>
      </c>
      <c r="J301" s="168">
        <v>0</v>
      </c>
      <c r="K301" s="169">
        <v>0</v>
      </c>
      <c r="L301" s="96" t="s">
        <v>8</v>
      </c>
      <c r="M301" s="166">
        <f>IF(R301="PD",((Shop*G301)+(M_Tech*H301)+(CMM*I301)+(ENG*J301)+(DES*K301))*N301,((Shop_RD*G301)+(MTECH_RD*H301)+(CMM_RD*I301)+(ENG_RD*J301)+(DES_RD*K301))*N301)</f>
        <v>7639.92</v>
      </c>
      <c r="N301" s="92">
        <v>1</v>
      </c>
      <c r="O301" s="170">
        <f>M301+(F301*N301)</f>
        <v>9239.92</v>
      </c>
      <c r="P301" s="170"/>
      <c r="Q301" s="52" t="s">
        <v>48</v>
      </c>
      <c r="R301" s="71" t="s">
        <v>77</v>
      </c>
      <c r="S301" s="137" t="str">
        <f>CONCATENATE(Q301,R301,AB301)</f>
        <v>CPD2012</v>
      </c>
      <c r="T301" s="137" t="str">
        <f>CONCATENATE(Q301,U301,AB301)</f>
        <v>C1.5.1.2.12012</v>
      </c>
      <c r="U301" s="137" t="s">
        <v>214</v>
      </c>
      <c r="V301" s="137" t="str">
        <f>LOOKUP(U301,$B$539:$B$574,$A$539:$A$574)</f>
        <v>Pixel Insertion Tube</v>
      </c>
      <c r="AB301" s="33">
        <v>2012</v>
      </c>
      <c r="AC301" s="132">
        <f t="shared" si="887"/>
        <v>0</v>
      </c>
      <c r="AD301" s="132">
        <f t="shared" si="888"/>
        <v>0</v>
      </c>
      <c r="AE301" s="132">
        <f t="shared" si="889"/>
        <v>0</v>
      </c>
      <c r="AF301" s="132">
        <f t="shared" si="890"/>
        <v>0</v>
      </c>
      <c r="AG301" s="132">
        <f t="shared" si="891"/>
        <v>0</v>
      </c>
      <c r="AH301" s="234">
        <f>IF($Q301="B", (F301*$N301),0)</f>
        <v>0</v>
      </c>
      <c r="AI301" s="235"/>
      <c r="AJ301" s="132"/>
      <c r="AK301" s="132"/>
      <c r="AL301" s="166"/>
      <c r="AM301" s="131">
        <f t="shared" si="892"/>
        <v>60</v>
      </c>
      <c r="AN301" s="132">
        <f t="shared" si="893"/>
        <v>16</v>
      </c>
      <c r="AO301" s="132">
        <f t="shared" si="894"/>
        <v>0</v>
      </c>
      <c r="AP301" s="132">
        <f t="shared" si="895"/>
        <v>0</v>
      </c>
      <c r="AQ301" s="132">
        <f t="shared" si="896"/>
        <v>0</v>
      </c>
      <c r="AR301" s="132">
        <f>IF($Q301="C", (F301*$N301),0)</f>
        <v>1600</v>
      </c>
      <c r="AS301" s="235"/>
    </row>
    <row r="302" spans="1:45" s="20" customFormat="1">
      <c r="A302" s="47" t="s">
        <v>381</v>
      </c>
      <c r="C302" s="165"/>
      <c r="D302" s="96"/>
      <c r="E302" s="57"/>
      <c r="F302" s="58"/>
      <c r="G302" s="59"/>
      <c r="H302" s="59"/>
      <c r="I302" s="59"/>
      <c r="J302" s="59"/>
      <c r="K302" s="60"/>
      <c r="L302" s="217" t="s">
        <v>66</v>
      </c>
      <c r="M302" s="177">
        <f>SUMIF(Q298:Q301,"B",M298:M301)</f>
        <v>12499.920000000002</v>
      </c>
      <c r="N302" s="65" t="s">
        <v>65</v>
      </c>
      <c r="O302" s="170"/>
      <c r="P302" s="170"/>
      <c r="Q302" s="52"/>
      <c r="R302" s="71"/>
      <c r="S302" s="137"/>
      <c r="T302" s="137"/>
      <c r="U302" s="137"/>
      <c r="V302" s="137"/>
      <c r="AB302" s="33"/>
      <c r="AC302" s="132"/>
      <c r="AD302" s="132"/>
      <c r="AE302" s="135"/>
      <c r="AF302" s="132"/>
      <c r="AG302" s="132"/>
      <c r="AH302" s="234"/>
      <c r="AI302" s="235"/>
      <c r="AJ302" s="132"/>
      <c r="AK302" s="132"/>
      <c r="AL302" s="166"/>
      <c r="AM302" s="131"/>
      <c r="AN302" s="132"/>
      <c r="AO302" s="132"/>
      <c r="AP302" s="132"/>
      <c r="AQ302" s="132"/>
      <c r="AR302" s="132"/>
      <c r="AS302" s="235"/>
    </row>
    <row r="303" spans="1:45" s="20" customFormat="1">
      <c r="A303" s="46" t="s">
        <v>378</v>
      </c>
      <c r="B303" s="20" t="s">
        <v>7</v>
      </c>
      <c r="C303" s="165">
        <v>200</v>
      </c>
      <c r="D303" s="96" t="s">
        <v>39</v>
      </c>
      <c r="E303" s="166">
        <v>8</v>
      </c>
      <c r="F303" s="167">
        <f>E303*C303</f>
        <v>1600</v>
      </c>
      <c r="G303" s="168">
        <v>60</v>
      </c>
      <c r="H303" s="168">
        <v>16</v>
      </c>
      <c r="I303" s="168">
        <v>0</v>
      </c>
      <c r="J303" s="168">
        <v>0</v>
      </c>
      <c r="K303" s="169">
        <v>0</v>
      </c>
      <c r="L303" s="96" t="s">
        <v>8</v>
      </c>
      <c r="M303" s="166">
        <f>IF(R303="PD",((Shop*G303)+(M_Tech*H303)+(CMM*I303)+(ENG*J303)+(DES*K303))*N303,((Shop_RD*G303)+(MTECH_RD*H303)+(CMM_RD*I303)+(ENG_RD*J303)+(DES_RD*K303))*N303)</f>
        <v>7639.92</v>
      </c>
      <c r="N303" s="92">
        <v>1</v>
      </c>
      <c r="O303" s="170">
        <f>M303+(F303*N303)</f>
        <v>9239.92</v>
      </c>
      <c r="P303" s="170"/>
      <c r="Q303" s="52" t="s">
        <v>47</v>
      </c>
      <c r="R303" s="71" t="s">
        <v>77</v>
      </c>
      <c r="S303" s="137" t="str">
        <f>CONCATENATE(Q303,R303,AB303)</f>
        <v>BPD2012</v>
      </c>
      <c r="T303" s="137" t="str">
        <f>CONCATENATE(Q303,U303,AB303)</f>
        <v>B1.5.1.2.12012</v>
      </c>
      <c r="U303" s="137" t="s">
        <v>214</v>
      </c>
      <c r="V303" s="137" t="str">
        <f>LOOKUP(U303,$B$539:$B$574,$A$539:$A$574)</f>
        <v>Pixel Insertion Tube</v>
      </c>
      <c r="AB303" s="33">
        <v>2012</v>
      </c>
      <c r="AC303" s="132">
        <f t="shared" ref="AC303" si="907">IF($Q303="B", (G303*$N303),0)</f>
        <v>60</v>
      </c>
      <c r="AD303" s="132">
        <f t="shared" ref="AD303" si="908">IF($Q303="B", (H303*$N303),0)</f>
        <v>16</v>
      </c>
      <c r="AE303" s="132">
        <f t="shared" ref="AE303" si="909">IF($Q303="B", (I303*$N303),0)</f>
        <v>0</v>
      </c>
      <c r="AF303" s="132">
        <f t="shared" ref="AF303" si="910">IF($Q303="B", (J303*$N303),0)</f>
        <v>0</v>
      </c>
      <c r="AG303" s="132">
        <f t="shared" ref="AG303" si="911">IF($Q303="B", (K303*$N303),0)</f>
        <v>0</v>
      </c>
      <c r="AH303" s="234">
        <f>IF($Q303="B", (F303*$N303),0)</f>
        <v>1600</v>
      </c>
      <c r="AI303" s="235"/>
      <c r="AJ303" s="132"/>
      <c r="AK303" s="132"/>
      <c r="AL303" s="166"/>
      <c r="AM303" s="131">
        <f t="shared" ref="AM303" si="912">IF($Q303="C", (G303*$N303),0)</f>
        <v>0</v>
      </c>
      <c r="AN303" s="132">
        <f t="shared" ref="AN303" si="913">IF($Q303="C", (H303*$N303),0)</f>
        <v>0</v>
      </c>
      <c r="AO303" s="132">
        <f t="shared" ref="AO303" si="914">IF($Q303="C", (I303*$N303),0)</f>
        <v>0</v>
      </c>
      <c r="AP303" s="132">
        <f t="shared" ref="AP303" si="915">IF($Q303="C", (J303*$N303),0)</f>
        <v>0</v>
      </c>
      <c r="AQ303" s="132">
        <f t="shared" ref="AQ303" si="916">IF($Q303="C", (K303*$N303),0)</f>
        <v>0</v>
      </c>
      <c r="AR303" s="132">
        <f>IF($Q303="C", (F303*$N303),0)</f>
        <v>0</v>
      </c>
      <c r="AS303" s="235"/>
    </row>
    <row r="304" spans="1:45" s="20" customFormat="1">
      <c r="A304" s="47" t="s">
        <v>330</v>
      </c>
      <c r="C304" s="165"/>
      <c r="D304" s="96"/>
      <c r="E304" s="57"/>
      <c r="F304" s="58"/>
      <c r="G304" s="59"/>
      <c r="H304" s="59"/>
      <c r="I304" s="59"/>
      <c r="J304" s="59"/>
      <c r="K304" s="60"/>
      <c r="L304" s="217" t="s">
        <v>66</v>
      </c>
      <c r="M304" s="177">
        <f>SUMIF(Q303,"B",M303)</f>
        <v>7639.92</v>
      </c>
      <c r="N304" s="65" t="s">
        <v>65</v>
      </c>
      <c r="O304" s="170"/>
      <c r="P304" s="170"/>
      <c r="Q304" s="52"/>
      <c r="R304" s="71"/>
      <c r="S304" s="137"/>
      <c r="T304" s="137"/>
      <c r="U304" s="137"/>
      <c r="V304" s="137"/>
      <c r="AB304" s="33"/>
      <c r="AC304" s="132"/>
      <c r="AD304" s="132"/>
      <c r="AE304" s="135"/>
      <c r="AF304" s="132"/>
      <c r="AG304" s="132"/>
      <c r="AH304" s="234"/>
      <c r="AI304" s="235"/>
      <c r="AJ304" s="132"/>
      <c r="AK304" s="132"/>
      <c r="AL304" s="166"/>
      <c r="AM304" s="131"/>
      <c r="AN304" s="132"/>
      <c r="AO304" s="132"/>
      <c r="AP304" s="132"/>
      <c r="AQ304" s="132"/>
      <c r="AR304" s="132"/>
      <c r="AS304" s="235"/>
    </row>
    <row r="305" spans="1:45" s="20" customFormat="1">
      <c r="A305" s="46" t="s">
        <v>351</v>
      </c>
      <c r="B305" s="20" t="s">
        <v>57</v>
      </c>
      <c r="C305" s="165">
        <v>1</v>
      </c>
      <c r="D305" s="96" t="s">
        <v>9</v>
      </c>
      <c r="E305" s="166">
        <v>500</v>
      </c>
      <c r="F305" s="167">
        <f t="shared" ref="F305:F308" si="917">E305*C305</f>
        <v>500</v>
      </c>
      <c r="G305" s="168">
        <v>0</v>
      </c>
      <c r="H305" s="168">
        <v>4</v>
      </c>
      <c r="I305" s="168">
        <v>0</v>
      </c>
      <c r="J305" s="168">
        <v>0</v>
      </c>
      <c r="K305" s="169">
        <v>0</v>
      </c>
      <c r="L305" s="96" t="s">
        <v>8</v>
      </c>
      <c r="M305" s="166">
        <f t="shared" ref="M305:M308" si="918">IF(R305="PD",((Shop*G305)+(M_Tech*H305)+(CMM*I305)+(ENG*J305)+(DES*K305))*N305,((Shop_RD*G305)+(MTECH_RD*H305)+(CMM_RD*I305)+(ENG_RD*J305)+(DES_RD*K305))*N305)</f>
        <v>379.08000000000004</v>
      </c>
      <c r="N305" s="92">
        <v>1</v>
      </c>
      <c r="O305" s="170">
        <f t="shared" ref="O305:O308" si="919">M305+(F305*N305)</f>
        <v>879.08</v>
      </c>
      <c r="P305" s="170"/>
      <c r="Q305" s="52" t="s">
        <v>47</v>
      </c>
      <c r="R305" s="71" t="s">
        <v>77</v>
      </c>
      <c r="S305" s="137" t="str">
        <f t="shared" ref="S305:S308" si="920">CONCATENATE(Q305,R305,AB305)</f>
        <v>BPD2012</v>
      </c>
      <c r="T305" s="137" t="str">
        <f t="shared" ref="T305:T308" si="921">CONCATENATE(Q305,U305,AB305)</f>
        <v>B1.5.1.2.12012</v>
      </c>
      <c r="U305" s="137" t="s">
        <v>214</v>
      </c>
      <c r="V305" s="137" t="str">
        <f>LOOKUP(U305,$B$539:$B$574,$A$539:$A$574)</f>
        <v>Pixel Insertion Tube</v>
      </c>
      <c r="AB305" s="33">
        <v>2012</v>
      </c>
      <c r="AC305" s="132">
        <f t="shared" ref="AC305:AC308" si="922">IF($Q305="B", (G305*$N305),0)</f>
        <v>0</v>
      </c>
      <c r="AD305" s="132">
        <f t="shared" ref="AD305:AD308" si="923">IF($Q305="B", (H305*$N305),0)</f>
        <v>4</v>
      </c>
      <c r="AE305" s="132">
        <f t="shared" ref="AE305:AE308" si="924">IF($Q305="B", (I305*$N305),0)</f>
        <v>0</v>
      </c>
      <c r="AF305" s="132">
        <f t="shared" ref="AF305:AF308" si="925">IF($Q305="B", (J305*$N305),0)</f>
        <v>0</v>
      </c>
      <c r="AG305" s="132">
        <f t="shared" ref="AG305:AG308" si="926">IF($Q305="B", (K305*$N305),0)</f>
        <v>0</v>
      </c>
      <c r="AH305" s="234">
        <f t="shared" ref="AH305:AH308" si="927">IF($Q305="B", (F305*$N305),0)</f>
        <v>500</v>
      </c>
      <c r="AI305" s="235"/>
      <c r="AJ305" s="132"/>
      <c r="AK305" s="132"/>
      <c r="AL305" s="166"/>
      <c r="AM305" s="131">
        <f t="shared" ref="AM305:AM308" si="928">IF($Q305="C", (G305*$N305),0)</f>
        <v>0</v>
      </c>
      <c r="AN305" s="132">
        <f t="shared" ref="AN305:AN308" si="929">IF($Q305="C", (H305*$N305),0)</f>
        <v>0</v>
      </c>
      <c r="AO305" s="132">
        <f t="shared" ref="AO305:AO308" si="930">IF($Q305="C", (I305*$N305),0)</f>
        <v>0</v>
      </c>
      <c r="AP305" s="132">
        <f t="shared" ref="AP305:AP308" si="931">IF($Q305="C", (J305*$N305),0)</f>
        <v>0</v>
      </c>
      <c r="AQ305" s="132">
        <f t="shared" ref="AQ305:AQ308" si="932">IF($Q305="C", (K305*$N305),0)</f>
        <v>0</v>
      </c>
      <c r="AR305" s="132">
        <f t="shared" ref="AR305:AR308" si="933">IF($Q305="C", (F305*$N305),0)</f>
        <v>0</v>
      </c>
      <c r="AS305" s="235"/>
    </row>
    <row r="306" spans="1:45" s="20" customFormat="1">
      <c r="A306" s="46" t="s">
        <v>351</v>
      </c>
      <c r="B306" s="20" t="s">
        <v>57</v>
      </c>
      <c r="C306" s="165">
        <v>1</v>
      </c>
      <c r="D306" s="96" t="s">
        <v>9</v>
      </c>
      <c r="E306" s="166">
        <v>500</v>
      </c>
      <c r="F306" s="167">
        <f t="shared" ref="F306:F307" si="934">E306*C306</f>
        <v>500</v>
      </c>
      <c r="G306" s="168">
        <v>0</v>
      </c>
      <c r="H306" s="168">
        <v>4</v>
      </c>
      <c r="I306" s="168">
        <v>0</v>
      </c>
      <c r="J306" s="168">
        <v>0</v>
      </c>
      <c r="K306" s="169">
        <v>0</v>
      </c>
      <c r="L306" s="96" t="s">
        <v>8</v>
      </c>
      <c r="M306" s="166">
        <f t="shared" ref="M306:M307" si="935">IF(R306="PD",((Shop*G306)+(M_Tech*H306)+(CMM*I306)+(ENG*J306)+(DES*K306))*N306,((Shop_RD*G306)+(MTECH_RD*H306)+(CMM_RD*I306)+(ENG_RD*J306)+(DES_RD*K306))*N306)</f>
        <v>758.16000000000008</v>
      </c>
      <c r="N306" s="92">
        <v>2</v>
      </c>
      <c r="O306" s="170">
        <f t="shared" ref="O306:O307" si="936">M306+(F306*N306)</f>
        <v>1758.16</v>
      </c>
      <c r="P306" s="170"/>
      <c r="Q306" s="52" t="s">
        <v>47</v>
      </c>
      <c r="R306" s="71" t="s">
        <v>77</v>
      </c>
      <c r="S306" s="137" t="str">
        <f t="shared" ref="S306:S307" si="937">CONCATENATE(Q306,R306,AB306)</f>
        <v>BPD2013</v>
      </c>
      <c r="T306" s="137" t="str">
        <f t="shared" ref="T306:T307" si="938">CONCATENATE(Q306,U306,AB306)</f>
        <v>B1.5.1.2.12013</v>
      </c>
      <c r="U306" s="137" t="s">
        <v>214</v>
      </c>
      <c r="V306" s="137" t="str">
        <f>LOOKUP(U306,$B$539:$B$574,$A$539:$A$574)</f>
        <v>Pixel Insertion Tube</v>
      </c>
      <c r="AB306" s="33">
        <v>2013</v>
      </c>
      <c r="AC306" s="132">
        <f t="shared" ref="AC306:AC307" si="939">IF($Q306="B", (G306*$N306),0)</f>
        <v>0</v>
      </c>
      <c r="AD306" s="132">
        <f t="shared" ref="AD306:AD307" si="940">IF($Q306="B", (H306*$N306),0)</f>
        <v>8</v>
      </c>
      <c r="AE306" s="132">
        <f t="shared" ref="AE306:AE307" si="941">IF($Q306="B", (I306*$N306),0)</f>
        <v>0</v>
      </c>
      <c r="AF306" s="132">
        <f t="shared" ref="AF306:AF307" si="942">IF($Q306="B", (J306*$N306),0)</f>
        <v>0</v>
      </c>
      <c r="AG306" s="132">
        <f t="shared" ref="AG306:AG307" si="943">IF($Q306="B", (K306*$N306),0)</f>
        <v>0</v>
      </c>
      <c r="AH306" s="234">
        <f t="shared" ref="AH306:AH307" si="944">IF($Q306="B", (F306*$N306),0)</f>
        <v>1000</v>
      </c>
      <c r="AI306" s="235"/>
      <c r="AJ306" s="132"/>
      <c r="AK306" s="132"/>
      <c r="AL306" s="166"/>
      <c r="AM306" s="131">
        <f t="shared" ref="AM306:AM307" si="945">IF($Q306="C", (G306*$N306),0)</f>
        <v>0</v>
      </c>
      <c r="AN306" s="132">
        <f t="shared" ref="AN306:AN307" si="946">IF($Q306="C", (H306*$N306),0)</f>
        <v>0</v>
      </c>
      <c r="AO306" s="132">
        <f t="shared" ref="AO306:AO307" si="947">IF($Q306="C", (I306*$N306),0)</f>
        <v>0</v>
      </c>
      <c r="AP306" s="132">
        <f t="shared" ref="AP306:AP307" si="948">IF($Q306="C", (J306*$N306),0)</f>
        <v>0</v>
      </c>
      <c r="AQ306" s="132">
        <f t="shared" ref="AQ306:AQ307" si="949">IF($Q306="C", (K306*$N306),0)</f>
        <v>0</v>
      </c>
      <c r="AR306" s="132">
        <f t="shared" ref="AR306:AR307" si="950">IF($Q306="C", (F306*$N306),0)</f>
        <v>0</v>
      </c>
      <c r="AS306" s="235"/>
    </row>
    <row r="307" spans="1:45" s="20" customFormat="1">
      <c r="A307" s="46" t="s">
        <v>278</v>
      </c>
      <c r="B307" s="20" t="s">
        <v>7</v>
      </c>
      <c r="C307" s="165">
        <v>0.1</v>
      </c>
      <c r="D307" s="96" t="s">
        <v>39</v>
      </c>
      <c r="E307" s="166">
        <v>8</v>
      </c>
      <c r="F307" s="167">
        <f t="shared" si="934"/>
        <v>0.8</v>
      </c>
      <c r="G307" s="168">
        <v>0.2</v>
      </c>
      <c r="H307" s="168">
        <v>0</v>
      </c>
      <c r="I307" s="168">
        <v>0</v>
      </c>
      <c r="J307" s="168">
        <v>0</v>
      </c>
      <c r="K307" s="169">
        <v>0</v>
      </c>
      <c r="L307" s="96" t="s">
        <v>8</v>
      </c>
      <c r="M307" s="166">
        <f t="shared" si="935"/>
        <v>1020.6000000000001</v>
      </c>
      <c r="N307" s="92">
        <v>50</v>
      </c>
      <c r="O307" s="170">
        <f t="shared" si="936"/>
        <v>1060.6000000000001</v>
      </c>
      <c r="P307" s="170"/>
      <c r="Q307" s="52" t="s">
        <v>47</v>
      </c>
      <c r="R307" s="71" t="s">
        <v>77</v>
      </c>
      <c r="S307" s="137" t="str">
        <f t="shared" si="937"/>
        <v>BPD2012</v>
      </c>
      <c r="T307" s="137" t="str">
        <f t="shared" si="938"/>
        <v>B1.5.1.2.12012</v>
      </c>
      <c r="U307" s="137" t="s">
        <v>214</v>
      </c>
      <c r="V307" s="137" t="str">
        <f>LOOKUP(U307,$B$539:$B$574,$A$539:$A$574)</f>
        <v>Pixel Insertion Tube</v>
      </c>
      <c r="AB307" s="33">
        <v>2012</v>
      </c>
      <c r="AC307" s="132">
        <f t="shared" si="939"/>
        <v>10</v>
      </c>
      <c r="AD307" s="132">
        <f t="shared" si="940"/>
        <v>0</v>
      </c>
      <c r="AE307" s="132">
        <f t="shared" si="941"/>
        <v>0</v>
      </c>
      <c r="AF307" s="132">
        <f t="shared" si="942"/>
        <v>0</v>
      </c>
      <c r="AG307" s="132">
        <f t="shared" si="943"/>
        <v>0</v>
      </c>
      <c r="AH307" s="234">
        <f t="shared" si="944"/>
        <v>40</v>
      </c>
      <c r="AI307" s="235"/>
      <c r="AJ307" s="132"/>
      <c r="AK307" s="132"/>
      <c r="AL307" s="166"/>
      <c r="AM307" s="131">
        <f t="shared" si="945"/>
        <v>0</v>
      </c>
      <c r="AN307" s="132">
        <f t="shared" si="946"/>
        <v>0</v>
      </c>
      <c r="AO307" s="132">
        <f t="shared" si="947"/>
        <v>0</v>
      </c>
      <c r="AP307" s="132">
        <f t="shared" si="948"/>
        <v>0</v>
      </c>
      <c r="AQ307" s="132">
        <f t="shared" si="949"/>
        <v>0</v>
      </c>
      <c r="AR307" s="132">
        <f t="shared" si="950"/>
        <v>0</v>
      </c>
      <c r="AS307" s="235"/>
    </row>
    <row r="308" spans="1:45" s="20" customFormat="1">
      <c r="A308" s="46" t="s">
        <v>278</v>
      </c>
      <c r="B308" s="20" t="s">
        <v>7</v>
      </c>
      <c r="C308" s="165">
        <v>0.1</v>
      </c>
      <c r="D308" s="96" t="s">
        <v>39</v>
      </c>
      <c r="E308" s="166">
        <v>8</v>
      </c>
      <c r="F308" s="167">
        <f t="shared" si="917"/>
        <v>0.8</v>
      </c>
      <c r="G308" s="168">
        <v>0.2</v>
      </c>
      <c r="H308" s="168">
        <v>0</v>
      </c>
      <c r="I308" s="168">
        <v>0</v>
      </c>
      <c r="J308" s="168">
        <v>0</v>
      </c>
      <c r="K308" s="169">
        <v>0</v>
      </c>
      <c r="L308" s="96" t="s">
        <v>8</v>
      </c>
      <c r="M308" s="166">
        <f t="shared" si="918"/>
        <v>1020.6000000000001</v>
      </c>
      <c r="N308" s="92">
        <v>50</v>
      </c>
      <c r="O308" s="170">
        <f t="shared" si="919"/>
        <v>1060.6000000000001</v>
      </c>
      <c r="P308" s="170"/>
      <c r="Q308" s="52" t="s">
        <v>47</v>
      </c>
      <c r="R308" s="71" t="s">
        <v>77</v>
      </c>
      <c r="S308" s="137" t="str">
        <f t="shared" si="920"/>
        <v>BPD2013</v>
      </c>
      <c r="T308" s="137" t="str">
        <f t="shared" si="921"/>
        <v>B1.5.1.2.12013</v>
      </c>
      <c r="U308" s="137" t="s">
        <v>214</v>
      </c>
      <c r="V308" s="137" t="str">
        <f>LOOKUP(U308,$B$539:$B$574,$A$539:$A$574)</f>
        <v>Pixel Insertion Tube</v>
      </c>
      <c r="AB308" s="33">
        <v>2013</v>
      </c>
      <c r="AC308" s="132">
        <f t="shared" si="922"/>
        <v>10</v>
      </c>
      <c r="AD308" s="132">
        <f t="shared" si="923"/>
        <v>0</v>
      </c>
      <c r="AE308" s="132">
        <f t="shared" si="924"/>
        <v>0</v>
      </c>
      <c r="AF308" s="132">
        <f t="shared" si="925"/>
        <v>0</v>
      </c>
      <c r="AG308" s="132">
        <f t="shared" si="926"/>
        <v>0</v>
      </c>
      <c r="AH308" s="234">
        <f t="shared" si="927"/>
        <v>40</v>
      </c>
      <c r="AI308" s="235"/>
      <c r="AJ308" s="132"/>
      <c r="AK308" s="132"/>
      <c r="AL308" s="166"/>
      <c r="AM308" s="131">
        <f t="shared" si="928"/>
        <v>0</v>
      </c>
      <c r="AN308" s="132">
        <f t="shared" si="929"/>
        <v>0</v>
      </c>
      <c r="AO308" s="132">
        <f t="shared" si="930"/>
        <v>0</v>
      </c>
      <c r="AP308" s="132">
        <f t="shared" si="931"/>
        <v>0</v>
      </c>
      <c r="AQ308" s="132">
        <f t="shared" si="932"/>
        <v>0</v>
      </c>
      <c r="AR308" s="132">
        <f t="shared" si="933"/>
        <v>0</v>
      </c>
      <c r="AS308" s="235"/>
    </row>
    <row r="309" spans="1:45" s="20" customFormat="1">
      <c r="A309" s="47" t="s">
        <v>371</v>
      </c>
      <c r="C309" s="165"/>
      <c r="D309" s="96"/>
      <c r="E309" s="57"/>
      <c r="F309" s="58"/>
      <c r="G309" s="59"/>
      <c r="H309" s="59"/>
      <c r="I309" s="59"/>
      <c r="J309" s="59"/>
      <c r="K309" s="60"/>
      <c r="L309" s="217" t="s">
        <v>66</v>
      </c>
      <c r="M309" s="177">
        <f>SUMIF(Q305:Q308,"B",M305:M308)</f>
        <v>3178.4400000000005</v>
      </c>
      <c r="N309" s="65" t="s">
        <v>65</v>
      </c>
      <c r="O309" s="170"/>
      <c r="P309" s="170"/>
      <c r="Q309" s="52"/>
      <c r="R309" s="71"/>
      <c r="S309" s="137"/>
      <c r="T309" s="137"/>
      <c r="U309" s="137"/>
      <c r="V309" s="137"/>
      <c r="AB309" s="33"/>
      <c r="AC309" s="132"/>
      <c r="AD309" s="132"/>
      <c r="AE309" s="135"/>
      <c r="AF309" s="132"/>
      <c r="AG309" s="132"/>
      <c r="AH309" s="234"/>
      <c r="AI309" s="235"/>
      <c r="AJ309" s="132"/>
      <c r="AK309" s="132"/>
      <c r="AL309" s="166"/>
      <c r="AM309" s="131"/>
      <c r="AN309" s="132"/>
      <c r="AO309" s="132"/>
      <c r="AP309" s="132"/>
      <c r="AQ309" s="132"/>
      <c r="AR309" s="132"/>
      <c r="AS309" s="235"/>
    </row>
    <row r="310" spans="1:45" s="20" customFormat="1">
      <c r="A310" s="46" t="s">
        <v>355</v>
      </c>
      <c r="B310" s="20" t="s">
        <v>34</v>
      </c>
      <c r="C310" s="165">
        <v>0.03</v>
      </c>
      <c r="D310" s="96" t="s">
        <v>9</v>
      </c>
      <c r="E310" s="166">
        <v>0</v>
      </c>
      <c r="F310" s="167">
        <f t="shared" ref="F310:F312" si="951">E310*C310</f>
        <v>0</v>
      </c>
      <c r="G310" s="168">
        <v>0</v>
      </c>
      <c r="H310" s="168">
        <v>0</v>
      </c>
      <c r="I310" s="168">
        <v>0</v>
      </c>
      <c r="J310" s="168">
        <v>24</v>
      </c>
      <c r="K310" s="169">
        <v>0</v>
      </c>
      <c r="L310" s="96" t="s">
        <v>8</v>
      </c>
      <c r="M310" s="166">
        <f t="shared" ref="M310:M312" si="952">IF(R310="PD",((Shop*G310)+(M_Tech*H310)+(CMM*I310)+(ENG*J310)+(DES*K310))*N310,((Shop_RD*G310)+(MTECH_RD*H310)+(CMM_RD*I310)+(ENG_RD*J310)+(DES_RD*K310))*N310)</f>
        <v>2916.0000000000005</v>
      </c>
      <c r="N310" s="92">
        <v>1</v>
      </c>
      <c r="O310" s="170">
        <f t="shared" ref="O310:O312" si="953">M310+(F310*N310)</f>
        <v>2916.0000000000005</v>
      </c>
      <c r="P310" s="170"/>
      <c r="Q310" s="52" t="s">
        <v>47</v>
      </c>
      <c r="R310" s="71" t="s">
        <v>77</v>
      </c>
      <c r="S310" s="137" t="str">
        <f t="shared" ref="S310:S312" si="954">CONCATENATE(Q310,R310,AB310)</f>
        <v>BPD2012</v>
      </c>
      <c r="T310" s="137" t="str">
        <f t="shared" ref="T310:T312" si="955">CONCATENATE(Q310,U310,AB310)</f>
        <v>B1.5.1.2.12012</v>
      </c>
      <c r="U310" s="137" t="s">
        <v>214</v>
      </c>
      <c r="V310" s="137" t="str">
        <f>LOOKUP(U310,$B$539:$B$574,$A$539:$A$574)</f>
        <v>Pixel Insertion Tube</v>
      </c>
      <c r="AB310" s="33">
        <v>2012</v>
      </c>
      <c r="AC310" s="132">
        <f t="shared" ref="AC310:AC312" si="956">IF($Q310="B", (G310*$N310),0)</f>
        <v>0</v>
      </c>
      <c r="AD310" s="132">
        <f t="shared" ref="AD310:AD312" si="957">IF($Q310="B", (H310*$N310),0)</f>
        <v>0</v>
      </c>
      <c r="AE310" s="132">
        <f t="shared" ref="AE310:AE312" si="958">IF($Q310="B", (I310*$N310),0)</f>
        <v>0</v>
      </c>
      <c r="AF310" s="132">
        <f t="shared" ref="AF310:AF312" si="959">IF($Q310="B", (J310*$N310),0)</f>
        <v>24</v>
      </c>
      <c r="AG310" s="132">
        <f t="shared" ref="AG310:AG312" si="960">IF($Q310="B", (K310*$N310),0)</f>
        <v>0</v>
      </c>
      <c r="AH310" s="234">
        <f t="shared" ref="AH310:AH312" si="961">IF($Q310="B", (F310*$N310),0)</f>
        <v>0</v>
      </c>
      <c r="AI310" s="235"/>
      <c r="AJ310" s="132"/>
      <c r="AK310" s="132"/>
      <c r="AL310" s="166"/>
      <c r="AM310" s="131">
        <f t="shared" ref="AM310:AM312" si="962">IF($Q310="C", (G310*$N310),0)</f>
        <v>0</v>
      </c>
      <c r="AN310" s="132">
        <f t="shared" ref="AN310:AN312" si="963">IF($Q310="C", (H310*$N310),0)</f>
        <v>0</v>
      </c>
      <c r="AO310" s="132">
        <f t="shared" ref="AO310:AO312" si="964">IF($Q310="C", (I310*$N310),0)</f>
        <v>0</v>
      </c>
      <c r="AP310" s="132">
        <f t="shared" ref="AP310:AP312" si="965">IF($Q310="C", (J310*$N310),0)</f>
        <v>0</v>
      </c>
      <c r="AQ310" s="132">
        <f t="shared" ref="AQ310:AQ312" si="966">IF($Q310="C", (K310*$N310),0)</f>
        <v>0</v>
      </c>
      <c r="AR310" s="132">
        <f t="shared" ref="AR310:AR312" si="967">IF($Q310="C", (F310*$N310),0)</f>
        <v>0</v>
      </c>
      <c r="AS310" s="235"/>
    </row>
    <row r="311" spans="1:45" s="20" customFormat="1">
      <c r="A311" s="46" t="s">
        <v>353</v>
      </c>
      <c r="B311" s="20" t="s">
        <v>94</v>
      </c>
      <c r="C311" s="165">
        <v>200</v>
      </c>
      <c r="D311" s="96" t="s">
        <v>39</v>
      </c>
      <c r="E311" s="166">
        <v>4</v>
      </c>
      <c r="F311" s="167">
        <f t="shared" si="951"/>
        <v>800</v>
      </c>
      <c r="G311" s="168">
        <v>40</v>
      </c>
      <c r="H311" s="168">
        <v>0</v>
      </c>
      <c r="I311" s="168">
        <v>0</v>
      </c>
      <c r="J311" s="168">
        <v>0</v>
      </c>
      <c r="K311" s="169">
        <v>0</v>
      </c>
      <c r="L311" s="96" t="s">
        <v>8</v>
      </c>
      <c r="M311" s="166">
        <f t="shared" si="952"/>
        <v>4082.4</v>
      </c>
      <c r="N311" s="92">
        <v>1</v>
      </c>
      <c r="O311" s="170">
        <f t="shared" si="953"/>
        <v>4882.3999999999996</v>
      </c>
      <c r="P311" s="170"/>
      <c r="Q311" s="52" t="s">
        <v>47</v>
      </c>
      <c r="R311" s="71" t="s">
        <v>77</v>
      </c>
      <c r="S311" s="137" t="str">
        <f t="shared" si="954"/>
        <v>BPD2012</v>
      </c>
      <c r="T311" s="137" t="str">
        <f t="shared" si="955"/>
        <v>B1.5.1.2.12012</v>
      </c>
      <c r="U311" s="137" t="s">
        <v>214</v>
      </c>
      <c r="V311" s="137" t="str">
        <f>LOOKUP(U311,$B$539:$B$574,$A$539:$A$574)</f>
        <v>Pixel Insertion Tube</v>
      </c>
      <c r="AB311" s="33">
        <v>2012</v>
      </c>
      <c r="AC311" s="132">
        <f t="shared" si="956"/>
        <v>40</v>
      </c>
      <c r="AD311" s="132">
        <f t="shared" si="957"/>
        <v>0</v>
      </c>
      <c r="AE311" s="132">
        <f t="shared" si="958"/>
        <v>0</v>
      </c>
      <c r="AF311" s="132">
        <f t="shared" si="959"/>
        <v>0</v>
      </c>
      <c r="AG311" s="132">
        <f t="shared" si="960"/>
        <v>0</v>
      </c>
      <c r="AH311" s="234">
        <f t="shared" si="961"/>
        <v>800</v>
      </c>
      <c r="AI311" s="235"/>
      <c r="AJ311" s="132"/>
      <c r="AK311" s="132"/>
      <c r="AL311" s="166"/>
      <c r="AM311" s="131">
        <f t="shared" si="962"/>
        <v>0</v>
      </c>
      <c r="AN311" s="132">
        <f t="shared" si="963"/>
        <v>0</v>
      </c>
      <c r="AO311" s="132">
        <f t="shared" si="964"/>
        <v>0</v>
      </c>
      <c r="AP311" s="132">
        <f t="shared" si="965"/>
        <v>0</v>
      </c>
      <c r="AQ311" s="132">
        <f t="shared" si="966"/>
        <v>0</v>
      </c>
      <c r="AR311" s="132">
        <f t="shared" si="967"/>
        <v>0</v>
      </c>
      <c r="AS311" s="235"/>
    </row>
    <row r="312" spans="1:45" s="20" customFormat="1">
      <c r="A312" s="46" t="s">
        <v>334</v>
      </c>
      <c r="B312" s="20" t="s">
        <v>34</v>
      </c>
      <c r="C312" s="165">
        <v>0</v>
      </c>
      <c r="D312" s="96" t="s">
        <v>9</v>
      </c>
      <c r="E312" s="166">
        <v>0</v>
      </c>
      <c r="F312" s="167">
        <f t="shared" si="951"/>
        <v>0</v>
      </c>
      <c r="G312" s="168">
        <v>0</v>
      </c>
      <c r="H312" s="168">
        <v>40</v>
      </c>
      <c r="I312" s="168">
        <v>8</v>
      </c>
      <c r="J312" s="168">
        <v>8</v>
      </c>
      <c r="K312" s="169">
        <v>0</v>
      </c>
      <c r="L312" s="96" t="s">
        <v>8</v>
      </c>
      <c r="M312" s="166">
        <f t="shared" si="952"/>
        <v>5579.2800000000007</v>
      </c>
      <c r="N312" s="92">
        <v>1</v>
      </c>
      <c r="O312" s="170">
        <f t="shared" si="953"/>
        <v>5579.2800000000007</v>
      </c>
      <c r="P312" s="170"/>
      <c r="Q312" s="52" t="s">
        <v>47</v>
      </c>
      <c r="R312" s="71" t="s">
        <v>77</v>
      </c>
      <c r="S312" s="137" t="str">
        <f t="shared" si="954"/>
        <v>BPD2012</v>
      </c>
      <c r="T312" s="137" t="str">
        <f t="shared" si="955"/>
        <v>B1.5.1.2.12012</v>
      </c>
      <c r="U312" s="137" t="s">
        <v>214</v>
      </c>
      <c r="V312" s="137" t="str">
        <f>LOOKUP(U312,$B$539:$B$574,$A$539:$A$574)</f>
        <v>Pixel Insertion Tube</v>
      </c>
      <c r="AB312" s="33">
        <v>2012</v>
      </c>
      <c r="AC312" s="132">
        <f t="shared" si="956"/>
        <v>0</v>
      </c>
      <c r="AD312" s="132">
        <f t="shared" si="957"/>
        <v>40</v>
      </c>
      <c r="AE312" s="132">
        <f t="shared" si="958"/>
        <v>8</v>
      </c>
      <c r="AF312" s="132">
        <f t="shared" si="959"/>
        <v>8</v>
      </c>
      <c r="AG312" s="132">
        <f t="shared" si="960"/>
        <v>0</v>
      </c>
      <c r="AH312" s="234">
        <f t="shared" si="961"/>
        <v>0</v>
      </c>
      <c r="AI312" s="235"/>
      <c r="AJ312" s="132"/>
      <c r="AK312" s="132"/>
      <c r="AL312" s="166"/>
      <c r="AM312" s="131">
        <f t="shared" si="962"/>
        <v>0</v>
      </c>
      <c r="AN312" s="132">
        <f t="shared" si="963"/>
        <v>0</v>
      </c>
      <c r="AO312" s="132">
        <f t="shared" si="964"/>
        <v>0</v>
      </c>
      <c r="AP312" s="132">
        <f t="shared" si="965"/>
        <v>0</v>
      </c>
      <c r="AQ312" s="132">
        <f t="shared" si="966"/>
        <v>0</v>
      </c>
      <c r="AR312" s="132">
        <f t="shared" si="967"/>
        <v>0</v>
      </c>
      <c r="AS312" s="235"/>
    </row>
    <row r="313" spans="1:45" s="20" customFormat="1">
      <c r="A313" s="47" t="s">
        <v>383</v>
      </c>
      <c r="C313" s="165"/>
      <c r="D313" s="96"/>
      <c r="E313" s="57"/>
      <c r="F313" s="58"/>
      <c r="G313" s="59"/>
      <c r="H313" s="59"/>
      <c r="I313" s="59"/>
      <c r="J313" s="59"/>
      <c r="K313" s="60"/>
      <c r="L313" s="217" t="s">
        <v>66</v>
      </c>
      <c r="M313" s="177">
        <f>SUMIF(Q310:Q312,"B",M310:M312)</f>
        <v>12577.68</v>
      </c>
      <c r="N313" s="65" t="s">
        <v>65</v>
      </c>
      <c r="O313" s="170"/>
      <c r="P313" s="170"/>
      <c r="Q313" s="52"/>
      <c r="R313" s="71"/>
      <c r="S313" s="137"/>
      <c r="T313" s="137"/>
      <c r="U313" s="137"/>
      <c r="V313" s="137"/>
      <c r="AB313" s="33"/>
      <c r="AC313" s="132"/>
      <c r="AD313" s="132"/>
      <c r="AE313" s="135"/>
      <c r="AF313" s="132"/>
      <c r="AG313" s="132"/>
      <c r="AH313" s="234"/>
      <c r="AI313" s="235"/>
      <c r="AJ313" s="132"/>
      <c r="AK313" s="132"/>
      <c r="AL313" s="166"/>
      <c r="AM313" s="131"/>
      <c r="AN313" s="132"/>
      <c r="AO313" s="132"/>
      <c r="AP313" s="132"/>
      <c r="AQ313" s="132"/>
      <c r="AR313" s="132"/>
      <c r="AS313" s="235"/>
    </row>
    <row r="314" spans="1:45" s="20" customFormat="1">
      <c r="A314" s="46" t="s">
        <v>340</v>
      </c>
      <c r="B314" s="20" t="s">
        <v>34</v>
      </c>
      <c r="C314" s="165">
        <v>0</v>
      </c>
      <c r="D314" s="96" t="s">
        <v>9</v>
      </c>
      <c r="E314" s="166">
        <v>0</v>
      </c>
      <c r="F314" s="167">
        <f t="shared" ref="F314:F319" si="968">E314*C314</f>
        <v>0</v>
      </c>
      <c r="G314" s="168">
        <v>0</v>
      </c>
      <c r="H314" s="168">
        <v>24</v>
      </c>
      <c r="I314" s="168">
        <v>0</v>
      </c>
      <c r="J314" s="168">
        <v>0</v>
      </c>
      <c r="K314" s="169">
        <v>0</v>
      </c>
      <c r="L314" s="96" t="s">
        <v>8</v>
      </c>
      <c r="M314" s="166">
        <f t="shared" ref="M314:M319" si="969">IF(R314="PD",((Shop*G314)+(M_Tech*H314)+(CMM*I314)+(ENG*J314)+(DES*K314))*N314,((Shop_RD*G314)+(MTECH_RD*H314)+(CMM_RD*I314)+(ENG_RD*J314)+(DES_RD*K314))*N314)</f>
        <v>2274.4800000000005</v>
      </c>
      <c r="N314" s="92">
        <v>1</v>
      </c>
      <c r="O314" s="170">
        <f t="shared" ref="O314:O319" si="970">M314+(F314*N314)</f>
        <v>2274.4800000000005</v>
      </c>
      <c r="P314" s="170"/>
      <c r="Q314" s="52" t="s">
        <v>47</v>
      </c>
      <c r="R314" s="71" t="s">
        <v>77</v>
      </c>
      <c r="S314" s="137" t="str">
        <f t="shared" ref="S314:S319" si="971">CONCATENATE(Q314,R314,AB314)</f>
        <v>BPD2012</v>
      </c>
      <c r="T314" s="137" t="str">
        <f t="shared" ref="T314:T319" si="972">CONCATENATE(Q314,U314,AB314)</f>
        <v>B1.5.1.2.12012</v>
      </c>
      <c r="U314" s="137" t="s">
        <v>214</v>
      </c>
      <c r="V314" s="137" t="str">
        <f t="shared" ref="V314:V319" si="973">LOOKUP(U314,$B$539:$B$574,$A$539:$A$574)</f>
        <v>Pixel Insertion Tube</v>
      </c>
      <c r="AB314" s="33">
        <v>2012</v>
      </c>
      <c r="AC314" s="132">
        <f t="shared" ref="AC314:AC319" si="974">IF($Q314="B", (G314*$N314),0)</f>
        <v>0</v>
      </c>
      <c r="AD314" s="132">
        <f t="shared" ref="AD314:AD319" si="975">IF($Q314="B", (H314*$N314),0)</f>
        <v>24</v>
      </c>
      <c r="AE314" s="132">
        <f t="shared" ref="AE314:AE319" si="976">IF($Q314="B", (I314*$N314),0)</f>
        <v>0</v>
      </c>
      <c r="AF314" s="132">
        <f t="shared" ref="AF314:AF319" si="977">IF($Q314="B", (J314*$N314),0)</f>
        <v>0</v>
      </c>
      <c r="AG314" s="132">
        <f t="shared" ref="AG314:AG319" si="978">IF($Q314="B", (K314*$N314),0)</f>
        <v>0</v>
      </c>
      <c r="AH314" s="234">
        <f t="shared" ref="AH314:AH319" si="979">IF($Q314="B", (F314*$N314),0)</f>
        <v>0</v>
      </c>
      <c r="AI314" s="235"/>
      <c r="AJ314" s="132"/>
      <c r="AK314" s="132"/>
      <c r="AL314" s="166"/>
      <c r="AM314" s="131">
        <f t="shared" ref="AM314:AM319" si="980">IF($Q314="C", (G314*$N314),0)</f>
        <v>0</v>
      </c>
      <c r="AN314" s="132">
        <f t="shared" ref="AN314:AN319" si="981">IF($Q314="C", (H314*$N314),0)</f>
        <v>0</v>
      </c>
      <c r="AO314" s="132">
        <f t="shared" ref="AO314:AO319" si="982">IF($Q314="C", (I314*$N314),0)</f>
        <v>0</v>
      </c>
      <c r="AP314" s="132">
        <f t="shared" ref="AP314:AP319" si="983">IF($Q314="C", (J314*$N314),0)</f>
        <v>0</v>
      </c>
      <c r="AQ314" s="132">
        <f t="shared" ref="AQ314:AQ319" si="984">IF($Q314="C", (K314*$N314),0)</f>
        <v>0</v>
      </c>
      <c r="AR314" s="132">
        <f t="shared" ref="AR314:AR319" si="985">IF($Q314="C", (F314*$N314),0)</f>
        <v>0</v>
      </c>
      <c r="AS314" s="235"/>
    </row>
    <row r="315" spans="1:45" s="20" customFormat="1">
      <c r="A315" s="46" t="s">
        <v>341</v>
      </c>
      <c r="B315" s="20" t="s">
        <v>34</v>
      </c>
      <c r="C315" s="165">
        <v>0</v>
      </c>
      <c r="D315" s="96" t="s">
        <v>9</v>
      </c>
      <c r="E315" s="166">
        <v>0</v>
      </c>
      <c r="F315" s="167">
        <f t="shared" si="968"/>
        <v>0</v>
      </c>
      <c r="G315" s="168">
        <v>0</v>
      </c>
      <c r="H315" s="168">
        <v>24</v>
      </c>
      <c r="I315" s="168">
        <v>0</v>
      </c>
      <c r="J315" s="168">
        <v>0</v>
      </c>
      <c r="K315" s="169">
        <v>0</v>
      </c>
      <c r="L315" s="96" t="s">
        <v>8</v>
      </c>
      <c r="M315" s="166">
        <f t="shared" si="969"/>
        <v>2274.4800000000005</v>
      </c>
      <c r="N315" s="92">
        <v>1</v>
      </c>
      <c r="O315" s="170">
        <f t="shared" si="970"/>
        <v>2274.4800000000005</v>
      </c>
      <c r="P315" s="170"/>
      <c r="Q315" s="52" t="s">
        <v>47</v>
      </c>
      <c r="R315" s="71" t="s">
        <v>77</v>
      </c>
      <c r="S315" s="137" t="str">
        <f t="shared" si="971"/>
        <v>BPD2012</v>
      </c>
      <c r="T315" s="137" t="str">
        <f t="shared" si="972"/>
        <v>B1.5.1.2.12012</v>
      </c>
      <c r="U315" s="137" t="s">
        <v>214</v>
      </c>
      <c r="V315" s="137" t="str">
        <f t="shared" si="973"/>
        <v>Pixel Insertion Tube</v>
      </c>
      <c r="AB315" s="33">
        <v>2012</v>
      </c>
      <c r="AC315" s="132">
        <f t="shared" si="974"/>
        <v>0</v>
      </c>
      <c r="AD315" s="132">
        <f t="shared" si="975"/>
        <v>24</v>
      </c>
      <c r="AE315" s="132">
        <f t="shared" si="976"/>
        <v>0</v>
      </c>
      <c r="AF315" s="132">
        <f t="shared" si="977"/>
        <v>0</v>
      </c>
      <c r="AG315" s="132">
        <f t="shared" si="978"/>
        <v>0</v>
      </c>
      <c r="AH315" s="234">
        <f t="shared" si="979"/>
        <v>0</v>
      </c>
      <c r="AI315" s="235"/>
      <c r="AJ315" s="132"/>
      <c r="AK315" s="132"/>
      <c r="AL315" s="166"/>
      <c r="AM315" s="131">
        <f t="shared" si="980"/>
        <v>0</v>
      </c>
      <c r="AN315" s="132">
        <f t="shared" si="981"/>
        <v>0</v>
      </c>
      <c r="AO315" s="132">
        <f t="shared" si="982"/>
        <v>0</v>
      </c>
      <c r="AP315" s="132">
        <f t="shared" si="983"/>
        <v>0</v>
      </c>
      <c r="AQ315" s="132">
        <f t="shared" si="984"/>
        <v>0</v>
      </c>
      <c r="AR315" s="132">
        <f t="shared" si="985"/>
        <v>0</v>
      </c>
      <c r="AS315" s="235"/>
    </row>
    <row r="316" spans="1:45" s="20" customFormat="1">
      <c r="A316" s="46" t="s">
        <v>382</v>
      </c>
      <c r="B316" s="20" t="s">
        <v>34</v>
      </c>
      <c r="C316" s="165">
        <v>0</v>
      </c>
      <c r="D316" s="96" t="s">
        <v>9</v>
      </c>
      <c r="E316" s="166">
        <v>0</v>
      </c>
      <c r="F316" s="167">
        <f t="shared" si="968"/>
        <v>0</v>
      </c>
      <c r="G316" s="168">
        <v>0</v>
      </c>
      <c r="H316" s="168">
        <v>24</v>
      </c>
      <c r="I316" s="168">
        <v>8</v>
      </c>
      <c r="J316" s="168">
        <v>8</v>
      </c>
      <c r="K316" s="169">
        <v>0</v>
      </c>
      <c r="L316" s="96" t="s">
        <v>8</v>
      </c>
      <c r="M316" s="166">
        <f t="shared" si="969"/>
        <v>4062.9600000000005</v>
      </c>
      <c r="N316" s="92">
        <v>1</v>
      </c>
      <c r="O316" s="170">
        <f t="shared" si="970"/>
        <v>4062.9600000000005</v>
      </c>
      <c r="P316" s="170"/>
      <c r="Q316" s="52" t="s">
        <v>47</v>
      </c>
      <c r="R316" s="71" t="s">
        <v>77</v>
      </c>
      <c r="S316" s="137" t="str">
        <f t="shared" si="971"/>
        <v>BPD2012</v>
      </c>
      <c r="T316" s="137" t="str">
        <f t="shared" si="972"/>
        <v>B1.5.1.2.12012</v>
      </c>
      <c r="U316" s="137" t="s">
        <v>214</v>
      </c>
      <c r="V316" s="137" t="str">
        <f t="shared" si="973"/>
        <v>Pixel Insertion Tube</v>
      </c>
      <c r="AB316" s="33">
        <v>2012</v>
      </c>
      <c r="AC316" s="132">
        <f t="shared" si="974"/>
        <v>0</v>
      </c>
      <c r="AD316" s="132">
        <f t="shared" si="975"/>
        <v>24</v>
      </c>
      <c r="AE316" s="132">
        <f t="shared" si="976"/>
        <v>8</v>
      </c>
      <c r="AF316" s="132">
        <f t="shared" si="977"/>
        <v>8</v>
      </c>
      <c r="AG316" s="132">
        <f t="shared" si="978"/>
        <v>0</v>
      </c>
      <c r="AH316" s="234">
        <f t="shared" si="979"/>
        <v>0</v>
      </c>
      <c r="AI316" s="235"/>
      <c r="AJ316" s="132"/>
      <c r="AK316" s="132"/>
      <c r="AL316" s="166"/>
      <c r="AM316" s="131">
        <f t="shared" si="980"/>
        <v>0</v>
      </c>
      <c r="AN316" s="132">
        <f t="shared" si="981"/>
        <v>0</v>
      </c>
      <c r="AO316" s="132">
        <f t="shared" si="982"/>
        <v>0</v>
      </c>
      <c r="AP316" s="132">
        <f t="shared" si="983"/>
        <v>0</v>
      </c>
      <c r="AQ316" s="132">
        <f t="shared" si="984"/>
        <v>0</v>
      </c>
      <c r="AR316" s="132">
        <f t="shared" si="985"/>
        <v>0</v>
      </c>
      <c r="AS316" s="235"/>
    </row>
    <row r="317" spans="1:45" s="20" customFormat="1">
      <c r="A317" s="46" t="s">
        <v>340</v>
      </c>
      <c r="B317" s="20" t="s">
        <v>34</v>
      </c>
      <c r="C317" s="165">
        <v>0</v>
      </c>
      <c r="D317" s="96" t="s">
        <v>9</v>
      </c>
      <c r="E317" s="166">
        <v>0</v>
      </c>
      <c r="F317" s="167">
        <f t="shared" si="968"/>
        <v>0</v>
      </c>
      <c r="G317" s="168">
        <v>0</v>
      </c>
      <c r="H317" s="168">
        <v>24</v>
      </c>
      <c r="I317" s="168">
        <v>0</v>
      </c>
      <c r="J317" s="168">
        <v>0</v>
      </c>
      <c r="K317" s="169">
        <v>0</v>
      </c>
      <c r="L317" s="96" t="s">
        <v>8</v>
      </c>
      <c r="M317" s="166">
        <f t="shared" si="969"/>
        <v>2274.4800000000005</v>
      </c>
      <c r="N317" s="92">
        <v>1</v>
      </c>
      <c r="O317" s="170">
        <f t="shared" si="970"/>
        <v>2274.4800000000005</v>
      </c>
      <c r="P317" s="170"/>
      <c r="Q317" s="52" t="s">
        <v>48</v>
      </c>
      <c r="R317" s="71" t="s">
        <v>77</v>
      </c>
      <c r="S317" s="137" t="str">
        <f t="shared" si="971"/>
        <v>CPD2012</v>
      </c>
      <c r="T317" s="137" t="str">
        <f t="shared" si="972"/>
        <v>C1.5.1.2.12012</v>
      </c>
      <c r="U317" s="137" t="s">
        <v>214</v>
      </c>
      <c r="V317" s="137" t="str">
        <f t="shared" si="973"/>
        <v>Pixel Insertion Tube</v>
      </c>
      <c r="AB317" s="33">
        <v>2012</v>
      </c>
      <c r="AC317" s="132">
        <f t="shared" si="974"/>
        <v>0</v>
      </c>
      <c r="AD317" s="132">
        <f t="shared" si="975"/>
        <v>0</v>
      </c>
      <c r="AE317" s="132">
        <f t="shared" si="976"/>
        <v>0</v>
      </c>
      <c r="AF317" s="132">
        <f t="shared" si="977"/>
        <v>0</v>
      </c>
      <c r="AG317" s="132">
        <f t="shared" si="978"/>
        <v>0</v>
      </c>
      <c r="AH317" s="234">
        <f t="shared" si="979"/>
        <v>0</v>
      </c>
      <c r="AI317" s="235"/>
      <c r="AJ317" s="132"/>
      <c r="AK317" s="132"/>
      <c r="AL317" s="166"/>
      <c r="AM317" s="131">
        <f t="shared" si="980"/>
        <v>0</v>
      </c>
      <c r="AN317" s="132">
        <f t="shared" si="981"/>
        <v>24</v>
      </c>
      <c r="AO317" s="132">
        <f t="shared" si="982"/>
        <v>0</v>
      </c>
      <c r="AP317" s="132">
        <f t="shared" si="983"/>
        <v>0</v>
      </c>
      <c r="AQ317" s="132">
        <f t="shared" si="984"/>
        <v>0</v>
      </c>
      <c r="AR317" s="132">
        <f t="shared" si="985"/>
        <v>0</v>
      </c>
      <c r="AS317" s="235"/>
    </row>
    <row r="318" spans="1:45" s="20" customFormat="1">
      <c r="A318" s="46" t="s">
        <v>341</v>
      </c>
      <c r="B318" s="20" t="s">
        <v>34</v>
      </c>
      <c r="C318" s="165">
        <v>0</v>
      </c>
      <c r="D318" s="96" t="s">
        <v>9</v>
      </c>
      <c r="E318" s="166">
        <v>0</v>
      </c>
      <c r="F318" s="167">
        <f t="shared" si="968"/>
        <v>0</v>
      </c>
      <c r="G318" s="168">
        <v>0</v>
      </c>
      <c r="H318" s="168">
        <v>24</v>
      </c>
      <c r="I318" s="168">
        <v>0</v>
      </c>
      <c r="J318" s="168">
        <v>0</v>
      </c>
      <c r="K318" s="169">
        <v>0</v>
      </c>
      <c r="L318" s="96" t="s">
        <v>8</v>
      </c>
      <c r="M318" s="166">
        <f t="shared" si="969"/>
        <v>2274.4800000000005</v>
      </c>
      <c r="N318" s="92">
        <v>1</v>
      </c>
      <c r="O318" s="170">
        <f t="shared" si="970"/>
        <v>2274.4800000000005</v>
      </c>
      <c r="P318" s="170"/>
      <c r="Q318" s="52" t="s">
        <v>48</v>
      </c>
      <c r="R318" s="71" t="s">
        <v>77</v>
      </c>
      <c r="S318" s="137" t="str">
        <f t="shared" si="971"/>
        <v>CPD2012</v>
      </c>
      <c r="T318" s="137" t="str">
        <f t="shared" si="972"/>
        <v>C1.5.1.2.12012</v>
      </c>
      <c r="U318" s="137" t="s">
        <v>214</v>
      </c>
      <c r="V318" s="137" t="str">
        <f t="shared" si="973"/>
        <v>Pixel Insertion Tube</v>
      </c>
      <c r="AB318" s="33">
        <v>2012</v>
      </c>
      <c r="AC318" s="132">
        <f t="shared" si="974"/>
        <v>0</v>
      </c>
      <c r="AD318" s="132">
        <f t="shared" si="975"/>
        <v>0</v>
      </c>
      <c r="AE318" s="132">
        <f t="shared" si="976"/>
        <v>0</v>
      </c>
      <c r="AF318" s="132">
        <f t="shared" si="977"/>
        <v>0</v>
      </c>
      <c r="AG318" s="132">
        <f t="shared" si="978"/>
        <v>0</v>
      </c>
      <c r="AH318" s="234">
        <f t="shared" si="979"/>
        <v>0</v>
      </c>
      <c r="AI318" s="235"/>
      <c r="AJ318" s="132"/>
      <c r="AK318" s="132"/>
      <c r="AL318" s="166"/>
      <c r="AM318" s="131">
        <f t="shared" si="980"/>
        <v>0</v>
      </c>
      <c r="AN318" s="132">
        <f t="shared" si="981"/>
        <v>24</v>
      </c>
      <c r="AO318" s="132">
        <f t="shared" si="982"/>
        <v>0</v>
      </c>
      <c r="AP318" s="132">
        <f t="shared" si="983"/>
        <v>0</v>
      </c>
      <c r="AQ318" s="132">
        <f t="shared" si="984"/>
        <v>0</v>
      </c>
      <c r="AR318" s="132">
        <f t="shared" si="985"/>
        <v>0</v>
      </c>
      <c r="AS318" s="235"/>
    </row>
    <row r="319" spans="1:45" s="20" customFormat="1">
      <c r="A319" s="46" t="s">
        <v>382</v>
      </c>
      <c r="B319" s="20" t="s">
        <v>34</v>
      </c>
      <c r="C319" s="165">
        <v>0</v>
      </c>
      <c r="D319" s="96" t="s">
        <v>9</v>
      </c>
      <c r="E319" s="166">
        <v>0</v>
      </c>
      <c r="F319" s="167">
        <f t="shared" si="968"/>
        <v>0</v>
      </c>
      <c r="G319" s="168">
        <v>0</v>
      </c>
      <c r="H319" s="168">
        <v>24</v>
      </c>
      <c r="I319" s="168">
        <v>8</v>
      </c>
      <c r="J319" s="168">
        <v>8</v>
      </c>
      <c r="K319" s="169">
        <v>0</v>
      </c>
      <c r="L319" s="96" t="s">
        <v>8</v>
      </c>
      <c r="M319" s="166">
        <f t="shared" si="969"/>
        <v>4062.9600000000005</v>
      </c>
      <c r="N319" s="92">
        <v>1</v>
      </c>
      <c r="O319" s="170">
        <f t="shared" si="970"/>
        <v>4062.9600000000005</v>
      </c>
      <c r="P319" s="170"/>
      <c r="Q319" s="52" t="s">
        <v>48</v>
      </c>
      <c r="R319" s="71" t="s">
        <v>77</v>
      </c>
      <c r="S319" s="137" t="str">
        <f t="shared" si="971"/>
        <v>CPD2012</v>
      </c>
      <c r="T319" s="137" t="str">
        <f t="shared" si="972"/>
        <v>C1.5.1.2.12012</v>
      </c>
      <c r="U319" s="137" t="s">
        <v>214</v>
      </c>
      <c r="V319" s="137" t="str">
        <f t="shared" si="973"/>
        <v>Pixel Insertion Tube</v>
      </c>
      <c r="AB319" s="33">
        <v>2012</v>
      </c>
      <c r="AC319" s="132">
        <f t="shared" si="974"/>
        <v>0</v>
      </c>
      <c r="AD319" s="132">
        <f t="shared" si="975"/>
        <v>0</v>
      </c>
      <c r="AE319" s="132">
        <f t="shared" si="976"/>
        <v>0</v>
      </c>
      <c r="AF319" s="132">
        <f t="shared" si="977"/>
        <v>0</v>
      </c>
      <c r="AG319" s="132">
        <f t="shared" si="978"/>
        <v>0</v>
      </c>
      <c r="AH319" s="234">
        <f t="shared" si="979"/>
        <v>0</v>
      </c>
      <c r="AI319" s="235"/>
      <c r="AJ319" s="132"/>
      <c r="AK319" s="132"/>
      <c r="AL319" s="166"/>
      <c r="AM319" s="131">
        <f t="shared" si="980"/>
        <v>0</v>
      </c>
      <c r="AN319" s="132">
        <f t="shared" si="981"/>
        <v>24</v>
      </c>
      <c r="AO319" s="132">
        <f t="shared" si="982"/>
        <v>8</v>
      </c>
      <c r="AP319" s="132">
        <f t="shared" si="983"/>
        <v>8</v>
      </c>
      <c r="AQ319" s="132">
        <f t="shared" si="984"/>
        <v>0</v>
      </c>
      <c r="AR319" s="132">
        <f t="shared" si="985"/>
        <v>0</v>
      </c>
      <c r="AS319" s="235"/>
    </row>
    <row r="320" spans="1:45" s="20" customFormat="1">
      <c r="A320" s="47" t="s">
        <v>384</v>
      </c>
      <c r="C320" s="165"/>
      <c r="D320" s="96"/>
      <c r="E320" s="57"/>
      <c r="F320" s="58"/>
      <c r="G320" s="59"/>
      <c r="H320" s="59"/>
      <c r="I320" s="59"/>
      <c r="J320" s="59"/>
      <c r="K320" s="60"/>
      <c r="L320" s="217" t="s">
        <v>66</v>
      </c>
      <c r="M320" s="177">
        <f>SUMIF(Q314:Q319,"B",M314:M319)</f>
        <v>8611.9200000000019</v>
      </c>
      <c r="N320" s="65" t="s">
        <v>65</v>
      </c>
      <c r="O320" s="170"/>
      <c r="P320" s="170"/>
      <c r="Q320" s="52"/>
      <c r="R320" s="71"/>
      <c r="S320" s="137"/>
      <c r="T320" s="137"/>
      <c r="U320" s="137"/>
      <c r="V320" s="137"/>
      <c r="AB320" s="33"/>
      <c r="AC320" s="132"/>
      <c r="AD320" s="132"/>
      <c r="AE320" s="135"/>
      <c r="AF320" s="132"/>
      <c r="AG320" s="132"/>
      <c r="AH320" s="234"/>
      <c r="AI320" s="235"/>
      <c r="AJ320" s="132"/>
      <c r="AK320" s="132"/>
      <c r="AL320" s="166"/>
      <c r="AM320" s="131"/>
      <c r="AN320" s="132"/>
      <c r="AO320" s="132"/>
      <c r="AP320" s="132"/>
      <c r="AQ320" s="132"/>
      <c r="AR320" s="132"/>
      <c r="AS320" s="235"/>
    </row>
    <row r="321" spans="1:45" s="20" customFormat="1">
      <c r="A321" s="46" t="s">
        <v>340</v>
      </c>
      <c r="B321" s="20" t="s">
        <v>34</v>
      </c>
      <c r="C321" s="165">
        <v>0</v>
      </c>
      <c r="D321" s="96" t="s">
        <v>9</v>
      </c>
      <c r="E321" s="166">
        <v>0</v>
      </c>
      <c r="F321" s="167">
        <f t="shared" ref="F321:F326" si="986">E321*C321</f>
        <v>0</v>
      </c>
      <c r="G321" s="168">
        <v>0</v>
      </c>
      <c r="H321" s="168">
        <v>24</v>
      </c>
      <c r="I321" s="168">
        <v>0</v>
      </c>
      <c r="J321" s="168">
        <v>0</v>
      </c>
      <c r="K321" s="169">
        <v>0</v>
      </c>
      <c r="L321" s="96" t="s">
        <v>8</v>
      </c>
      <c r="M321" s="166">
        <f t="shared" ref="M321:M326" si="987">IF(R321="PD",((Shop*G321)+(M_Tech*H321)+(CMM*I321)+(ENG*J321)+(DES*K321))*N321,((Shop_RD*G321)+(MTECH_RD*H321)+(CMM_RD*I321)+(ENG_RD*J321)+(DES_RD*K321))*N321)</f>
        <v>2274.4800000000005</v>
      </c>
      <c r="N321" s="92">
        <v>1</v>
      </c>
      <c r="O321" s="170">
        <f t="shared" ref="O321:O326" si="988">M321+(F321*N321)</f>
        <v>2274.4800000000005</v>
      </c>
      <c r="P321" s="170"/>
      <c r="Q321" s="52" t="s">
        <v>47</v>
      </c>
      <c r="R321" s="71" t="s">
        <v>77</v>
      </c>
      <c r="S321" s="137" t="str">
        <f t="shared" ref="S321:S326" si="989">CONCATENATE(Q321,R321,AB321)</f>
        <v>BPD2013</v>
      </c>
      <c r="T321" s="137" t="str">
        <f t="shared" ref="T321:T326" si="990">CONCATENATE(Q321,U321,AB321)</f>
        <v>B1.5.1.2.12013</v>
      </c>
      <c r="U321" s="137" t="s">
        <v>214</v>
      </c>
      <c r="V321" s="137" t="str">
        <f t="shared" ref="V321:V326" si="991">LOOKUP(U321,$B$539:$B$574,$A$539:$A$574)</f>
        <v>Pixel Insertion Tube</v>
      </c>
      <c r="AB321" s="33">
        <v>2013</v>
      </c>
      <c r="AC321" s="132">
        <f t="shared" ref="AC321:AC326" si="992">IF($Q321="B", (G321*$N321),0)</f>
        <v>0</v>
      </c>
      <c r="AD321" s="132">
        <f t="shared" ref="AD321:AD326" si="993">IF($Q321="B", (H321*$N321),0)</f>
        <v>24</v>
      </c>
      <c r="AE321" s="132">
        <f t="shared" ref="AE321:AE326" si="994">IF($Q321="B", (I321*$N321),0)</f>
        <v>0</v>
      </c>
      <c r="AF321" s="132">
        <f t="shared" ref="AF321:AF326" si="995">IF($Q321="B", (J321*$N321),0)</f>
        <v>0</v>
      </c>
      <c r="AG321" s="132">
        <f t="shared" ref="AG321:AG326" si="996">IF($Q321="B", (K321*$N321),0)</f>
        <v>0</v>
      </c>
      <c r="AH321" s="234">
        <f t="shared" ref="AH321:AH326" si="997">IF($Q321="B", (F321*$N321),0)</f>
        <v>0</v>
      </c>
      <c r="AI321" s="235"/>
      <c r="AJ321" s="132"/>
      <c r="AK321" s="132"/>
      <c r="AL321" s="166"/>
      <c r="AM321" s="131">
        <f t="shared" ref="AM321:AM326" si="998">IF($Q321="C", (G321*$N321),0)</f>
        <v>0</v>
      </c>
      <c r="AN321" s="132">
        <f t="shared" ref="AN321:AN326" si="999">IF($Q321="C", (H321*$N321),0)</f>
        <v>0</v>
      </c>
      <c r="AO321" s="132">
        <f t="shared" ref="AO321:AO326" si="1000">IF($Q321="C", (I321*$N321),0)</f>
        <v>0</v>
      </c>
      <c r="AP321" s="132">
        <f t="shared" ref="AP321:AP326" si="1001">IF($Q321="C", (J321*$N321),0)</f>
        <v>0</v>
      </c>
      <c r="AQ321" s="132">
        <f t="shared" ref="AQ321:AQ326" si="1002">IF($Q321="C", (K321*$N321),0)</f>
        <v>0</v>
      </c>
      <c r="AR321" s="132">
        <f t="shared" ref="AR321:AR326" si="1003">IF($Q321="C", (F321*$N321),0)</f>
        <v>0</v>
      </c>
      <c r="AS321" s="235"/>
    </row>
    <row r="322" spans="1:45" s="20" customFormat="1">
      <c r="A322" s="46" t="s">
        <v>341</v>
      </c>
      <c r="B322" s="20" t="s">
        <v>34</v>
      </c>
      <c r="C322" s="165">
        <v>0</v>
      </c>
      <c r="D322" s="96" t="s">
        <v>9</v>
      </c>
      <c r="E322" s="166">
        <v>0</v>
      </c>
      <c r="F322" s="167">
        <f t="shared" si="986"/>
        <v>0</v>
      </c>
      <c r="G322" s="168">
        <v>0</v>
      </c>
      <c r="H322" s="168">
        <v>24</v>
      </c>
      <c r="I322" s="168">
        <v>0</v>
      </c>
      <c r="J322" s="168">
        <v>0</v>
      </c>
      <c r="K322" s="169">
        <v>0</v>
      </c>
      <c r="L322" s="96" t="s">
        <v>8</v>
      </c>
      <c r="M322" s="166">
        <f t="shared" si="987"/>
        <v>2274.4800000000005</v>
      </c>
      <c r="N322" s="92">
        <v>1</v>
      </c>
      <c r="O322" s="170">
        <f t="shared" si="988"/>
        <v>2274.4800000000005</v>
      </c>
      <c r="P322" s="170"/>
      <c r="Q322" s="52" t="s">
        <v>47</v>
      </c>
      <c r="R322" s="71" t="s">
        <v>77</v>
      </c>
      <c r="S322" s="137" t="str">
        <f t="shared" si="989"/>
        <v>BPD2013</v>
      </c>
      <c r="T322" s="137" t="str">
        <f t="shared" si="990"/>
        <v>B1.5.1.2.12013</v>
      </c>
      <c r="U322" s="137" t="s">
        <v>214</v>
      </c>
      <c r="V322" s="137" t="str">
        <f t="shared" si="991"/>
        <v>Pixel Insertion Tube</v>
      </c>
      <c r="AB322" s="33">
        <v>2013</v>
      </c>
      <c r="AC322" s="132">
        <f t="shared" si="992"/>
        <v>0</v>
      </c>
      <c r="AD322" s="132">
        <f t="shared" si="993"/>
        <v>24</v>
      </c>
      <c r="AE322" s="132">
        <f t="shared" si="994"/>
        <v>0</v>
      </c>
      <c r="AF322" s="132">
        <f t="shared" si="995"/>
        <v>0</v>
      </c>
      <c r="AG322" s="132">
        <f t="shared" si="996"/>
        <v>0</v>
      </c>
      <c r="AH322" s="234">
        <f t="shared" si="997"/>
        <v>0</v>
      </c>
      <c r="AI322" s="235"/>
      <c r="AJ322" s="132"/>
      <c r="AK322" s="132"/>
      <c r="AL322" s="166"/>
      <c r="AM322" s="131">
        <f t="shared" si="998"/>
        <v>0</v>
      </c>
      <c r="AN322" s="132">
        <f t="shared" si="999"/>
        <v>0</v>
      </c>
      <c r="AO322" s="132">
        <f t="shared" si="1000"/>
        <v>0</v>
      </c>
      <c r="AP322" s="132">
        <f t="shared" si="1001"/>
        <v>0</v>
      </c>
      <c r="AQ322" s="132">
        <f t="shared" si="1002"/>
        <v>0</v>
      </c>
      <c r="AR322" s="132">
        <f t="shared" si="1003"/>
        <v>0</v>
      </c>
      <c r="AS322" s="235"/>
    </row>
    <row r="323" spans="1:45" s="20" customFormat="1">
      <c r="A323" s="46" t="s">
        <v>382</v>
      </c>
      <c r="B323" s="20" t="s">
        <v>34</v>
      </c>
      <c r="C323" s="165">
        <v>0</v>
      </c>
      <c r="D323" s="96" t="s">
        <v>9</v>
      </c>
      <c r="E323" s="166">
        <v>0</v>
      </c>
      <c r="F323" s="167">
        <f t="shared" si="986"/>
        <v>0</v>
      </c>
      <c r="G323" s="168">
        <v>0</v>
      </c>
      <c r="H323" s="168">
        <v>24</v>
      </c>
      <c r="I323" s="168">
        <v>8</v>
      </c>
      <c r="J323" s="168">
        <v>8</v>
      </c>
      <c r="K323" s="169">
        <v>0</v>
      </c>
      <c r="L323" s="96" t="s">
        <v>8</v>
      </c>
      <c r="M323" s="166">
        <f t="shared" si="987"/>
        <v>4062.9600000000005</v>
      </c>
      <c r="N323" s="92">
        <v>1</v>
      </c>
      <c r="O323" s="170">
        <f t="shared" si="988"/>
        <v>4062.9600000000005</v>
      </c>
      <c r="P323" s="170"/>
      <c r="Q323" s="52" t="s">
        <v>47</v>
      </c>
      <c r="R323" s="71" t="s">
        <v>77</v>
      </c>
      <c r="S323" s="137" t="str">
        <f t="shared" si="989"/>
        <v>BPD2013</v>
      </c>
      <c r="T323" s="137" t="str">
        <f t="shared" si="990"/>
        <v>B1.5.1.2.12013</v>
      </c>
      <c r="U323" s="137" t="s">
        <v>214</v>
      </c>
      <c r="V323" s="137" t="str">
        <f t="shared" si="991"/>
        <v>Pixel Insertion Tube</v>
      </c>
      <c r="AB323" s="33">
        <v>2013</v>
      </c>
      <c r="AC323" s="132">
        <f t="shared" si="992"/>
        <v>0</v>
      </c>
      <c r="AD323" s="132">
        <f t="shared" si="993"/>
        <v>24</v>
      </c>
      <c r="AE323" s="132">
        <f t="shared" si="994"/>
        <v>8</v>
      </c>
      <c r="AF323" s="132">
        <f t="shared" si="995"/>
        <v>8</v>
      </c>
      <c r="AG323" s="132">
        <f t="shared" si="996"/>
        <v>0</v>
      </c>
      <c r="AH323" s="234">
        <f t="shared" si="997"/>
        <v>0</v>
      </c>
      <c r="AI323" s="235"/>
      <c r="AJ323" s="132"/>
      <c r="AK323" s="132"/>
      <c r="AL323" s="166"/>
      <c r="AM323" s="131">
        <f t="shared" si="998"/>
        <v>0</v>
      </c>
      <c r="AN323" s="132">
        <f t="shared" si="999"/>
        <v>0</v>
      </c>
      <c r="AO323" s="132">
        <f t="shared" si="1000"/>
        <v>0</v>
      </c>
      <c r="AP323" s="132">
        <f t="shared" si="1001"/>
        <v>0</v>
      </c>
      <c r="AQ323" s="132">
        <f t="shared" si="1002"/>
        <v>0</v>
      </c>
      <c r="AR323" s="132">
        <f t="shared" si="1003"/>
        <v>0</v>
      </c>
      <c r="AS323" s="235"/>
    </row>
    <row r="324" spans="1:45" s="20" customFormat="1">
      <c r="A324" s="46" t="s">
        <v>340</v>
      </c>
      <c r="B324" s="20" t="s">
        <v>34</v>
      </c>
      <c r="C324" s="165">
        <v>0</v>
      </c>
      <c r="D324" s="96" t="s">
        <v>9</v>
      </c>
      <c r="E324" s="166">
        <v>0</v>
      </c>
      <c r="F324" s="167">
        <f t="shared" si="986"/>
        <v>0</v>
      </c>
      <c r="G324" s="168">
        <v>0</v>
      </c>
      <c r="H324" s="168">
        <v>24</v>
      </c>
      <c r="I324" s="168">
        <v>0</v>
      </c>
      <c r="J324" s="168">
        <v>0</v>
      </c>
      <c r="K324" s="169">
        <v>0</v>
      </c>
      <c r="L324" s="96" t="s">
        <v>8</v>
      </c>
      <c r="M324" s="166">
        <f t="shared" si="987"/>
        <v>2274.4800000000005</v>
      </c>
      <c r="N324" s="92">
        <v>1</v>
      </c>
      <c r="O324" s="170">
        <f t="shared" si="988"/>
        <v>2274.4800000000005</v>
      </c>
      <c r="P324" s="170"/>
      <c r="Q324" s="52" t="s">
        <v>48</v>
      </c>
      <c r="R324" s="71" t="s">
        <v>77</v>
      </c>
      <c r="S324" s="137" t="str">
        <f t="shared" si="989"/>
        <v>CPD2013</v>
      </c>
      <c r="T324" s="137" t="str">
        <f t="shared" si="990"/>
        <v>C1.5.1.2.12013</v>
      </c>
      <c r="U324" s="137" t="s">
        <v>214</v>
      </c>
      <c r="V324" s="137" t="str">
        <f t="shared" si="991"/>
        <v>Pixel Insertion Tube</v>
      </c>
      <c r="AB324" s="33">
        <v>2013</v>
      </c>
      <c r="AC324" s="132">
        <f t="shared" si="992"/>
        <v>0</v>
      </c>
      <c r="AD324" s="132">
        <f t="shared" si="993"/>
        <v>0</v>
      </c>
      <c r="AE324" s="132">
        <f t="shared" si="994"/>
        <v>0</v>
      </c>
      <c r="AF324" s="132">
        <f t="shared" si="995"/>
        <v>0</v>
      </c>
      <c r="AG324" s="132">
        <f t="shared" si="996"/>
        <v>0</v>
      </c>
      <c r="AH324" s="234">
        <f t="shared" si="997"/>
        <v>0</v>
      </c>
      <c r="AI324" s="235"/>
      <c r="AJ324" s="132"/>
      <c r="AK324" s="132"/>
      <c r="AL324" s="166"/>
      <c r="AM324" s="131">
        <f t="shared" si="998"/>
        <v>0</v>
      </c>
      <c r="AN324" s="132">
        <f t="shared" si="999"/>
        <v>24</v>
      </c>
      <c r="AO324" s="132">
        <f t="shared" si="1000"/>
        <v>0</v>
      </c>
      <c r="AP324" s="132">
        <f t="shared" si="1001"/>
        <v>0</v>
      </c>
      <c r="AQ324" s="132">
        <f t="shared" si="1002"/>
        <v>0</v>
      </c>
      <c r="AR324" s="132">
        <f t="shared" si="1003"/>
        <v>0</v>
      </c>
      <c r="AS324" s="235"/>
    </row>
    <row r="325" spans="1:45" s="20" customFormat="1">
      <c r="A325" s="46" t="s">
        <v>341</v>
      </c>
      <c r="B325" s="20" t="s">
        <v>34</v>
      </c>
      <c r="C325" s="165">
        <v>0</v>
      </c>
      <c r="D325" s="96" t="s">
        <v>9</v>
      </c>
      <c r="E325" s="166">
        <v>0</v>
      </c>
      <c r="F325" s="167">
        <f t="shared" si="986"/>
        <v>0</v>
      </c>
      <c r="G325" s="168">
        <v>0</v>
      </c>
      <c r="H325" s="168">
        <v>24</v>
      </c>
      <c r="I325" s="168">
        <v>0</v>
      </c>
      <c r="J325" s="168">
        <v>0</v>
      </c>
      <c r="K325" s="169">
        <v>0</v>
      </c>
      <c r="L325" s="96" t="s">
        <v>8</v>
      </c>
      <c r="M325" s="166">
        <f t="shared" si="987"/>
        <v>2274.4800000000005</v>
      </c>
      <c r="N325" s="92">
        <v>1</v>
      </c>
      <c r="O325" s="170">
        <f t="shared" si="988"/>
        <v>2274.4800000000005</v>
      </c>
      <c r="P325" s="170"/>
      <c r="Q325" s="52" t="s">
        <v>48</v>
      </c>
      <c r="R325" s="71" t="s">
        <v>77</v>
      </c>
      <c r="S325" s="137" t="str">
        <f t="shared" si="989"/>
        <v>CPD2013</v>
      </c>
      <c r="T325" s="137" t="str">
        <f t="shared" si="990"/>
        <v>C1.5.1.2.12013</v>
      </c>
      <c r="U325" s="137" t="s">
        <v>214</v>
      </c>
      <c r="V325" s="137" t="str">
        <f t="shared" si="991"/>
        <v>Pixel Insertion Tube</v>
      </c>
      <c r="AB325" s="33">
        <v>2013</v>
      </c>
      <c r="AC325" s="132">
        <f t="shared" si="992"/>
        <v>0</v>
      </c>
      <c r="AD325" s="132">
        <f t="shared" si="993"/>
        <v>0</v>
      </c>
      <c r="AE325" s="132">
        <f t="shared" si="994"/>
        <v>0</v>
      </c>
      <c r="AF325" s="132">
        <f t="shared" si="995"/>
        <v>0</v>
      </c>
      <c r="AG325" s="132">
        <f t="shared" si="996"/>
        <v>0</v>
      </c>
      <c r="AH325" s="234">
        <f t="shared" si="997"/>
        <v>0</v>
      </c>
      <c r="AI325" s="235"/>
      <c r="AJ325" s="132"/>
      <c r="AK325" s="132"/>
      <c r="AL325" s="166"/>
      <c r="AM325" s="131">
        <f t="shared" si="998"/>
        <v>0</v>
      </c>
      <c r="AN325" s="132">
        <f t="shared" si="999"/>
        <v>24</v>
      </c>
      <c r="AO325" s="132">
        <f t="shared" si="1000"/>
        <v>0</v>
      </c>
      <c r="AP325" s="132">
        <f t="shared" si="1001"/>
        <v>0</v>
      </c>
      <c r="AQ325" s="132">
        <f t="shared" si="1002"/>
        <v>0</v>
      </c>
      <c r="AR325" s="132">
        <f t="shared" si="1003"/>
        <v>0</v>
      </c>
      <c r="AS325" s="235"/>
    </row>
    <row r="326" spans="1:45" s="20" customFormat="1">
      <c r="A326" s="46" t="s">
        <v>382</v>
      </c>
      <c r="B326" s="20" t="s">
        <v>34</v>
      </c>
      <c r="C326" s="165">
        <v>0</v>
      </c>
      <c r="D326" s="96" t="s">
        <v>9</v>
      </c>
      <c r="E326" s="166">
        <v>0</v>
      </c>
      <c r="F326" s="167">
        <f t="shared" si="986"/>
        <v>0</v>
      </c>
      <c r="G326" s="168">
        <v>0</v>
      </c>
      <c r="H326" s="168">
        <v>24</v>
      </c>
      <c r="I326" s="168">
        <v>8</v>
      </c>
      <c r="J326" s="168">
        <v>8</v>
      </c>
      <c r="K326" s="169">
        <v>0</v>
      </c>
      <c r="L326" s="96" t="s">
        <v>8</v>
      </c>
      <c r="M326" s="166">
        <f t="shared" si="987"/>
        <v>4062.9600000000005</v>
      </c>
      <c r="N326" s="92">
        <v>1</v>
      </c>
      <c r="O326" s="170">
        <f t="shared" si="988"/>
        <v>4062.9600000000005</v>
      </c>
      <c r="P326" s="170"/>
      <c r="Q326" s="52" t="s">
        <v>48</v>
      </c>
      <c r="R326" s="71" t="s">
        <v>77</v>
      </c>
      <c r="S326" s="137" t="str">
        <f t="shared" si="989"/>
        <v>CPD2013</v>
      </c>
      <c r="T326" s="137" t="str">
        <f t="shared" si="990"/>
        <v>C1.5.1.2.12013</v>
      </c>
      <c r="U326" s="137" t="s">
        <v>214</v>
      </c>
      <c r="V326" s="137" t="str">
        <f t="shared" si="991"/>
        <v>Pixel Insertion Tube</v>
      </c>
      <c r="AB326" s="33">
        <v>2013</v>
      </c>
      <c r="AC326" s="132">
        <f t="shared" si="992"/>
        <v>0</v>
      </c>
      <c r="AD326" s="132">
        <f t="shared" si="993"/>
        <v>0</v>
      </c>
      <c r="AE326" s="132">
        <f t="shared" si="994"/>
        <v>0</v>
      </c>
      <c r="AF326" s="132">
        <f t="shared" si="995"/>
        <v>0</v>
      </c>
      <c r="AG326" s="132">
        <f t="shared" si="996"/>
        <v>0</v>
      </c>
      <c r="AH326" s="234">
        <f t="shared" si="997"/>
        <v>0</v>
      </c>
      <c r="AI326" s="235"/>
      <c r="AJ326" s="132"/>
      <c r="AK326" s="132"/>
      <c r="AL326" s="166"/>
      <c r="AM326" s="131">
        <f t="shared" si="998"/>
        <v>0</v>
      </c>
      <c r="AN326" s="132">
        <f t="shared" si="999"/>
        <v>24</v>
      </c>
      <c r="AO326" s="132">
        <f t="shared" si="1000"/>
        <v>8</v>
      </c>
      <c r="AP326" s="132">
        <f t="shared" si="1001"/>
        <v>8</v>
      </c>
      <c r="AQ326" s="132">
        <f t="shared" si="1002"/>
        <v>0</v>
      </c>
      <c r="AR326" s="132">
        <f t="shared" si="1003"/>
        <v>0</v>
      </c>
      <c r="AS326" s="235"/>
    </row>
    <row r="327" spans="1:45" s="335" customFormat="1">
      <c r="A327" s="21" t="s">
        <v>385</v>
      </c>
      <c r="B327" s="3"/>
      <c r="C327" s="171"/>
      <c r="D327" s="336"/>
      <c r="E327" s="172"/>
      <c r="F327" s="173"/>
      <c r="G327" s="171"/>
      <c r="H327" s="171"/>
      <c r="I327" s="171"/>
      <c r="J327" s="171"/>
      <c r="K327" s="174"/>
      <c r="L327" s="336"/>
      <c r="M327" s="172">
        <f>SUMIF(Q268:Q326,"B",M268:M326)</f>
        <v>103644.36000000002</v>
      </c>
      <c r="N327" s="456" t="s">
        <v>65</v>
      </c>
      <c r="O327" s="456"/>
      <c r="P327" s="459"/>
      <c r="Q327" s="53"/>
      <c r="R327" s="74"/>
      <c r="S327" s="138"/>
      <c r="T327" s="138"/>
      <c r="U327" s="138"/>
      <c r="V327" s="138"/>
      <c r="W327" s="3"/>
      <c r="X327" s="3"/>
      <c r="Y327" s="3"/>
      <c r="Z327" s="3"/>
      <c r="AA327" s="3"/>
      <c r="AB327" s="34"/>
      <c r="AC327" s="5">
        <f>SUM(AC268:AC326)</f>
        <v>192</v>
      </c>
      <c r="AD327" s="5">
        <f t="shared" ref="AD327:AG327" si="1004">SUM(AD268:AD326)</f>
        <v>620</v>
      </c>
      <c r="AE327" s="5">
        <f t="shared" si="1004"/>
        <v>24</v>
      </c>
      <c r="AF327" s="5">
        <f t="shared" si="1004"/>
        <v>188</v>
      </c>
      <c r="AG327" s="5">
        <f t="shared" si="1004"/>
        <v>0</v>
      </c>
      <c r="AH327" s="172"/>
      <c r="AI327" s="173">
        <f>SUM(AH268:AH326)</f>
        <v>11460</v>
      </c>
      <c r="AJ327" s="172">
        <f>(Shop*AC327)+M_Tech*AD327+CMM*AE327+ENG*AF327+DES*AG327+AI327</f>
        <v>115104.36000000002</v>
      </c>
      <c r="AK327" s="172"/>
      <c r="AL327" s="173">
        <f>Shop*AM327+M_Tech*AN327+CMM*AO327+ENG*AP327+DES*AQ327+AS327</f>
        <v>73037.320000000007</v>
      </c>
      <c r="AM327" s="5">
        <f>SUM(AM268:AM326)</f>
        <v>64</v>
      </c>
      <c r="AN327" s="5">
        <f t="shared" ref="AN327" si="1005">SUM(AN268:AN326)</f>
        <v>476</v>
      </c>
      <c r="AO327" s="5">
        <f t="shared" ref="AO327" si="1006">SUM(AO268:AO326)</f>
        <v>16</v>
      </c>
      <c r="AP327" s="5">
        <f t="shared" ref="AP327" si="1007">SUM(AP268:AP326)</f>
        <v>108</v>
      </c>
      <c r="AQ327" s="5">
        <f t="shared" ref="AQ327" si="1008">SUM(AQ268:AQ326)</f>
        <v>0</v>
      </c>
      <c r="AR327" s="172"/>
      <c r="AS327" s="173">
        <f>SUM(AR268:AR326)</f>
        <v>6640</v>
      </c>
    </row>
    <row r="328" spans="1:45">
      <c r="F328" s="160"/>
      <c r="G328" s="158"/>
      <c r="H328" s="158"/>
      <c r="I328" s="158"/>
      <c r="J328" s="158"/>
      <c r="K328" s="175"/>
      <c r="L328" s="217" t="s">
        <v>66</v>
      </c>
      <c r="M328" s="177">
        <f>SUMIF(Q321:Q326,"B",M321:M326)</f>
        <v>8611.9200000000019</v>
      </c>
      <c r="N328" s="65" t="s">
        <v>65</v>
      </c>
      <c r="O328" s="65"/>
      <c r="P328" s="176"/>
      <c r="Q328" s="52"/>
      <c r="R328" s="71"/>
      <c r="S328" s="137"/>
      <c r="T328" s="137"/>
      <c r="U328" s="137"/>
      <c r="V328" s="137"/>
      <c r="W328"/>
      <c r="X328"/>
      <c r="Y328"/>
      <c r="Z328"/>
      <c r="AA328"/>
      <c r="AB328" s="33"/>
      <c r="AC328" s="4"/>
      <c r="AD328" s="4"/>
      <c r="AE328" s="4"/>
      <c r="AF328" s="4"/>
      <c r="AG328" s="4"/>
      <c r="AH328" s="159"/>
      <c r="AI328" s="239"/>
      <c r="AJ328" s="4"/>
      <c r="AK328" s="4"/>
      <c r="AM328" s="32"/>
      <c r="AN328" s="4"/>
      <c r="AO328" s="4"/>
      <c r="AP328" s="4"/>
      <c r="AQ328" s="4"/>
      <c r="AR328" s="4"/>
      <c r="AS328" s="239"/>
    </row>
    <row r="329" spans="1:45" s="20" customFormat="1" ht="15.75">
      <c r="A329" s="49" t="s">
        <v>247</v>
      </c>
      <c r="C329" s="165"/>
      <c r="D329" s="96"/>
      <c r="E329" s="166"/>
      <c r="F329" s="167"/>
      <c r="G329" s="168"/>
      <c r="H329" s="168"/>
      <c r="I329" s="168"/>
      <c r="J329" s="168"/>
      <c r="K329" s="169"/>
      <c r="L329" s="217" t="s">
        <v>66</v>
      </c>
      <c r="M329" s="177">
        <f>SUMIF(Q324:Q327,"B",M324:M327)</f>
        <v>0</v>
      </c>
      <c r="N329" s="65" t="s">
        <v>65</v>
      </c>
      <c r="O329" s="170"/>
      <c r="P329" s="170"/>
      <c r="Q329" s="52"/>
      <c r="R329" s="71"/>
      <c r="S329" s="137"/>
      <c r="T329" s="137"/>
      <c r="U329" s="137"/>
      <c r="V329" s="137"/>
      <c r="AB329" s="33"/>
      <c r="AC329" s="132"/>
      <c r="AD329" s="132"/>
      <c r="AE329" s="132"/>
      <c r="AF329" s="132"/>
      <c r="AG329" s="132"/>
      <c r="AH329" s="234"/>
      <c r="AI329" s="235"/>
      <c r="AJ329" s="132"/>
      <c r="AK329" s="132"/>
      <c r="AL329" s="166"/>
      <c r="AM329" s="131"/>
      <c r="AN329" s="132"/>
      <c r="AO329" s="132"/>
      <c r="AP329" s="132"/>
      <c r="AQ329" s="132"/>
      <c r="AR329" s="132"/>
      <c r="AS329" s="235"/>
    </row>
    <row r="330" spans="1:45" s="20" customFormat="1">
      <c r="A330" s="47" t="s">
        <v>248</v>
      </c>
      <c r="C330" s="165"/>
      <c r="D330" s="96"/>
      <c r="E330" s="57"/>
      <c r="F330" s="58"/>
      <c r="G330" s="59"/>
      <c r="H330" s="59"/>
      <c r="I330" s="59"/>
      <c r="J330" s="59"/>
      <c r="K330" s="60"/>
      <c r="L330" s="217"/>
      <c r="M330" s="177"/>
      <c r="N330" s="65" t="s">
        <v>279</v>
      </c>
      <c r="O330" s="170"/>
      <c r="P330" s="170"/>
      <c r="Q330" s="52"/>
      <c r="R330" s="71"/>
      <c r="S330" s="137"/>
      <c r="T330" s="137"/>
      <c r="U330" s="137"/>
      <c r="V330" s="137"/>
      <c r="AB330" s="33"/>
      <c r="AC330" s="132"/>
      <c r="AD330" s="132"/>
      <c r="AE330" s="135"/>
      <c r="AF330" s="132"/>
      <c r="AG330" s="132"/>
      <c r="AH330" s="234"/>
      <c r="AI330" s="235"/>
      <c r="AJ330" s="132"/>
      <c r="AK330" s="132"/>
      <c r="AL330" s="166"/>
      <c r="AM330" s="131"/>
      <c r="AN330" s="132"/>
      <c r="AO330" s="132"/>
      <c r="AP330" s="132"/>
      <c r="AQ330" s="132"/>
      <c r="AR330" s="132"/>
      <c r="AS330" s="235"/>
    </row>
    <row r="331" spans="1:45" s="20" customFormat="1">
      <c r="A331" s="46" t="s">
        <v>388</v>
      </c>
      <c r="B331" s="20" t="s">
        <v>34</v>
      </c>
      <c r="C331" s="165">
        <v>0.03</v>
      </c>
      <c r="D331" s="96" t="s">
        <v>9</v>
      </c>
      <c r="E331" s="166">
        <v>0</v>
      </c>
      <c r="F331" s="167">
        <f t="shared" ref="F331:F336" si="1009">E331*C331</f>
        <v>0</v>
      </c>
      <c r="G331" s="168">
        <v>0</v>
      </c>
      <c r="H331" s="168">
        <v>0</v>
      </c>
      <c r="I331" s="168">
        <v>0</v>
      </c>
      <c r="J331" s="168">
        <v>120</v>
      </c>
      <c r="K331" s="169">
        <v>0</v>
      </c>
      <c r="L331" s="96" t="s">
        <v>8</v>
      </c>
      <c r="M331" s="166">
        <f t="shared" ref="M331:M336" si="1010">IF(R331="PD",((Shop*G331)+(M_Tech*H331)+(CMM*I331)+(ENG*J331)+(DES*K331))*N331,((Shop_RD*G331)+(MTECH_RD*H331)+(CMM_RD*I331)+(ENG_RD*J331)+(DES_RD*K331))*N331)</f>
        <v>14580.000000000002</v>
      </c>
      <c r="N331" s="92">
        <v>1</v>
      </c>
      <c r="O331" s="170">
        <f t="shared" ref="O331:O336" si="1011">M331+(F331*N331)</f>
        <v>14580.000000000002</v>
      </c>
      <c r="P331" s="170"/>
      <c r="Q331" s="52" t="s">
        <v>47</v>
      </c>
      <c r="R331" s="71" t="s">
        <v>77</v>
      </c>
      <c r="S331" s="137" t="str">
        <f t="shared" ref="S331:S336" si="1012">CONCATENATE(Q331,R331,AB331)</f>
        <v>BPDSTAR</v>
      </c>
      <c r="T331" s="137" t="str">
        <f t="shared" ref="T331:T336" si="1013">CONCATENATE(Q331,U331,AB331)</f>
        <v>B1.5.1.3STAR</v>
      </c>
      <c r="U331" s="137" t="s">
        <v>218</v>
      </c>
      <c r="V331" s="137" t="str">
        <f t="shared" ref="V331:V336" si="1014">LOOKUP(U331,$B$539:$B$574,$A$539:$A$574)</f>
        <v>Beam Pipe Mechanics</v>
      </c>
      <c r="AB331" s="33" t="s">
        <v>162</v>
      </c>
      <c r="AC331" s="132">
        <f t="shared" ref="AC331:AC336" si="1015">IF($Q331="B", (G331*$N331),0)</f>
        <v>0</v>
      </c>
      <c r="AD331" s="132">
        <f t="shared" ref="AD331:AD336" si="1016">IF($Q331="B", (H331*$N331),0)</f>
        <v>0</v>
      </c>
      <c r="AE331" s="132">
        <f t="shared" ref="AE331:AE336" si="1017">IF($Q331="B", (I331*$N331),0)</f>
        <v>0</v>
      </c>
      <c r="AF331" s="132">
        <f t="shared" ref="AF331:AF336" si="1018">IF($Q331="B", (J331*$N331),0)</f>
        <v>120</v>
      </c>
      <c r="AG331" s="132">
        <f t="shared" ref="AG331:AG336" si="1019">IF($Q331="B", (K331*$N331),0)</f>
        <v>0</v>
      </c>
      <c r="AH331" s="234">
        <f t="shared" ref="AH331:AH336" si="1020">IF($Q331="B", (F331*$N331),0)</f>
        <v>0</v>
      </c>
      <c r="AI331" s="235"/>
      <c r="AJ331" s="132"/>
      <c r="AK331" s="132"/>
      <c r="AL331" s="166"/>
      <c r="AM331" s="131">
        <f t="shared" ref="AM331:AM336" si="1021">IF($Q331="C", (G331*$N331),0)</f>
        <v>0</v>
      </c>
      <c r="AN331" s="132">
        <f t="shared" ref="AN331:AN336" si="1022">IF($Q331="C", (H331*$N331),0)</f>
        <v>0</v>
      </c>
      <c r="AO331" s="132">
        <f t="shared" ref="AO331:AO336" si="1023">IF($Q331="C", (I331*$N331),0)</f>
        <v>0</v>
      </c>
      <c r="AP331" s="132">
        <f t="shared" ref="AP331:AP336" si="1024">IF($Q331="C", (J331*$N331),0)</f>
        <v>0</v>
      </c>
      <c r="AQ331" s="132">
        <f t="shared" ref="AQ331:AQ336" si="1025">IF($Q331="C", (K331*$N331),0)</f>
        <v>0</v>
      </c>
      <c r="AR331" s="132">
        <f t="shared" ref="AR331:AR336" si="1026">IF($Q331="C", (F331*$N331),0)</f>
        <v>0</v>
      </c>
      <c r="AS331" s="235"/>
    </row>
    <row r="332" spans="1:45" s="20" customFormat="1">
      <c r="A332" s="46" t="s">
        <v>389</v>
      </c>
      <c r="B332" s="20" t="s">
        <v>96</v>
      </c>
      <c r="C332" s="165">
        <v>1</v>
      </c>
      <c r="D332" s="96" t="s">
        <v>9</v>
      </c>
      <c r="E332" s="166">
        <v>5000</v>
      </c>
      <c r="F332" s="167">
        <f t="shared" si="1009"/>
        <v>5000</v>
      </c>
      <c r="G332" s="168">
        <v>0</v>
      </c>
      <c r="H332" s="168">
        <v>0</v>
      </c>
      <c r="I332" s="168">
        <v>0</v>
      </c>
      <c r="J332" s="168">
        <v>24</v>
      </c>
      <c r="K332" s="169">
        <v>0</v>
      </c>
      <c r="L332" s="96" t="s">
        <v>8</v>
      </c>
      <c r="M332" s="166">
        <f t="shared" si="1010"/>
        <v>0</v>
      </c>
      <c r="N332" s="92">
        <v>0</v>
      </c>
      <c r="O332" s="170">
        <f t="shared" si="1011"/>
        <v>0</v>
      </c>
      <c r="P332" s="170"/>
      <c r="Q332" s="52" t="s">
        <v>47</v>
      </c>
      <c r="R332" s="71" t="s">
        <v>77</v>
      </c>
      <c r="S332" s="137" t="str">
        <f t="shared" si="1012"/>
        <v>BPDSTAR</v>
      </c>
      <c r="T332" s="137" t="str">
        <f t="shared" si="1013"/>
        <v>B1.5.1.3.1STAR</v>
      </c>
      <c r="U332" s="137" t="s">
        <v>219</v>
      </c>
      <c r="V332" s="137" t="str">
        <f t="shared" si="1014"/>
        <v>Beam Pipe Model</v>
      </c>
      <c r="AB332" s="33" t="s">
        <v>162</v>
      </c>
      <c r="AC332" s="132">
        <f t="shared" si="1015"/>
        <v>0</v>
      </c>
      <c r="AD332" s="132">
        <f t="shared" si="1016"/>
        <v>0</v>
      </c>
      <c r="AE332" s="132">
        <f t="shared" si="1017"/>
        <v>0</v>
      </c>
      <c r="AF332" s="132">
        <f t="shared" si="1018"/>
        <v>0</v>
      </c>
      <c r="AG332" s="132">
        <f t="shared" si="1019"/>
        <v>0</v>
      </c>
      <c r="AH332" s="234">
        <f t="shared" si="1020"/>
        <v>0</v>
      </c>
      <c r="AI332" s="235"/>
      <c r="AJ332" s="132"/>
      <c r="AK332" s="132"/>
      <c r="AL332" s="166"/>
      <c r="AM332" s="131">
        <f t="shared" si="1021"/>
        <v>0</v>
      </c>
      <c r="AN332" s="132">
        <f t="shared" si="1022"/>
        <v>0</v>
      </c>
      <c r="AO332" s="132">
        <f t="shared" si="1023"/>
        <v>0</v>
      </c>
      <c r="AP332" s="132">
        <f t="shared" si="1024"/>
        <v>0</v>
      </c>
      <c r="AQ332" s="132">
        <f t="shared" si="1025"/>
        <v>0</v>
      </c>
      <c r="AR332" s="132">
        <f t="shared" si="1026"/>
        <v>0</v>
      </c>
      <c r="AS332" s="235"/>
    </row>
    <row r="333" spans="1:45" s="20" customFormat="1">
      <c r="A333" s="46" t="s">
        <v>390</v>
      </c>
      <c r="B333" s="20" t="s">
        <v>96</v>
      </c>
      <c r="C333" s="165">
        <v>1</v>
      </c>
      <c r="D333" s="96" t="s">
        <v>9</v>
      </c>
      <c r="E333" s="166">
        <v>5000</v>
      </c>
      <c r="F333" s="167">
        <f t="shared" si="1009"/>
        <v>5000</v>
      </c>
      <c r="G333" s="168">
        <v>0</v>
      </c>
      <c r="H333" s="168">
        <v>0</v>
      </c>
      <c r="I333" s="168">
        <v>0</v>
      </c>
      <c r="J333" s="168">
        <v>24</v>
      </c>
      <c r="K333" s="169">
        <v>0</v>
      </c>
      <c r="L333" s="96" t="s">
        <v>8</v>
      </c>
      <c r="M333" s="166">
        <f t="shared" si="1010"/>
        <v>0</v>
      </c>
      <c r="N333" s="92">
        <v>0</v>
      </c>
      <c r="O333" s="170">
        <f t="shared" si="1011"/>
        <v>0</v>
      </c>
      <c r="P333" s="170"/>
      <c r="Q333" s="52" t="s">
        <v>47</v>
      </c>
      <c r="R333" s="71" t="s">
        <v>77</v>
      </c>
      <c r="S333" s="137" t="str">
        <f t="shared" si="1012"/>
        <v>BPD2010</v>
      </c>
      <c r="T333" s="137" t="str">
        <f t="shared" si="1013"/>
        <v>B1.5.1.3.12010</v>
      </c>
      <c r="U333" s="137" t="s">
        <v>219</v>
      </c>
      <c r="V333" s="137" t="str">
        <f t="shared" si="1014"/>
        <v>Beam Pipe Model</v>
      </c>
      <c r="AB333" s="33">
        <v>2010</v>
      </c>
      <c r="AC333" s="132">
        <f t="shared" ref="AC333" si="1027">IF($Q333="B", (G333*$N333),0)</f>
        <v>0</v>
      </c>
      <c r="AD333" s="132">
        <f t="shared" ref="AD333" si="1028">IF($Q333="B", (H333*$N333),0)</f>
        <v>0</v>
      </c>
      <c r="AE333" s="132">
        <f t="shared" ref="AE333" si="1029">IF($Q333="B", (I333*$N333),0)</f>
        <v>0</v>
      </c>
      <c r="AF333" s="132">
        <f t="shared" ref="AF333" si="1030">IF($Q333="B", (J333*$N333),0)</f>
        <v>0</v>
      </c>
      <c r="AG333" s="132">
        <f t="shared" ref="AG333" si="1031">IF($Q333="B", (K333*$N333),0)</f>
        <v>0</v>
      </c>
      <c r="AH333" s="234">
        <f t="shared" si="1020"/>
        <v>0</v>
      </c>
      <c r="AI333" s="235"/>
      <c r="AJ333" s="132"/>
      <c r="AK333" s="132"/>
      <c r="AL333" s="166"/>
      <c r="AM333" s="131">
        <f t="shared" ref="AM333" si="1032">IF($Q333="C", (G333*$N333),0)</f>
        <v>0</v>
      </c>
      <c r="AN333" s="132">
        <f t="shared" ref="AN333" si="1033">IF($Q333="C", (H333*$N333),0)</f>
        <v>0</v>
      </c>
      <c r="AO333" s="132">
        <f t="shared" ref="AO333" si="1034">IF($Q333="C", (I333*$N333),0)</f>
        <v>0</v>
      </c>
      <c r="AP333" s="132">
        <f t="shared" ref="AP333" si="1035">IF($Q333="C", (J333*$N333),0)</f>
        <v>0</v>
      </c>
      <c r="AQ333" s="132">
        <f t="shared" ref="AQ333" si="1036">IF($Q333="C", (K333*$N333),0)</f>
        <v>0</v>
      </c>
      <c r="AR333" s="132">
        <f t="shared" si="1026"/>
        <v>0</v>
      </c>
      <c r="AS333" s="235"/>
    </row>
    <row r="334" spans="1:45" s="20" customFormat="1">
      <c r="A334" s="46" t="s">
        <v>391</v>
      </c>
      <c r="B334" s="20" t="s">
        <v>34</v>
      </c>
      <c r="C334" s="165">
        <v>0.03</v>
      </c>
      <c r="D334" s="96" t="s">
        <v>9</v>
      </c>
      <c r="E334" s="166">
        <v>0</v>
      </c>
      <c r="F334" s="167">
        <f t="shared" si="1009"/>
        <v>0</v>
      </c>
      <c r="G334" s="168">
        <v>0</v>
      </c>
      <c r="H334" s="168">
        <v>0</v>
      </c>
      <c r="I334" s="168">
        <v>0</v>
      </c>
      <c r="J334" s="168">
        <v>60</v>
      </c>
      <c r="K334" s="169">
        <v>0</v>
      </c>
      <c r="L334" s="96" t="s">
        <v>8</v>
      </c>
      <c r="M334" s="166">
        <f t="shared" si="1010"/>
        <v>7290.0000000000009</v>
      </c>
      <c r="N334" s="92">
        <v>1</v>
      </c>
      <c r="O334" s="170">
        <f t="shared" si="1011"/>
        <v>7290.0000000000009</v>
      </c>
      <c r="P334" s="170"/>
      <c r="Q334" s="52" t="s">
        <v>47</v>
      </c>
      <c r="R334" s="71" t="s">
        <v>77</v>
      </c>
      <c r="S334" s="137" t="str">
        <f t="shared" si="1012"/>
        <v>BPD2010</v>
      </c>
      <c r="T334" s="137" t="str">
        <f t="shared" si="1013"/>
        <v>B1.5.1.3.12010</v>
      </c>
      <c r="U334" s="137" t="s">
        <v>219</v>
      </c>
      <c r="V334" s="137" t="str">
        <f t="shared" si="1014"/>
        <v>Beam Pipe Model</v>
      </c>
      <c r="AB334" s="487">
        <v>2010</v>
      </c>
      <c r="AC334" s="132">
        <f t="shared" si="1015"/>
        <v>0</v>
      </c>
      <c r="AD334" s="132">
        <f t="shared" si="1016"/>
        <v>0</v>
      </c>
      <c r="AE334" s="132">
        <f t="shared" si="1017"/>
        <v>0</v>
      </c>
      <c r="AF334" s="132">
        <f t="shared" si="1018"/>
        <v>60</v>
      </c>
      <c r="AG334" s="132">
        <f t="shared" si="1019"/>
        <v>0</v>
      </c>
      <c r="AH334" s="234">
        <f t="shared" si="1020"/>
        <v>0</v>
      </c>
      <c r="AI334" s="235"/>
      <c r="AJ334" s="132"/>
      <c r="AK334" s="132"/>
      <c r="AL334" s="166"/>
      <c r="AM334" s="131">
        <f t="shared" si="1021"/>
        <v>0</v>
      </c>
      <c r="AN334" s="132">
        <f t="shared" si="1022"/>
        <v>0</v>
      </c>
      <c r="AO334" s="132">
        <f t="shared" si="1023"/>
        <v>0</v>
      </c>
      <c r="AP334" s="132">
        <f t="shared" si="1024"/>
        <v>0</v>
      </c>
      <c r="AQ334" s="132">
        <f t="shared" si="1025"/>
        <v>0</v>
      </c>
      <c r="AR334" s="132">
        <f t="shared" si="1026"/>
        <v>0</v>
      </c>
      <c r="AS334" s="235"/>
    </row>
    <row r="335" spans="1:45" s="20" customFormat="1">
      <c r="A335" s="46" t="s">
        <v>392</v>
      </c>
      <c r="B335" s="20" t="s">
        <v>7</v>
      </c>
      <c r="C335" s="165">
        <v>150</v>
      </c>
      <c r="D335" s="96" t="s">
        <v>39</v>
      </c>
      <c r="E335" s="166">
        <v>8</v>
      </c>
      <c r="F335" s="167">
        <f t="shared" si="1009"/>
        <v>1200</v>
      </c>
      <c r="G335" s="417">
        <v>12</v>
      </c>
      <c r="H335" s="168">
        <v>40</v>
      </c>
      <c r="I335" s="168">
        <v>0</v>
      </c>
      <c r="J335" s="417">
        <f>0.5*G335</f>
        <v>6</v>
      </c>
      <c r="K335" s="169">
        <v>0</v>
      </c>
      <c r="L335" s="96" t="s">
        <v>8</v>
      </c>
      <c r="M335" s="166">
        <f t="shared" si="1010"/>
        <v>5744.52</v>
      </c>
      <c r="N335" s="92">
        <v>1</v>
      </c>
      <c r="O335" s="170">
        <f t="shared" si="1011"/>
        <v>6944.52</v>
      </c>
      <c r="P335" s="170"/>
      <c r="Q335" s="52" t="s">
        <v>47</v>
      </c>
      <c r="R335" s="71" t="s">
        <v>77</v>
      </c>
      <c r="S335" s="137" t="str">
        <f t="shared" si="1012"/>
        <v>BPD2011</v>
      </c>
      <c r="T335" s="137" t="str">
        <f t="shared" si="1013"/>
        <v>B1.5.1.3.12011</v>
      </c>
      <c r="U335" s="137" t="s">
        <v>219</v>
      </c>
      <c r="V335" s="137" t="str">
        <f t="shared" si="1014"/>
        <v>Beam Pipe Model</v>
      </c>
      <c r="AB335" s="33">
        <v>2011</v>
      </c>
      <c r="AC335" s="132">
        <f t="shared" ref="AC335" si="1037">IF($Q335="B", (G335*$N335),0)</f>
        <v>12</v>
      </c>
      <c r="AD335" s="132">
        <f t="shared" ref="AD335" si="1038">IF($Q335="B", (H335*$N335),0)</f>
        <v>40</v>
      </c>
      <c r="AE335" s="132">
        <f t="shared" ref="AE335" si="1039">IF($Q335="B", (I335*$N335),0)</f>
        <v>0</v>
      </c>
      <c r="AF335" s="132">
        <f t="shared" ref="AF335" si="1040">IF($Q335="B", (J335*$N335),0)</f>
        <v>6</v>
      </c>
      <c r="AG335" s="132">
        <f t="shared" ref="AG335" si="1041">IF($Q335="B", (K335*$N335),0)</f>
        <v>0</v>
      </c>
      <c r="AH335" s="234">
        <f t="shared" si="1020"/>
        <v>1200</v>
      </c>
      <c r="AI335" s="235"/>
      <c r="AJ335" s="132"/>
      <c r="AK335" s="132"/>
      <c r="AL335" s="166"/>
      <c r="AM335" s="131">
        <f t="shared" ref="AM335" si="1042">IF($Q335="C", (G335*$N335),0)</f>
        <v>0</v>
      </c>
      <c r="AN335" s="132">
        <f t="shared" ref="AN335" si="1043">IF($Q335="C", (H335*$N335),0)</f>
        <v>0</v>
      </c>
      <c r="AO335" s="132">
        <f t="shared" ref="AO335" si="1044">IF($Q335="C", (I335*$N335),0)</f>
        <v>0</v>
      </c>
      <c r="AP335" s="132">
        <f t="shared" ref="AP335" si="1045">IF($Q335="C", (J335*$N335),0)</f>
        <v>0</v>
      </c>
      <c r="AQ335" s="132">
        <f t="shared" ref="AQ335" si="1046">IF($Q335="C", (K335*$N335),0)</f>
        <v>0</v>
      </c>
      <c r="AR335" s="132">
        <f t="shared" si="1026"/>
        <v>0</v>
      </c>
      <c r="AS335" s="235"/>
    </row>
    <row r="336" spans="1:45" s="20" customFormat="1">
      <c r="A336" s="46" t="s">
        <v>393</v>
      </c>
      <c r="B336" s="20" t="s">
        <v>7</v>
      </c>
      <c r="C336" s="165">
        <v>75</v>
      </c>
      <c r="D336" s="96" t="s">
        <v>39</v>
      </c>
      <c r="E336" s="166">
        <v>8</v>
      </c>
      <c r="F336" s="167">
        <f t="shared" si="1009"/>
        <v>600</v>
      </c>
      <c r="G336" s="417">
        <v>12</v>
      </c>
      <c r="H336" s="168">
        <v>40</v>
      </c>
      <c r="I336" s="168">
        <v>0</v>
      </c>
      <c r="J336" s="417">
        <f>0.5*G336</f>
        <v>6</v>
      </c>
      <c r="K336" s="169">
        <v>0</v>
      </c>
      <c r="L336" s="96" t="s">
        <v>8</v>
      </c>
      <c r="M336" s="166">
        <f t="shared" si="1010"/>
        <v>5744.52</v>
      </c>
      <c r="N336" s="92">
        <v>1</v>
      </c>
      <c r="O336" s="170">
        <f t="shared" si="1011"/>
        <v>6344.52</v>
      </c>
      <c r="P336" s="170"/>
      <c r="Q336" s="52" t="s">
        <v>47</v>
      </c>
      <c r="R336" s="71" t="s">
        <v>77</v>
      </c>
      <c r="S336" s="137" t="str">
        <f t="shared" si="1012"/>
        <v>BPD2011</v>
      </c>
      <c r="T336" s="137" t="str">
        <f t="shared" si="1013"/>
        <v>B1.5.1.3.12011</v>
      </c>
      <c r="U336" s="137" t="s">
        <v>219</v>
      </c>
      <c r="V336" s="137" t="str">
        <f t="shared" si="1014"/>
        <v>Beam Pipe Model</v>
      </c>
      <c r="AB336" s="33">
        <v>2011</v>
      </c>
      <c r="AC336" s="132">
        <f t="shared" si="1015"/>
        <v>12</v>
      </c>
      <c r="AD336" s="132">
        <f t="shared" si="1016"/>
        <v>40</v>
      </c>
      <c r="AE336" s="132">
        <f t="shared" si="1017"/>
        <v>0</v>
      </c>
      <c r="AF336" s="132">
        <f t="shared" si="1018"/>
        <v>6</v>
      </c>
      <c r="AG336" s="132">
        <f t="shared" si="1019"/>
        <v>0</v>
      </c>
      <c r="AH336" s="234">
        <f t="shared" si="1020"/>
        <v>600</v>
      </c>
      <c r="AI336" s="235"/>
      <c r="AJ336" s="132"/>
      <c r="AK336" s="132"/>
      <c r="AL336" s="166"/>
      <c r="AM336" s="131">
        <f t="shared" si="1021"/>
        <v>0</v>
      </c>
      <c r="AN336" s="132">
        <f t="shared" si="1022"/>
        <v>0</v>
      </c>
      <c r="AO336" s="132">
        <f t="shared" si="1023"/>
        <v>0</v>
      </c>
      <c r="AP336" s="132">
        <f t="shared" si="1024"/>
        <v>0</v>
      </c>
      <c r="AQ336" s="132">
        <f t="shared" si="1025"/>
        <v>0</v>
      </c>
      <c r="AR336" s="132">
        <f t="shared" si="1026"/>
        <v>0</v>
      </c>
      <c r="AS336" s="235"/>
    </row>
    <row r="337" spans="1:45" s="20" customFormat="1">
      <c r="A337" s="47" t="s">
        <v>395</v>
      </c>
      <c r="C337" s="165"/>
      <c r="D337" s="96"/>
      <c r="E337" s="57"/>
      <c r="F337" s="58"/>
      <c r="G337" s="59"/>
      <c r="H337" s="59"/>
      <c r="I337" s="59"/>
      <c r="J337" s="59"/>
      <c r="K337" s="60"/>
      <c r="L337" s="217" t="s">
        <v>66</v>
      </c>
      <c r="M337" s="177">
        <f>SUMIF(Q331:Q336,"B",M331:M336)</f>
        <v>33359.040000000008</v>
      </c>
      <c r="N337" s="65" t="s">
        <v>65</v>
      </c>
      <c r="O337" s="170"/>
      <c r="P337" s="170"/>
      <c r="Q337" s="52"/>
      <c r="R337" s="71"/>
      <c r="S337" s="137"/>
      <c r="T337" s="137"/>
      <c r="U337" s="137"/>
      <c r="V337" s="137"/>
      <c r="AB337" s="33"/>
      <c r="AC337" s="132"/>
      <c r="AD337" s="132"/>
      <c r="AE337" s="135"/>
      <c r="AF337" s="132"/>
      <c r="AG337" s="132"/>
      <c r="AH337" s="234"/>
      <c r="AI337" s="235"/>
      <c r="AJ337" s="132"/>
      <c r="AK337" s="132"/>
      <c r="AL337" s="166"/>
      <c r="AM337" s="131"/>
      <c r="AN337" s="132"/>
      <c r="AO337" s="132"/>
      <c r="AP337" s="132"/>
      <c r="AQ337" s="132"/>
      <c r="AR337" s="132"/>
      <c r="AS337" s="235"/>
    </row>
    <row r="338" spans="1:45" s="20" customFormat="1">
      <c r="A338" s="46" t="s">
        <v>394</v>
      </c>
      <c r="B338" s="20" t="s">
        <v>34</v>
      </c>
      <c r="C338" s="165">
        <v>0.03</v>
      </c>
      <c r="D338" s="96" t="s">
        <v>9</v>
      </c>
      <c r="E338" s="166">
        <v>0</v>
      </c>
      <c r="F338" s="167">
        <f>E338*C338</f>
        <v>0</v>
      </c>
      <c r="G338" s="168">
        <v>0</v>
      </c>
      <c r="H338" s="168">
        <v>0</v>
      </c>
      <c r="I338" s="168">
        <v>0</v>
      </c>
      <c r="J338" s="168">
        <v>32</v>
      </c>
      <c r="K338" s="169">
        <v>0</v>
      </c>
      <c r="L338" s="96" t="s">
        <v>8</v>
      </c>
      <c r="M338" s="166">
        <f>IF(R338="PD",((Shop*G338)+(M_Tech*H338)+(CMM*I338)+(ENG*J338)+(DES*K338))*N338,((Shop_RD*G338)+(MTECH_RD*H338)+(CMM_RD*I338)+(ENG_RD*J338)+(DES_RD*K338))*N338)</f>
        <v>3888.0000000000005</v>
      </c>
      <c r="N338" s="92">
        <v>1</v>
      </c>
      <c r="O338" s="170">
        <f>M338+(F338*N338)</f>
        <v>3888.0000000000005</v>
      </c>
      <c r="P338" s="170"/>
      <c r="Q338" s="52" t="s">
        <v>48</v>
      </c>
      <c r="R338" s="71" t="s">
        <v>77</v>
      </c>
      <c r="S338" s="137" t="str">
        <f>CONCATENATE(Q338,R338,AB338)</f>
        <v>CPDSTAR</v>
      </c>
      <c r="T338" s="137" t="str">
        <f>CONCATENATE(Q338,U338,AB338)</f>
        <v>C1.5.1.3.3STAR</v>
      </c>
      <c r="U338" s="137" t="s">
        <v>221</v>
      </c>
      <c r="V338" s="137" t="str">
        <f>LOOKUP(U338,$B$539:$B$574,$A$539:$A$574)</f>
        <v>Alternate Beam Pipe Support</v>
      </c>
      <c r="AB338" s="33" t="s">
        <v>162</v>
      </c>
      <c r="AC338" s="132">
        <f t="shared" ref="AC338:AC339" si="1047">IF($Q338="B", (G338*$N338),0)</f>
        <v>0</v>
      </c>
      <c r="AD338" s="132">
        <f t="shared" ref="AD338:AD339" si="1048">IF($Q338="B", (H338*$N338),0)</f>
        <v>0</v>
      </c>
      <c r="AE338" s="132">
        <f t="shared" ref="AE338:AE339" si="1049">IF($Q338="B", (I338*$N338),0)</f>
        <v>0</v>
      </c>
      <c r="AF338" s="132">
        <f t="shared" ref="AF338:AF339" si="1050">IF($Q338="B", (J338*$N338),0)</f>
        <v>0</v>
      </c>
      <c r="AG338" s="132">
        <f t="shared" ref="AG338:AG339" si="1051">IF($Q338="B", (K338*$N338),0)</f>
        <v>0</v>
      </c>
      <c r="AH338" s="234">
        <f>IF($Q338="B", (F338*$N338),0)</f>
        <v>0</v>
      </c>
      <c r="AI338" s="235"/>
      <c r="AJ338" s="132"/>
      <c r="AK338" s="132"/>
      <c r="AL338" s="166"/>
      <c r="AM338" s="131">
        <f t="shared" ref="AM338:AM339" si="1052">IF($Q338="C", (G338*$N338),0)</f>
        <v>0</v>
      </c>
      <c r="AN338" s="132">
        <f t="shared" ref="AN338:AN339" si="1053">IF($Q338="C", (H338*$N338),0)</f>
        <v>0</v>
      </c>
      <c r="AO338" s="132">
        <f t="shared" ref="AO338:AO339" si="1054">IF($Q338="C", (I338*$N338),0)</f>
        <v>0</v>
      </c>
      <c r="AP338" s="132">
        <f t="shared" ref="AP338:AP339" si="1055">IF($Q338="C", (J338*$N338),0)</f>
        <v>32</v>
      </c>
      <c r="AQ338" s="132">
        <f t="shared" ref="AQ338:AQ339" si="1056">IF($Q338="C", (K338*$N338),0)</f>
        <v>0</v>
      </c>
      <c r="AR338" s="132">
        <f>IF($Q338="C", (F338*$N338),0)</f>
        <v>0</v>
      </c>
      <c r="AS338" s="235"/>
    </row>
    <row r="339" spans="1:45" s="20" customFormat="1">
      <c r="A339" s="46" t="s">
        <v>355</v>
      </c>
      <c r="B339" s="20" t="s">
        <v>34</v>
      </c>
      <c r="C339" s="165">
        <v>0.03</v>
      </c>
      <c r="D339" s="96" t="s">
        <v>9</v>
      </c>
      <c r="E339" s="166">
        <v>0</v>
      </c>
      <c r="F339" s="167">
        <f>E339*C339</f>
        <v>0</v>
      </c>
      <c r="G339" s="168">
        <v>0</v>
      </c>
      <c r="H339" s="168">
        <v>0</v>
      </c>
      <c r="I339" s="168">
        <v>0</v>
      </c>
      <c r="J339" s="168">
        <v>40</v>
      </c>
      <c r="K339" s="169">
        <v>0</v>
      </c>
      <c r="L339" s="96" t="s">
        <v>8</v>
      </c>
      <c r="M339" s="166">
        <f>IF(R339="PD",((Shop*G339)+(M_Tech*H339)+(CMM*I339)+(ENG*J339)+(DES*K339))*N339,((Shop_RD*G339)+(MTECH_RD*H339)+(CMM_RD*I339)+(ENG_RD*J339)+(DES_RD*K339))*N339)</f>
        <v>4860.0000000000009</v>
      </c>
      <c r="N339" s="92">
        <v>1</v>
      </c>
      <c r="O339" s="170">
        <f>M339+(F339*N339)</f>
        <v>4860.0000000000009</v>
      </c>
      <c r="P339" s="170"/>
      <c r="Q339" s="52" t="s">
        <v>48</v>
      </c>
      <c r="R339" s="71" t="s">
        <v>77</v>
      </c>
      <c r="S339" s="137" t="str">
        <f>CONCATENATE(Q339,R339,AB339)</f>
        <v>CPD2011</v>
      </c>
      <c r="T339" s="137" t="str">
        <f>CONCATENATE(Q339,U339,AB339)</f>
        <v>C1.5.1.3.32011</v>
      </c>
      <c r="U339" s="137" t="s">
        <v>221</v>
      </c>
      <c r="V339" s="137" t="str">
        <f>LOOKUP(U339,$B$539:$B$574,$A$539:$A$574)</f>
        <v>Alternate Beam Pipe Support</v>
      </c>
      <c r="AB339" s="33">
        <v>2011</v>
      </c>
      <c r="AC339" s="132">
        <f t="shared" si="1047"/>
        <v>0</v>
      </c>
      <c r="AD339" s="132">
        <f t="shared" si="1048"/>
        <v>0</v>
      </c>
      <c r="AE339" s="132">
        <f t="shared" si="1049"/>
        <v>0</v>
      </c>
      <c r="AF339" s="132">
        <f t="shared" si="1050"/>
        <v>0</v>
      </c>
      <c r="AG339" s="132">
        <f t="shared" si="1051"/>
        <v>0</v>
      </c>
      <c r="AH339" s="234">
        <f>IF($Q339="B", (F339*$N339),0)</f>
        <v>0</v>
      </c>
      <c r="AI339" s="235"/>
      <c r="AJ339" s="132"/>
      <c r="AK339" s="132"/>
      <c r="AL339" s="166"/>
      <c r="AM339" s="131">
        <f t="shared" si="1052"/>
        <v>0</v>
      </c>
      <c r="AN339" s="132">
        <f t="shared" si="1053"/>
        <v>0</v>
      </c>
      <c r="AO339" s="132">
        <f t="shared" si="1054"/>
        <v>0</v>
      </c>
      <c r="AP339" s="132">
        <f t="shared" si="1055"/>
        <v>40</v>
      </c>
      <c r="AQ339" s="132">
        <f t="shared" si="1056"/>
        <v>0</v>
      </c>
      <c r="AR339" s="132">
        <f>IF($Q339="C", (F339*$N339),0)</f>
        <v>0</v>
      </c>
      <c r="AS339" s="235"/>
    </row>
    <row r="340" spans="1:45" s="20" customFormat="1">
      <c r="A340" s="46" t="s">
        <v>378</v>
      </c>
      <c r="B340" s="20" t="s">
        <v>7</v>
      </c>
      <c r="C340" s="165">
        <v>100</v>
      </c>
      <c r="D340" s="96" t="s">
        <v>39</v>
      </c>
      <c r="E340" s="166">
        <v>8</v>
      </c>
      <c r="F340" s="167">
        <f>E340*C340</f>
        <v>800</v>
      </c>
      <c r="G340" s="417">
        <v>8</v>
      </c>
      <c r="H340" s="168">
        <v>40</v>
      </c>
      <c r="I340" s="168">
        <v>0</v>
      </c>
      <c r="J340" s="417">
        <f>0.5*G340</f>
        <v>4</v>
      </c>
      <c r="K340" s="169">
        <v>0</v>
      </c>
      <c r="L340" s="96" t="s">
        <v>8</v>
      </c>
      <c r="M340" s="166">
        <f>IF(R340="PD",((Shop*G340)+(M_Tech*H340)+(CMM*I340)+(ENG*J340)+(DES*K340))*N340,((Shop_RD*G340)+(MTECH_RD*H340)+(CMM_RD*I340)+(ENG_RD*J340)+(DES_RD*K340))*N340)</f>
        <v>5093.2800000000007</v>
      </c>
      <c r="N340" s="92">
        <v>1</v>
      </c>
      <c r="O340" s="170">
        <f>M340+(F340*N340)</f>
        <v>5893.2800000000007</v>
      </c>
      <c r="P340" s="170"/>
      <c r="Q340" s="52" t="s">
        <v>48</v>
      </c>
      <c r="R340" s="71" t="s">
        <v>77</v>
      </c>
      <c r="S340" s="137" t="str">
        <f>CONCATENATE(Q340,R340,AB340)</f>
        <v>CPD2011</v>
      </c>
      <c r="T340" s="137" t="str">
        <f>CONCATENATE(Q340,U340,AB340)</f>
        <v>C1.5.1.3.32011</v>
      </c>
      <c r="U340" s="137" t="s">
        <v>221</v>
      </c>
      <c r="V340" s="137" t="str">
        <f>LOOKUP(U340,$B$539:$B$574,$A$539:$A$574)</f>
        <v>Alternate Beam Pipe Support</v>
      </c>
      <c r="AB340" s="33">
        <v>2011</v>
      </c>
      <c r="AC340" s="132">
        <f t="shared" ref="AC340" si="1057">IF($Q340="B", (G340*$N340),0)</f>
        <v>0</v>
      </c>
      <c r="AD340" s="132">
        <f t="shared" ref="AD340" si="1058">IF($Q340="B", (H340*$N340),0)</f>
        <v>0</v>
      </c>
      <c r="AE340" s="132">
        <f t="shared" ref="AE340" si="1059">IF($Q340="B", (I340*$N340),0)</f>
        <v>0</v>
      </c>
      <c r="AF340" s="132">
        <f t="shared" ref="AF340" si="1060">IF($Q340="B", (J340*$N340),0)</f>
        <v>0</v>
      </c>
      <c r="AG340" s="132">
        <f t="shared" ref="AG340" si="1061">IF($Q340="B", (K340*$N340),0)</f>
        <v>0</v>
      </c>
      <c r="AH340" s="234">
        <f>IF($Q340="B", (F340*$N340),0)</f>
        <v>0</v>
      </c>
      <c r="AI340" s="235"/>
      <c r="AJ340" s="132"/>
      <c r="AK340" s="132"/>
      <c r="AL340" s="166"/>
      <c r="AM340" s="131">
        <f t="shared" ref="AM340" si="1062">IF($Q340="C", (G340*$N340),0)</f>
        <v>8</v>
      </c>
      <c r="AN340" s="132">
        <f t="shared" ref="AN340" si="1063">IF($Q340="C", (H340*$N340),0)</f>
        <v>40</v>
      </c>
      <c r="AO340" s="132">
        <f t="shared" ref="AO340" si="1064">IF($Q340="C", (I340*$N340),0)</f>
        <v>0</v>
      </c>
      <c r="AP340" s="132">
        <f t="shared" ref="AP340" si="1065">IF($Q340="C", (J340*$N340),0)</f>
        <v>4</v>
      </c>
      <c r="AQ340" s="132">
        <f t="shared" ref="AQ340" si="1066">IF($Q340="C", (K340*$N340),0)</f>
        <v>0</v>
      </c>
      <c r="AR340" s="132">
        <f>IF($Q340="C", (F340*$N340),0)</f>
        <v>800</v>
      </c>
      <c r="AS340" s="235"/>
    </row>
    <row r="341" spans="1:45" s="20" customFormat="1">
      <c r="A341" s="46" t="s">
        <v>351</v>
      </c>
      <c r="B341" s="20" t="s">
        <v>57</v>
      </c>
      <c r="C341" s="165">
        <v>1</v>
      </c>
      <c r="D341" s="96" t="s">
        <v>9</v>
      </c>
      <c r="E341" s="166">
        <v>500</v>
      </c>
      <c r="F341" s="167">
        <f t="shared" ref="F341:F342" si="1067">E341*C341</f>
        <v>500</v>
      </c>
      <c r="G341" s="168">
        <v>0</v>
      </c>
      <c r="H341" s="168">
        <v>4</v>
      </c>
      <c r="I341" s="168">
        <v>0</v>
      </c>
      <c r="J341" s="168">
        <v>0</v>
      </c>
      <c r="K341" s="169">
        <v>0</v>
      </c>
      <c r="L341" s="96" t="s">
        <v>8</v>
      </c>
      <c r="M341" s="166">
        <f t="shared" ref="M341:M342" si="1068">IF(R341="PD",((Shop*G341)+(M_Tech*H341)+(CMM*I341)+(ENG*J341)+(DES*K341))*N341,((Shop_RD*G341)+(MTECH_RD*H341)+(CMM_RD*I341)+(ENG_RD*J341)+(DES_RD*K341))*N341)</f>
        <v>379.08000000000004</v>
      </c>
      <c r="N341" s="92">
        <v>1</v>
      </c>
      <c r="O341" s="170">
        <f t="shared" ref="O341:O342" si="1069">M341+(F341*N341)</f>
        <v>879.08</v>
      </c>
      <c r="P341" s="170"/>
      <c r="Q341" s="52" t="s">
        <v>48</v>
      </c>
      <c r="R341" s="71" t="s">
        <v>77</v>
      </c>
      <c r="S341" s="137" t="str">
        <f t="shared" ref="S341:S342" si="1070">CONCATENATE(Q341,R341,AB341)</f>
        <v>CPD2011</v>
      </c>
      <c r="T341" s="137" t="str">
        <f t="shared" ref="T341:T342" si="1071">CONCATENATE(Q341,U341,AB341)</f>
        <v>C1.5.1.3.32011</v>
      </c>
      <c r="U341" s="137" t="s">
        <v>221</v>
      </c>
      <c r="V341" s="137" t="str">
        <f>LOOKUP(U341,$B$539:$B$574,$A$539:$A$574)</f>
        <v>Alternate Beam Pipe Support</v>
      </c>
      <c r="AB341" s="33">
        <v>2011</v>
      </c>
      <c r="AC341" s="132">
        <f t="shared" ref="AC341:AC342" si="1072">IF($Q341="B", (G341*$N341),0)</f>
        <v>0</v>
      </c>
      <c r="AD341" s="132">
        <f t="shared" ref="AD341:AD342" si="1073">IF($Q341="B", (H341*$N341),0)</f>
        <v>0</v>
      </c>
      <c r="AE341" s="132">
        <f t="shared" ref="AE341:AE342" si="1074">IF($Q341="B", (I341*$N341),0)</f>
        <v>0</v>
      </c>
      <c r="AF341" s="132">
        <f t="shared" ref="AF341:AF342" si="1075">IF($Q341="B", (J341*$N341),0)</f>
        <v>0</v>
      </c>
      <c r="AG341" s="132">
        <f t="shared" ref="AG341:AG342" si="1076">IF($Q341="B", (K341*$N341),0)</f>
        <v>0</v>
      </c>
      <c r="AH341" s="234">
        <f t="shared" ref="AH341:AH342" si="1077">IF($Q341="B", (F341*$N341),0)</f>
        <v>0</v>
      </c>
      <c r="AI341" s="235"/>
      <c r="AJ341" s="132"/>
      <c r="AK341" s="132"/>
      <c r="AL341" s="166"/>
      <c r="AM341" s="131">
        <f t="shared" ref="AM341:AM342" si="1078">IF($Q341="C", (G341*$N341),0)</f>
        <v>0</v>
      </c>
      <c r="AN341" s="132">
        <f t="shared" ref="AN341:AN342" si="1079">IF($Q341="C", (H341*$N341),0)</f>
        <v>4</v>
      </c>
      <c r="AO341" s="132">
        <f t="shared" ref="AO341:AO342" si="1080">IF($Q341="C", (I341*$N341),0)</f>
        <v>0</v>
      </c>
      <c r="AP341" s="132">
        <f t="shared" ref="AP341:AP342" si="1081">IF($Q341="C", (J341*$N341),0)</f>
        <v>0</v>
      </c>
      <c r="AQ341" s="132">
        <f t="shared" ref="AQ341:AQ342" si="1082">IF($Q341="C", (K341*$N341),0)</f>
        <v>0</v>
      </c>
      <c r="AR341" s="132">
        <f t="shared" ref="AR341:AR342" si="1083">IF($Q341="C", (F341*$N341),0)</f>
        <v>500</v>
      </c>
      <c r="AS341" s="235"/>
    </row>
    <row r="342" spans="1:45" s="20" customFormat="1">
      <c r="A342" s="46" t="s">
        <v>246</v>
      </c>
      <c r="B342" s="20" t="s">
        <v>34</v>
      </c>
      <c r="C342" s="165">
        <v>0</v>
      </c>
      <c r="D342" s="96" t="s">
        <v>9</v>
      </c>
      <c r="E342" s="166">
        <v>0</v>
      </c>
      <c r="F342" s="167">
        <f t="shared" si="1067"/>
        <v>0</v>
      </c>
      <c r="G342" s="168">
        <v>0</v>
      </c>
      <c r="H342" s="168">
        <v>32</v>
      </c>
      <c r="I342" s="168">
        <v>0</v>
      </c>
      <c r="J342" s="168">
        <v>0</v>
      </c>
      <c r="K342" s="169">
        <v>0</v>
      </c>
      <c r="L342" s="96" t="s">
        <v>8</v>
      </c>
      <c r="M342" s="166">
        <f t="shared" si="1068"/>
        <v>3032.6400000000003</v>
      </c>
      <c r="N342" s="92">
        <v>1</v>
      </c>
      <c r="O342" s="170">
        <f t="shared" si="1069"/>
        <v>3032.6400000000003</v>
      </c>
      <c r="P342" s="170"/>
      <c r="Q342" s="52" t="s">
        <v>48</v>
      </c>
      <c r="R342" s="71" t="s">
        <v>77</v>
      </c>
      <c r="S342" s="137" t="str">
        <f t="shared" si="1070"/>
        <v>CPD2011</v>
      </c>
      <c r="T342" s="137" t="str">
        <f t="shared" si="1071"/>
        <v>C1.5.1.3.32011</v>
      </c>
      <c r="U342" s="137" t="s">
        <v>221</v>
      </c>
      <c r="V342" s="137" t="str">
        <f>LOOKUP(U342,$B$539:$B$574,$A$539:$A$574)</f>
        <v>Alternate Beam Pipe Support</v>
      </c>
      <c r="AB342" s="33">
        <v>2011</v>
      </c>
      <c r="AC342" s="132">
        <f t="shared" si="1072"/>
        <v>0</v>
      </c>
      <c r="AD342" s="132">
        <f t="shared" si="1073"/>
        <v>0</v>
      </c>
      <c r="AE342" s="132">
        <f t="shared" si="1074"/>
        <v>0</v>
      </c>
      <c r="AF342" s="132">
        <f t="shared" si="1075"/>
        <v>0</v>
      </c>
      <c r="AG342" s="132">
        <f t="shared" si="1076"/>
        <v>0</v>
      </c>
      <c r="AH342" s="234">
        <f t="shared" si="1077"/>
        <v>0</v>
      </c>
      <c r="AI342" s="235"/>
      <c r="AJ342" s="132"/>
      <c r="AK342" s="132"/>
      <c r="AL342" s="166"/>
      <c r="AM342" s="131">
        <f t="shared" si="1078"/>
        <v>0</v>
      </c>
      <c r="AN342" s="132">
        <f t="shared" si="1079"/>
        <v>32</v>
      </c>
      <c r="AO342" s="132">
        <f t="shared" si="1080"/>
        <v>0</v>
      </c>
      <c r="AP342" s="132">
        <f t="shared" si="1081"/>
        <v>0</v>
      </c>
      <c r="AQ342" s="132">
        <f t="shared" si="1082"/>
        <v>0</v>
      </c>
      <c r="AR342" s="132">
        <f t="shared" si="1083"/>
        <v>0</v>
      </c>
      <c r="AS342" s="235"/>
    </row>
    <row r="343" spans="1:45" s="20" customFormat="1">
      <c r="A343" s="47" t="s">
        <v>399</v>
      </c>
      <c r="C343" s="165"/>
      <c r="D343" s="96"/>
      <c r="E343" s="57"/>
      <c r="F343" s="58"/>
      <c r="G343" s="59"/>
      <c r="H343" s="59"/>
      <c r="I343" s="59"/>
      <c r="J343" s="59"/>
      <c r="K343" s="60"/>
      <c r="L343" s="217" t="s">
        <v>66</v>
      </c>
      <c r="M343" s="177">
        <f>SUMIF(Q338:Q342,"B",M338:M342)</f>
        <v>0</v>
      </c>
      <c r="N343" s="65" t="s">
        <v>65</v>
      </c>
      <c r="O343" s="170"/>
      <c r="P343" s="170"/>
      <c r="Q343" s="52"/>
      <c r="R343" s="71"/>
      <c r="S343" s="137"/>
      <c r="T343" s="137"/>
      <c r="U343" s="137"/>
      <c r="V343" s="137"/>
      <c r="AB343" s="33"/>
      <c r="AC343" s="132"/>
      <c r="AD343" s="132"/>
      <c r="AE343" s="135"/>
      <c r="AF343" s="132"/>
      <c r="AG343" s="132"/>
      <c r="AH343" s="234"/>
      <c r="AI343" s="235"/>
      <c r="AJ343" s="132"/>
      <c r="AK343" s="132"/>
      <c r="AL343" s="166"/>
      <c r="AM343" s="131"/>
      <c r="AN343" s="132"/>
      <c r="AO343" s="132"/>
      <c r="AP343" s="132"/>
      <c r="AQ343" s="132"/>
      <c r="AR343" s="132"/>
      <c r="AS343" s="235"/>
    </row>
    <row r="344" spans="1:45" s="20" customFormat="1">
      <c r="A344" s="46" t="s">
        <v>394</v>
      </c>
      <c r="B344" s="20" t="s">
        <v>34</v>
      </c>
      <c r="C344" s="165">
        <v>0.03</v>
      </c>
      <c r="D344" s="96" t="s">
        <v>9</v>
      </c>
      <c r="E344" s="166">
        <v>0</v>
      </c>
      <c r="F344" s="167">
        <f t="shared" ref="F344:F355" si="1084">E344*C344</f>
        <v>0</v>
      </c>
      <c r="G344" s="168">
        <v>0</v>
      </c>
      <c r="H344" s="168">
        <v>0</v>
      </c>
      <c r="I344" s="168">
        <v>0</v>
      </c>
      <c r="J344" s="168">
        <v>32</v>
      </c>
      <c r="K344" s="169">
        <v>0</v>
      </c>
      <c r="L344" s="96" t="s">
        <v>8</v>
      </c>
      <c r="M344" s="166">
        <f t="shared" ref="M344:M355" si="1085">IF(R344="PD",((Shop*G344)+(M_Tech*H344)+(CMM*I344)+(ENG*J344)+(DES*K344))*N344,((Shop_RD*G344)+(MTECH_RD*H344)+(CMM_RD*I344)+(ENG_RD*J344)+(DES_RD*K344))*N344)</f>
        <v>3888.0000000000005</v>
      </c>
      <c r="N344" s="92">
        <v>1</v>
      </c>
      <c r="O344" s="170">
        <f t="shared" ref="O344:O355" si="1086">M344+(F344*N344)</f>
        <v>3888.0000000000005</v>
      </c>
      <c r="P344" s="170"/>
      <c r="Q344" s="52" t="s">
        <v>47</v>
      </c>
      <c r="R344" s="71" t="s">
        <v>77</v>
      </c>
      <c r="S344" s="137" t="str">
        <f t="shared" ref="S344:S355" si="1087">CONCATENATE(Q344,R344,AB344)</f>
        <v>BPDSTAR</v>
      </c>
      <c r="T344" s="137" t="str">
        <f t="shared" ref="T344:T355" si="1088">CONCATENATE(Q344,U344,AB344)</f>
        <v>B1.5.1.3.2STAR</v>
      </c>
      <c r="U344" s="137" t="s">
        <v>220</v>
      </c>
      <c r="V344" s="137" t="str">
        <f t="shared" ref="V344:V359" si="1089">LOOKUP(U344,$B$539:$B$574,$A$539:$A$574)</f>
        <v>Internal Support (Low Mass)</v>
      </c>
      <c r="AB344" s="33" t="s">
        <v>162</v>
      </c>
      <c r="AC344" s="132">
        <f t="shared" ref="AC344:AC359" si="1090">IF($Q344="B", (G344*$N344),0)</f>
        <v>0</v>
      </c>
      <c r="AD344" s="132">
        <f t="shared" ref="AD344:AD359" si="1091">IF($Q344="B", (H344*$N344),0)</f>
        <v>0</v>
      </c>
      <c r="AE344" s="132">
        <f t="shared" ref="AE344:AE359" si="1092">IF($Q344="B", (I344*$N344),0)</f>
        <v>0</v>
      </c>
      <c r="AF344" s="132">
        <f t="shared" ref="AF344:AF359" si="1093">IF($Q344="B", (J344*$N344),0)</f>
        <v>32</v>
      </c>
      <c r="AG344" s="132">
        <f t="shared" ref="AG344:AG359" si="1094">IF($Q344="B", (K344*$N344),0)</f>
        <v>0</v>
      </c>
      <c r="AH344" s="234">
        <f t="shared" ref="AH344:AH355" si="1095">IF($Q344="B", (F344*$N344),0)</f>
        <v>0</v>
      </c>
      <c r="AI344" s="235"/>
      <c r="AJ344" s="132"/>
      <c r="AK344" s="132"/>
      <c r="AL344" s="166"/>
      <c r="AM344" s="131">
        <f t="shared" ref="AM344:AM359" si="1096">IF($Q344="C", (G344*$N344),0)</f>
        <v>0</v>
      </c>
      <c r="AN344" s="132">
        <f t="shared" ref="AN344:AN359" si="1097">IF($Q344="C", (H344*$N344),0)</f>
        <v>0</v>
      </c>
      <c r="AO344" s="132">
        <f t="shared" ref="AO344:AO359" si="1098">IF($Q344="C", (I344*$N344),0)</f>
        <v>0</v>
      </c>
      <c r="AP344" s="132">
        <f t="shared" ref="AP344:AP359" si="1099">IF($Q344="C", (J344*$N344),0)</f>
        <v>0</v>
      </c>
      <c r="AQ344" s="132">
        <f t="shared" ref="AQ344:AQ359" si="1100">IF($Q344="C", (K344*$N344),0)</f>
        <v>0</v>
      </c>
      <c r="AR344" s="132">
        <f t="shared" ref="AR344:AR355" si="1101">IF($Q344="C", (F344*$N344),0)</f>
        <v>0</v>
      </c>
      <c r="AS344" s="235"/>
    </row>
    <row r="345" spans="1:45" s="20" customFormat="1">
      <c r="A345" s="46" t="s">
        <v>412</v>
      </c>
      <c r="B345" s="20" t="s">
        <v>34</v>
      </c>
      <c r="C345" s="165">
        <v>0.03</v>
      </c>
      <c r="D345" s="96" t="s">
        <v>9</v>
      </c>
      <c r="E345" s="166">
        <v>0</v>
      </c>
      <c r="F345" s="167">
        <f t="shared" si="1084"/>
        <v>0</v>
      </c>
      <c r="G345" s="168">
        <v>0</v>
      </c>
      <c r="H345" s="168">
        <v>0</v>
      </c>
      <c r="I345" s="168">
        <v>0</v>
      </c>
      <c r="J345" s="168">
        <v>60</v>
      </c>
      <c r="K345" s="169">
        <v>0</v>
      </c>
      <c r="L345" s="96" t="s">
        <v>8</v>
      </c>
      <c r="M345" s="166">
        <f t="shared" si="1085"/>
        <v>7290.0000000000009</v>
      </c>
      <c r="N345" s="92">
        <v>1</v>
      </c>
      <c r="O345" s="170">
        <f t="shared" si="1086"/>
        <v>7290.0000000000009</v>
      </c>
      <c r="P345" s="170"/>
      <c r="Q345" s="52" t="s">
        <v>47</v>
      </c>
      <c r="R345" s="71" t="s">
        <v>77</v>
      </c>
      <c r="S345" s="137" t="str">
        <f t="shared" si="1087"/>
        <v>BPD2011</v>
      </c>
      <c r="T345" s="137" t="str">
        <f t="shared" si="1088"/>
        <v>B1.5.1.3.22011</v>
      </c>
      <c r="U345" s="137" t="s">
        <v>220</v>
      </c>
      <c r="V345" s="137" t="str">
        <f t="shared" si="1089"/>
        <v>Internal Support (Low Mass)</v>
      </c>
      <c r="AB345" s="33">
        <v>2011</v>
      </c>
      <c r="AC345" s="132">
        <f t="shared" si="1090"/>
        <v>0</v>
      </c>
      <c r="AD345" s="132">
        <f t="shared" si="1091"/>
        <v>0</v>
      </c>
      <c r="AE345" s="132">
        <f t="shared" si="1092"/>
        <v>0</v>
      </c>
      <c r="AF345" s="132">
        <f t="shared" si="1093"/>
        <v>60</v>
      </c>
      <c r="AG345" s="132">
        <f t="shared" si="1094"/>
        <v>0</v>
      </c>
      <c r="AH345" s="234">
        <f t="shared" si="1095"/>
        <v>0</v>
      </c>
      <c r="AI345" s="235"/>
      <c r="AJ345" s="132"/>
      <c r="AK345" s="132"/>
      <c r="AL345" s="166"/>
      <c r="AM345" s="131">
        <f t="shared" si="1096"/>
        <v>0</v>
      </c>
      <c r="AN345" s="132">
        <f t="shared" si="1097"/>
        <v>0</v>
      </c>
      <c r="AO345" s="132">
        <f t="shared" si="1098"/>
        <v>0</v>
      </c>
      <c r="AP345" s="132">
        <f t="shared" si="1099"/>
        <v>0</v>
      </c>
      <c r="AQ345" s="132">
        <f t="shared" si="1100"/>
        <v>0</v>
      </c>
      <c r="AR345" s="132">
        <f t="shared" si="1101"/>
        <v>0</v>
      </c>
      <c r="AS345" s="235"/>
    </row>
    <row r="346" spans="1:45" s="20" customFormat="1">
      <c r="A346" s="46" t="s">
        <v>400</v>
      </c>
      <c r="B346" s="20" t="s">
        <v>401</v>
      </c>
      <c r="C346" s="165">
        <v>2</v>
      </c>
      <c r="D346" s="96" t="s">
        <v>39</v>
      </c>
      <c r="E346" s="166">
        <v>600</v>
      </c>
      <c r="F346" s="167">
        <f t="shared" si="1084"/>
        <v>1200</v>
      </c>
      <c r="G346" s="417">
        <v>8</v>
      </c>
      <c r="H346" s="168">
        <v>8</v>
      </c>
      <c r="I346" s="168">
        <v>0</v>
      </c>
      <c r="J346" s="417">
        <f>0.5*G346</f>
        <v>4</v>
      </c>
      <c r="K346" s="169">
        <v>0</v>
      </c>
      <c r="L346" s="96" t="s">
        <v>8</v>
      </c>
      <c r="M346" s="166">
        <f t="shared" si="1085"/>
        <v>4121.2800000000007</v>
      </c>
      <c r="N346" s="92">
        <v>2</v>
      </c>
      <c r="O346" s="170">
        <f t="shared" si="1086"/>
        <v>6521.2800000000007</v>
      </c>
      <c r="P346" s="170"/>
      <c r="Q346" s="52" t="s">
        <v>47</v>
      </c>
      <c r="R346" s="71" t="s">
        <v>77</v>
      </c>
      <c r="S346" s="137" t="str">
        <f t="shared" si="1087"/>
        <v>BPD2011</v>
      </c>
      <c r="T346" s="137" t="str">
        <f t="shared" si="1088"/>
        <v>B1.5.1.3.22011</v>
      </c>
      <c r="U346" s="137" t="s">
        <v>220</v>
      </c>
      <c r="V346" s="137" t="str">
        <f t="shared" si="1089"/>
        <v>Internal Support (Low Mass)</v>
      </c>
      <c r="AB346" s="33">
        <v>2011</v>
      </c>
      <c r="AC346" s="132">
        <f t="shared" si="1090"/>
        <v>16</v>
      </c>
      <c r="AD346" s="132">
        <f t="shared" si="1091"/>
        <v>16</v>
      </c>
      <c r="AE346" s="132">
        <f t="shared" si="1092"/>
        <v>0</v>
      </c>
      <c r="AF346" s="132">
        <f t="shared" si="1093"/>
        <v>8</v>
      </c>
      <c r="AG346" s="132">
        <f t="shared" si="1094"/>
        <v>0</v>
      </c>
      <c r="AH346" s="234">
        <f t="shared" si="1095"/>
        <v>2400</v>
      </c>
      <c r="AI346" s="235"/>
      <c r="AJ346" s="132"/>
      <c r="AK346" s="132"/>
      <c r="AL346" s="166"/>
      <c r="AM346" s="131">
        <f t="shared" si="1096"/>
        <v>0</v>
      </c>
      <c r="AN346" s="132">
        <f t="shared" si="1097"/>
        <v>0</v>
      </c>
      <c r="AO346" s="132">
        <f t="shared" si="1098"/>
        <v>0</v>
      </c>
      <c r="AP346" s="132">
        <f t="shared" si="1099"/>
        <v>0</v>
      </c>
      <c r="AQ346" s="132">
        <f t="shared" si="1100"/>
        <v>0</v>
      </c>
      <c r="AR346" s="132">
        <f t="shared" si="1101"/>
        <v>0</v>
      </c>
      <c r="AS346" s="235"/>
    </row>
    <row r="347" spans="1:45" s="20" customFormat="1">
      <c r="A347" s="46" t="s">
        <v>402</v>
      </c>
      <c r="B347" s="20" t="s">
        <v>401</v>
      </c>
      <c r="C347" s="165">
        <v>2</v>
      </c>
      <c r="D347" s="96" t="s">
        <v>39</v>
      </c>
      <c r="E347" s="166">
        <v>600</v>
      </c>
      <c r="F347" s="167">
        <f t="shared" si="1084"/>
        <v>1200</v>
      </c>
      <c r="G347" s="417">
        <v>0</v>
      </c>
      <c r="H347" s="168">
        <v>0</v>
      </c>
      <c r="I347" s="168">
        <v>0</v>
      </c>
      <c r="J347" s="168">
        <v>0</v>
      </c>
      <c r="K347" s="169">
        <v>0</v>
      </c>
      <c r="L347" s="96" t="s">
        <v>8</v>
      </c>
      <c r="M347" s="166">
        <f t="shared" si="1085"/>
        <v>0</v>
      </c>
      <c r="N347" s="92">
        <v>3</v>
      </c>
      <c r="O347" s="170">
        <f t="shared" si="1086"/>
        <v>3600</v>
      </c>
      <c r="P347" s="170"/>
      <c r="Q347" s="52" t="s">
        <v>47</v>
      </c>
      <c r="R347" s="71" t="s">
        <v>77</v>
      </c>
      <c r="S347" s="137" t="str">
        <f t="shared" si="1087"/>
        <v>BPD2011</v>
      </c>
      <c r="T347" s="137" t="str">
        <f t="shared" si="1088"/>
        <v>B1.5.1.3.22011</v>
      </c>
      <c r="U347" s="137" t="s">
        <v>220</v>
      </c>
      <c r="V347" s="137" t="str">
        <f t="shared" si="1089"/>
        <v>Internal Support (Low Mass)</v>
      </c>
      <c r="AB347" s="33">
        <v>2011</v>
      </c>
      <c r="AC347" s="132">
        <f t="shared" si="1090"/>
        <v>0</v>
      </c>
      <c r="AD347" s="132">
        <f t="shared" si="1091"/>
        <v>0</v>
      </c>
      <c r="AE347" s="132">
        <f t="shared" si="1092"/>
        <v>0</v>
      </c>
      <c r="AF347" s="132">
        <f t="shared" si="1093"/>
        <v>0</v>
      </c>
      <c r="AG347" s="132">
        <f t="shared" si="1094"/>
        <v>0</v>
      </c>
      <c r="AH347" s="234">
        <f t="shared" si="1095"/>
        <v>3600</v>
      </c>
      <c r="AI347" s="235"/>
      <c r="AJ347" s="132"/>
      <c r="AK347" s="132"/>
      <c r="AL347" s="166"/>
      <c r="AM347" s="131">
        <f t="shared" si="1096"/>
        <v>0</v>
      </c>
      <c r="AN347" s="132">
        <f t="shared" si="1097"/>
        <v>0</v>
      </c>
      <c r="AO347" s="132">
        <f t="shared" si="1098"/>
        <v>0</v>
      </c>
      <c r="AP347" s="132">
        <f t="shared" si="1099"/>
        <v>0</v>
      </c>
      <c r="AQ347" s="132">
        <f t="shared" si="1100"/>
        <v>0</v>
      </c>
      <c r="AR347" s="132">
        <f t="shared" si="1101"/>
        <v>0</v>
      </c>
      <c r="AS347" s="235"/>
    </row>
    <row r="348" spans="1:45" s="20" customFormat="1">
      <c r="A348" s="46" t="s">
        <v>403</v>
      </c>
      <c r="B348" s="20" t="s">
        <v>401</v>
      </c>
      <c r="C348" s="165">
        <v>2</v>
      </c>
      <c r="D348" s="96" t="s">
        <v>39</v>
      </c>
      <c r="E348" s="166">
        <v>600</v>
      </c>
      <c r="F348" s="167">
        <f t="shared" si="1084"/>
        <v>1200</v>
      </c>
      <c r="G348" s="417">
        <v>24</v>
      </c>
      <c r="H348" s="168">
        <v>0</v>
      </c>
      <c r="I348" s="168">
        <v>0</v>
      </c>
      <c r="J348" s="417">
        <f>0.5*G348</f>
        <v>12</v>
      </c>
      <c r="K348" s="169">
        <v>0</v>
      </c>
      <c r="L348" s="96" t="s">
        <v>8</v>
      </c>
      <c r="M348" s="166">
        <f t="shared" si="1085"/>
        <v>11722.320000000002</v>
      </c>
      <c r="N348" s="92">
        <v>3</v>
      </c>
      <c r="O348" s="170">
        <f t="shared" si="1086"/>
        <v>15322.320000000002</v>
      </c>
      <c r="P348" s="170"/>
      <c r="Q348" s="52" t="s">
        <v>48</v>
      </c>
      <c r="R348" s="71" t="s">
        <v>77</v>
      </c>
      <c r="S348" s="137" t="str">
        <f t="shared" si="1087"/>
        <v>CPD2011</v>
      </c>
      <c r="T348" s="137" t="str">
        <f t="shared" si="1088"/>
        <v>C1.5.1.3.22011</v>
      </c>
      <c r="U348" s="137" t="s">
        <v>220</v>
      </c>
      <c r="V348" s="137" t="str">
        <f t="shared" si="1089"/>
        <v>Internal Support (Low Mass)</v>
      </c>
      <c r="AB348" s="33">
        <v>2011</v>
      </c>
      <c r="AC348" s="132">
        <f t="shared" ref="AC348:AC350" si="1102">IF($Q348="B", (G348*$N348),0)</f>
        <v>0</v>
      </c>
      <c r="AD348" s="132">
        <f t="shared" ref="AD348:AD350" si="1103">IF($Q348="B", (H348*$N348),0)</f>
        <v>0</v>
      </c>
      <c r="AE348" s="132">
        <f t="shared" ref="AE348:AE350" si="1104">IF($Q348="B", (I348*$N348),0)</f>
        <v>0</v>
      </c>
      <c r="AF348" s="132">
        <f t="shared" ref="AF348:AF350" si="1105">IF($Q348="B", (J348*$N348),0)</f>
        <v>0</v>
      </c>
      <c r="AG348" s="132">
        <f t="shared" ref="AG348:AG350" si="1106">IF($Q348="B", (K348*$N348),0)</f>
        <v>0</v>
      </c>
      <c r="AH348" s="234">
        <f t="shared" si="1095"/>
        <v>0</v>
      </c>
      <c r="AI348" s="235"/>
      <c r="AJ348" s="132"/>
      <c r="AK348" s="132"/>
      <c r="AL348" s="166"/>
      <c r="AM348" s="131">
        <f t="shared" ref="AM348:AM350" si="1107">IF($Q348="C", (G348*$N348),0)</f>
        <v>72</v>
      </c>
      <c r="AN348" s="132">
        <f t="shared" ref="AN348:AN350" si="1108">IF($Q348="C", (H348*$N348),0)</f>
        <v>0</v>
      </c>
      <c r="AO348" s="132">
        <f t="shared" ref="AO348:AO350" si="1109">IF($Q348="C", (I348*$N348),0)</f>
        <v>0</v>
      </c>
      <c r="AP348" s="132">
        <f t="shared" ref="AP348:AP350" si="1110">IF($Q348="C", (J348*$N348),0)</f>
        <v>36</v>
      </c>
      <c r="AQ348" s="132">
        <f t="shared" ref="AQ348:AQ350" si="1111">IF($Q348="C", (K348*$N348),0)</f>
        <v>0</v>
      </c>
      <c r="AR348" s="132">
        <f t="shared" si="1101"/>
        <v>3600</v>
      </c>
      <c r="AS348" s="235"/>
    </row>
    <row r="349" spans="1:45" s="20" customFormat="1">
      <c r="A349" s="46" t="s">
        <v>404</v>
      </c>
      <c r="B349" s="20" t="s">
        <v>7</v>
      </c>
      <c r="C349" s="165">
        <v>15</v>
      </c>
      <c r="D349" s="96" t="s">
        <v>39</v>
      </c>
      <c r="E349" s="166">
        <v>8</v>
      </c>
      <c r="F349" s="167">
        <f t="shared" si="1084"/>
        <v>120</v>
      </c>
      <c r="G349" s="417">
        <v>8</v>
      </c>
      <c r="H349" s="168">
        <v>8</v>
      </c>
      <c r="I349" s="168">
        <v>0</v>
      </c>
      <c r="J349" s="417">
        <f>0.5*G349</f>
        <v>4</v>
      </c>
      <c r="K349" s="169">
        <v>0</v>
      </c>
      <c r="L349" s="96" t="s">
        <v>8</v>
      </c>
      <c r="M349" s="166">
        <f t="shared" si="1085"/>
        <v>2060.6400000000003</v>
      </c>
      <c r="N349" s="92">
        <v>1</v>
      </c>
      <c r="O349" s="170">
        <f t="shared" si="1086"/>
        <v>2180.6400000000003</v>
      </c>
      <c r="P349" s="170"/>
      <c r="Q349" s="52" t="s">
        <v>47</v>
      </c>
      <c r="R349" s="71" t="s">
        <v>77</v>
      </c>
      <c r="S349" s="137" t="str">
        <f t="shared" si="1087"/>
        <v>BPD2011</v>
      </c>
      <c r="T349" s="137" t="str">
        <f t="shared" si="1088"/>
        <v>B1.5.1.3.22011</v>
      </c>
      <c r="U349" s="137" t="s">
        <v>220</v>
      </c>
      <c r="V349" s="137" t="str">
        <f t="shared" si="1089"/>
        <v>Internal Support (Low Mass)</v>
      </c>
      <c r="AB349" s="33">
        <v>2011</v>
      </c>
      <c r="AC349" s="132">
        <f t="shared" si="1102"/>
        <v>8</v>
      </c>
      <c r="AD349" s="132">
        <f t="shared" si="1103"/>
        <v>8</v>
      </c>
      <c r="AE349" s="132">
        <f t="shared" si="1104"/>
        <v>0</v>
      </c>
      <c r="AF349" s="132">
        <f t="shared" si="1105"/>
        <v>4</v>
      </c>
      <c r="AG349" s="132">
        <f t="shared" si="1106"/>
        <v>0</v>
      </c>
      <c r="AH349" s="234">
        <f t="shared" si="1095"/>
        <v>120</v>
      </c>
      <c r="AI349" s="235"/>
      <c r="AJ349" s="132"/>
      <c r="AK349" s="132"/>
      <c r="AL349" s="166"/>
      <c r="AM349" s="131">
        <f t="shared" si="1107"/>
        <v>0</v>
      </c>
      <c r="AN349" s="132">
        <f t="shared" si="1108"/>
        <v>0</v>
      </c>
      <c r="AO349" s="132">
        <f t="shared" si="1109"/>
        <v>0</v>
      </c>
      <c r="AP349" s="132">
        <f t="shared" si="1110"/>
        <v>0</v>
      </c>
      <c r="AQ349" s="132">
        <f t="shared" si="1111"/>
        <v>0</v>
      </c>
      <c r="AR349" s="132">
        <f t="shared" si="1101"/>
        <v>0</v>
      </c>
      <c r="AS349" s="235"/>
    </row>
    <row r="350" spans="1:45" s="20" customFormat="1">
      <c r="A350" s="46" t="s">
        <v>405</v>
      </c>
      <c r="B350" s="20" t="s">
        <v>7</v>
      </c>
      <c r="C350" s="165">
        <v>25</v>
      </c>
      <c r="D350" s="96" t="s">
        <v>39</v>
      </c>
      <c r="E350" s="166">
        <v>8</v>
      </c>
      <c r="F350" s="167">
        <f t="shared" si="1084"/>
        <v>200</v>
      </c>
      <c r="G350" s="417">
        <v>0</v>
      </c>
      <c r="H350" s="168">
        <v>0</v>
      </c>
      <c r="I350" s="168">
        <v>0</v>
      </c>
      <c r="J350" s="168">
        <v>0</v>
      </c>
      <c r="K350" s="169">
        <v>0</v>
      </c>
      <c r="L350" s="96" t="s">
        <v>8</v>
      </c>
      <c r="M350" s="166">
        <f t="shared" si="1085"/>
        <v>0</v>
      </c>
      <c r="N350" s="92">
        <v>1</v>
      </c>
      <c r="O350" s="170">
        <f t="shared" si="1086"/>
        <v>200</v>
      </c>
      <c r="P350" s="170"/>
      <c r="Q350" s="52" t="s">
        <v>47</v>
      </c>
      <c r="R350" s="71" t="s">
        <v>77</v>
      </c>
      <c r="S350" s="137" t="str">
        <f t="shared" si="1087"/>
        <v>BPD2011</v>
      </c>
      <c r="T350" s="137" t="str">
        <f t="shared" si="1088"/>
        <v>B1.5.1.3.22011</v>
      </c>
      <c r="U350" s="137" t="s">
        <v>220</v>
      </c>
      <c r="V350" s="137" t="str">
        <f t="shared" si="1089"/>
        <v>Internal Support (Low Mass)</v>
      </c>
      <c r="AB350" s="33">
        <v>2011</v>
      </c>
      <c r="AC350" s="132">
        <f t="shared" si="1102"/>
        <v>0</v>
      </c>
      <c r="AD350" s="132">
        <f t="shared" si="1103"/>
        <v>0</v>
      </c>
      <c r="AE350" s="132">
        <f t="shared" si="1104"/>
        <v>0</v>
      </c>
      <c r="AF350" s="132">
        <f t="shared" si="1105"/>
        <v>0</v>
      </c>
      <c r="AG350" s="132">
        <f t="shared" si="1106"/>
        <v>0</v>
      </c>
      <c r="AH350" s="234">
        <f t="shared" si="1095"/>
        <v>200</v>
      </c>
      <c r="AI350" s="235"/>
      <c r="AJ350" s="132"/>
      <c r="AK350" s="132"/>
      <c r="AL350" s="166"/>
      <c r="AM350" s="131">
        <f t="shared" si="1107"/>
        <v>0</v>
      </c>
      <c r="AN350" s="132">
        <f t="shared" si="1108"/>
        <v>0</v>
      </c>
      <c r="AO350" s="132">
        <f t="shared" si="1109"/>
        <v>0</v>
      </c>
      <c r="AP350" s="132">
        <f t="shared" si="1110"/>
        <v>0</v>
      </c>
      <c r="AQ350" s="132">
        <f t="shared" si="1111"/>
        <v>0</v>
      </c>
      <c r="AR350" s="132">
        <f t="shared" si="1101"/>
        <v>0</v>
      </c>
      <c r="AS350" s="235"/>
    </row>
    <row r="351" spans="1:45" s="20" customFormat="1">
      <c r="A351" s="46" t="s">
        <v>406</v>
      </c>
      <c r="B351" s="20" t="s">
        <v>7</v>
      </c>
      <c r="C351" s="165">
        <v>25</v>
      </c>
      <c r="D351" s="96" t="s">
        <v>39</v>
      </c>
      <c r="E351" s="166">
        <v>8</v>
      </c>
      <c r="F351" s="167">
        <f t="shared" si="1084"/>
        <v>200</v>
      </c>
      <c r="G351" s="417">
        <v>16</v>
      </c>
      <c r="H351" s="168">
        <v>0</v>
      </c>
      <c r="I351" s="168">
        <v>0</v>
      </c>
      <c r="J351" s="417">
        <f>0.5*G351</f>
        <v>8</v>
      </c>
      <c r="K351" s="169">
        <v>0</v>
      </c>
      <c r="L351" s="96" t="s">
        <v>8</v>
      </c>
      <c r="M351" s="166">
        <f t="shared" si="1085"/>
        <v>2604.96</v>
      </c>
      <c r="N351" s="92">
        <v>1</v>
      </c>
      <c r="O351" s="170">
        <f t="shared" si="1086"/>
        <v>2804.96</v>
      </c>
      <c r="P351" s="170"/>
      <c r="Q351" s="52" t="s">
        <v>48</v>
      </c>
      <c r="R351" s="71" t="s">
        <v>77</v>
      </c>
      <c r="S351" s="137" t="str">
        <f t="shared" si="1087"/>
        <v>CPD2011</v>
      </c>
      <c r="T351" s="137" t="str">
        <f t="shared" si="1088"/>
        <v>C1.5.1.3.22011</v>
      </c>
      <c r="U351" s="137" t="s">
        <v>220</v>
      </c>
      <c r="V351" s="137" t="str">
        <f t="shared" si="1089"/>
        <v>Internal Support (Low Mass)</v>
      </c>
      <c r="AB351" s="33">
        <v>2011</v>
      </c>
      <c r="AC351" s="132">
        <f t="shared" ref="AC351:AC354" si="1112">IF($Q351="B", (G351*$N351),0)</f>
        <v>0</v>
      </c>
      <c r="AD351" s="132">
        <f t="shared" ref="AD351:AD354" si="1113">IF($Q351="B", (H351*$N351),0)</f>
        <v>0</v>
      </c>
      <c r="AE351" s="132">
        <f t="shared" ref="AE351:AE354" si="1114">IF($Q351="B", (I351*$N351),0)</f>
        <v>0</v>
      </c>
      <c r="AF351" s="132">
        <f t="shared" ref="AF351:AF354" si="1115">IF($Q351="B", (J351*$N351),0)</f>
        <v>0</v>
      </c>
      <c r="AG351" s="132">
        <f t="shared" ref="AG351:AG354" si="1116">IF($Q351="B", (K351*$N351),0)</f>
        <v>0</v>
      </c>
      <c r="AH351" s="234">
        <f t="shared" si="1095"/>
        <v>0</v>
      </c>
      <c r="AI351" s="235"/>
      <c r="AJ351" s="132"/>
      <c r="AK351" s="132"/>
      <c r="AL351" s="166"/>
      <c r="AM351" s="131">
        <f t="shared" ref="AM351:AM354" si="1117">IF($Q351="C", (G351*$N351),0)</f>
        <v>16</v>
      </c>
      <c r="AN351" s="132">
        <f t="shared" ref="AN351:AN354" si="1118">IF($Q351="C", (H351*$N351),0)</f>
        <v>0</v>
      </c>
      <c r="AO351" s="132">
        <f t="shared" ref="AO351:AO354" si="1119">IF($Q351="C", (I351*$N351),0)</f>
        <v>0</v>
      </c>
      <c r="AP351" s="132">
        <f t="shared" ref="AP351:AP354" si="1120">IF($Q351="C", (J351*$N351),0)</f>
        <v>8</v>
      </c>
      <c r="AQ351" s="132">
        <f t="shared" ref="AQ351:AQ354" si="1121">IF($Q351="C", (K351*$N351),0)</f>
        <v>0</v>
      </c>
      <c r="AR351" s="132">
        <f t="shared" si="1101"/>
        <v>200</v>
      </c>
      <c r="AS351" s="235"/>
    </row>
    <row r="352" spans="1:45" s="20" customFormat="1">
      <c r="A352" s="46" t="s">
        <v>413</v>
      </c>
      <c r="B352" s="20" t="s">
        <v>34</v>
      </c>
      <c r="C352" s="165">
        <v>0.03</v>
      </c>
      <c r="D352" s="96" t="s">
        <v>9</v>
      </c>
      <c r="E352" s="166">
        <v>0</v>
      </c>
      <c r="F352" s="167">
        <f t="shared" si="1084"/>
        <v>0</v>
      </c>
      <c r="G352" s="168">
        <v>0</v>
      </c>
      <c r="H352" s="168">
        <v>0</v>
      </c>
      <c r="I352" s="168">
        <v>0</v>
      </c>
      <c r="J352" s="168">
        <v>40</v>
      </c>
      <c r="K352" s="169">
        <v>0</v>
      </c>
      <c r="L352" s="96" t="s">
        <v>8</v>
      </c>
      <c r="M352" s="166">
        <f t="shared" si="1085"/>
        <v>4860.0000000000009</v>
      </c>
      <c r="N352" s="92">
        <v>1</v>
      </c>
      <c r="O352" s="170">
        <f t="shared" si="1086"/>
        <v>4860.0000000000009</v>
      </c>
      <c r="P352" s="170"/>
      <c r="Q352" s="52" t="s">
        <v>47</v>
      </c>
      <c r="R352" s="71" t="s">
        <v>77</v>
      </c>
      <c r="S352" s="137" t="str">
        <f t="shared" si="1087"/>
        <v>BPD2011</v>
      </c>
      <c r="T352" s="137" t="str">
        <f t="shared" si="1088"/>
        <v>B1.5.1.3.22011</v>
      </c>
      <c r="U352" s="137" t="s">
        <v>220</v>
      </c>
      <c r="V352" s="137" t="str">
        <f t="shared" si="1089"/>
        <v>Internal Support (Low Mass)</v>
      </c>
      <c r="AB352" s="33">
        <v>2011</v>
      </c>
      <c r="AC352" s="132">
        <f t="shared" si="1112"/>
        <v>0</v>
      </c>
      <c r="AD352" s="132">
        <f t="shared" si="1113"/>
        <v>0</v>
      </c>
      <c r="AE352" s="132">
        <f t="shared" si="1114"/>
        <v>0</v>
      </c>
      <c r="AF352" s="132">
        <f t="shared" si="1115"/>
        <v>40</v>
      </c>
      <c r="AG352" s="132">
        <f t="shared" si="1116"/>
        <v>0</v>
      </c>
      <c r="AH352" s="234">
        <f t="shared" si="1095"/>
        <v>0</v>
      </c>
      <c r="AI352" s="235"/>
      <c r="AJ352" s="132"/>
      <c r="AK352" s="132"/>
      <c r="AL352" s="166"/>
      <c r="AM352" s="131">
        <f t="shared" si="1117"/>
        <v>0</v>
      </c>
      <c r="AN352" s="132">
        <f t="shared" si="1118"/>
        <v>0</v>
      </c>
      <c r="AO352" s="132">
        <f t="shared" si="1119"/>
        <v>0</v>
      </c>
      <c r="AP352" s="132">
        <f t="shared" si="1120"/>
        <v>0</v>
      </c>
      <c r="AQ352" s="132">
        <f t="shared" si="1121"/>
        <v>0</v>
      </c>
      <c r="AR352" s="132">
        <f t="shared" si="1101"/>
        <v>0</v>
      </c>
      <c r="AS352" s="235"/>
    </row>
    <row r="353" spans="1:45" s="20" customFormat="1">
      <c r="A353" s="46" t="s">
        <v>411</v>
      </c>
      <c r="B353" s="20" t="s">
        <v>7</v>
      </c>
      <c r="C353" s="165">
        <v>50</v>
      </c>
      <c r="D353" s="96" t="s">
        <v>39</v>
      </c>
      <c r="E353" s="166">
        <v>8</v>
      </c>
      <c r="F353" s="167">
        <f t="shared" si="1084"/>
        <v>400</v>
      </c>
      <c r="G353" s="417">
        <v>8</v>
      </c>
      <c r="H353" s="168">
        <v>8</v>
      </c>
      <c r="I353" s="168">
        <v>0</v>
      </c>
      <c r="J353" s="417">
        <f>0.5*G353</f>
        <v>4</v>
      </c>
      <c r="K353" s="169">
        <v>0</v>
      </c>
      <c r="L353" s="96" t="s">
        <v>8</v>
      </c>
      <c r="M353" s="166">
        <f t="shared" si="1085"/>
        <v>2060.6400000000003</v>
      </c>
      <c r="N353" s="92">
        <v>1</v>
      </c>
      <c r="O353" s="170">
        <f t="shared" si="1086"/>
        <v>2460.6400000000003</v>
      </c>
      <c r="P353" s="170"/>
      <c r="Q353" s="52" t="s">
        <v>47</v>
      </c>
      <c r="R353" s="71" t="s">
        <v>77</v>
      </c>
      <c r="S353" s="137" t="str">
        <f t="shared" si="1087"/>
        <v>BPD2011</v>
      </c>
      <c r="T353" s="137" t="str">
        <f t="shared" si="1088"/>
        <v>B1.5.1.3.22011</v>
      </c>
      <c r="U353" s="137" t="s">
        <v>220</v>
      </c>
      <c r="V353" s="137" t="str">
        <f t="shared" si="1089"/>
        <v>Internal Support (Low Mass)</v>
      </c>
      <c r="AB353" s="33">
        <v>2011</v>
      </c>
      <c r="AC353" s="132">
        <f t="shared" si="1112"/>
        <v>8</v>
      </c>
      <c r="AD353" s="132">
        <f t="shared" si="1113"/>
        <v>8</v>
      </c>
      <c r="AE353" s="132">
        <f t="shared" si="1114"/>
        <v>0</v>
      </c>
      <c r="AF353" s="132">
        <f t="shared" si="1115"/>
        <v>4</v>
      </c>
      <c r="AG353" s="132">
        <f t="shared" si="1116"/>
        <v>0</v>
      </c>
      <c r="AH353" s="234">
        <f t="shared" si="1095"/>
        <v>400</v>
      </c>
      <c r="AI353" s="235"/>
      <c r="AJ353" s="132"/>
      <c r="AK353" s="132"/>
      <c r="AL353" s="166"/>
      <c r="AM353" s="131">
        <f t="shared" si="1117"/>
        <v>0</v>
      </c>
      <c r="AN353" s="132">
        <f t="shared" si="1118"/>
        <v>0</v>
      </c>
      <c r="AO353" s="132">
        <f t="shared" si="1119"/>
        <v>0</v>
      </c>
      <c r="AP353" s="132">
        <f t="shared" si="1120"/>
        <v>0</v>
      </c>
      <c r="AQ353" s="132">
        <f t="shared" si="1121"/>
        <v>0</v>
      </c>
      <c r="AR353" s="132">
        <f t="shared" si="1101"/>
        <v>0</v>
      </c>
      <c r="AS353" s="235"/>
    </row>
    <row r="354" spans="1:45" s="20" customFormat="1">
      <c r="A354" s="46" t="s">
        <v>414</v>
      </c>
      <c r="B354" s="20" t="s">
        <v>58</v>
      </c>
      <c r="C354" s="165">
        <v>1</v>
      </c>
      <c r="D354" s="96" t="s">
        <v>59</v>
      </c>
      <c r="E354" s="166">
        <v>105</v>
      </c>
      <c r="F354" s="167">
        <f t="shared" si="1084"/>
        <v>105</v>
      </c>
      <c r="G354" s="168">
        <v>0</v>
      </c>
      <c r="H354" s="168">
        <v>16</v>
      </c>
      <c r="I354" s="168">
        <v>0</v>
      </c>
      <c r="J354" s="168">
        <v>2</v>
      </c>
      <c r="K354" s="169">
        <v>0</v>
      </c>
      <c r="L354" s="96" t="s">
        <v>8</v>
      </c>
      <c r="M354" s="166">
        <f t="shared" si="1085"/>
        <v>3518.6400000000003</v>
      </c>
      <c r="N354" s="92">
        <v>2</v>
      </c>
      <c r="O354" s="170">
        <f t="shared" si="1086"/>
        <v>3728.6400000000003</v>
      </c>
      <c r="P354" s="170"/>
      <c r="Q354" s="52" t="s">
        <v>47</v>
      </c>
      <c r="R354" s="71" t="s">
        <v>77</v>
      </c>
      <c r="S354" s="137" t="str">
        <f t="shared" si="1087"/>
        <v>BPD2011</v>
      </c>
      <c r="T354" s="137" t="str">
        <f t="shared" si="1088"/>
        <v>B1.5.1.3.22011</v>
      </c>
      <c r="U354" s="137" t="s">
        <v>220</v>
      </c>
      <c r="V354" s="137" t="str">
        <f t="shared" si="1089"/>
        <v>Internal Support (Low Mass)</v>
      </c>
      <c r="AB354" s="33">
        <v>2011</v>
      </c>
      <c r="AC354" s="132">
        <f t="shared" si="1112"/>
        <v>0</v>
      </c>
      <c r="AD354" s="132">
        <f t="shared" si="1113"/>
        <v>32</v>
      </c>
      <c r="AE354" s="132">
        <f t="shared" si="1114"/>
        <v>0</v>
      </c>
      <c r="AF354" s="132">
        <f t="shared" si="1115"/>
        <v>4</v>
      </c>
      <c r="AG354" s="132">
        <f t="shared" si="1116"/>
        <v>0</v>
      </c>
      <c r="AH354" s="234">
        <f t="shared" si="1095"/>
        <v>210</v>
      </c>
      <c r="AI354" s="235"/>
      <c r="AJ354" s="132"/>
      <c r="AK354" s="132"/>
      <c r="AL354" s="166"/>
      <c r="AM354" s="131">
        <f t="shared" si="1117"/>
        <v>0</v>
      </c>
      <c r="AN354" s="132">
        <f t="shared" si="1118"/>
        <v>0</v>
      </c>
      <c r="AO354" s="132">
        <f t="shared" si="1119"/>
        <v>0</v>
      </c>
      <c r="AP354" s="132">
        <f t="shared" si="1120"/>
        <v>0</v>
      </c>
      <c r="AQ354" s="132">
        <f t="shared" si="1121"/>
        <v>0</v>
      </c>
      <c r="AR354" s="132">
        <f t="shared" si="1101"/>
        <v>0</v>
      </c>
      <c r="AS354" s="235"/>
    </row>
    <row r="355" spans="1:45" s="20" customFormat="1">
      <c r="A355" s="46" t="s">
        <v>415</v>
      </c>
      <c r="B355" s="20" t="s">
        <v>58</v>
      </c>
      <c r="C355" s="165">
        <v>1</v>
      </c>
      <c r="D355" s="96" t="s">
        <v>59</v>
      </c>
      <c r="E355" s="166">
        <v>105</v>
      </c>
      <c r="F355" s="167">
        <f t="shared" si="1084"/>
        <v>105</v>
      </c>
      <c r="G355" s="168">
        <v>0</v>
      </c>
      <c r="H355" s="168">
        <v>16</v>
      </c>
      <c r="I355" s="168">
        <v>0</v>
      </c>
      <c r="J355" s="168">
        <v>2</v>
      </c>
      <c r="K355" s="169">
        <v>0</v>
      </c>
      <c r="L355" s="96" t="s">
        <v>8</v>
      </c>
      <c r="M355" s="166">
        <f t="shared" si="1085"/>
        <v>3518.6400000000003</v>
      </c>
      <c r="N355" s="92">
        <v>2</v>
      </c>
      <c r="O355" s="170">
        <f t="shared" si="1086"/>
        <v>3728.6400000000003</v>
      </c>
      <c r="P355" s="170"/>
      <c r="Q355" s="52" t="s">
        <v>48</v>
      </c>
      <c r="R355" s="71" t="s">
        <v>77</v>
      </c>
      <c r="S355" s="137" t="str">
        <f t="shared" si="1087"/>
        <v>CPD2011</v>
      </c>
      <c r="T355" s="137" t="str">
        <f t="shared" si="1088"/>
        <v>C1.5.1.3.22011</v>
      </c>
      <c r="U355" s="137" t="s">
        <v>220</v>
      </c>
      <c r="V355" s="137" t="str">
        <f t="shared" si="1089"/>
        <v>Internal Support (Low Mass)</v>
      </c>
      <c r="AB355" s="33">
        <v>2011</v>
      </c>
      <c r="AC355" s="132">
        <f t="shared" ref="AC355" si="1122">IF($Q355="B", (G355*$N355),0)</f>
        <v>0</v>
      </c>
      <c r="AD355" s="132">
        <f t="shared" ref="AD355" si="1123">IF($Q355="B", (H355*$N355),0)</f>
        <v>0</v>
      </c>
      <c r="AE355" s="132">
        <f t="shared" ref="AE355" si="1124">IF($Q355="B", (I355*$N355),0)</f>
        <v>0</v>
      </c>
      <c r="AF355" s="132">
        <f t="shared" ref="AF355" si="1125">IF($Q355="B", (J355*$N355),0)</f>
        <v>0</v>
      </c>
      <c r="AG355" s="132">
        <f t="shared" ref="AG355" si="1126">IF($Q355="B", (K355*$N355),0)</f>
        <v>0</v>
      </c>
      <c r="AH355" s="234">
        <f t="shared" si="1095"/>
        <v>0</v>
      </c>
      <c r="AI355" s="235"/>
      <c r="AJ355" s="132"/>
      <c r="AK355" s="132"/>
      <c r="AL355" s="166"/>
      <c r="AM355" s="131">
        <f t="shared" ref="AM355" si="1127">IF($Q355="C", (G355*$N355),0)</f>
        <v>0</v>
      </c>
      <c r="AN355" s="132">
        <f t="shared" ref="AN355" si="1128">IF($Q355="C", (H355*$N355),0)</f>
        <v>32</v>
      </c>
      <c r="AO355" s="132">
        <f t="shared" ref="AO355" si="1129">IF($Q355="C", (I355*$N355),0)</f>
        <v>0</v>
      </c>
      <c r="AP355" s="132">
        <f t="shared" ref="AP355" si="1130">IF($Q355="C", (J355*$N355),0)</f>
        <v>4</v>
      </c>
      <c r="AQ355" s="132">
        <f t="shared" ref="AQ355" si="1131">IF($Q355="C", (K355*$N355),0)</f>
        <v>0</v>
      </c>
      <c r="AR355" s="132">
        <f t="shared" si="1101"/>
        <v>210</v>
      </c>
      <c r="AS355" s="235"/>
    </row>
    <row r="356" spans="1:45" s="20" customFormat="1">
      <c r="A356" s="46" t="s">
        <v>408</v>
      </c>
      <c r="B356" s="20" t="s">
        <v>57</v>
      </c>
      <c r="C356" s="165">
        <v>1</v>
      </c>
      <c r="D356" s="96" t="s">
        <v>9</v>
      </c>
      <c r="E356" s="166">
        <v>500</v>
      </c>
      <c r="F356" s="167">
        <f t="shared" ref="F356:F359" si="1132">E356*C356</f>
        <v>500</v>
      </c>
      <c r="G356" s="168">
        <v>0</v>
      </c>
      <c r="H356" s="168">
        <v>4</v>
      </c>
      <c r="I356" s="168">
        <v>0</v>
      </c>
      <c r="J356" s="168">
        <v>0</v>
      </c>
      <c r="K356" s="169">
        <v>0</v>
      </c>
      <c r="L356" s="96" t="s">
        <v>8</v>
      </c>
      <c r="M356" s="166">
        <f t="shared" ref="M356:M359" si="1133">IF(R356="PD",((Shop*G356)+(M_Tech*H356)+(CMM*I356)+(ENG*J356)+(DES*K356))*N356,((Shop_RD*G356)+(MTECH_RD*H356)+(CMM_RD*I356)+(ENG_RD*J356)+(DES_RD*K356))*N356)</f>
        <v>379.08000000000004</v>
      </c>
      <c r="N356" s="92">
        <v>1</v>
      </c>
      <c r="O356" s="170">
        <f t="shared" ref="O356:O359" si="1134">M356+(F356*N356)</f>
        <v>879.08</v>
      </c>
      <c r="P356" s="170"/>
      <c r="Q356" s="52" t="s">
        <v>47</v>
      </c>
      <c r="R356" s="71" t="s">
        <v>77</v>
      </c>
      <c r="S356" s="137" t="str">
        <f t="shared" ref="S356:S359" si="1135">CONCATENATE(Q356,R356,AB356)</f>
        <v>BPD2011</v>
      </c>
      <c r="T356" s="137" t="str">
        <f t="shared" ref="T356:T359" si="1136">CONCATENATE(Q356,U356,AB356)</f>
        <v>B1.5.1.3.22011</v>
      </c>
      <c r="U356" s="137" t="s">
        <v>220</v>
      </c>
      <c r="V356" s="137" t="str">
        <f t="shared" si="1089"/>
        <v>Internal Support (Low Mass)</v>
      </c>
      <c r="AB356" s="33">
        <v>2011</v>
      </c>
      <c r="AC356" s="132">
        <f t="shared" si="1090"/>
        <v>0</v>
      </c>
      <c r="AD356" s="132">
        <f t="shared" si="1091"/>
        <v>4</v>
      </c>
      <c r="AE356" s="132">
        <f t="shared" si="1092"/>
        <v>0</v>
      </c>
      <c r="AF356" s="132">
        <f t="shared" si="1093"/>
        <v>0</v>
      </c>
      <c r="AG356" s="132">
        <f t="shared" si="1094"/>
        <v>0</v>
      </c>
      <c r="AH356" s="234">
        <f t="shared" ref="AH356:AH359" si="1137">IF($Q356="B", (F356*$N356),0)</f>
        <v>500</v>
      </c>
      <c r="AI356" s="235"/>
      <c r="AJ356" s="132"/>
      <c r="AK356" s="132"/>
      <c r="AL356" s="166"/>
      <c r="AM356" s="131">
        <f t="shared" si="1096"/>
        <v>0</v>
      </c>
      <c r="AN356" s="132">
        <f t="shared" si="1097"/>
        <v>0</v>
      </c>
      <c r="AO356" s="132">
        <f t="shared" si="1098"/>
        <v>0</v>
      </c>
      <c r="AP356" s="132">
        <f t="shared" si="1099"/>
        <v>0</v>
      </c>
      <c r="AQ356" s="132">
        <f t="shared" si="1100"/>
        <v>0</v>
      </c>
      <c r="AR356" s="132">
        <f t="shared" ref="AR356:AR359" si="1138">IF($Q356="C", (F356*$N356),0)</f>
        <v>0</v>
      </c>
      <c r="AS356" s="235"/>
    </row>
    <row r="357" spans="1:45" s="20" customFormat="1">
      <c r="A357" s="46" t="s">
        <v>409</v>
      </c>
      <c r="B357" s="20" t="s">
        <v>57</v>
      </c>
      <c r="C357" s="165">
        <v>1</v>
      </c>
      <c r="D357" s="96" t="s">
        <v>9</v>
      </c>
      <c r="E357" s="166">
        <v>500</v>
      </c>
      <c r="F357" s="167">
        <f t="shared" ref="F357" si="1139">E357*C357</f>
        <v>500</v>
      </c>
      <c r="G357" s="168">
        <v>0</v>
      </c>
      <c r="H357" s="168">
        <v>4</v>
      </c>
      <c r="I357" s="168">
        <v>0</v>
      </c>
      <c r="J357" s="168">
        <v>0</v>
      </c>
      <c r="K357" s="169">
        <v>0</v>
      </c>
      <c r="L357" s="96" t="s">
        <v>8</v>
      </c>
      <c r="M357" s="166">
        <f t="shared" ref="M357" si="1140">IF(R357="PD",((Shop*G357)+(M_Tech*H357)+(CMM*I357)+(ENG*J357)+(DES*K357))*N357,((Shop_RD*G357)+(MTECH_RD*H357)+(CMM_RD*I357)+(ENG_RD*J357)+(DES_RD*K357))*N357)</f>
        <v>379.08000000000004</v>
      </c>
      <c r="N357" s="92">
        <v>1</v>
      </c>
      <c r="O357" s="170">
        <f t="shared" ref="O357" si="1141">M357+(F357*N357)</f>
        <v>879.08</v>
      </c>
      <c r="P357" s="170"/>
      <c r="Q357" s="52" t="s">
        <v>47</v>
      </c>
      <c r="R357" s="71" t="s">
        <v>77</v>
      </c>
      <c r="S357" s="137" t="str">
        <f t="shared" ref="S357" si="1142">CONCATENATE(Q357,R357,AB357)</f>
        <v>BPD2013</v>
      </c>
      <c r="T357" s="137" t="str">
        <f t="shared" ref="T357" si="1143">CONCATENATE(Q357,U357,AB357)</f>
        <v>B1.5.1.3.22013</v>
      </c>
      <c r="U357" s="137" t="s">
        <v>220</v>
      </c>
      <c r="V357" s="137" t="str">
        <f t="shared" si="1089"/>
        <v>Internal Support (Low Mass)</v>
      </c>
      <c r="AB357" s="33">
        <v>2013</v>
      </c>
      <c r="AC357" s="132">
        <f t="shared" ref="AC357" si="1144">IF($Q357="B", (G357*$N357),0)</f>
        <v>0</v>
      </c>
      <c r="AD357" s="132">
        <f t="shared" ref="AD357" si="1145">IF($Q357="B", (H357*$N357),0)</f>
        <v>4</v>
      </c>
      <c r="AE357" s="132">
        <f t="shared" ref="AE357" si="1146">IF($Q357="B", (I357*$N357),0)</f>
        <v>0</v>
      </c>
      <c r="AF357" s="132">
        <f t="shared" ref="AF357" si="1147">IF($Q357="B", (J357*$N357),0)</f>
        <v>0</v>
      </c>
      <c r="AG357" s="132">
        <f t="shared" ref="AG357" si="1148">IF($Q357="B", (K357*$N357),0)</f>
        <v>0</v>
      </c>
      <c r="AH357" s="234">
        <f t="shared" ref="AH357" si="1149">IF($Q357="B", (F357*$N357),0)</f>
        <v>500</v>
      </c>
      <c r="AI357" s="235"/>
      <c r="AJ357" s="132"/>
      <c r="AK357" s="132"/>
      <c r="AL357" s="166"/>
      <c r="AM357" s="131">
        <f t="shared" ref="AM357" si="1150">IF($Q357="C", (G357*$N357),0)</f>
        <v>0</v>
      </c>
      <c r="AN357" s="132">
        <f t="shared" ref="AN357" si="1151">IF($Q357="C", (H357*$N357),0)</f>
        <v>0</v>
      </c>
      <c r="AO357" s="132">
        <f t="shared" ref="AO357" si="1152">IF($Q357="C", (I357*$N357),0)</f>
        <v>0</v>
      </c>
      <c r="AP357" s="132">
        <f t="shared" ref="AP357" si="1153">IF($Q357="C", (J357*$N357),0)</f>
        <v>0</v>
      </c>
      <c r="AQ357" s="132">
        <f t="shared" ref="AQ357" si="1154">IF($Q357="C", (K357*$N357),0)</f>
        <v>0</v>
      </c>
      <c r="AR357" s="132">
        <f t="shared" ref="AR357" si="1155">IF($Q357="C", (F357*$N357),0)</f>
        <v>0</v>
      </c>
      <c r="AS357" s="235"/>
    </row>
    <row r="358" spans="1:45" s="20" customFormat="1">
      <c r="A358" s="46" t="s">
        <v>407</v>
      </c>
      <c r="B358" s="20" t="s">
        <v>34</v>
      </c>
      <c r="C358" s="165">
        <v>0</v>
      </c>
      <c r="D358" s="96" t="s">
        <v>9</v>
      </c>
      <c r="E358" s="166">
        <v>0</v>
      </c>
      <c r="F358" s="167">
        <f t="shared" ref="F358" si="1156">E358*C358</f>
        <v>0</v>
      </c>
      <c r="G358" s="168">
        <v>0</v>
      </c>
      <c r="H358" s="168">
        <v>32</v>
      </c>
      <c r="I358" s="168">
        <v>0</v>
      </c>
      <c r="J358" s="168">
        <v>0</v>
      </c>
      <c r="K358" s="169">
        <v>0</v>
      </c>
      <c r="L358" s="96" t="s">
        <v>8</v>
      </c>
      <c r="M358" s="166">
        <f t="shared" ref="M358" si="1157">IF(R358="PD",((Shop*G358)+(M_Tech*H358)+(CMM*I358)+(ENG*J358)+(DES*K358))*N358,((Shop_RD*G358)+(MTECH_RD*H358)+(CMM_RD*I358)+(ENG_RD*J358)+(DES_RD*K358))*N358)</f>
        <v>3032.6400000000003</v>
      </c>
      <c r="N358" s="92">
        <v>1</v>
      </c>
      <c r="O358" s="170">
        <f t="shared" ref="O358" si="1158">M358+(F358*N358)</f>
        <v>3032.6400000000003</v>
      </c>
      <c r="P358" s="170"/>
      <c r="Q358" s="52" t="s">
        <v>47</v>
      </c>
      <c r="R358" s="71" t="s">
        <v>77</v>
      </c>
      <c r="S358" s="137" t="str">
        <f t="shared" ref="S358" si="1159">CONCATENATE(Q358,R358,AB358)</f>
        <v>BPD2012</v>
      </c>
      <c r="T358" s="137" t="str">
        <f t="shared" ref="T358" si="1160">CONCATENATE(Q358,U358,AB358)</f>
        <v>B1.5.1.3.22012</v>
      </c>
      <c r="U358" s="137" t="s">
        <v>220</v>
      </c>
      <c r="V358" s="137" t="str">
        <f t="shared" si="1089"/>
        <v>Internal Support (Low Mass)</v>
      </c>
      <c r="AB358" s="33">
        <v>2012</v>
      </c>
      <c r="AC358" s="132">
        <f t="shared" ref="AC358" si="1161">IF($Q358="B", (G358*$N358),0)</f>
        <v>0</v>
      </c>
      <c r="AD358" s="132">
        <f t="shared" ref="AD358" si="1162">IF($Q358="B", (H358*$N358),0)</f>
        <v>32</v>
      </c>
      <c r="AE358" s="132">
        <f t="shared" ref="AE358" si="1163">IF($Q358="B", (I358*$N358),0)</f>
        <v>0</v>
      </c>
      <c r="AF358" s="132">
        <f t="shared" ref="AF358" si="1164">IF($Q358="B", (J358*$N358),0)</f>
        <v>0</v>
      </c>
      <c r="AG358" s="132">
        <f t="shared" ref="AG358" si="1165">IF($Q358="B", (K358*$N358),0)</f>
        <v>0</v>
      </c>
      <c r="AH358" s="234">
        <f t="shared" ref="AH358" si="1166">IF($Q358="B", (F358*$N358),0)</f>
        <v>0</v>
      </c>
      <c r="AI358" s="235"/>
      <c r="AJ358" s="132"/>
      <c r="AK358" s="132"/>
      <c r="AL358" s="166"/>
      <c r="AM358" s="131">
        <f t="shared" ref="AM358" si="1167">IF($Q358="C", (G358*$N358),0)</f>
        <v>0</v>
      </c>
      <c r="AN358" s="132">
        <f t="shared" ref="AN358" si="1168">IF($Q358="C", (H358*$N358),0)</f>
        <v>0</v>
      </c>
      <c r="AO358" s="132">
        <f t="shared" ref="AO358" si="1169">IF($Q358="C", (I358*$N358),0)</f>
        <v>0</v>
      </c>
      <c r="AP358" s="132">
        <f t="shared" ref="AP358" si="1170">IF($Q358="C", (J358*$N358),0)</f>
        <v>0</v>
      </c>
      <c r="AQ358" s="132">
        <f t="shared" ref="AQ358" si="1171">IF($Q358="C", (K358*$N358),0)</f>
        <v>0</v>
      </c>
      <c r="AR358" s="132">
        <f t="shared" ref="AR358" si="1172">IF($Q358="C", (F358*$N358),0)</f>
        <v>0</v>
      </c>
      <c r="AS358" s="235"/>
    </row>
    <row r="359" spans="1:45" s="20" customFormat="1">
      <c r="A359" s="46" t="s">
        <v>410</v>
      </c>
      <c r="B359" s="20" t="s">
        <v>34</v>
      </c>
      <c r="C359" s="165">
        <v>0</v>
      </c>
      <c r="D359" s="96" t="s">
        <v>9</v>
      </c>
      <c r="E359" s="166">
        <v>0</v>
      </c>
      <c r="F359" s="167">
        <f t="shared" si="1132"/>
        <v>0</v>
      </c>
      <c r="G359" s="168">
        <v>0</v>
      </c>
      <c r="H359" s="168">
        <v>32</v>
      </c>
      <c r="I359" s="168">
        <v>0</v>
      </c>
      <c r="J359" s="168">
        <v>0</v>
      </c>
      <c r="K359" s="169">
        <v>0</v>
      </c>
      <c r="L359" s="96" t="s">
        <v>8</v>
      </c>
      <c r="M359" s="166">
        <f t="shared" si="1133"/>
        <v>3032.6400000000003</v>
      </c>
      <c r="N359" s="92">
        <v>1</v>
      </c>
      <c r="O359" s="170">
        <f t="shared" si="1134"/>
        <v>3032.6400000000003</v>
      </c>
      <c r="P359" s="170"/>
      <c r="Q359" s="52" t="s">
        <v>47</v>
      </c>
      <c r="R359" s="71" t="s">
        <v>77</v>
      </c>
      <c r="S359" s="137" t="str">
        <f t="shared" si="1135"/>
        <v>BPD2014</v>
      </c>
      <c r="T359" s="137" t="str">
        <f t="shared" si="1136"/>
        <v>B1.5.1.3.22014</v>
      </c>
      <c r="U359" s="137" t="s">
        <v>220</v>
      </c>
      <c r="V359" s="137" t="str">
        <f t="shared" si="1089"/>
        <v>Internal Support (Low Mass)</v>
      </c>
      <c r="AB359" s="33">
        <v>2014</v>
      </c>
      <c r="AC359" s="132">
        <f t="shared" si="1090"/>
        <v>0</v>
      </c>
      <c r="AD359" s="132">
        <f t="shared" si="1091"/>
        <v>32</v>
      </c>
      <c r="AE359" s="132">
        <f t="shared" si="1092"/>
        <v>0</v>
      </c>
      <c r="AF359" s="132">
        <f t="shared" si="1093"/>
        <v>0</v>
      </c>
      <c r="AG359" s="132">
        <f t="shared" si="1094"/>
        <v>0</v>
      </c>
      <c r="AH359" s="234">
        <f t="shared" si="1137"/>
        <v>0</v>
      </c>
      <c r="AI359" s="235"/>
      <c r="AJ359" s="132"/>
      <c r="AK359" s="132"/>
      <c r="AL359" s="166"/>
      <c r="AM359" s="131">
        <f t="shared" si="1096"/>
        <v>0</v>
      </c>
      <c r="AN359" s="132">
        <f t="shared" si="1097"/>
        <v>0</v>
      </c>
      <c r="AO359" s="132">
        <f t="shared" si="1098"/>
        <v>0</v>
      </c>
      <c r="AP359" s="132">
        <f t="shared" si="1099"/>
        <v>0</v>
      </c>
      <c r="AQ359" s="132">
        <f t="shared" si="1100"/>
        <v>0</v>
      </c>
      <c r="AR359" s="132">
        <f t="shared" si="1138"/>
        <v>0</v>
      </c>
      <c r="AS359" s="235"/>
    </row>
    <row r="360" spans="1:45" s="20" customFormat="1">
      <c r="A360" s="47" t="s">
        <v>396</v>
      </c>
      <c r="C360" s="165"/>
      <c r="D360" s="96"/>
      <c r="E360" s="57"/>
      <c r="F360" s="58"/>
      <c r="G360" s="59"/>
      <c r="H360" s="59"/>
      <c r="I360" s="59"/>
      <c r="J360" s="59"/>
      <c r="K360" s="60"/>
      <c r="L360" s="217" t="s">
        <v>66</v>
      </c>
      <c r="M360" s="177">
        <f>SUMIF(Q344:Q359,"B",M344:M359)</f>
        <v>34622.640000000007</v>
      </c>
      <c r="N360" s="65" t="s">
        <v>65</v>
      </c>
      <c r="O360" s="170"/>
      <c r="P360" s="170"/>
      <c r="Q360" s="52"/>
      <c r="R360" s="71"/>
      <c r="S360" s="137"/>
      <c r="T360" s="137"/>
      <c r="U360" s="137"/>
      <c r="V360" s="137"/>
      <c r="AB360" s="33"/>
      <c r="AC360" s="132"/>
      <c r="AD360" s="132"/>
      <c r="AE360" s="135"/>
      <c r="AF360" s="132"/>
      <c r="AG360" s="132"/>
      <c r="AH360" s="234"/>
      <c r="AI360" s="235"/>
      <c r="AJ360" s="132"/>
      <c r="AK360" s="132"/>
      <c r="AL360" s="166"/>
      <c r="AM360" s="131"/>
      <c r="AN360" s="132"/>
      <c r="AO360" s="132"/>
      <c r="AP360" s="132"/>
      <c r="AQ360" s="132"/>
      <c r="AR360" s="132"/>
      <c r="AS360" s="235"/>
    </row>
    <row r="361" spans="1:45" s="20" customFormat="1">
      <c r="A361" s="46" t="s">
        <v>394</v>
      </c>
      <c r="B361" s="20" t="s">
        <v>34</v>
      </c>
      <c r="C361" s="165">
        <v>0.03</v>
      </c>
      <c r="D361" s="96" t="s">
        <v>9</v>
      </c>
      <c r="E361" s="166">
        <v>0</v>
      </c>
      <c r="F361" s="167">
        <f>E361*C361</f>
        <v>0</v>
      </c>
      <c r="G361" s="168">
        <v>0</v>
      </c>
      <c r="H361" s="168">
        <v>0</v>
      </c>
      <c r="I361" s="168">
        <v>0</v>
      </c>
      <c r="J361" s="168">
        <v>60</v>
      </c>
      <c r="K361" s="169">
        <v>0</v>
      </c>
      <c r="L361" s="96" t="s">
        <v>8</v>
      </c>
      <c r="M361" s="166">
        <f>IF(R361="PD",((Shop*G361)+(M_Tech*H361)+(CMM*I361)+(ENG*J361)+(DES*K361))*N361,((Shop_RD*G361)+(MTECH_RD*H361)+(CMM_RD*I361)+(ENG_RD*J361)+(DES_RD*K361))*N361)</f>
        <v>7290.0000000000009</v>
      </c>
      <c r="N361" s="92">
        <v>1</v>
      </c>
      <c r="O361" s="170">
        <f>M361+(F361*N361)</f>
        <v>7290.0000000000009</v>
      </c>
      <c r="P361" s="170"/>
      <c r="Q361" s="52" t="s">
        <v>47</v>
      </c>
      <c r="R361" s="71" t="s">
        <v>77</v>
      </c>
      <c r="S361" s="137" t="str">
        <f>CONCATENATE(Q361,R361,AB361)</f>
        <v>BPDSTAR</v>
      </c>
      <c r="T361" s="137" t="str">
        <f>CONCATENATE(Q361,U361,AB361)</f>
        <v>B1.5.1.3.4STAR</v>
      </c>
      <c r="U361" s="137" t="s">
        <v>222</v>
      </c>
      <c r="V361" s="137" t="str">
        <f t="shared" ref="V361:V366" si="1173">LOOKUP(U361,$B$539:$B$574,$A$539:$A$574)</f>
        <v>External Beam Pipe Support</v>
      </c>
      <c r="AB361" s="33" t="s">
        <v>162</v>
      </c>
      <c r="AC361" s="132">
        <f t="shared" ref="AC361:AC366" si="1174">IF($Q361="B", (G361*$N361),0)</f>
        <v>0</v>
      </c>
      <c r="AD361" s="132">
        <f t="shared" ref="AD361:AD366" si="1175">IF($Q361="B", (H361*$N361),0)</f>
        <v>0</v>
      </c>
      <c r="AE361" s="132">
        <f t="shared" ref="AE361:AE366" si="1176">IF($Q361="B", (I361*$N361),0)</f>
        <v>0</v>
      </c>
      <c r="AF361" s="132">
        <f t="shared" ref="AF361:AF366" si="1177">IF($Q361="B", (J361*$N361),0)</f>
        <v>60</v>
      </c>
      <c r="AG361" s="132">
        <f t="shared" ref="AG361:AG366" si="1178">IF($Q361="B", (K361*$N361),0)</f>
        <v>0</v>
      </c>
      <c r="AH361" s="234">
        <f>IF($Q361="B", (F361*$N361),0)</f>
        <v>0</v>
      </c>
      <c r="AI361" s="235"/>
      <c r="AJ361" s="132"/>
      <c r="AK361" s="132"/>
      <c r="AL361" s="166"/>
      <c r="AM361" s="131">
        <f t="shared" ref="AM361:AM366" si="1179">IF($Q361="C", (G361*$N361),0)</f>
        <v>0</v>
      </c>
      <c r="AN361" s="132">
        <f t="shared" ref="AN361:AN366" si="1180">IF($Q361="C", (H361*$N361),0)</f>
        <v>0</v>
      </c>
      <c r="AO361" s="132">
        <f t="shared" ref="AO361:AO366" si="1181">IF($Q361="C", (I361*$N361),0)</f>
        <v>0</v>
      </c>
      <c r="AP361" s="132">
        <f t="shared" ref="AP361:AP366" si="1182">IF($Q361="C", (J361*$N361),0)</f>
        <v>0</v>
      </c>
      <c r="AQ361" s="132">
        <f t="shared" ref="AQ361:AQ366" si="1183">IF($Q361="C", (K361*$N361),0)</f>
        <v>0</v>
      </c>
      <c r="AR361" s="132">
        <f>IF($Q361="C", (F361*$N361),0)</f>
        <v>0</v>
      </c>
      <c r="AS361" s="235"/>
    </row>
    <row r="362" spans="1:45" s="20" customFormat="1">
      <c r="A362" s="46" t="s">
        <v>355</v>
      </c>
      <c r="B362" s="20" t="s">
        <v>34</v>
      </c>
      <c r="C362" s="165">
        <v>0.03</v>
      </c>
      <c r="D362" s="96" t="s">
        <v>9</v>
      </c>
      <c r="E362" s="166">
        <v>0</v>
      </c>
      <c r="F362" s="167">
        <f>E362*C362</f>
        <v>0</v>
      </c>
      <c r="G362" s="168">
        <v>0</v>
      </c>
      <c r="H362" s="168">
        <v>0</v>
      </c>
      <c r="I362" s="168">
        <v>0</v>
      </c>
      <c r="J362" s="168">
        <v>40</v>
      </c>
      <c r="K362" s="169">
        <v>0</v>
      </c>
      <c r="L362" s="96" t="s">
        <v>8</v>
      </c>
      <c r="M362" s="166">
        <f>IF(R362="PD",((Shop*G362)+(M_Tech*H362)+(CMM*I362)+(ENG*J362)+(DES*K362))*N362,((Shop_RD*G362)+(MTECH_RD*H362)+(CMM_RD*I362)+(ENG_RD*J362)+(DES_RD*K362))*N362)</f>
        <v>4860.0000000000009</v>
      </c>
      <c r="N362" s="92">
        <v>1</v>
      </c>
      <c r="O362" s="170">
        <f>M362+(F362*N362)</f>
        <v>4860.0000000000009</v>
      </c>
      <c r="P362" s="170"/>
      <c r="Q362" s="52" t="s">
        <v>47</v>
      </c>
      <c r="R362" s="71" t="s">
        <v>77</v>
      </c>
      <c r="S362" s="137" t="str">
        <f>CONCATENATE(Q362,R362,AB362)</f>
        <v>BPD2011</v>
      </c>
      <c r="T362" s="137" t="str">
        <f>CONCATENATE(Q362,U362,AB362)</f>
        <v>B1.5.1.3.42011</v>
      </c>
      <c r="U362" s="137" t="s">
        <v>222</v>
      </c>
      <c r="V362" s="137" t="str">
        <f t="shared" si="1173"/>
        <v>External Beam Pipe Support</v>
      </c>
      <c r="AB362" s="33">
        <v>2011</v>
      </c>
      <c r="AC362" s="132">
        <f t="shared" si="1174"/>
        <v>0</v>
      </c>
      <c r="AD362" s="132">
        <f t="shared" si="1175"/>
        <v>0</v>
      </c>
      <c r="AE362" s="132">
        <f t="shared" si="1176"/>
        <v>0</v>
      </c>
      <c r="AF362" s="132">
        <f t="shared" si="1177"/>
        <v>40</v>
      </c>
      <c r="AG362" s="132">
        <f t="shared" si="1178"/>
        <v>0</v>
      </c>
      <c r="AH362" s="234">
        <f>IF($Q362="B", (F362*$N362),0)</f>
        <v>0</v>
      </c>
      <c r="AI362" s="235"/>
      <c r="AJ362" s="132"/>
      <c r="AK362" s="132"/>
      <c r="AL362" s="166"/>
      <c r="AM362" s="131">
        <f t="shared" si="1179"/>
        <v>0</v>
      </c>
      <c r="AN362" s="132">
        <f t="shared" si="1180"/>
        <v>0</v>
      </c>
      <c r="AO362" s="132">
        <f t="shared" si="1181"/>
        <v>0</v>
      </c>
      <c r="AP362" s="132">
        <f t="shared" si="1182"/>
        <v>0</v>
      </c>
      <c r="AQ362" s="132">
        <f t="shared" si="1183"/>
        <v>0</v>
      </c>
      <c r="AR362" s="132">
        <f>IF($Q362="C", (F362*$N362),0)</f>
        <v>0</v>
      </c>
      <c r="AS362" s="235"/>
    </row>
    <row r="363" spans="1:45" s="20" customFormat="1">
      <c r="A363" s="46" t="s">
        <v>397</v>
      </c>
      <c r="B363" s="20" t="s">
        <v>34</v>
      </c>
      <c r="C363" s="165">
        <v>0</v>
      </c>
      <c r="D363" s="96" t="s">
        <v>9</v>
      </c>
      <c r="E363" s="166">
        <v>0</v>
      </c>
      <c r="F363" s="167">
        <f>E363*C363</f>
        <v>0</v>
      </c>
      <c r="G363" s="168">
        <v>0</v>
      </c>
      <c r="H363" s="168">
        <v>40</v>
      </c>
      <c r="I363" s="168">
        <v>0</v>
      </c>
      <c r="J363" s="168">
        <v>20</v>
      </c>
      <c r="K363" s="169">
        <v>0</v>
      </c>
      <c r="L363" s="96" t="s">
        <v>8</v>
      </c>
      <c r="M363" s="166">
        <f>IF(R363="PD",((Shop*G363)+(M_Tech*H363)+(CMM*I363)+(ENG*J363)+(DES*K363))*N363,((Shop_RD*G363)+(MTECH_RD*H363)+(CMM_RD*I363)+(ENG_RD*J363)+(DES_RD*K363))*N363)</f>
        <v>6220.8000000000011</v>
      </c>
      <c r="N363" s="92">
        <v>1</v>
      </c>
      <c r="O363" s="170">
        <f>M363+(F363*N363)</f>
        <v>6220.8000000000011</v>
      </c>
      <c r="P363" s="170"/>
      <c r="Q363" s="52" t="s">
        <v>47</v>
      </c>
      <c r="R363" s="71" t="s">
        <v>77</v>
      </c>
      <c r="S363" s="137" t="str">
        <f>CONCATENATE(Q363,R363,AB363)</f>
        <v>BPDSTAR</v>
      </c>
      <c r="T363" s="137" t="str">
        <f>CONCATENATE(Q363,U363,AB363)</f>
        <v>B1.5.1.3.4STAR</v>
      </c>
      <c r="U363" s="137" t="s">
        <v>222</v>
      </c>
      <c r="V363" s="137" t="str">
        <f t="shared" si="1173"/>
        <v>External Beam Pipe Support</v>
      </c>
      <c r="AB363" s="33" t="s">
        <v>162</v>
      </c>
      <c r="AC363" s="132">
        <f t="shared" si="1174"/>
        <v>0</v>
      </c>
      <c r="AD363" s="132">
        <f t="shared" si="1175"/>
        <v>40</v>
      </c>
      <c r="AE363" s="132">
        <f t="shared" si="1176"/>
        <v>0</v>
      </c>
      <c r="AF363" s="132">
        <f t="shared" si="1177"/>
        <v>20</v>
      </c>
      <c r="AG363" s="132">
        <f t="shared" si="1178"/>
        <v>0</v>
      </c>
      <c r="AH363" s="234">
        <f>IF($Q363="B", (F363*$N363),0)</f>
        <v>0</v>
      </c>
      <c r="AI363" s="235"/>
      <c r="AJ363" s="132"/>
      <c r="AK363" s="132"/>
      <c r="AL363" s="166"/>
      <c r="AM363" s="131">
        <f t="shared" si="1179"/>
        <v>0</v>
      </c>
      <c r="AN363" s="132">
        <f t="shared" si="1180"/>
        <v>0</v>
      </c>
      <c r="AO363" s="132">
        <f t="shared" si="1181"/>
        <v>0</v>
      </c>
      <c r="AP363" s="132">
        <f t="shared" si="1182"/>
        <v>0</v>
      </c>
      <c r="AQ363" s="132">
        <f t="shared" si="1183"/>
        <v>0</v>
      </c>
      <c r="AR363" s="132">
        <f>IF($Q363="C", (F363*$N363),0)</f>
        <v>0</v>
      </c>
      <c r="AS363" s="235"/>
    </row>
    <row r="364" spans="1:45" s="20" customFormat="1">
      <c r="A364" s="46" t="s">
        <v>398</v>
      </c>
      <c r="B364" s="20" t="s">
        <v>7</v>
      </c>
      <c r="C364" s="165">
        <v>100</v>
      </c>
      <c r="D364" s="96" t="s">
        <v>39</v>
      </c>
      <c r="E364" s="166">
        <v>8</v>
      </c>
      <c r="F364" s="167">
        <f>E364*C364</f>
        <v>800</v>
      </c>
      <c r="G364" s="417">
        <v>0</v>
      </c>
      <c r="H364" s="168">
        <v>0</v>
      </c>
      <c r="I364" s="168">
        <v>0</v>
      </c>
      <c r="J364" s="168">
        <v>0</v>
      </c>
      <c r="K364" s="169">
        <v>0</v>
      </c>
      <c r="L364" s="96" t="s">
        <v>8</v>
      </c>
      <c r="M364" s="166">
        <f>IF(R364="PD",((Shop*G364)+(M_Tech*H364)+(CMM*I364)+(ENG*J364)+(DES*K364))*N364,((Shop_RD*G364)+(MTECH_RD*H364)+(CMM_RD*I364)+(ENG_RD*J364)+(DES_RD*K364))*N364)</f>
        <v>0</v>
      </c>
      <c r="N364" s="92">
        <v>1</v>
      </c>
      <c r="O364" s="170">
        <f>M364+(F364*N364)</f>
        <v>800</v>
      </c>
      <c r="P364" s="170"/>
      <c r="Q364" s="52" t="s">
        <v>47</v>
      </c>
      <c r="R364" s="71" t="s">
        <v>77</v>
      </c>
      <c r="S364" s="137" t="str">
        <f>CONCATENATE(Q364,R364,AB364)</f>
        <v>BPD2011</v>
      </c>
      <c r="T364" s="137" t="str">
        <f>CONCATENATE(Q364,U364,AB364)</f>
        <v>B1.5.1.3.42011</v>
      </c>
      <c r="U364" s="137" t="s">
        <v>222</v>
      </c>
      <c r="V364" s="137" t="str">
        <f t="shared" si="1173"/>
        <v>External Beam Pipe Support</v>
      </c>
      <c r="AB364" s="33">
        <v>2011</v>
      </c>
      <c r="AC364" s="132">
        <f t="shared" ref="AC364" si="1184">IF($Q364="B", (G364*$N364),0)</f>
        <v>0</v>
      </c>
      <c r="AD364" s="132">
        <f t="shared" ref="AD364" si="1185">IF($Q364="B", (H364*$N364),0)</f>
        <v>0</v>
      </c>
      <c r="AE364" s="132">
        <f t="shared" ref="AE364" si="1186">IF($Q364="B", (I364*$N364),0)</f>
        <v>0</v>
      </c>
      <c r="AF364" s="132">
        <f t="shared" ref="AF364" si="1187">IF($Q364="B", (J364*$N364),0)</f>
        <v>0</v>
      </c>
      <c r="AG364" s="132">
        <f t="shared" ref="AG364" si="1188">IF($Q364="B", (K364*$N364),0)</f>
        <v>0</v>
      </c>
      <c r="AH364" s="234">
        <f>IF($Q364="B", (F364*$N364),0)</f>
        <v>800</v>
      </c>
      <c r="AI364" s="235"/>
      <c r="AJ364" s="132"/>
      <c r="AK364" s="132"/>
      <c r="AL364" s="166"/>
      <c r="AM364" s="131">
        <f t="shared" ref="AM364" si="1189">IF($Q364="C", (G364*$N364),0)</f>
        <v>0</v>
      </c>
      <c r="AN364" s="132">
        <f t="shared" ref="AN364" si="1190">IF($Q364="C", (H364*$N364),0)</f>
        <v>0</v>
      </c>
      <c r="AO364" s="132">
        <f t="shared" ref="AO364" si="1191">IF($Q364="C", (I364*$N364),0)</f>
        <v>0</v>
      </c>
      <c r="AP364" s="132">
        <f t="shared" ref="AP364" si="1192">IF($Q364="C", (J364*$N364),0)</f>
        <v>0</v>
      </c>
      <c r="AQ364" s="132">
        <f t="shared" ref="AQ364" si="1193">IF($Q364="C", (K364*$N364),0)</f>
        <v>0</v>
      </c>
      <c r="AR364" s="132">
        <f>IF($Q364="C", (F364*$N364),0)</f>
        <v>0</v>
      </c>
      <c r="AS364" s="235"/>
    </row>
    <row r="365" spans="1:45" s="20" customFormat="1">
      <c r="A365" s="46" t="s">
        <v>351</v>
      </c>
      <c r="B365" s="20" t="s">
        <v>57</v>
      </c>
      <c r="C365" s="165">
        <v>1</v>
      </c>
      <c r="D365" s="96" t="s">
        <v>9</v>
      </c>
      <c r="E365" s="166">
        <v>500</v>
      </c>
      <c r="F365" s="167">
        <f t="shared" ref="F365:F366" si="1194">E365*C365</f>
        <v>500</v>
      </c>
      <c r="G365" s="168">
        <v>0</v>
      </c>
      <c r="H365" s="168">
        <v>4</v>
      </c>
      <c r="I365" s="168">
        <v>0</v>
      </c>
      <c r="J365" s="168">
        <v>0</v>
      </c>
      <c r="K365" s="169">
        <v>0</v>
      </c>
      <c r="L365" s="96" t="s">
        <v>8</v>
      </c>
      <c r="M365" s="166">
        <f t="shared" ref="M365:M366" si="1195">IF(R365="PD",((Shop*G365)+(M_Tech*H365)+(CMM*I365)+(ENG*J365)+(DES*K365))*N365,((Shop_RD*G365)+(MTECH_RD*H365)+(CMM_RD*I365)+(ENG_RD*J365)+(DES_RD*K365))*N365)</f>
        <v>379.08000000000004</v>
      </c>
      <c r="N365" s="92">
        <v>1</v>
      </c>
      <c r="O365" s="170">
        <f t="shared" ref="O365:O366" si="1196">M365+(F365*N365)</f>
        <v>879.08</v>
      </c>
      <c r="P365" s="170"/>
      <c r="Q365" s="52" t="s">
        <v>47</v>
      </c>
      <c r="R365" s="71" t="s">
        <v>77</v>
      </c>
      <c r="S365" s="137" t="str">
        <f t="shared" ref="S365:S366" si="1197">CONCATENATE(Q365,R365,AB365)</f>
        <v>BPD2011</v>
      </c>
      <c r="T365" s="137" t="str">
        <f t="shared" ref="T365:T366" si="1198">CONCATENATE(Q365,U365,AB365)</f>
        <v>B1.5.1.3.42011</v>
      </c>
      <c r="U365" s="137" t="s">
        <v>222</v>
      </c>
      <c r="V365" s="137" t="str">
        <f t="shared" si="1173"/>
        <v>External Beam Pipe Support</v>
      </c>
      <c r="AB365" s="33">
        <v>2011</v>
      </c>
      <c r="AC365" s="132">
        <f t="shared" si="1174"/>
        <v>0</v>
      </c>
      <c r="AD365" s="132">
        <f t="shared" si="1175"/>
        <v>4</v>
      </c>
      <c r="AE365" s="132">
        <f t="shared" si="1176"/>
        <v>0</v>
      </c>
      <c r="AF365" s="132">
        <f t="shared" si="1177"/>
        <v>0</v>
      </c>
      <c r="AG365" s="132">
        <f t="shared" si="1178"/>
        <v>0</v>
      </c>
      <c r="AH365" s="234">
        <f t="shared" ref="AH365:AH366" si="1199">IF($Q365="B", (F365*$N365),0)</f>
        <v>500</v>
      </c>
      <c r="AI365" s="235"/>
      <c r="AJ365" s="132"/>
      <c r="AK365" s="132"/>
      <c r="AL365" s="166"/>
      <c r="AM365" s="131">
        <f t="shared" si="1179"/>
        <v>0</v>
      </c>
      <c r="AN365" s="132">
        <f t="shared" si="1180"/>
        <v>0</v>
      </c>
      <c r="AO365" s="132">
        <f t="shared" si="1181"/>
        <v>0</v>
      </c>
      <c r="AP365" s="132">
        <f t="shared" si="1182"/>
        <v>0</v>
      </c>
      <c r="AQ365" s="132">
        <f t="shared" si="1183"/>
        <v>0</v>
      </c>
      <c r="AR365" s="132">
        <f t="shared" ref="AR365:AR366" si="1200">IF($Q365="C", (F365*$N365),0)</f>
        <v>0</v>
      </c>
      <c r="AS365" s="235"/>
    </row>
    <row r="366" spans="1:45" s="20" customFormat="1">
      <c r="A366" s="46" t="s">
        <v>246</v>
      </c>
      <c r="B366" s="20" t="s">
        <v>34</v>
      </c>
      <c r="C366" s="165">
        <v>0</v>
      </c>
      <c r="D366" s="96" t="s">
        <v>9</v>
      </c>
      <c r="E366" s="166">
        <v>0</v>
      </c>
      <c r="F366" s="167">
        <f t="shared" si="1194"/>
        <v>0</v>
      </c>
      <c r="G366" s="168">
        <v>0</v>
      </c>
      <c r="H366" s="168">
        <v>32</v>
      </c>
      <c r="I366" s="168">
        <v>0</v>
      </c>
      <c r="J366" s="168">
        <v>0</v>
      </c>
      <c r="K366" s="169">
        <v>0</v>
      </c>
      <c r="L366" s="96" t="s">
        <v>8</v>
      </c>
      <c r="M366" s="166">
        <f t="shared" si="1195"/>
        <v>3032.6400000000003</v>
      </c>
      <c r="N366" s="92">
        <v>1</v>
      </c>
      <c r="O366" s="170">
        <f t="shared" si="1196"/>
        <v>3032.6400000000003</v>
      </c>
      <c r="P366" s="170"/>
      <c r="Q366" s="52" t="s">
        <v>47</v>
      </c>
      <c r="R366" s="71" t="s">
        <v>77</v>
      </c>
      <c r="S366" s="137" t="str">
        <f t="shared" si="1197"/>
        <v>BPD2011</v>
      </c>
      <c r="T366" s="137" t="str">
        <f t="shared" si="1198"/>
        <v>B1.5.1.3.42011</v>
      </c>
      <c r="U366" s="137" t="s">
        <v>222</v>
      </c>
      <c r="V366" s="137" t="str">
        <f t="shared" si="1173"/>
        <v>External Beam Pipe Support</v>
      </c>
      <c r="AB366" s="33">
        <v>2011</v>
      </c>
      <c r="AC366" s="132">
        <f t="shared" si="1174"/>
        <v>0</v>
      </c>
      <c r="AD366" s="132">
        <f t="shared" si="1175"/>
        <v>32</v>
      </c>
      <c r="AE366" s="132">
        <f t="shared" si="1176"/>
        <v>0</v>
      </c>
      <c r="AF366" s="132">
        <f t="shared" si="1177"/>
        <v>0</v>
      </c>
      <c r="AG366" s="132">
        <f t="shared" si="1178"/>
        <v>0</v>
      </c>
      <c r="AH366" s="234">
        <f t="shared" si="1199"/>
        <v>0</v>
      </c>
      <c r="AI366" s="235"/>
      <c r="AJ366" s="132"/>
      <c r="AK366" s="132"/>
      <c r="AL366" s="166"/>
      <c r="AM366" s="131">
        <f t="shared" si="1179"/>
        <v>0</v>
      </c>
      <c r="AN366" s="132">
        <f t="shared" si="1180"/>
        <v>0</v>
      </c>
      <c r="AO366" s="132">
        <f t="shared" si="1181"/>
        <v>0</v>
      </c>
      <c r="AP366" s="132">
        <f t="shared" si="1182"/>
        <v>0</v>
      </c>
      <c r="AQ366" s="132">
        <f t="shared" si="1183"/>
        <v>0</v>
      </c>
      <c r="AR366" s="132">
        <f t="shared" si="1200"/>
        <v>0</v>
      </c>
      <c r="AS366" s="235"/>
    </row>
    <row r="367" spans="1:45" s="20" customFormat="1">
      <c r="A367" s="47" t="s">
        <v>419</v>
      </c>
      <c r="C367" s="165"/>
      <c r="D367" s="96"/>
      <c r="E367" s="57"/>
      <c r="F367" s="58"/>
      <c r="G367" s="59"/>
      <c r="H367" s="59"/>
      <c r="I367" s="59"/>
      <c r="J367" s="59"/>
      <c r="K367" s="60"/>
      <c r="L367" s="217" t="s">
        <v>66</v>
      </c>
      <c r="M367" s="177">
        <f>SUMIF(Q361:Q366,"B",M361:M366)</f>
        <v>21782.520000000004</v>
      </c>
      <c r="N367" s="65" t="s">
        <v>65</v>
      </c>
      <c r="O367" s="170"/>
      <c r="P367" s="170"/>
      <c r="Q367" s="52"/>
      <c r="R367" s="71"/>
      <c r="S367" s="137"/>
      <c r="T367" s="137"/>
      <c r="U367" s="137"/>
      <c r="V367" s="137"/>
      <c r="AB367" s="33"/>
      <c r="AC367" s="132"/>
      <c r="AD367" s="132"/>
      <c r="AE367" s="135"/>
      <c r="AF367" s="132"/>
      <c r="AG367" s="132"/>
      <c r="AH367" s="234"/>
      <c r="AI367" s="235"/>
      <c r="AJ367" s="132"/>
      <c r="AK367" s="132"/>
      <c r="AL367" s="166"/>
      <c r="AM367" s="131"/>
      <c r="AN367" s="132"/>
      <c r="AO367" s="132"/>
      <c r="AP367" s="132"/>
      <c r="AQ367" s="132"/>
      <c r="AR367" s="132"/>
      <c r="AS367" s="235"/>
    </row>
    <row r="368" spans="1:45" s="20" customFormat="1">
      <c r="A368" s="46" t="s">
        <v>355</v>
      </c>
      <c r="B368" s="20" t="s">
        <v>34</v>
      </c>
      <c r="C368" s="165">
        <v>0.03</v>
      </c>
      <c r="D368" s="96" t="s">
        <v>9</v>
      </c>
      <c r="E368" s="166">
        <v>0</v>
      </c>
      <c r="F368" s="167">
        <f t="shared" ref="F368:F371" si="1201">E368*C368</f>
        <v>0</v>
      </c>
      <c r="G368" s="168">
        <v>0</v>
      </c>
      <c r="H368" s="168">
        <v>0</v>
      </c>
      <c r="I368" s="168">
        <v>0</v>
      </c>
      <c r="J368" s="168">
        <v>24</v>
      </c>
      <c r="K368" s="169">
        <v>0</v>
      </c>
      <c r="L368" s="96" t="s">
        <v>8</v>
      </c>
      <c r="M368" s="166">
        <f t="shared" ref="M368:M371" si="1202">IF(R368="PD",((Shop*G368)+(M_Tech*H368)+(CMM*I368)+(ENG*J368)+(DES*K368))*N368,((Shop_RD*G368)+(MTECH_RD*H368)+(CMM_RD*I368)+(ENG_RD*J368)+(DES_RD*K368))*N368)</f>
        <v>2916.0000000000005</v>
      </c>
      <c r="N368" s="92">
        <v>1</v>
      </c>
      <c r="O368" s="170">
        <f t="shared" ref="O368:O371" si="1203">M368+(F368*N368)</f>
        <v>2916.0000000000005</v>
      </c>
      <c r="P368" s="170"/>
      <c r="Q368" s="52" t="s">
        <v>47</v>
      </c>
      <c r="R368" s="71" t="s">
        <v>77</v>
      </c>
      <c r="S368" s="137" t="str">
        <f t="shared" ref="S368:S371" si="1204">CONCATENATE(Q368,R368,AB368)</f>
        <v>BPD2011</v>
      </c>
      <c r="T368" s="137" t="str">
        <f t="shared" ref="T368:T371" si="1205">CONCATENATE(Q368,U368,AB368)</f>
        <v>B1.5.1.32011</v>
      </c>
      <c r="U368" s="137" t="s">
        <v>218</v>
      </c>
      <c r="V368" s="137" t="str">
        <f>LOOKUP(U368,$B$539:$B$574,$A$539:$A$574)</f>
        <v>Beam Pipe Mechanics</v>
      </c>
      <c r="AB368" s="33">
        <v>2011</v>
      </c>
      <c r="AC368" s="132">
        <f t="shared" ref="AC368:AC371" si="1206">IF($Q368="B", (G368*$N368),0)</f>
        <v>0</v>
      </c>
      <c r="AD368" s="132">
        <f t="shared" ref="AD368:AD371" si="1207">IF($Q368="B", (H368*$N368),0)</f>
        <v>0</v>
      </c>
      <c r="AE368" s="132">
        <f t="shared" ref="AE368:AE371" si="1208">IF($Q368="B", (I368*$N368),0)</f>
        <v>0</v>
      </c>
      <c r="AF368" s="132">
        <f t="shared" ref="AF368:AF371" si="1209">IF($Q368="B", (J368*$N368),0)</f>
        <v>24</v>
      </c>
      <c r="AG368" s="132">
        <f t="shared" ref="AG368:AG371" si="1210">IF($Q368="B", (K368*$N368),0)</f>
        <v>0</v>
      </c>
      <c r="AH368" s="234">
        <f t="shared" ref="AH368:AH371" si="1211">IF($Q368="B", (F368*$N368),0)</f>
        <v>0</v>
      </c>
      <c r="AI368" s="235"/>
      <c r="AJ368" s="132"/>
      <c r="AK368" s="132"/>
      <c r="AL368" s="166"/>
      <c r="AM368" s="131">
        <f t="shared" ref="AM368:AM371" si="1212">IF($Q368="C", (G368*$N368),0)</f>
        <v>0</v>
      </c>
      <c r="AN368" s="132">
        <f t="shared" ref="AN368:AN371" si="1213">IF($Q368="C", (H368*$N368),0)</f>
        <v>0</v>
      </c>
      <c r="AO368" s="132">
        <f t="shared" ref="AO368:AO371" si="1214">IF($Q368="C", (I368*$N368),0)</f>
        <v>0</v>
      </c>
      <c r="AP368" s="132">
        <f t="shared" ref="AP368:AP371" si="1215">IF($Q368="C", (J368*$N368),0)</f>
        <v>0</v>
      </c>
      <c r="AQ368" s="132">
        <f t="shared" ref="AQ368:AQ371" si="1216">IF($Q368="C", (K368*$N368),0)</f>
        <v>0</v>
      </c>
      <c r="AR368" s="132">
        <f t="shared" ref="AR368:AR371" si="1217">IF($Q368="C", (F368*$N368),0)</f>
        <v>0</v>
      </c>
      <c r="AS368" s="235"/>
    </row>
    <row r="369" spans="1:45" s="20" customFormat="1">
      <c r="A369" s="46" t="s">
        <v>416</v>
      </c>
      <c r="B369" s="20" t="s">
        <v>94</v>
      </c>
      <c r="C369" s="165">
        <v>50</v>
      </c>
      <c r="D369" s="96" t="s">
        <v>39</v>
      </c>
      <c r="E369" s="166">
        <v>4</v>
      </c>
      <c r="F369" s="167">
        <f t="shared" si="1201"/>
        <v>200</v>
      </c>
      <c r="G369" s="417">
        <v>2</v>
      </c>
      <c r="H369" s="168">
        <v>8</v>
      </c>
      <c r="I369" s="168">
        <v>0</v>
      </c>
      <c r="J369" s="417">
        <f>0.5*G369</f>
        <v>1</v>
      </c>
      <c r="K369" s="169">
        <v>0</v>
      </c>
      <c r="L369" s="96" t="s">
        <v>8</v>
      </c>
      <c r="M369" s="166">
        <f t="shared" si="1202"/>
        <v>4335.1200000000008</v>
      </c>
      <c r="N369" s="92">
        <v>4</v>
      </c>
      <c r="O369" s="170">
        <f t="shared" si="1203"/>
        <v>5135.1200000000008</v>
      </c>
      <c r="P369" s="170"/>
      <c r="Q369" s="52" t="s">
        <v>47</v>
      </c>
      <c r="R369" s="71" t="s">
        <v>77</v>
      </c>
      <c r="S369" s="137" t="str">
        <f t="shared" si="1204"/>
        <v>BPD2011</v>
      </c>
      <c r="T369" s="137" t="str">
        <f t="shared" si="1205"/>
        <v>B1.5.1.32011</v>
      </c>
      <c r="U369" s="137" t="s">
        <v>218</v>
      </c>
      <c r="V369" s="137" t="str">
        <f>LOOKUP(U369,$B$539:$B$574,$A$539:$A$574)</f>
        <v>Beam Pipe Mechanics</v>
      </c>
      <c r="AB369" s="33">
        <v>2011</v>
      </c>
      <c r="AC369" s="132">
        <f t="shared" si="1206"/>
        <v>8</v>
      </c>
      <c r="AD369" s="132">
        <f t="shared" si="1207"/>
        <v>32</v>
      </c>
      <c r="AE369" s="132">
        <f t="shared" si="1208"/>
        <v>0</v>
      </c>
      <c r="AF369" s="132">
        <f t="shared" si="1209"/>
        <v>4</v>
      </c>
      <c r="AG369" s="132">
        <f t="shared" si="1210"/>
        <v>0</v>
      </c>
      <c r="AH369" s="234">
        <f t="shared" si="1211"/>
        <v>800</v>
      </c>
      <c r="AI369" s="235"/>
      <c r="AJ369" s="132"/>
      <c r="AK369" s="132"/>
      <c r="AL369" s="166"/>
      <c r="AM369" s="131">
        <f t="shared" si="1212"/>
        <v>0</v>
      </c>
      <c r="AN369" s="132">
        <f t="shared" si="1213"/>
        <v>0</v>
      </c>
      <c r="AO369" s="132">
        <f t="shared" si="1214"/>
        <v>0</v>
      </c>
      <c r="AP369" s="132">
        <f t="shared" si="1215"/>
        <v>0</v>
      </c>
      <c r="AQ369" s="132">
        <f t="shared" si="1216"/>
        <v>0</v>
      </c>
      <c r="AR369" s="132">
        <f t="shared" si="1217"/>
        <v>0</v>
      </c>
      <c r="AS369" s="235"/>
    </row>
    <row r="370" spans="1:45" s="20" customFormat="1">
      <c r="A370" s="46" t="s">
        <v>417</v>
      </c>
      <c r="B370" s="20" t="s">
        <v>34</v>
      </c>
      <c r="C370" s="165">
        <v>0</v>
      </c>
      <c r="D370" s="96" t="s">
        <v>9</v>
      </c>
      <c r="E370" s="166">
        <v>0</v>
      </c>
      <c r="F370" s="167">
        <f t="shared" ref="F370" si="1218">E370*C370</f>
        <v>0</v>
      </c>
      <c r="G370" s="168">
        <v>0</v>
      </c>
      <c r="H370" s="168">
        <v>40</v>
      </c>
      <c r="I370" s="168">
        <v>0</v>
      </c>
      <c r="J370" s="168">
        <v>8</v>
      </c>
      <c r="K370" s="169">
        <v>0</v>
      </c>
      <c r="L370" s="96" t="s">
        <v>8</v>
      </c>
      <c r="M370" s="166">
        <f t="shared" ref="M370" si="1219">IF(R370="PD",((Shop*G370)+(M_Tech*H370)+(CMM*I370)+(ENG*J370)+(DES*K370))*N370,((Shop_RD*G370)+(MTECH_RD*H370)+(CMM_RD*I370)+(ENG_RD*J370)+(DES_RD*K370))*N370)</f>
        <v>4762.8</v>
      </c>
      <c r="N370" s="92">
        <v>1</v>
      </c>
      <c r="O370" s="170">
        <f t="shared" ref="O370" si="1220">M370+(F370*N370)</f>
        <v>4762.8</v>
      </c>
      <c r="P370" s="170"/>
      <c r="Q370" s="52" t="s">
        <v>47</v>
      </c>
      <c r="R370" s="71" t="s">
        <v>77</v>
      </c>
      <c r="S370" s="137" t="str">
        <f t="shared" ref="S370" si="1221">CONCATENATE(Q370,R370,AB370)</f>
        <v>BPD2011</v>
      </c>
      <c r="T370" s="137" t="str">
        <f t="shared" ref="T370" si="1222">CONCATENATE(Q370,U370,AB370)</f>
        <v>B1.5.1.32011</v>
      </c>
      <c r="U370" s="137" t="s">
        <v>218</v>
      </c>
      <c r="V370" s="137" t="str">
        <f>LOOKUP(U370,$B$539:$B$574,$A$539:$A$574)</f>
        <v>Beam Pipe Mechanics</v>
      </c>
      <c r="AB370" s="33">
        <v>2011</v>
      </c>
      <c r="AC370" s="132">
        <f t="shared" ref="AC370" si="1223">IF($Q370="B", (G370*$N370),0)</f>
        <v>0</v>
      </c>
      <c r="AD370" s="132">
        <f t="shared" ref="AD370" si="1224">IF($Q370="B", (H370*$N370),0)</f>
        <v>40</v>
      </c>
      <c r="AE370" s="132">
        <f t="shared" ref="AE370" si="1225">IF($Q370="B", (I370*$N370),0)</f>
        <v>0</v>
      </c>
      <c r="AF370" s="132">
        <f t="shared" ref="AF370" si="1226">IF($Q370="B", (J370*$N370),0)</f>
        <v>8</v>
      </c>
      <c r="AG370" s="132">
        <f t="shared" ref="AG370" si="1227">IF($Q370="B", (K370*$N370),0)</f>
        <v>0</v>
      </c>
      <c r="AH370" s="234">
        <f t="shared" ref="AH370" si="1228">IF($Q370="B", (F370*$N370),0)</f>
        <v>0</v>
      </c>
      <c r="AI370" s="235"/>
      <c r="AJ370" s="132"/>
      <c r="AK370" s="132"/>
      <c r="AL370" s="166"/>
      <c r="AM370" s="131">
        <f t="shared" ref="AM370" si="1229">IF($Q370="C", (G370*$N370),0)</f>
        <v>0</v>
      </c>
      <c r="AN370" s="132">
        <f t="shared" ref="AN370" si="1230">IF($Q370="C", (H370*$N370),0)</f>
        <v>0</v>
      </c>
      <c r="AO370" s="132">
        <f t="shared" ref="AO370" si="1231">IF($Q370="C", (I370*$N370),0)</f>
        <v>0</v>
      </c>
      <c r="AP370" s="132">
        <f t="shared" ref="AP370" si="1232">IF($Q370="C", (J370*$N370),0)</f>
        <v>0</v>
      </c>
      <c r="AQ370" s="132">
        <f t="shared" ref="AQ370" si="1233">IF($Q370="C", (K370*$N370),0)</f>
        <v>0</v>
      </c>
      <c r="AR370" s="132">
        <f t="shared" ref="AR370" si="1234">IF($Q370="C", (F370*$N370),0)</f>
        <v>0</v>
      </c>
      <c r="AS370" s="235"/>
    </row>
    <row r="371" spans="1:45" s="20" customFormat="1">
      <c r="A371" s="46" t="s">
        <v>418</v>
      </c>
      <c r="B371" s="20" t="s">
        <v>34</v>
      </c>
      <c r="C371" s="165">
        <v>0</v>
      </c>
      <c r="D371" s="96" t="s">
        <v>9</v>
      </c>
      <c r="E371" s="166">
        <v>0</v>
      </c>
      <c r="F371" s="167">
        <f t="shared" si="1201"/>
        <v>0</v>
      </c>
      <c r="G371" s="168">
        <v>0</v>
      </c>
      <c r="H371" s="168">
        <v>40</v>
      </c>
      <c r="I371" s="168">
        <v>0</v>
      </c>
      <c r="J371" s="168">
        <v>8</v>
      </c>
      <c r="K371" s="169">
        <v>0</v>
      </c>
      <c r="L371" s="96" t="s">
        <v>8</v>
      </c>
      <c r="M371" s="166">
        <f t="shared" si="1202"/>
        <v>4762.8</v>
      </c>
      <c r="N371" s="92">
        <v>1</v>
      </c>
      <c r="O371" s="170">
        <f t="shared" si="1203"/>
        <v>4762.8</v>
      </c>
      <c r="P371" s="170"/>
      <c r="Q371" s="52" t="s">
        <v>47</v>
      </c>
      <c r="R371" s="71" t="s">
        <v>77</v>
      </c>
      <c r="S371" s="137" t="str">
        <f t="shared" si="1204"/>
        <v>BPD2014</v>
      </c>
      <c r="T371" s="137" t="str">
        <f t="shared" si="1205"/>
        <v>B1.5.1.32014</v>
      </c>
      <c r="U371" s="137" t="s">
        <v>218</v>
      </c>
      <c r="V371" s="137" t="str">
        <f>LOOKUP(U371,$B$539:$B$574,$A$539:$A$574)</f>
        <v>Beam Pipe Mechanics</v>
      </c>
      <c r="AB371" s="33">
        <v>2014</v>
      </c>
      <c r="AC371" s="132">
        <f t="shared" si="1206"/>
        <v>0</v>
      </c>
      <c r="AD371" s="132">
        <f t="shared" si="1207"/>
        <v>40</v>
      </c>
      <c r="AE371" s="132">
        <f t="shared" si="1208"/>
        <v>0</v>
      </c>
      <c r="AF371" s="132">
        <f t="shared" si="1209"/>
        <v>8</v>
      </c>
      <c r="AG371" s="132">
        <f t="shared" si="1210"/>
        <v>0</v>
      </c>
      <c r="AH371" s="234">
        <f t="shared" si="1211"/>
        <v>0</v>
      </c>
      <c r="AI371" s="235"/>
      <c r="AJ371" s="132"/>
      <c r="AK371" s="132"/>
      <c r="AL371" s="166"/>
      <c r="AM371" s="131">
        <f t="shared" si="1212"/>
        <v>0</v>
      </c>
      <c r="AN371" s="132">
        <f t="shared" si="1213"/>
        <v>0</v>
      </c>
      <c r="AO371" s="132">
        <f t="shared" si="1214"/>
        <v>0</v>
      </c>
      <c r="AP371" s="132">
        <f t="shared" si="1215"/>
        <v>0</v>
      </c>
      <c r="AQ371" s="132">
        <f t="shared" si="1216"/>
        <v>0</v>
      </c>
      <c r="AR371" s="132">
        <f t="shared" si="1217"/>
        <v>0</v>
      </c>
      <c r="AS371" s="235"/>
    </row>
    <row r="372" spans="1:45" s="20" customFormat="1">
      <c r="A372" s="47" t="s">
        <v>420</v>
      </c>
      <c r="C372" s="165"/>
      <c r="D372" s="96"/>
      <c r="E372" s="57"/>
      <c r="F372" s="58"/>
      <c r="G372" s="59"/>
      <c r="H372" s="59"/>
      <c r="I372" s="59"/>
      <c r="J372" s="59"/>
      <c r="K372" s="60"/>
      <c r="L372" s="217" t="s">
        <v>66</v>
      </c>
      <c r="M372" s="177">
        <f>SUMIF(Q368:Q371,"B",M368:M371)</f>
        <v>16776.72</v>
      </c>
      <c r="N372" s="65" t="s">
        <v>65</v>
      </c>
      <c r="O372" s="170"/>
      <c r="P372" s="170"/>
      <c r="Q372" s="52"/>
      <c r="R372" s="71"/>
      <c r="S372" s="137"/>
      <c r="T372" s="137"/>
      <c r="U372" s="137"/>
      <c r="V372" s="137"/>
      <c r="AB372" s="33"/>
      <c r="AC372" s="132"/>
      <c r="AD372" s="132"/>
      <c r="AE372" s="135"/>
      <c r="AF372" s="132"/>
      <c r="AG372" s="132"/>
      <c r="AH372" s="234"/>
      <c r="AI372" s="235"/>
      <c r="AJ372" s="132"/>
      <c r="AK372" s="132"/>
      <c r="AL372" s="166"/>
      <c r="AM372" s="131"/>
      <c r="AN372" s="132"/>
      <c r="AO372" s="132"/>
      <c r="AP372" s="132"/>
      <c r="AQ372" s="132"/>
      <c r="AR372" s="132"/>
      <c r="AS372" s="235"/>
    </row>
    <row r="373" spans="1:45" s="20" customFormat="1">
      <c r="A373" s="46" t="s">
        <v>421</v>
      </c>
      <c r="B373" s="20" t="s">
        <v>34</v>
      </c>
      <c r="C373" s="165">
        <v>0</v>
      </c>
      <c r="D373" s="96" t="s">
        <v>9</v>
      </c>
      <c r="E373" s="166">
        <v>0</v>
      </c>
      <c r="F373" s="167">
        <f t="shared" ref="F373:F383" si="1235">E373*C373</f>
        <v>0</v>
      </c>
      <c r="G373" s="168">
        <v>0</v>
      </c>
      <c r="H373" s="168">
        <v>0</v>
      </c>
      <c r="I373" s="168">
        <v>0</v>
      </c>
      <c r="J373" s="168">
        <v>120</v>
      </c>
      <c r="K373" s="169">
        <v>0</v>
      </c>
      <c r="L373" s="96" t="s">
        <v>8</v>
      </c>
      <c r="M373" s="166">
        <f t="shared" ref="M373:M383" si="1236">IF(R373="PD",((Shop*G373)+(M_Tech*H373)+(CMM*I373)+(ENG*J373)+(DES*K373))*N373,((Shop_RD*G373)+(MTECH_RD*H373)+(CMM_RD*I373)+(ENG_RD*J373)+(DES_RD*K373))*N373)</f>
        <v>14580.000000000002</v>
      </c>
      <c r="N373" s="92">
        <v>1</v>
      </c>
      <c r="O373" s="170">
        <f t="shared" ref="O373:O383" si="1237">M373+(F373*N373)</f>
        <v>14580.000000000002</v>
      </c>
      <c r="P373" s="170"/>
      <c r="Q373" s="52" t="s">
        <v>47</v>
      </c>
      <c r="R373" s="71" t="s">
        <v>77</v>
      </c>
      <c r="S373" s="137" t="str">
        <f t="shared" ref="S373:S383" si="1238">CONCATENATE(Q373,R373,AB373)</f>
        <v>BPD2011</v>
      </c>
      <c r="T373" s="137" t="str">
        <f t="shared" ref="T373:T383" si="1239">CONCATENATE(Q373,U373,AB373)</f>
        <v>B1.5.1.3.52011</v>
      </c>
      <c r="U373" s="137" t="s">
        <v>223</v>
      </c>
      <c r="V373" s="137" t="str">
        <f t="shared" ref="V373:V384" si="1240">LOOKUP(U373,$B$539:$B$574,$A$539:$A$574)</f>
        <v>Bake Out Equipment</v>
      </c>
      <c r="AB373" s="33">
        <v>2011</v>
      </c>
      <c r="AC373" s="132">
        <f t="shared" ref="AC373:AC383" si="1241">IF($Q373="B", (G373*$N373),0)</f>
        <v>0</v>
      </c>
      <c r="AD373" s="132">
        <f t="shared" ref="AD373:AD383" si="1242">IF($Q373="B", (H373*$N373),0)</f>
        <v>0</v>
      </c>
      <c r="AE373" s="132">
        <f t="shared" ref="AE373:AE383" si="1243">IF($Q373="B", (I373*$N373),0)</f>
        <v>0</v>
      </c>
      <c r="AF373" s="132">
        <f t="shared" ref="AF373:AF383" si="1244">IF($Q373="B", (J373*$N373),0)</f>
        <v>120</v>
      </c>
      <c r="AG373" s="132">
        <f t="shared" ref="AG373:AG383" si="1245">IF($Q373="B", (K373*$N373),0)</f>
        <v>0</v>
      </c>
      <c r="AH373" s="234">
        <f t="shared" ref="AH373:AH383" si="1246">IF($Q373="B", (F373*$N373),0)</f>
        <v>0</v>
      </c>
      <c r="AI373" s="235"/>
      <c r="AJ373" s="132"/>
      <c r="AK373" s="132"/>
      <c r="AL373" s="166"/>
      <c r="AM373" s="131">
        <f t="shared" ref="AM373:AM383" si="1247">IF($Q373="C", (G373*$N373),0)</f>
        <v>0</v>
      </c>
      <c r="AN373" s="132">
        <f t="shared" ref="AN373:AN383" si="1248">IF($Q373="C", (H373*$N373),0)</f>
        <v>0</v>
      </c>
      <c r="AO373" s="132">
        <f t="shared" ref="AO373:AO383" si="1249">IF($Q373="C", (I373*$N373),0)</f>
        <v>0</v>
      </c>
      <c r="AP373" s="132">
        <f t="shared" ref="AP373:AP383" si="1250">IF($Q373="C", (J373*$N373),0)</f>
        <v>0</v>
      </c>
      <c r="AQ373" s="132">
        <f t="shared" ref="AQ373:AQ383" si="1251">IF($Q373="C", (K373*$N373),0)</f>
        <v>0</v>
      </c>
      <c r="AR373" s="132">
        <f t="shared" ref="AR373:AR383" si="1252">IF($Q373="C", (F373*$N373),0)</f>
        <v>0</v>
      </c>
      <c r="AS373" s="235"/>
    </row>
    <row r="374" spans="1:45" s="20" customFormat="1">
      <c r="A374" s="46" t="s">
        <v>435</v>
      </c>
      <c r="B374" s="20" t="s">
        <v>34</v>
      </c>
      <c r="C374" s="165">
        <v>0</v>
      </c>
      <c r="D374" s="96" t="s">
        <v>9</v>
      </c>
      <c r="E374" s="166">
        <v>0</v>
      </c>
      <c r="F374" s="167">
        <f t="shared" ref="F374" si="1253">E374*C374</f>
        <v>0</v>
      </c>
      <c r="G374" s="168">
        <v>0</v>
      </c>
      <c r="H374" s="168">
        <v>0</v>
      </c>
      <c r="I374" s="168">
        <v>0</v>
      </c>
      <c r="J374" s="168">
        <v>60</v>
      </c>
      <c r="K374" s="169">
        <v>0</v>
      </c>
      <c r="L374" s="96" t="s">
        <v>8</v>
      </c>
      <c r="M374" s="166">
        <f t="shared" ref="M374" si="1254">IF(R374="PD",((Shop*G374)+(M_Tech*H374)+(CMM*I374)+(ENG*J374)+(DES*K374))*N374,((Shop_RD*G374)+(MTECH_RD*H374)+(CMM_RD*I374)+(ENG_RD*J374)+(DES_RD*K374))*N374)</f>
        <v>7290.0000000000009</v>
      </c>
      <c r="N374" s="92">
        <v>1</v>
      </c>
      <c r="O374" s="170">
        <f t="shared" ref="O374" si="1255">M374+(F374*N374)</f>
        <v>7290.0000000000009</v>
      </c>
      <c r="P374" s="170"/>
      <c r="Q374" s="52" t="s">
        <v>48</v>
      </c>
      <c r="R374" s="71" t="s">
        <v>77</v>
      </c>
      <c r="S374" s="137" t="str">
        <f t="shared" ref="S374" si="1256">CONCATENATE(Q374,R374,AB374)</f>
        <v>CPD2011</v>
      </c>
      <c r="T374" s="137" t="str">
        <f t="shared" ref="T374" si="1257">CONCATENATE(Q374,U374,AB374)</f>
        <v>C1.5.1.3.52011</v>
      </c>
      <c r="U374" s="137" t="s">
        <v>223</v>
      </c>
      <c r="V374" s="137" t="str">
        <f t="shared" si="1240"/>
        <v>Bake Out Equipment</v>
      </c>
      <c r="AB374" s="33">
        <v>2011</v>
      </c>
      <c r="AC374" s="132">
        <f t="shared" ref="AC374" si="1258">IF($Q374="B", (G374*$N374),0)</f>
        <v>0</v>
      </c>
      <c r="AD374" s="132">
        <f t="shared" ref="AD374" si="1259">IF($Q374="B", (H374*$N374),0)</f>
        <v>0</v>
      </c>
      <c r="AE374" s="132">
        <f t="shared" ref="AE374" si="1260">IF($Q374="B", (I374*$N374),0)</f>
        <v>0</v>
      </c>
      <c r="AF374" s="132">
        <f t="shared" ref="AF374" si="1261">IF($Q374="B", (J374*$N374),0)</f>
        <v>0</v>
      </c>
      <c r="AG374" s="132">
        <f t="shared" ref="AG374" si="1262">IF($Q374="B", (K374*$N374),0)</f>
        <v>0</v>
      </c>
      <c r="AH374" s="234">
        <f t="shared" ref="AH374" si="1263">IF($Q374="B", (F374*$N374),0)</f>
        <v>0</v>
      </c>
      <c r="AI374" s="235"/>
      <c r="AJ374" s="132"/>
      <c r="AK374" s="132"/>
      <c r="AL374" s="166"/>
      <c r="AM374" s="131">
        <f t="shared" ref="AM374" si="1264">IF($Q374="C", (G374*$N374),0)</f>
        <v>0</v>
      </c>
      <c r="AN374" s="132">
        <f t="shared" ref="AN374" si="1265">IF($Q374="C", (H374*$N374),0)</f>
        <v>0</v>
      </c>
      <c r="AO374" s="132">
        <f t="shared" ref="AO374" si="1266">IF($Q374="C", (I374*$N374),0)</f>
        <v>0</v>
      </c>
      <c r="AP374" s="132">
        <f t="shared" ref="AP374" si="1267">IF($Q374="C", (J374*$N374),0)</f>
        <v>60</v>
      </c>
      <c r="AQ374" s="132">
        <f t="shared" ref="AQ374" si="1268">IF($Q374="C", (K374*$N374),0)</f>
        <v>0</v>
      </c>
      <c r="AR374" s="132">
        <f t="shared" ref="AR374" si="1269">IF($Q374="C", (F374*$N374),0)</f>
        <v>0</v>
      </c>
      <c r="AS374" s="235"/>
    </row>
    <row r="375" spans="1:45" s="20" customFormat="1">
      <c r="A375" s="46" t="s">
        <v>422</v>
      </c>
      <c r="B375" s="20" t="s">
        <v>34</v>
      </c>
      <c r="C375" s="165">
        <v>0</v>
      </c>
      <c r="D375" s="96" t="s">
        <v>9</v>
      </c>
      <c r="E375" s="166">
        <v>0</v>
      </c>
      <c r="F375" s="167">
        <f t="shared" si="1235"/>
        <v>0</v>
      </c>
      <c r="G375" s="168">
        <v>0</v>
      </c>
      <c r="H375" s="168">
        <v>0</v>
      </c>
      <c r="I375" s="168">
        <v>0</v>
      </c>
      <c r="J375" s="168">
        <v>40</v>
      </c>
      <c r="K375" s="169">
        <v>0</v>
      </c>
      <c r="L375" s="96" t="s">
        <v>8</v>
      </c>
      <c r="M375" s="166">
        <f t="shared" si="1236"/>
        <v>4860.0000000000009</v>
      </c>
      <c r="N375" s="92">
        <v>1</v>
      </c>
      <c r="O375" s="170">
        <f t="shared" si="1237"/>
        <v>4860.0000000000009</v>
      </c>
      <c r="P375" s="170"/>
      <c r="Q375" s="52" t="s">
        <v>47</v>
      </c>
      <c r="R375" s="71" t="s">
        <v>77</v>
      </c>
      <c r="S375" s="137" t="str">
        <f t="shared" si="1238"/>
        <v>BPD2011</v>
      </c>
      <c r="T375" s="137" t="str">
        <f t="shared" si="1239"/>
        <v>B1.5.1.3.52011</v>
      </c>
      <c r="U375" s="137" t="s">
        <v>223</v>
      </c>
      <c r="V375" s="137" t="str">
        <f t="shared" si="1240"/>
        <v>Bake Out Equipment</v>
      </c>
      <c r="AB375" s="33">
        <v>2011</v>
      </c>
      <c r="AC375" s="132">
        <f t="shared" si="1241"/>
        <v>0</v>
      </c>
      <c r="AD375" s="132">
        <f t="shared" si="1242"/>
        <v>0</v>
      </c>
      <c r="AE375" s="132">
        <f t="shared" si="1243"/>
        <v>0</v>
      </c>
      <c r="AF375" s="132">
        <f t="shared" si="1244"/>
        <v>40</v>
      </c>
      <c r="AG375" s="132">
        <f t="shared" si="1245"/>
        <v>0</v>
      </c>
      <c r="AH375" s="234">
        <f t="shared" si="1246"/>
        <v>0</v>
      </c>
      <c r="AI375" s="235"/>
      <c r="AJ375" s="132"/>
      <c r="AK375" s="132"/>
      <c r="AL375" s="166"/>
      <c r="AM375" s="131">
        <f t="shared" si="1247"/>
        <v>0</v>
      </c>
      <c r="AN375" s="132">
        <f t="shared" si="1248"/>
        <v>0</v>
      </c>
      <c r="AO375" s="132">
        <f t="shared" si="1249"/>
        <v>0</v>
      </c>
      <c r="AP375" s="132">
        <f t="shared" si="1250"/>
        <v>0</v>
      </c>
      <c r="AQ375" s="132">
        <f t="shared" si="1251"/>
        <v>0</v>
      </c>
      <c r="AR375" s="132">
        <f t="shared" si="1252"/>
        <v>0</v>
      </c>
      <c r="AS375" s="235"/>
    </row>
    <row r="376" spans="1:45" s="20" customFormat="1">
      <c r="A376" s="46" t="s">
        <v>423</v>
      </c>
      <c r="B376" s="20" t="s">
        <v>96</v>
      </c>
      <c r="C376" s="165">
        <v>1</v>
      </c>
      <c r="D376" s="96" t="s">
        <v>57</v>
      </c>
      <c r="E376" s="166">
        <v>5000</v>
      </c>
      <c r="F376" s="167">
        <f t="shared" si="1235"/>
        <v>5000</v>
      </c>
      <c r="G376" s="168">
        <v>0</v>
      </c>
      <c r="H376" s="168">
        <v>0</v>
      </c>
      <c r="I376" s="168">
        <v>0</v>
      </c>
      <c r="J376" s="168">
        <v>24</v>
      </c>
      <c r="K376" s="169">
        <v>0</v>
      </c>
      <c r="L376" s="96" t="s">
        <v>8</v>
      </c>
      <c r="M376" s="166">
        <f t="shared" si="1236"/>
        <v>0</v>
      </c>
      <c r="N376" s="92">
        <v>0</v>
      </c>
      <c r="O376" s="170">
        <f t="shared" si="1237"/>
        <v>0</v>
      </c>
      <c r="P376" s="170"/>
      <c r="Q376" s="52" t="s">
        <v>47</v>
      </c>
      <c r="R376" s="71" t="s">
        <v>77</v>
      </c>
      <c r="S376" s="137" t="str">
        <f t="shared" si="1238"/>
        <v>BPD2011</v>
      </c>
      <c r="T376" s="137" t="str">
        <f t="shared" si="1239"/>
        <v>B1.5.1.3.52011</v>
      </c>
      <c r="U376" s="137" t="s">
        <v>223</v>
      </c>
      <c r="V376" s="137" t="str">
        <f t="shared" si="1240"/>
        <v>Bake Out Equipment</v>
      </c>
      <c r="AB376" s="33">
        <v>2011</v>
      </c>
      <c r="AC376" s="132">
        <f t="shared" si="1241"/>
        <v>0</v>
      </c>
      <c r="AD376" s="132">
        <f t="shared" si="1242"/>
        <v>0</v>
      </c>
      <c r="AE376" s="132">
        <f t="shared" si="1243"/>
        <v>0</v>
      </c>
      <c r="AF376" s="132">
        <f t="shared" si="1244"/>
        <v>0</v>
      </c>
      <c r="AG376" s="132">
        <f t="shared" si="1245"/>
        <v>0</v>
      </c>
      <c r="AH376" s="234">
        <f t="shared" si="1246"/>
        <v>0</v>
      </c>
      <c r="AI376" s="235"/>
      <c r="AJ376" s="132"/>
      <c r="AK376" s="132"/>
      <c r="AL376" s="166"/>
      <c r="AM376" s="131">
        <f t="shared" si="1247"/>
        <v>0</v>
      </c>
      <c r="AN376" s="132">
        <f t="shared" si="1248"/>
        <v>0</v>
      </c>
      <c r="AO376" s="132">
        <f t="shared" si="1249"/>
        <v>0</v>
      </c>
      <c r="AP376" s="132">
        <f t="shared" si="1250"/>
        <v>0</v>
      </c>
      <c r="AQ376" s="132">
        <f t="shared" si="1251"/>
        <v>0</v>
      </c>
      <c r="AR376" s="132">
        <f t="shared" si="1252"/>
        <v>0</v>
      </c>
      <c r="AS376" s="235"/>
    </row>
    <row r="377" spans="1:45" s="20" customFormat="1">
      <c r="A377" s="46" t="s">
        <v>431</v>
      </c>
      <c r="B377" s="20" t="s">
        <v>96</v>
      </c>
      <c r="C377" s="165">
        <v>1</v>
      </c>
      <c r="D377" s="96" t="s">
        <v>57</v>
      </c>
      <c r="E377" s="166">
        <v>5000</v>
      </c>
      <c r="F377" s="167">
        <f t="shared" ref="F377" si="1270">E377*C377</f>
        <v>5000</v>
      </c>
      <c r="G377" s="168">
        <v>0</v>
      </c>
      <c r="H377" s="168">
        <v>0</v>
      </c>
      <c r="I377" s="168">
        <v>0</v>
      </c>
      <c r="J377" s="168">
        <v>24</v>
      </c>
      <c r="K377" s="169">
        <v>0</v>
      </c>
      <c r="L377" s="96" t="s">
        <v>8</v>
      </c>
      <c r="M377" s="166">
        <f t="shared" ref="M377" si="1271">IF(R377="PD",((Shop*G377)+(M_Tech*H377)+(CMM*I377)+(ENG*J377)+(DES*K377))*N377,((Shop_RD*G377)+(MTECH_RD*H377)+(CMM_RD*I377)+(ENG_RD*J377)+(DES_RD*K377))*N377)</f>
        <v>0</v>
      </c>
      <c r="N377" s="92">
        <v>0</v>
      </c>
      <c r="O377" s="170">
        <f t="shared" ref="O377" si="1272">M377+(F377*N377)</f>
        <v>0</v>
      </c>
      <c r="P377" s="170"/>
      <c r="Q377" s="52" t="s">
        <v>48</v>
      </c>
      <c r="R377" s="71" t="s">
        <v>77</v>
      </c>
      <c r="S377" s="137" t="str">
        <f t="shared" ref="S377" si="1273">CONCATENATE(Q377,R377,AB377)</f>
        <v>CPD2012</v>
      </c>
      <c r="T377" s="137" t="str">
        <f t="shared" ref="T377" si="1274">CONCATENATE(Q377,U377,AB377)</f>
        <v>C1.5.1.3.52012</v>
      </c>
      <c r="U377" s="137" t="s">
        <v>223</v>
      </c>
      <c r="V377" s="137" t="str">
        <f t="shared" si="1240"/>
        <v>Bake Out Equipment</v>
      </c>
      <c r="AB377" s="33">
        <v>2012</v>
      </c>
      <c r="AC377" s="132">
        <f t="shared" ref="AC377" si="1275">IF($Q377="B", (G377*$N377),0)</f>
        <v>0</v>
      </c>
      <c r="AD377" s="132">
        <f t="shared" ref="AD377" si="1276">IF($Q377="B", (H377*$N377),0)</f>
        <v>0</v>
      </c>
      <c r="AE377" s="132">
        <f t="shared" ref="AE377" si="1277">IF($Q377="B", (I377*$N377),0)</f>
        <v>0</v>
      </c>
      <c r="AF377" s="132">
        <f t="shared" ref="AF377" si="1278">IF($Q377="B", (J377*$N377),0)</f>
        <v>0</v>
      </c>
      <c r="AG377" s="132">
        <f t="shared" ref="AG377" si="1279">IF($Q377="B", (K377*$N377),0)</f>
        <v>0</v>
      </c>
      <c r="AH377" s="234">
        <f t="shared" ref="AH377" si="1280">IF($Q377="B", (F377*$N377),0)</f>
        <v>0</v>
      </c>
      <c r="AI377" s="235"/>
      <c r="AJ377" s="132"/>
      <c r="AK377" s="132"/>
      <c r="AL377" s="166"/>
      <c r="AM377" s="131">
        <f t="shared" ref="AM377" si="1281">IF($Q377="C", (G377*$N377),0)</f>
        <v>0</v>
      </c>
      <c r="AN377" s="132">
        <f t="shared" ref="AN377" si="1282">IF($Q377="C", (H377*$N377),0)</f>
        <v>0</v>
      </c>
      <c r="AO377" s="132">
        <f t="shared" ref="AO377" si="1283">IF($Q377="C", (I377*$N377),0)</f>
        <v>0</v>
      </c>
      <c r="AP377" s="132">
        <f t="shared" ref="AP377" si="1284">IF($Q377="C", (J377*$N377),0)</f>
        <v>0</v>
      </c>
      <c r="AQ377" s="132">
        <f t="shared" ref="AQ377" si="1285">IF($Q377="C", (K377*$N377),0)</f>
        <v>0</v>
      </c>
      <c r="AR377" s="132">
        <f t="shared" ref="AR377" si="1286">IF($Q377="C", (F377*$N377),0)</f>
        <v>0</v>
      </c>
      <c r="AS377" s="235"/>
    </row>
    <row r="378" spans="1:45" s="20" customFormat="1">
      <c r="A378" s="46" t="s">
        <v>425</v>
      </c>
      <c r="B378" s="20" t="s">
        <v>424</v>
      </c>
      <c r="C378" s="165">
        <v>1</v>
      </c>
      <c r="D378" s="96" t="s">
        <v>57</v>
      </c>
      <c r="E378" s="166">
        <v>1500</v>
      </c>
      <c r="F378" s="167">
        <f t="shared" si="1235"/>
        <v>1500</v>
      </c>
      <c r="G378" s="168">
        <v>32</v>
      </c>
      <c r="H378" s="168">
        <v>0</v>
      </c>
      <c r="I378" s="168">
        <v>0</v>
      </c>
      <c r="J378" s="168">
        <v>8</v>
      </c>
      <c r="K378" s="169">
        <v>0</v>
      </c>
      <c r="L378" s="96" t="s">
        <v>8</v>
      </c>
      <c r="M378" s="166">
        <f t="shared" si="1236"/>
        <v>0</v>
      </c>
      <c r="N378" s="92">
        <v>0</v>
      </c>
      <c r="O378" s="170">
        <f t="shared" si="1237"/>
        <v>0</v>
      </c>
      <c r="P378" s="170"/>
      <c r="Q378" s="52" t="s">
        <v>47</v>
      </c>
      <c r="R378" s="71" t="s">
        <v>77</v>
      </c>
      <c r="S378" s="137" t="str">
        <f t="shared" si="1238"/>
        <v>BPD2011</v>
      </c>
      <c r="T378" s="137" t="str">
        <f t="shared" si="1239"/>
        <v>B1.5.1.3.52011</v>
      </c>
      <c r="U378" s="137" t="s">
        <v>223</v>
      </c>
      <c r="V378" s="137" t="str">
        <f t="shared" si="1240"/>
        <v>Bake Out Equipment</v>
      </c>
      <c r="AB378" s="33">
        <v>2011</v>
      </c>
      <c r="AC378" s="132">
        <f t="shared" si="1241"/>
        <v>0</v>
      </c>
      <c r="AD378" s="132">
        <f t="shared" si="1242"/>
        <v>0</v>
      </c>
      <c r="AE378" s="132">
        <f t="shared" si="1243"/>
        <v>0</v>
      </c>
      <c r="AF378" s="132">
        <f t="shared" si="1244"/>
        <v>0</v>
      </c>
      <c r="AG378" s="132">
        <f t="shared" si="1245"/>
        <v>0</v>
      </c>
      <c r="AH378" s="234">
        <f t="shared" si="1246"/>
        <v>0</v>
      </c>
      <c r="AI378" s="235"/>
      <c r="AJ378" s="132"/>
      <c r="AK378" s="132"/>
      <c r="AL378" s="166"/>
      <c r="AM378" s="131">
        <f t="shared" si="1247"/>
        <v>0</v>
      </c>
      <c r="AN378" s="132">
        <f t="shared" si="1248"/>
        <v>0</v>
      </c>
      <c r="AO378" s="132">
        <f t="shared" si="1249"/>
        <v>0</v>
      </c>
      <c r="AP378" s="132">
        <f t="shared" si="1250"/>
        <v>0</v>
      </c>
      <c r="AQ378" s="132">
        <f t="shared" si="1251"/>
        <v>0</v>
      </c>
      <c r="AR378" s="132">
        <f t="shared" si="1252"/>
        <v>0</v>
      </c>
      <c r="AS378" s="235"/>
    </row>
    <row r="379" spans="1:45" s="20" customFormat="1">
      <c r="A379" s="46" t="s">
        <v>429</v>
      </c>
      <c r="B379" s="20" t="s">
        <v>424</v>
      </c>
      <c r="C379" s="165">
        <v>1</v>
      </c>
      <c r="D379" s="96" t="s">
        <v>57</v>
      </c>
      <c r="E379" s="166">
        <v>1500</v>
      </c>
      <c r="F379" s="167">
        <f t="shared" ref="F379" si="1287">E379*C379</f>
        <v>1500</v>
      </c>
      <c r="G379" s="168">
        <v>32</v>
      </c>
      <c r="H379" s="168">
        <v>0</v>
      </c>
      <c r="I379" s="168">
        <v>0</v>
      </c>
      <c r="J379" s="168">
        <v>8</v>
      </c>
      <c r="K379" s="169">
        <v>0</v>
      </c>
      <c r="L379" s="96" t="s">
        <v>8</v>
      </c>
      <c r="M379" s="166">
        <f t="shared" ref="M379" si="1288">IF(R379="PD",((Shop*G379)+(M_Tech*H379)+(CMM*I379)+(ENG*J379)+(DES*K379))*N379,((Shop_RD*G379)+(MTECH_RD*H379)+(CMM_RD*I379)+(ENG_RD*J379)+(DES_RD*K379))*N379)</f>
        <v>0</v>
      </c>
      <c r="N379" s="92">
        <v>0</v>
      </c>
      <c r="O379" s="170">
        <f t="shared" ref="O379" si="1289">M379+(F379*N379)</f>
        <v>0</v>
      </c>
      <c r="P379" s="170"/>
      <c r="Q379" s="52" t="s">
        <v>48</v>
      </c>
      <c r="R379" s="71" t="s">
        <v>77</v>
      </c>
      <c r="S379" s="137" t="str">
        <f t="shared" ref="S379" si="1290">CONCATENATE(Q379,R379,AB379)</f>
        <v>CPD2012</v>
      </c>
      <c r="T379" s="137" t="str">
        <f t="shared" ref="T379" si="1291">CONCATENATE(Q379,U379,AB379)</f>
        <v>C1.5.1.3.52012</v>
      </c>
      <c r="U379" s="137" t="s">
        <v>223</v>
      </c>
      <c r="V379" s="137" t="str">
        <f t="shared" si="1240"/>
        <v>Bake Out Equipment</v>
      </c>
      <c r="AB379" s="33">
        <v>2012</v>
      </c>
      <c r="AC379" s="132">
        <f t="shared" ref="AC379" si="1292">IF($Q379="B", (G379*$N379),0)</f>
        <v>0</v>
      </c>
      <c r="AD379" s="132">
        <f t="shared" ref="AD379" si="1293">IF($Q379="B", (H379*$N379),0)</f>
        <v>0</v>
      </c>
      <c r="AE379" s="132">
        <f t="shared" ref="AE379" si="1294">IF($Q379="B", (I379*$N379),0)</f>
        <v>0</v>
      </c>
      <c r="AF379" s="132">
        <f t="shared" ref="AF379" si="1295">IF($Q379="B", (J379*$N379),0)</f>
        <v>0</v>
      </c>
      <c r="AG379" s="132">
        <f t="shared" ref="AG379" si="1296">IF($Q379="B", (K379*$N379),0)</f>
        <v>0</v>
      </c>
      <c r="AH379" s="234">
        <f t="shared" ref="AH379" si="1297">IF($Q379="B", (F379*$N379),0)</f>
        <v>0</v>
      </c>
      <c r="AI379" s="235"/>
      <c r="AJ379" s="132"/>
      <c r="AK379" s="132"/>
      <c r="AL379" s="166"/>
      <c r="AM379" s="131">
        <f t="shared" ref="AM379" si="1298">IF($Q379="C", (G379*$N379),0)</f>
        <v>0</v>
      </c>
      <c r="AN379" s="132">
        <f t="shared" ref="AN379" si="1299">IF($Q379="C", (H379*$N379),0)</f>
        <v>0</v>
      </c>
      <c r="AO379" s="132">
        <f t="shared" ref="AO379" si="1300">IF($Q379="C", (I379*$N379),0)</f>
        <v>0</v>
      </c>
      <c r="AP379" s="132">
        <f t="shared" ref="AP379" si="1301">IF($Q379="C", (J379*$N379),0)</f>
        <v>0</v>
      </c>
      <c r="AQ379" s="132">
        <f t="shared" ref="AQ379" si="1302">IF($Q379="C", (K379*$N379),0)</f>
        <v>0</v>
      </c>
      <c r="AR379" s="132">
        <f t="shared" ref="AR379" si="1303">IF($Q379="C", (F379*$N379),0)</f>
        <v>0</v>
      </c>
      <c r="AS379" s="235"/>
    </row>
    <row r="380" spans="1:45" s="20" customFormat="1">
      <c r="A380" s="46" t="s">
        <v>426</v>
      </c>
      <c r="B380" s="20" t="s">
        <v>34</v>
      </c>
      <c r="C380" s="165">
        <v>0</v>
      </c>
      <c r="D380" s="96" t="s">
        <v>9</v>
      </c>
      <c r="E380" s="166">
        <v>0</v>
      </c>
      <c r="F380" s="167">
        <f t="shared" ref="F380" si="1304">E380*C380</f>
        <v>0</v>
      </c>
      <c r="G380" s="168">
        <v>0</v>
      </c>
      <c r="H380" s="168">
        <v>40</v>
      </c>
      <c r="I380" s="168">
        <v>0</v>
      </c>
      <c r="J380" s="168">
        <v>8</v>
      </c>
      <c r="K380" s="169">
        <v>0</v>
      </c>
      <c r="L380" s="96" t="s">
        <v>8</v>
      </c>
      <c r="M380" s="166">
        <f t="shared" ref="M380" si="1305">IF(R380="PD",((Shop*G380)+(M_Tech*H380)+(CMM*I380)+(ENG*J380)+(DES*K380))*N380,((Shop_RD*G380)+(MTECH_RD*H380)+(CMM_RD*I380)+(ENG_RD*J380)+(DES_RD*K380))*N380)</f>
        <v>0</v>
      </c>
      <c r="N380" s="92">
        <v>0</v>
      </c>
      <c r="O380" s="170">
        <f t="shared" ref="O380" si="1306">M380+(F380*N380)</f>
        <v>0</v>
      </c>
      <c r="P380" s="170"/>
      <c r="Q380" s="52" t="s">
        <v>47</v>
      </c>
      <c r="R380" s="71" t="s">
        <v>77</v>
      </c>
      <c r="S380" s="137" t="str">
        <f t="shared" ref="S380" si="1307">CONCATENATE(Q380,R380,AB380)</f>
        <v>BPD2011</v>
      </c>
      <c r="T380" s="137" t="str">
        <f t="shared" ref="T380" si="1308">CONCATENATE(Q380,U380,AB380)</f>
        <v>B1.5.1.3.52011</v>
      </c>
      <c r="U380" s="137" t="s">
        <v>223</v>
      </c>
      <c r="V380" s="137" t="str">
        <f t="shared" si="1240"/>
        <v>Bake Out Equipment</v>
      </c>
      <c r="AB380" s="33">
        <v>2011</v>
      </c>
      <c r="AC380" s="132">
        <f t="shared" ref="AC380" si="1309">IF($Q380="B", (G380*$N380),0)</f>
        <v>0</v>
      </c>
      <c r="AD380" s="132">
        <f t="shared" ref="AD380" si="1310">IF($Q380="B", (H380*$N380),0)</f>
        <v>0</v>
      </c>
      <c r="AE380" s="132">
        <f t="shared" ref="AE380" si="1311">IF($Q380="B", (I380*$N380),0)</f>
        <v>0</v>
      </c>
      <c r="AF380" s="132">
        <f t="shared" ref="AF380" si="1312">IF($Q380="B", (J380*$N380),0)</f>
        <v>0</v>
      </c>
      <c r="AG380" s="132">
        <f t="shared" ref="AG380" si="1313">IF($Q380="B", (K380*$N380),0)</f>
        <v>0</v>
      </c>
      <c r="AH380" s="234">
        <f t="shared" ref="AH380" si="1314">IF($Q380="B", (F380*$N380),0)</f>
        <v>0</v>
      </c>
      <c r="AI380" s="235"/>
      <c r="AJ380" s="132"/>
      <c r="AK380" s="132"/>
      <c r="AL380" s="166"/>
      <c r="AM380" s="131">
        <f t="shared" ref="AM380" si="1315">IF($Q380="C", (G380*$N380),0)</f>
        <v>0</v>
      </c>
      <c r="AN380" s="132">
        <f t="shared" ref="AN380" si="1316">IF($Q380="C", (H380*$N380),0)</f>
        <v>0</v>
      </c>
      <c r="AO380" s="132">
        <f t="shared" ref="AO380" si="1317">IF($Q380="C", (I380*$N380),0)</f>
        <v>0</v>
      </c>
      <c r="AP380" s="132">
        <f t="shared" ref="AP380" si="1318">IF($Q380="C", (J380*$N380),0)</f>
        <v>0</v>
      </c>
      <c r="AQ380" s="132">
        <f t="shared" ref="AQ380" si="1319">IF($Q380="C", (K380*$N380),0)</f>
        <v>0</v>
      </c>
      <c r="AR380" s="132">
        <f t="shared" ref="AR380" si="1320">IF($Q380="C", (F380*$N380),0)</f>
        <v>0</v>
      </c>
      <c r="AS380" s="235"/>
    </row>
    <row r="381" spans="1:45" s="20" customFormat="1">
      <c r="A381" s="46" t="s">
        <v>430</v>
      </c>
      <c r="B381" s="20" t="s">
        <v>34</v>
      </c>
      <c r="C381" s="165">
        <v>0</v>
      </c>
      <c r="D381" s="96" t="s">
        <v>9</v>
      </c>
      <c r="E381" s="166">
        <v>0</v>
      </c>
      <c r="F381" s="167">
        <f t="shared" ref="F381" si="1321">E381*C381</f>
        <v>0</v>
      </c>
      <c r="G381" s="168">
        <v>0</v>
      </c>
      <c r="H381" s="168">
        <v>40</v>
      </c>
      <c r="I381" s="168">
        <v>0</v>
      </c>
      <c r="J381" s="168">
        <v>8</v>
      </c>
      <c r="K381" s="169">
        <v>0</v>
      </c>
      <c r="L381" s="96" t="s">
        <v>8</v>
      </c>
      <c r="M381" s="166">
        <f t="shared" ref="M381" si="1322">IF(R381="PD",((Shop*G381)+(M_Tech*H381)+(CMM*I381)+(ENG*J381)+(DES*K381))*N381,((Shop_RD*G381)+(MTECH_RD*H381)+(CMM_RD*I381)+(ENG_RD*J381)+(DES_RD*K381))*N381)</f>
        <v>0</v>
      </c>
      <c r="N381" s="92">
        <v>0</v>
      </c>
      <c r="O381" s="170">
        <f t="shared" ref="O381" si="1323">M381+(F381*N381)</f>
        <v>0</v>
      </c>
      <c r="P381" s="170"/>
      <c r="Q381" s="52" t="s">
        <v>48</v>
      </c>
      <c r="R381" s="71" t="s">
        <v>77</v>
      </c>
      <c r="S381" s="137" t="str">
        <f t="shared" ref="S381" si="1324">CONCATENATE(Q381,R381,AB381)</f>
        <v>CPD2012</v>
      </c>
      <c r="T381" s="137" t="str">
        <f t="shared" ref="T381" si="1325">CONCATENATE(Q381,U381,AB381)</f>
        <v>C1.5.1.3.52012</v>
      </c>
      <c r="U381" s="137" t="s">
        <v>223</v>
      </c>
      <c r="V381" s="137" t="str">
        <f t="shared" si="1240"/>
        <v>Bake Out Equipment</v>
      </c>
      <c r="AB381" s="33">
        <v>2012</v>
      </c>
      <c r="AC381" s="132">
        <f t="shared" ref="AC381" si="1326">IF($Q381="B", (G381*$N381),0)</f>
        <v>0</v>
      </c>
      <c r="AD381" s="132">
        <f t="shared" ref="AD381" si="1327">IF($Q381="B", (H381*$N381),0)</f>
        <v>0</v>
      </c>
      <c r="AE381" s="132">
        <f t="shared" ref="AE381" si="1328">IF($Q381="B", (I381*$N381),0)</f>
        <v>0</v>
      </c>
      <c r="AF381" s="132">
        <f t="shared" ref="AF381" si="1329">IF($Q381="B", (J381*$N381),0)</f>
        <v>0</v>
      </c>
      <c r="AG381" s="132">
        <f t="shared" ref="AG381" si="1330">IF($Q381="B", (K381*$N381),0)</f>
        <v>0</v>
      </c>
      <c r="AH381" s="234">
        <f t="shared" ref="AH381" si="1331">IF($Q381="B", (F381*$N381),0)</f>
        <v>0</v>
      </c>
      <c r="AI381" s="235"/>
      <c r="AJ381" s="132"/>
      <c r="AK381" s="132"/>
      <c r="AL381" s="166"/>
      <c r="AM381" s="131">
        <f t="shared" ref="AM381" si="1332">IF($Q381="C", (G381*$N381),0)</f>
        <v>0</v>
      </c>
      <c r="AN381" s="132">
        <f t="shared" ref="AN381" si="1333">IF($Q381="C", (H381*$N381),0)</f>
        <v>0</v>
      </c>
      <c r="AO381" s="132">
        <f t="shared" ref="AO381" si="1334">IF($Q381="C", (I381*$N381),0)</f>
        <v>0</v>
      </c>
      <c r="AP381" s="132">
        <f t="shared" ref="AP381" si="1335">IF($Q381="C", (J381*$N381),0)</f>
        <v>0</v>
      </c>
      <c r="AQ381" s="132">
        <f t="shared" ref="AQ381" si="1336">IF($Q381="C", (K381*$N381),0)</f>
        <v>0</v>
      </c>
      <c r="AR381" s="132">
        <f t="shared" ref="AR381" si="1337">IF($Q381="C", (F381*$N381),0)</f>
        <v>0</v>
      </c>
      <c r="AS381" s="235"/>
    </row>
    <row r="382" spans="1:45" s="20" customFormat="1">
      <c r="A382" s="46" t="s">
        <v>427</v>
      </c>
      <c r="B382" s="20" t="s">
        <v>7</v>
      </c>
      <c r="C382" s="165">
        <v>150</v>
      </c>
      <c r="D382" s="96" t="s">
        <v>39</v>
      </c>
      <c r="E382" s="166">
        <v>8</v>
      </c>
      <c r="F382" s="167">
        <f t="shared" si="1235"/>
        <v>1200</v>
      </c>
      <c r="G382" s="168">
        <v>40</v>
      </c>
      <c r="H382" s="168">
        <v>40</v>
      </c>
      <c r="I382" s="168">
        <v>0</v>
      </c>
      <c r="J382" s="168">
        <v>16</v>
      </c>
      <c r="K382" s="169">
        <v>0</v>
      </c>
      <c r="L382" s="96" t="s">
        <v>8</v>
      </c>
      <c r="M382" s="166">
        <f t="shared" si="1236"/>
        <v>0</v>
      </c>
      <c r="N382" s="92">
        <v>0</v>
      </c>
      <c r="O382" s="170">
        <f t="shared" si="1237"/>
        <v>0</v>
      </c>
      <c r="P382" s="170"/>
      <c r="Q382" s="52" t="s">
        <v>47</v>
      </c>
      <c r="R382" s="71" t="s">
        <v>77</v>
      </c>
      <c r="S382" s="137" t="str">
        <f t="shared" si="1238"/>
        <v>BPD2011</v>
      </c>
      <c r="T382" s="137" t="str">
        <f t="shared" si="1239"/>
        <v>B1.5.1.3.52011</v>
      </c>
      <c r="U382" s="137" t="s">
        <v>223</v>
      </c>
      <c r="V382" s="137" t="str">
        <f t="shared" si="1240"/>
        <v>Bake Out Equipment</v>
      </c>
      <c r="AB382" s="33">
        <v>2011</v>
      </c>
      <c r="AC382" s="132">
        <f t="shared" si="1241"/>
        <v>0</v>
      </c>
      <c r="AD382" s="132">
        <f t="shared" si="1242"/>
        <v>0</v>
      </c>
      <c r="AE382" s="132">
        <f t="shared" si="1243"/>
        <v>0</v>
      </c>
      <c r="AF382" s="132">
        <f t="shared" si="1244"/>
        <v>0</v>
      </c>
      <c r="AG382" s="132">
        <f t="shared" si="1245"/>
        <v>0</v>
      </c>
      <c r="AH382" s="234">
        <f t="shared" si="1246"/>
        <v>0</v>
      </c>
      <c r="AI382" s="235"/>
      <c r="AJ382" s="132"/>
      <c r="AK382" s="132"/>
      <c r="AL382" s="166"/>
      <c r="AM382" s="131">
        <f t="shared" si="1247"/>
        <v>0</v>
      </c>
      <c r="AN382" s="132">
        <f t="shared" si="1248"/>
        <v>0</v>
      </c>
      <c r="AO382" s="132">
        <f t="shared" si="1249"/>
        <v>0</v>
      </c>
      <c r="AP382" s="132">
        <f t="shared" si="1250"/>
        <v>0</v>
      </c>
      <c r="AQ382" s="132">
        <f t="shared" si="1251"/>
        <v>0</v>
      </c>
      <c r="AR382" s="132">
        <f t="shared" si="1252"/>
        <v>0</v>
      </c>
      <c r="AS382" s="235"/>
    </row>
    <row r="383" spans="1:45" s="20" customFormat="1">
      <c r="A383" s="46" t="s">
        <v>351</v>
      </c>
      <c r="B383" s="20" t="s">
        <v>57</v>
      </c>
      <c r="C383" s="165">
        <v>1</v>
      </c>
      <c r="D383" s="96" t="s">
        <v>9</v>
      </c>
      <c r="E383" s="166">
        <v>1000</v>
      </c>
      <c r="F383" s="167">
        <f t="shared" si="1235"/>
        <v>1000</v>
      </c>
      <c r="G383" s="168">
        <v>0</v>
      </c>
      <c r="H383" s="168">
        <v>4</v>
      </c>
      <c r="I383" s="168">
        <v>0</v>
      </c>
      <c r="J383" s="168">
        <v>0</v>
      </c>
      <c r="K383" s="169">
        <v>0</v>
      </c>
      <c r="L383" s="96" t="s">
        <v>8</v>
      </c>
      <c r="M383" s="166">
        <f t="shared" si="1236"/>
        <v>0</v>
      </c>
      <c r="N383" s="92">
        <v>0</v>
      </c>
      <c r="O383" s="170">
        <f t="shared" si="1237"/>
        <v>0</v>
      </c>
      <c r="P383" s="170"/>
      <c r="Q383" s="52" t="s">
        <v>47</v>
      </c>
      <c r="R383" s="71" t="s">
        <v>77</v>
      </c>
      <c r="S383" s="137" t="str">
        <f t="shared" si="1238"/>
        <v>BPD2011</v>
      </c>
      <c r="T383" s="137" t="str">
        <f t="shared" si="1239"/>
        <v>B1.5.1.3.52011</v>
      </c>
      <c r="U383" s="137" t="s">
        <v>223</v>
      </c>
      <c r="V383" s="137" t="str">
        <f t="shared" si="1240"/>
        <v>Bake Out Equipment</v>
      </c>
      <c r="AB383" s="33">
        <v>2011</v>
      </c>
      <c r="AC383" s="132">
        <f t="shared" si="1241"/>
        <v>0</v>
      </c>
      <c r="AD383" s="132">
        <f t="shared" si="1242"/>
        <v>0</v>
      </c>
      <c r="AE383" s="132">
        <f t="shared" si="1243"/>
        <v>0</v>
      </c>
      <c r="AF383" s="132">
        <f t="shared" si="1244"/>
        <v>0</v>
      </c>
      <c r="AG383" s="132">
        <f t="shared" si="1245"/>
        <v>0</v>
      </c>
      <c r="AH383" s="234">
        <f t="shared" si="1246"/>
        <v>0</v>
      </c>
      <c r="AI383" s="235"/>
      <c r="AJ383" s="132"/>
      <c r="AK383" s="132"/>
      <c r="AL383" s="166"/>
      <c r="AM383" s="131">
        <f t="shared" si="1247"/>
        <v>0</v>
      </c>
      <c r="AN383" s="132">
        <f t="shared" si="1248"/>
        <v>0</v>
      </c>
      <c r="AO383" s="132">
        <f t="shared" si="1249"/>
        <v>0</v>
      </c>
      <c r="AP383" s="132">
        <f t="shared" si="1250"/>
        <v>0</v>
      </c>
      <c r="AQ383" s="132">
        <f t="shared" si="1251"/>
        <v>0</v>
      </c>
      <c r="AR383" s="132">
        <f t="shared" si="1252"/>
        <v>0</v>
      </c>
      <c r="AS383" s="235"/>
    </row>
    <row r="384" spans="1:45" s="20" customFormat="1">
      <c r="A384" s="46" t="s">
        <v>428</v>
      </c>
      <c r="B384" s="20" t="s">
        <v>34</v>
      </c>
      <c r="C384" s="165">
        <v>0</v>
      </c>
      <c r="D384" s="96" t="s">
        <v>9</v>
      </c>
      <c r="E384" s="166">
        <v>0</v>
      </c>
      <c r="F384" s="167">
        <f t="shared" ref="F384" si="1338">E384*C384</f>
        <v>0</v>
      </c>
      <c r="G384" s="168">
        <v>0</v>
      </c>
      <c r="H384" s="168">
        <v>40</v>
      </c>
      <c r="I384" s="168">
        <v>0</v>
      </c>
      <c r="J384" s="168">
        <v>16</v>
      </c>
      <c r="K384" s="169">
        <v>0</v>
      </c>
      <c r="L384" s="96" t="s">
        <v>8</v>
      </c>
      <c r="M384" s="166">
        <f t="shared" ref="M384" si="1339">IF(R384="PD",((Shop*G384)+(M_Tech*H384)+(CMM*I384)+(ENG*J384)+(DES*K384))*N384,((Shop_RD*G384)+(MTECH_RD*H384)+(CMM_RD*I384)+(ENG_RD*J384)+(DES_RD*K384))*N384)</f>
        <v>5734.8</v>
      </c>
      <c r="N384" s="92">
        <v>1</v>
      </c>
      <c r="O384" s="170">
        <f t="shared" ref="O384" si="1340">M384+(F384*N384)</f>
        <v>5734.8</v>
      </c>
      <c r="P384" s="170"/>
      <c r="Q384" s="52" t="s">
        <v>47</v>
      </c>
      <c r="R384" s="71" t="s">
        <v>77</v>
      </c>
      <c r="S384" s="137" t="str">
        <f t="shared" ref="S384" si="1341">CONCATENATE(Q384,R384,AB384)</f>
        <v>BPDSTAR</v>
      </c>
      <c r="T384" s="137" t="str">
        <f t="shared" ref="T384" si="1342">CONCATENATE(Q384,U384,AB384)</f>
        <v>B1.5.1.3.5STAR</v>
      </c>
      <c r="U384" s="137" t="s">
        <v>223</v>
      </c>
      <c r="V384" s="137" t="str">
        <f t="shared" si="1240"/>
        <v>Bake Out Equipment</v>
      </c>
      <c r="AB384" s="33" t="s">
        <v>162</v>
      </c>
      <c r="AC384" s="132">
        <f t="shared" ref="AC384" si="1343">IF($Q384="B", (G384*$N384),0)</f>
        <v>0</v>
      </c>
      <c r="AD384" s="132">
        <f t="shared" ref="AD384" si="1344">IF($Q384="B", (H384*$N384),0)</f>
        <v>40</v>
      </c>
      <c r="AE384" s="132">
        <f t="shared" ref="AE384" si="1345">IF($Q384="B", (I384*$N384),0)</f>
        <v>0</v>
      </c>
      <c r="AF384" s="132">
        <f t="shared" ref="AF384" si="1346">IF($Q384="B", (J384*$N384),0)</f>
        <v>16</v>
      </c>
      <c r="AG384" s="132">
        <f t="shared" ref="AG384" si="1347">IF($Q384="B", (K384*$N384),0)</f>
        <v>0</v>
      </c>
      <c r="AH384" s="234">
        <f t="shared" ref="AH384" si="1348">IF($Q384="B", (F384*$N384),0)</f>
        <v>0</v>
      </c>
      <c r="AI384" s="235"/>
      <c r="AJ384" s="132"/>
      <c r="AK384" s="132"/>
      <c r="AL384" s="166"/>
      <c r="AM384" s="131">
        <f t="shared" ref="AM384" si="1349">IF($Q384="C", (G384*$N384),0)</f>
        <v>0</v>
      </c>
      <c r="AN384" s="132">
        <f t="shared" ref="AN384" si="1350">IF($Q384="C", (H384*$N384),0)</f>
        <v>0</v>
      </c>
      <c r="AO384" s="132">
        <f t="shared" ref="AO384" si="1351">IF($Q384="C", (I384*$N384),0)</f>
        <v>0</v>
      </c>
      <c r="AP384" s="132">
        <f t="shared" ref="AP384" si="1352">IF($Q384="C", (J384*$N384),0)</f>
        <v>0</v>
      </c>
      <c r="AQ384" s="132">
        <f t="shared" ref="AQ384" si="1353">IF($Q384="C", (K384*$N384),0)</f>
        <v>0</v>
      </c>
      <c r="AR384" s="132">
        <f t="shared" ref="AR384" si="1354">IF($Q384="C", (F384*$N384),0)</f>
        <v>0</v>
      </c>
      <c r="AS384" s="235"/>
    </row>
    <row r="385" spans="1:45" s="20" customFormat="1">
      <c r="A385" s="47" t="s">
        <v>432</v>
      </c>
      <c r="C385" s="165"/>
      <c r="D385" s="96"/>
      <c r="E385" s="57"/>
      <c r="F385" s="58"/>
      <c r="G385" s="59"/>
      <c r="H385" s="59"/>
      <c r="I385" s="59"/>
      <c r="J385" s="59"/>
      <c r="K385" s="60"/>
      <c r="L385" s="217" t="s">
        <v>66</v>
      </c>
      <c r="M385" s="177">
        <f>SUMIF(Q373:Q384,"B",M373:M384)</f>
        <v>25174.800000000003</v>
      </c>
      <c r="N385" s="65" t="s">
        <v>65</v>
      </c>
      <c r="O385" s="170"/>
      <c r="P385" s="170"/>
      <c r="Q385" s="52"/>
      <c r="R385" s="71"/>
      <c r="S385" s="137"/>
      <c r="T385" s="137"/>
      <c r="U385" s="137"/>
      <c r="V385" s="137"/>
      <c r="AB385" s="33"/>
      <c r="AC385" s="132"/>
      <c r="AD385" s="132"/>
      <c r="AE385" s="135"/>
      <c r="AF385" s="132"/>
      <c r="AG385" s="132"/>
      <c r="AH385" s="234"/>
      <c r="AI385" s="235"/>
      <c r="AJ385" s="132"/>
      <c r="AK385" s="132"/>
      <c r="AL385" s="166"/>
      <c r="AM385" s="131"/>
      <c r="AN385" s="132"/>
      <c r="AO385" s="132"/>
      <c r="AP385" s="132"/>
      <c r="AQ385" s="132"/>
      <c r="AR385" s="132"/>
      <c r="AS385" s="235"/>
    </row>
    <row r="386" spans="1:45" s="20" customFormat="1">
      <c r="A386" s="46" t="s">
        <v>433</v>
      </c>
      <c r="B386" s="20" t="s">
        <v>34</v>
      </c>
      <c r="C386" s="165">
        <v>0</v>
      </c>
      <c r="D386" s="96" t="s">
        <v>9</v>
      </c>
      <c r="E386" s="166">
        <v>0</v>
      </c>
      <c r="F386" s="167">
        <f t="shared" ref="F386:F403" si="1355">E386*C386</f>
        <v>0</v>
      </c>
      <c r="G386" s="168">
        <v>0</v>
      </c>
      <c r="H386" s="168">
        <v>0</v>
      </c>
      <c r="I386" s="168">
        <v>0</v>
      </c>
      <c r="J386" s="168">
        <v>80</v>
      </c>
      <c r="K386" s="169">
        <v>0</v>
      </c>
      <c r="L386" s="96" t="s">
        <v>8</v>
      </c>
      <c r="M386" s="166">
        <f t="shared" ref="M386:M403" si="1356">IF(R386="PD",((Shop*G386)+(M_Tech*H386)+(CMM*I386)+(ENG*J386)+(DES*K386))*N386,((Shop_RD*G386)+(MTECH_RD*H386)+(CMM_RD*I386)+(ENG_RD*J386)+(DES_RD*K386))*N386)</f>
        <v>9720.0000000000018</v>
      </c>
      <c r="N386" s="92">
        <v>1</v>
      </c>
      <c r="O386" s="170">
        <f t="shared" ref="O386:O403" si="1357">M386+(F386*N386)</f>
        <v>9720.0000000000018</v>
      </c>
      <c r="P386" s="170"/>
      <c r="Q386" s="52" t="s">
        <v>47</v>
      </c>
      <c r="R386" s="71" t="s">
        <v>77</v>
      </c>
      <c r="S386" s="137" t="str">
        <f t="shared" ref="S386:S403" si="1358">CONCATENATE(Q386,R386,AB386)</f>
        <v>BPD2010</v>
      </c>
      <c r="T386" s="137" t="str">
        <f t="shared" ref="T386:T403" si="1359">CONCATENATE(Q386,U386,AB386)</f>
        <v>B1.5.1.3.52010</v>
      </c>
      <c r="U386" s="137" t="s">
        <v>223</v>
      </c>
      <c r="V386" s="137" t="str">
        <f t="shared" ref="V386:V397" si="1360">LOOKUP(U386,$B$539:$B$574,$A$539:$A$574)</f>
        <v>Bake Out Equipment</v>
      </c>
      <c r="AB386" s="487">
        <v>2010</v>
      </c>
      <c r="AC386" s="132">
        <f t="shared" ref="AC386:AC403" si="1361">IF($Q386="B", (G386*$N386),0)</f>
        <v>0</v>
      </c>
      <c r="AD386" s="132">
        <f t="shared" ref="AD386:AD403" si="1362">IF($Q386="B", (H386*$N386),0)</f>
        <v>0</v>
      </c>
      <c r="AE386" s="132">
        <f t="shared" ref="AE386:AE403" si="1363">IF($Q386="B", (I386*$N386),0)</f>
        <v>0</v>
      </c>
      <c r="AF386" s="132">
        <f t="shared" ref="AF386:AF403" si="1364">IF($Q386="B", (J386*$N386),0)</f>
        <v>80</v>
      </c>
      <c r="AG386" s="132">
        <f t="shared" ref="AG386:AG403" si="1365">IF($Q386="B", (K386*$N386),0)</f>
        <v>0</v>
      </c>
      <c r="AH386" s="234">
        <f t="shared" ref="AH386:AH403" si="1366">IF($Q386="B", (F386*$N386),0)</f>
        <v>0</v>
      </c>
      <c r="AI386" s="235"/>
      <c r="AJ386" s="132"/>
      <c r="AK386" s="132"/>
      <c r="AL386" s="166"/>
      <c r="AM386" s="131">
        <f t="shared" ref="AM386:AM403" si="1367">IF($Q386="C", (G386*$N386),0)</f>
        <v>0</v>
      </c>
      <c r="AN386" s="132">
        <f t="shared" ref="AN386:AN403" si="1368">IF($Q386="C", (H386*$N386),0)</f>
        <v>0</v>
      </c>
      <c r="AO386" s="132">
        <f t="shared" ref="AO386:AO403" si="1369">IF($Q386="C", (I386*$N386),0)</f>
        <v>0</v>
      </c>
      <c r="AP386" s="132">
        <f t="shared" ref="AP386:AP403" si="1370">IF($Q386="C", (J386*$N386),0)</f>
        <v>0</v>
      </c>
      <c r="AQ386" s="132">
        <f t="shared" ref="AQ386:AQ403" si="1371">IF($Q386="C", (K386*$N386),0)</f>
        <v>0</v>
      </c>
      <c r="AR386" s="132">
        <f t="shared" ref="AR386:AR403" si="1372">IF($Q386="C", (F386*$N386),0)</f>
        <v>0</v>
      </c>
      <c r="AS386" s="235"/>
    </row>
    <row r="387" spans="1:45" s="20" customFormat="1">
      <c r="A387" s="46" t="s">
        <v>436</v>
      </c>
      <c r="B387" s="20" t="s">
        <v>34</v>
      </c>
      <c r="C387" s="165">
        <v>0</v>
      </c>
      <c r="D387" s="96" t="s">
        <v>9</v>
      </c>
      <c r="E387" s="166">
        <v>0</v>
      </c>
      <c r="F387" s="167">
        <f t="shared" ref="F387" si="1373">E387*C387</f>
        <v>0</v>
      </c>
      <c r="G387" s="168">
        <v>0</v>
      </c>
      <c r="H387" s="168">
        <v>0</v>
      </c>
      <c r="I387" s="168">
        <v>0</v>
      </c>
      <c r="J387" s="168">
        <v>40</v>
      </c>
      <c r="K387" s="169">
        <v>0</v>
      </c>
      <c r="L387" s="96" t="s">
        <v>8</v>
      </c>
      <c r="M387" s="166">
        <f t="shared" ref="M387" si="1374">IF(R387="PD",((Shop*G387)+(M_Tech*H387)+(CMM*I387)+(ENG*J387)+(DES*K387))*N387,((Shop_RD*G387)+(MTECH_RD*H387)+(CMM_RD*I387)+(ENG_RD*J387)+(DES_RD*K387))*N387)</f>
        <v>4860.0000000000009</v>
      </c>
      <c r="N387" s="92">
        <v>1</v>
      </c>
      <c r="O387" s="170">
        <f t="shared" ref="O387" si="1375">M387+(F387*N387)</f>
        <v>4860.0000000000009</v>
      </c>
      <c r="P387" s="170"/>
      <c r="Q387" s="52" t="s">
        <v>48</v>
      </c>
      <c r="R387" s="71" t="s">
        <v>77</v>
      </c>
      <c r="S387" s="137" t="str">
        <f t="shared" ref="S387" si="1376">CONCATENATE(Q387,R387,AB387)</f>
        <v>CPD2011</v>
      </c>
      <c r="T387" s="137" t="str">
        <f t="shared" ref="T387" si="1377">CONCATENATE(Q387,U387,AB387)</f>
        <v>C1.5.1.3.52011</v>
      </c>
      <c r="U387" s="137" t="s">
        <v>223</v>
      </c>
      <c r="V387" s="137" t="str">
        <f t="shared" si="1360"/>
        <v>Bake Out Equipment</v>
      </c>
      <c r="AB387" s="33">
        <v>2011</v>
      </c>
      <c r="AC387" s="132">
        <f t="shared" ref="AC387" si="1378">IF($Q387="B", (G387*$N387),0)</f>
        <v>0</v>
      </c>
      <c r="AD387" s="132">
        <f t="shared" ref="AD387" si="1379">IF($Q387="B", (H387*$N387),0)</f>
        <v>0</v>
      </c>
      <c r="AE387" s="132">
        <f t="shared" ref="AE387" si="1380">IF($Q387="B", (I387*$N387),0)</f>
        <v>0</v>
      </c>
      <c r="AF387" s="132">
        <f t="shared" ref="AF387" si="1381">IF($Q387="B", (J387*$N387),0)</f>
        <v>0</v>
      </c>
      <c r="AG387" s="132">
        <f t="shared" ref="AG387" si="1382">IF($Q387="B", (K387*$N387),0)</f>
        <v>0</v>
      </c>
      <c r="AH387" s="234">
        <f t="shared" ref="AH387" si="1383">IF($Q387="B", (F387*$N387),0)</f>
        <v>0</v>
      </c>
      <c r="AI387" s="235"/>
      <c r="AJ387" s="132"/>
      <c r="AK387" s="132"/>
      <c r="AL387" s="166"/>
      <c r="AM387" s="131">
        <f t="shared" ref="AM387" si="1384">IF($Q387="C", (G387*$N387),0)</f>
        <v>0</v>
      </c>
      <c r="AN387" s="132">
        <f t="shared" ref="AN387" si="1385">IF($Q387="C", (H387*$N387),0)</f>
        <v>0</v>
      </c>
      <c r="AO387" s="132">
        <f t="shared" ref="AO387" si="1386">IF($Q387="C", (I387*$N387),0)</f>
        <v>0</v>
      </c>
      <c r="AP387" s="132">
        <f t="shared" ref="AP387" si="1387">IF($Q387="C", (J387*$N387),0)</f>
        <v>40</v>
      </c>
      <c r="AQ387" s="132">
        <f t="shared" ref="AQ387" si="1388">IF($Q387="C", (K387*$N387),0)</f>
        <v>0</v>
      </c>
      <c r="AR387" s="132">
        <f t="shared" ref="AR387" si="1389">IF($Q387="C", (F387*$N387),0)</f>
        <v>0</v>
      </c>
      <c r="AS387" s="235"/>
    </row>
    <row r="388" spans="1:45" s="20" customFormat="1">
      <c r="A388" s="46" t="s">
        <v>434</v>
      </c>
      <c r="B388" s="20" t="s">
        <v>34</v>
      </c>
      <c r="C388" s="165">
        <v>0</v>
      </c>
      <c r="D388" s="96" t="s">
        <v>9</v>
      </c>
      <c r="E388" s="166">
        <v>0</v>
      </c>
      <c r="F388" s="167">
        <f t="shared" si="1355"/>
        <v>0</v>
      </c>
      <c r="G388" s="168">
        <v>0</v>
      </c>
      <c r="H388" s="168">
        <v>0</v>
      </c>
      <c r="I388" s="168">
        <v>0</v>
      </c>
      <c r="J388" s="168">
        <v>120</v>
      </c>
      <c r="K388" s="169">
        <v>0</v>
      </c>
      <c r="L388" s="96" t="s">
        <v>8</v>
      </c>
      <c r="M388" s="166">
        <f t="shared" si="1356"/>
        <v>14580.000000000002</v>
      </c>
      <c r="N388" s="92">
        <v>1</v>
      </c>
      <c r="O388" s="170">
        <f t="shared" si="1357"/>
        <v>14580.000000000002</v>
      </c>
      <c r="P388" s="170"/>
      <c r="Q388" s="52" t="s">
        <v>47</v>
      </c>
      <c r="R388" s="71" t="s">
        <v>77</v>
      </c>
      <c r="S388" s="137" t="str">
        <f t="shared" si="1358"/>
        <v>BPD2011</v>
      </c>
      <c r="T388" s="137" t="str">
        <f t="shared" si="1359"/>
        <v>B1.5.1.3.52011</v>
      </c>
      <c r="U388" s="137" t="s">
        <v>223</v>
      </c>
      <c r="V388" s="137" t="str">
        <f t="shared" si="1360"/>
        <v>Bake Out Equipment</v>
      </c>
      <c r="AB388" s="33">
        <v>2011</v>
      </c>
      <c r="AC388" s="132">
        <f t="shared" si="1361"/>
        <v>0</v>
      </c>
      <c r="AD388" s="132">
        <f t="shared" si="1362"/>
        <v>0</v>
      </c>
      <c r="AE388" s="132">
        <f t="shared" si="1363"/>
        <v>0</v>
      </c>
      <c r="AF388" s="132">
        <f t="shared" si="1364"/>
        <v>120</v>
      </c>
      <c r="AG388" s="132">
        <f t="shared" si="1365"/>
        <v>0</v>
      </c>
      <c r="AH388" s="234">
        <f t="shared" si="1366"/>
        <v>0</v>
      </c>
      <c r="AI388" s="235"/>
      <c r="AJ388" s="132"/>
      <c r="AK388" s="132"/>
      <c r="AL388" s="166"/>
      <c r="AM388" s="131">
        <f t="shared" si="1367"/>
        <v>0</v>
      </c>
      <c r="AN388" s="132">
        <f t="shared" si="1368"/>
        <v>0</v>
      </c>
      <c r="AO388" s="132">
        <f t="shared" si="1369"/>
        <v>0</v>
      </c>
      <c r="AP388" s="132">
        <f t="shared" si="1370"/>
        <v>0</v>
      </c>
      <c r="AQ388" s="132">
        <f t="shared" si="1371"/>
        <v>0</v>
      </c>
      <c r="AR388" s="132">
        <f t="shared" si="1372"/>
        <v>0</v>
      </c>
      <c r="AS388" s="235"/>
    </row>
    <row r="389" spans="1:45" s="20" customFormat="1">
      <c r="A389" s="46" t="s">
        <v>437</v>
      </c>
      <c r="B389" s="20" t="s">
        <v>34</v>
      </c>
      <c r="C389" s="165">
        <v>0</v>
      </c>
      <c r="D389" s="96" t="s">
        <v>9</v>
      </c>
      <c r="E389" s="166">
        <v>0</v>
      </c>
      <c r="F389" s="167">
        <f t="shared" ref="F389" si="1390">E389*C389</f>
        <v>0</v>
      </c>
      <c r="G389" s="168">
        <v>0</v>
      </c>
      <c r="H389" s="168">
        <v>0</v>
      </c>
      <c r="I389" s="168">
        <v>0</v>
      </c>
      <c r="J389" s="168">
        <v>60</v>
      </c>
      <c r="K389" s="169">
        <v>0</v>
      </c>
      <c r="L389" s="96" t="s">
        <v>8</v>
      </c>
      <c r="M389" s="166">
        <f t="shared" ref="M389" si="1391">IF(R389="PD",((Shop*G389)+(M_Tech*H389)+(CMM*I389)+(ENG*J389)+(DES*K389))*N389,((Shop_RD*G389)+(MTECH_RD*H389)+(CMM_RD*I389)+(ENG_RD*J389)+(DES_RD*K389))*N389)</f>
        <v>7290.0000000000009</v>
      </c>
      <c r="N389" s="92">
        <v>1</v>
      </c>
      <c r="O389" s="170">
        <f t="shared" ref="O389" si="1392">M389+(F389*N389)</f>
        <v>7290.0000000000009</v>
      </c>
      <c r="P389" s="170"/>
      <c r="Q389" s="52" t="s">
        <v>48</v>
      </c>
      <c r="R389" s="71" t="s">
        <v>77</v>
      </c>
      <c r="S389" s="137" t="str">
        <f t="shared" ref="S389" si="1393">CONCATENATE(Q389,R389,AB389)</f>
        <v>CPD2011</v>
      </c>
      <c r="T389" s="137" t="str">
        <f t="shared" ref="T389" si="1394">CONCATENATE(Q389,U389,AB389)</f>
        <v>C1.5.1.3.52011</v>
      </c>
      <c r="U389" s="137" t="s">
        <v>223</v>
      </c>
      <c r="V389" s="137" t="str">
        <f t="shared" si="1360"/>
        <v>Bake Out Equipment</v>
      </c>
      <c r="AB389" s="33">
        <v>2011</v>
      </c>
      <c r="AC389" s="132">
        <f t="shared" ref="AC389" si="1395">IF($Q389="B", (G389*$N389),0)</f>
        <v>0</v>
      </c>
      <c r="AD389" s="132">
        <f t="shared" ref="AD389" si="1396">IF($Q389="B", (H389*$N389),0)</f>
        <v>0</v>
      </c>
      <c r="AE389" s="132">
        <f t="shared" ref="AE389" si="1397">IF($Q389="B", (I389*$N389),0)</f>
        <v>0</v>
      </c>
      <c r="AF389" s="132">
        <f t="shared" ref="AF389" si="1398">IF($Q389="B", (J389*$N389),0)</f>
        <v>0</v>
      </c>
      <c r="AG389" s="132">
        <f t="shared" ref="AG389" si="1399">IF($Q389="B", (K389*$N389),0)</f>
        <v>0</v>
      </c>
      <c r="AH389" s="234">
        <f t="shared" ref="AH389" si="1400">IF($Q389="B", (F389*$N389),0)</f>
        <v>0</v>
      </c>
      <c r="AI389" s="235"/>
      <c r="AJ389" s="132"/>
      <c r="AK389" s="132"/>
      <c r="AL389" s="166"/>
      <c r="AM389" s="131">
        <f t="shared" ref="AM389" si="1401">IF($Q389="C", (G389*$N389),0)</f>
        <v>0</v>
      </c>
      <c r="AN389" s="132">
        <f t="shared" ref="AN389" si="1402">IF($Q389="C", (H389*$N389),0)</f>
        <v>0</v>
      </c>
      <c r="AO389" s="132">
        <f t="shared" ref="AO389" si="1403">IF($Q389="C", (I389*$N389),0)</f>
        <v>0</v>
      </c>
      <c r="AP389" s="132">
        <f t="shared" ref="AP389" si="1404">IF($Q389="C", (J389*$N389),0)</f>
        <v>60</v>
      </c>
      <c r="AQ389" s="132">
        <f t="shared" ref="AQ389" si="1405">IF($Q389="C", (K389*$N389),0)</f>
        <v>0</v>
      </c>
      <c r="AR389" s="132">
        <f t="shared" ref="AR389" si="1406">IF($Q389="C", (F389*$N389),0)</f>
        <v>0</v>
      </c>
      <c r="AS389" s="235"/>
    </row>
    <row r="390" spans="1:45" s="20" customFormat="1">
      <c r="A390" s="46" t="s">
        <v>438</v>
      </c>
      <c r="B390" s="20" t="s">
        <v>96</v>
      </c>
      <c r="C390" s="165">
        <v>1</v>
      </c>
      <c r="D390" s="96" t="s">
        <v>439</v>
      </c>
      <c r="E390" s="166">
        <v>1500</v>
      </c>
      <c r="F390" s="167">
        <f t="shared" si="1355"/>
        <v>1500</v>
      </c>
      <c r="G390" s="168">
        <v>0</v>
      </c>
      <c r="H390" s="168">
        <v>0</v>
      </c>
      <c r="I390" s="168">
        <v>0</v>
      </c>
      <c r="J390" s="168">
        <v>0</v>
      </c>
      <c r="K390" s="169">
        <v>0</v>
      </c>
      <c r="L390" s="96" t="s">
        <v>8</v>
      </c>
      <c r="M390" s="166">
        <f t="shared" si="1356"/>
        <v>0</v>
      </c>
      <c r="N390" s="92">
        <v>0</v>
      </c>
      <c r="O390" s="170">
        <f t="shared" si="1357"/>
        <v>0</v>
      </c>
      <c r="P390" s="170"/>
      <c r="Q390" s="52" t="s">
        <v>47</v>
      </c>
      <c r="R390" s="71" t="s">
        <v>77</v>
      </c>
      <c r="S390" s="137" t="str">
        <f t="shared" si="1358"/>
        <v>BPD2011</v>
      </c>
      <c r="T390" s="137" t="str">
        <f t="shared" si="1359"/>
        <v>B1.5.1.3.52011</v>
      </c>
      <c r="U390" s="137" t="s">
        <v>223</v>
      </c>
      <c r="V390" s="137" t="str">
        <f t="shared" si="1360"/>
        <v>Bake Out Equipment</v>
      </c>
      <c r="AB390" s="33">
        <v>2011</v>
      </c>
      <c r="AC390" s="132">
        <f t="shared" si="1361"/>
        <v>0</v>
      </c>
      <c r="AD390" s="132">
        <f t="shared" si="1362"/>
        <v>0</v>
      </c>
      <c r="AE390" s="132">
        <f t="shared" si="1363"/>
        <v>0</v>
      </c>
      <c r="AF390" s="132">
        <f t="shared" si="1364"/>
        <v>0</v>
      </c>
      <c r="AG390" s="132">
        <f t="shared" si="1365"/>
        <v>0</v>
      </c>
      <c r="AH390" s="234">
        <f t="shared" si="1366"/>
        <v>0</v>
      </c>
      <c r="AI390" s="235"/>
      <c r="AJ390" s="132"/>
      <c r="AK390" s="132"/>
      <c r="AL390" s="166"/>
      <c r="AM390" s="131">
        <f t="shared" si="1367"/>
        <v>0</v>
      </c>
      <c r="AN390" s="132">
        <f t="shared" si="1368"/>
        <v>0</v>
      </c>
      <c r="AO390" s="132">
        <f t="shared" si="1369"/>
        <v>0</v>
      </c>
      <c r="AP390" s="132">
        <f t="shared" si="1370"/>
        <v>0</v>
      </c>
      <c r="AQ390" s="132">
        <f t="shared" si="1371"/>
        <v>0</v>
      </c>
      <c r="AR390" s="132">
        <f t="shared" si="1372"/>
        <v>0</v>
      </c>
      <c r="AS390" s="235"/>
    </row>
    <row r="391" spans="1:45" s="20" customFormat="1">
      <c r="A391" s="46" t="s">
        <v>440</v>
      </c>
      <c r="B391" s="20" t="s">
        <v>96</v>
      </c>
      <c r="C391" s="165">
        <v>1</v>
      </c>
      <c r="D391" s="96" t="s">
        <v>439</v>
      </c>
      <c r="E391" s="166">
        <v>1500</v>
      </c>
      <c r="F391" s="167">
        <f t="shared" ref="F391:F392" si="1407">E391*C391</f>
        <v>1500</v>
      </c>
      <c r="G391" s="168">
        <v>0</v>
      </c>
      <c r="H391" s="168">
        <v>0</v>
      </c>
      <c r="I391" s="168">
        <v>0</v>
      </c>
      <c r="J391" s="168">
        <v>0</v>
      </c>
      <c r="K391" s="169">
        <v>0</v>
      </c>
      <c r="L391" s="96" t="s">
        <v>8</v>
      </c>
      <c r="M391" s="166">
        <f t="shared" ref="M391:M392" si="1408">IF(R391="PD",((Shop*G391)+(M_Tech*H391)+(CMM*I391)+(ENG*J391)+(DES*K391))*N391,((Shop_RD*G391)+(MTECH_RD*H391)+(CMM_RD*I391)+(ENG_RD*J391)+(DES_RD*K391))*N391)</f>
        <v>0</v>
      </c>
      <c r="N391" s="92">
        <v>0</v>
      </c>
      <c r="O391" s="170">
        <f t="shared" ref="O391:O392" si="1409">M391+(F391*N391)</f>
        <v>0</v>
      </c>
      <c r="P391" s="170"/>
      <c r="Q391" s="52" t="s">
        <v>48</v>
      </c>
      <c r="R391" s="71" t="s">
        <v>77</v>
      </c>
      <c r="S391" s="137" t="str">
        <f t="shared" ref="S391:S392" si="1410">CONCATENATE(Q391,R391,AB391)</f>
        <v>CPD2011</v>
      </c>
      <c r="T391" s="137" t="str">
        <f t="shared" ref="T391:T392" si="1411">CONCATENATE(Q391,U391,AB391)</f>
        <v>C1.5.1.3.52011</v>
      </c>
      <c r="U391" s="137" t="s">
        <v>223</v>
      </c>
      <c r="V391" s="137" t="str">
        <f t="shared" si="1360"/>
        <v>Bake Out Equipment</v>
      </c>
      <c r="AB391" s="33">
        <v>2011</v>
      </c>
      <c r="AC391" s="132">
        <f t="shared" ref="AC391:AC392" si="1412">IF($Q391="B", (G391*$N391),0)</f>
        <v>0</v>
      </c>
      <c r="AD391" s="132">
        <f t="shared" ref="AD391:AD392" si="1413">IF($Q391="B", (H391*$N391),0)</f>
        <v>0</v>
      </c>
      <c r="AE391" s="132">
        <f t="shared" ref="AE391:AE392" si="1414">IF($Q391="B", (I391*$N391),0)</f>
        <v>0</v>
      </c>
      <c r="AF391" s="132">
        <f t="shared" ref="AF391:AF392" si="1415">IF($Q391="B", (J391*$N391),0)</f>
        <v>0</v>
      </c>
      <c r="AG391" s="132">
        <f t="shared" ref="AG391:AG392" si="1416">IF($Q391="B", (K391*$N391),0)</f>
        <v>0</v>
      </c>
      <c r="AH391" s="234">
        <f t="shared" ref="AH391:AH392" si="1417">IF($Q391="B", (F391*$N391),0)</f>
        <v>0</v>
      </c>
      <c r="AI391" s="235"/>
      <c r="AJ391" s="132"/>
      <c r="AK391" s="132"/>
      <c r="AL391" s="166"/>
      <c r="AM391" s="131">
        <f t="shared" ref="AM391:AM392" si="1418">IF($Q391="C", (G391*$N391),0)</f>
        <v>0</v>
      </c>
      <c r="AN391" s="132">
        <f t="shared" ref="AN391:AN392" si="1419">IF($Q391="C", (H391*$N391),0)</f>
        <v>0</v>
      </c>
      <c r="AO391" s="132">
        <f t="shared" ref="AO391:AO392" si="1420">IF($Q391="C", (I391*$N391),0)</f>
        <v>0</v>
      </c>
      <c r="AP391" s="132">
        <f t="shared" ref="AP391:AP392" si="1421">IF($Q391="C", (J391*$N391),0)</f>
        <v>0</v>
      </c>
      <c r="AQ391" s="132">
        <f t="shared" ref="AQ391:AQ392" si="1422">IF($Q391="C", (K391*$N391),0)</f>
        <v>0</v>
      </c>
      <c r="AR391" s="132">
        <f t="shared" ref="AR391:AR392" si="1423">IF($Q391="C", (F391*$N391),0)</f>
        <v>0</v>
      </c>
      <c r="AS391" s="235"/>
    </row>
    <row r="392" spans="1:45" s="20" customFormat="1">
      <c r="A392" s="46" t="s">
        <v>441</v>
      </c>
      <c r="B392" s="20" t="s">
        <v>96</v>
      </c>
      <c r="C392" s="165">
        <v>1</v>
      </c>
      <c r="D392" s="96" t="s">
        <v>439</v>
      </c>
      <c r="E392" s="166">
        <v>2000</v>
      </c>
      <c r="F392" s="167">
        <f t="shared" si="1407"/>
        <v>2000</v>
      </c>
      <c r="G392" s="168">
        <v>0</v>
      </c>
      <c r="H392" s="168">
        <v>0</v>
      </c>
      <c r="I392" s="168">
        <v>0</v>
      </c>
      <c r="J392" s="168">
        <v>0</v>
      </c>
      <c r="K392" s="169">
        <v>0</v>
      </c>
      <c r="L392" s="96" t="s">
        <v>8</v>
      </c>
      <c r="M392" s="166">
        <f t="shared" si="1408"/>
        <v>0</v>
      </c>
      <c r="N392" s="92">
        <v>0</v>
      </c>
      <c r="O392" s="170">
        <f t="shared" si="1409"/>
        <v>0</v>
      </c>
      <c r="P392" s="170"/>
      <c r="Q392" s="52" t="s">
        <v>47</v>
      </c>
      <c r="R392" s="71" t="s">
        <v>77</v>
      </c>
      <c r="S392" s="137" t="str">
        <f t="shared" si="1410"/>
        <v>BPD2011</v>
      </c>
      <c r="T392" s="137" t="str">
        <f t="shared" si="1411"/>
        <v>B1.5.1.3.52011</v>
      </c>
      <c r="U392" s="137" t="s">
        <v>223</v>
      </c>
      <c r="V392" s="137" t="str">
        <f t="shared" si="1360"/>
        <v>Bake Out Equipment</v>
      </c>
      <c r="AB392" s="33">
        <v>2011</v>
      </c>
      <c r="AC392" s="132">
        <f t="shared" si="1412"/>
        <v>0</v>
      </c>
      <c r="AD392" s="132">
        <f t="shared" si="1413"/>
        <v>0</v>
      </c>
      <c r="AE392" s="132">
        <f t="shared" si="1414"/>
        <v>0</v>
      </c>
      <c r="AF392" s="132">
        <f t="shared" si="1415"/>
        <v>0</v>
      </c>
      <c r="AG392" s="132">
        <f t="shared" si="1416"/>
        <v>0</v>
      </c>
      <c r="AH392" s="234">
        <f t="shared" si="1417"/>
        <v>0</v>
      </c>
      <c r="AI392" s="235"/>
      <c r="AJ392" s="132"/>
      <c r="AK392" s="132"/>
      <c r="AL392" s="166"/>
      <c r="AM392" s="131">
        <f t="shared" si="1418"/>
        <v>0</v>
      </c>
      <c r="AN392" s="132">
        <f t="shared" si="1419"/>
        <v>0</v>
      </c>
      <c r="AO392" s="132">
        <f t="shared" si="1420"/>
        <v>0</v>
      </c>
      <c r="AP392" s="132">
        <f t="shared" si="1421"/>
        <v>0</v>
      </c>
      <c r="AQ392" s="132">
        <f t="shared" si="1422"/>
        <v>0</v>
      </c>
      <c r="AR392" s="132">
        <f t="shared" si="1423"/>
        <v>0</v>
      </c>
      <c r="AS392" s="235"/>
    </row>
    <row r="393" spans="1:45" s="20" customFormat="1">
      <c r="A393" s="46" t="s">
        <v>440</v>
      </c>
      <c r="B393" s="20" t="s">
        <v>96</v>
      </c>
      <c r="C393" s="165">
        <v>1</v>
      </c>
      <c r="D393" s="96" t="s">
        <v>439</v>
      </c>
      <c r="E393" s="166">
        <v>1500</v>
      </c>
      <c r="F393" s="167">
        <f t="shared" ref="F393" si="1424">E393*C393</f>
        <v>1500</v>
      </c>
      <c r="G393" s="168">
        <v>0</v>
      </c>
      <c r="H393" s="168">
        <v>0</v>
      </c>
      <c r="I393" s="168">
        <v>0</v>
      </c>
      <c r="J393" s="168">
        <v>0</v>
      </c>
      <c r="K393" s="169">
        <v>0</v>
      </c>
      <c r="L393" s="96" t="s">
        <v>8</v>
      </c>
      <c r="M393" s="166">
        <f t="shared" ref="M393" si="1425">IF(R393="PD",((Shop*G393)+(M_Tech*H393)+(CMM*I393)+(ENG*J393)+(DES*K393))*N393,((Shop_RD*G393)+(MTECH_RD*H393)+(CMM_RD*I393)+(ENG_RD*J393)+(DES_RD*K393))*N393)</f>
        <v>0</v>
      </c>
      <c r="N393" s="92">
        <v>0</v>
      </c>
      <c r="O393" s="170">
        <f t="shared" ref="O393" si="1426">M393+(F393*N393)</f>
        <v>0</v>
      </c>
      <c r="P393" s="170"/>
      <c r="Q393" s="52" t="s">
        <v>48</v>
      </c>
      <c r="R393" s="71" t="s">
        <v>77</v>
      </c>
      <c r="S393" s="137" t="str">
        <f t="shared" ref="S393" si="1427">CONCATENATE(Q393,R393,AB393)</f>
        <v>CPD2011</v>
      </c>
      <c r="T393" s="137" t="str">
        <f t="shared" ref="T393" si="1428">CONCATENATE(Q393,U393,AB393)</f>
        <v>C1.5.1.3.52011</v>
      </c>
      <c r="U393" s="137" t="s">
        <v>223</v>
      </c>
      <c r="V393" s="137" t="str">
        <f t="shared" si="1360"/>
        <v>Bake Out Equipment</v>
      </c>
      <c r="AB393" s="33">
        <v>2011</v>
      </c>
      <c r="AC393" s="132">
        <f t="shared" ref="AC393" si="1429">IF($Q393="B", (G393*$N393),0)</f>
        <v>0</v>
      </c>
      <c r="AD393" s="132">
        <f t="shared" ref="AD393" si="1430">IF($Q393="B", (H393*$N393),0)</f>
        <v>0</v>
      </c>
      <c r="AE393" s="132">
        <f t="shared" ref="AE393" si="1431">IF($Q393="B", (I393*$N393),0)</f>
        <v>0</v>
      </c>
      <c r="AF393" s="132">
        <f t="shared" ref="AF393" si="1432">IF($Q393="B", (J393*$N393),0)</f>
        <v>0</v>
      </c>
      <c r="AG393" s="132">
        <f t="shared" ref="AG393" si="1433">IF($Q393="B", (K393*$N393),0)</f>
        <v>0</v>
      </c>
      <c r="AH393" s="234">
        <f t="shared" ref="AH393" si="1434">IF($Q393="B", (F393*$N393),0)</f>
        <v>0</v>
      </c>
      <c r="AI393" s="235"/>
      <c r="AJ393" s="132"/>
      <c r="AK393" s="132"/>
      <c r="AL393" s="166"/>
      <c r="AM393" s="131">
        <f t="shared" ref="AM393" si="1435">IF($Q393="C", (G393*$N393),0)</f>
        <v>0</v>
      </c>
      <c r="AN393" s="132">
        <f t="shared" ref="AN393" si="1436">IF($Q393="C", (H393*$N393),0)</f>
        <v>0</v>
      </c>
      <c r="AO393" s="132">
        <f t="shared" ref="AO393" si="1437">IF($Q393="C", (I393*$N393),0)</f>
        <v>0</v>
      </c>
      <c r="AP393" s="132">
        <f t="shared" ref="AP393" si="1438">IF($Q393="C", (J393*$N393),0)</f>
        <v>0</v>
      </c>
      <c r="AQ393" s="132">
        <f t="shared" ref="AQ393" si="1439">IF($Q393="C", (K393*$N393),0)</f>
        <v>0</v>
      </c>
      <c r="AR393" s="132">
        <f t="shared" ref="AR393" si="1440">IF($Q393="C", (F393*$N393),0)</f>
        <v>0</v>
      </c>
      <c r="AS393" s="235"/>
    </row>
    <row r="394" spans="1:45" s="20" customFormat="1">
      <c r="A394" s="46" t="s">
        <v>442</v>
      </c>
      <c r="B394" s="20" t="s">
        <v>424</v>
      </c>
      <c r="C394" s="165">
        <v>1</v>
      </c>
      <c r="D394" s="96" t="s">
        <v>57</v>
      </c>
      <c r="E394" s="166">
        <v>2500</v>
      </c>
      <c r="F394" s="167">
        <f t="shared" si="1355"/>
        <v>2500</v>
      </c>
      <c r="G394" s="168">
        <v>0</v>
      </c>
      <c r="H394" s="168">
        <v>0</v>
      </c>
      <c r="I394" s="168">
        <v>0</v>
      </c>
      <c r="J394" s="168">
        <v>8</v>
      </c>
      <c r="K394" s="169">
        <v>0</v>
      </c>
      <c r="L394" s="96" t="s">
        <v>8</v>
      </c>
      <c r="M394" s="166">
        <f t="shared" si="1356"/>
        <v>0</v>
      </c>
      <c r="N394" s="92">
        <v>0</v>
      </c>
      <c r="O394" s="170">
        <f t="shared" si="1357"/>
        <v>0</v>
      </c>
      <c r="P394" s="170"/>
      <c r="Q394" s="52" t="s">
        <v>48</v>
      </c>
      <c r="R394" s="71" t="s">
        <v>77</v>
      </c>
      <c r="S394" s="137" t="str">
        <f t="shared" si="1358"/>
        <v>CPD2011</v>
      </c>
      <c r="T394" s="137" t="str">
        <f t="shared" si="1359"/>
        <v>C1.5.1.3.52011</v>
      </c>
      <c r="U394" s="137" t="s">
        <v>223</v>
      </c>
      <c r="V394" s="137" t="str">
        <f t="shared" si="1360"/>
        <v>Bake Out Equipment</v>
      </c>
      <c r="AB394" s="33">
        <v>2011</v>
      </c>
      <c r="AC394" s="132">
        <f t="shared" si="1361"/>
        <v>0</v>
      </c>
      <c r="AD394" s="132">
        <f t="shared" si="1362"/>
        <v>0</v>
      </c>
      <c r="AE394" s="132">
        <f t="shared" si="1363"/>
        <v>0</v>
      </c>
      <c r="AF394" s="132">
        <f t="shared" si="1364"/>
        <v>0</v>
      </c>
      <c r="AG394" s="132">
        <f t="shared" si="1365"/>
        <v>0</v>
      </c>
      <c r="AH394" s="234">
        <f t="shared" si="1366"/>
        <v>0</v>
      </c>
      <c r="AI394" s="235"/>
      <c r="AJ394" s="132"/>
      <c r="AK394" s="132"/>
      <c r="AL394" s="166"/>
      <c r="AM394" s="131">
        <f t="shared" si="1367"/>
        <v>0</v>
      </c>
      <c r="AN394" s="132">
        <f t="shared" si="1368"/>
        <v>0</v>
      </c>
      <c r="AO394" s="132">
        <f t="shared" si="1369"/>
        <v>0</v>
      </c>
      <c r="AP394" s="132">
        <f t="shared" si="1370"/>
        <v>0</v>
      </c>
      <c r="AQ394" s="132">
        <f t="shared" si="1371"/>
        <v>0</v>
      </c>
      <c r="AR394" s="132">
        <f t="shared" si="1372"/>
        <v>0</v>
      </c>
      <c r="AS394" s="235"/>
    </row>
    <row r="395" spans="1:45" s="20" customFormat="1">
      <c r="A395" s="46" t="s">
        <v>443</v>
      </c>
      <c r="B395" s="20" t="s">
        <v>96</v>
      </c>
      <c r="C395" s="165">
        <v>0</v>
      </c>
      <c r="D395" s="96" t="s">
        <v>9</v>
      </c>
      <c r="E395" s="166">
        <v>15000</v>
      </c>
      <c r="F395" s="167">
        <f t="shared" si="1355"/>
        <v>0</v>
      </c>
      <c r="G395" s="168">
        <v>0</v>
      </c>
      <c r="H395" s="168">
        <v>0</v>
      </c>
      <c r="I395" s="168">
        <v>0</v>
      </c>
      <c r="J395" s="168">
        <v>20</v>
      </c>
      <c r="K395" s="169">
        <v>0</v>
      </c>
      <c r="L395" s="96" t="s">
        <v>8</v>
      </c>
      <c r="M395" s="166">
        <f t="shared" si="1356"/>
        <v>0</v>
      </c>
      <c r="N395" s="92">
        <v>0</v>
      </c>
      <c r="O395" s="170">
        <f t="shared" si="1357"/>
        <v>0</v>
      </c>
      <c r="P395" s="170"/>
      <c r="Q395" s="52" t="s">
        <v>47</v>
      </c>
      <c r="R395" s="71" t="s">
        <v>77</v>
      </c>
      <c r="S395" s="137" t="str">
        <f t="shared" si="1358"/>
        <v>BPD2011</v>
      </c>
      <c r="T395" s="137" t="str">
        <f t="shared" si="1359"/>
        <v>B1.5.1.3.52011</v>
      </c>
      <c r="U395" s="137" t="s">
        <v>223</v>
      </c>
      <c r="V395" s="137" t="str">
        <f t="shared" si="1360"/>
        <v>Bake Out Equipment</v>
      </c>
      <c r="AB395" s="33">
        <v>2011</v>
      </c>
      <c r="AC395" s="132">
        <f t="shared" si="1361"/>
        <v>0</v>
      </c>
      <c r="AD395" s="132">
        <f t="shared" si="1362"/>
        <v>0</v>
      </c>
      <c r="AE395" s="132">
        <f t="shared" si="1363"/>
        <v>0</v>
      </c>
      <c r="AF395" s="132">
        <f t="shared" si="1364"/>
        <v>0</v>
      </c>
      <c r="AG395" s="132">
        <f t="shared" si="1365"/>
        <v>0</v>
      </c>
      <c r="AH395" s="234">
        <f t="shared" si="1366"/>
        <v>0</v>
      </c>
      <c r="AI395" s="235"/>
      <c r="AJ395" s="132"/>
      <c r="AK395" s="132"/>
      <c r="AL395" s="166"/>
      <c r="AM395" s="131">
        <f t="shared" si="1367"/>
        <v>0</v>
      </c>
      <c r="AN395" s="132">
        <f t="shared" si="1368"/>
        <v>0</v>
      </c>
      <c r="AO395" s="132">
        <f t="shared" si="1369"/>
        <v>0</v>
      </c>
      <c r="AP395" s="132">
        <f t="shared" si="1370"/>
        <v>0</v>
      </c>
      <c r="AQ395" s="132">
        <f t="shared" si="1371"/>
        <v>0</v>
      </c>
      <c r="AR395" s="132">
        <f t="shared" si="1372"/>
        <v>0</v>
      </c>
      <c r="AS395" s="235"/>
    </row>
    <row r="396" spans="1:45" s="20" customFormat="1">
      <c r="A396" s="46" t="s">
        <v>444</v>
      </c>
      <c r="B396" s="20" t="s">
        <v>96</v>
      </c>
      <c r="C396" s="165">
        <v>0</v>
      </c>
      <c r="D396" s="96" t="s">
        <v>9</v>
      </c>
      <c r="E396" s="166">
        <v>15000</v>
      </c>
      <c r="F396" s="167">
        <f t="shared" ref="F396" si="1441">E396*C396</f>
        <v>0</v>
      </c>
      <c r="G396" s="168">
        <v>0</v>
      </c>
      <c r="H396" s="168">
        <v>0</v>
      </c>
      <c r="I396" s="168">
        <v>0</v>
      </c>
      <c r="J396" s="168">
        <v>20</v>
      </c>
      <c r="K396" s="169">
        <v>0</v>
      </c>
      <c r="L396" s="96" t="s">
        <v>8</v>
      </c>
      <c r="M396" s="166">
        <f t="shared" ref="M396" si="1442">IF(R396="PD",((Shop*G396)+(M_Tech*H396)+(CMM*I396)+(ENG*J396)+(DES*K396))*N396,((Shop_RD*G396)+(MTECH_RD*H396)+(CMM_RD*I396)+(ENG_RD*J396)+(DES_RD*K396))*N396)</f>
        <v>0</v>
      </c>
      <c r="N396" s="92">
        <v>0</v>
      </c>
      <c r="O396" s="170">
        <f t="shared" ref="O396" si="1443">M396+(F396*N396)</f>
        <v>0</v>
      </c>
      <c r="P396" s="170"/>
      <c r="Q396" s="52" t="s">
        <v>47</v>
      </c>
      <c r="R396" s="71" t="s">
        <v>77</v>
      </c>
      <c r="S396" s="137" t="str">
        <f t="shared" ref="S396" si="1444">CONCATENATE(Q396,R396,AB396)</f>
        <v>BPD2011</v>
      </c>
      <c r="T396" s="137" t="str">
        <f t="shared" ref="T396" si="1445">CONCATENATE(Q396,U396,AB396)</f>
        <v>B1.5.1.3.52011</v>
      </c>
      <c r="U396" s="137" t="s">
        <v>223</v>
      </c>
      <c r="V396" s="137" t="str">
        <f t="shared" si="1360"/>
        <v>Bake Out Equipment</v>
      </c>
      <c r="AB396" s="33">
        <v>2011</v>
      </c>
      <c r="AC396" s="132">
        <f t="shared" ref="AC396" si="1446">IF($Q396="B", (G396*$N396),0)</f>
        <v>0</v>
      </c>
      <c r="AD396" s="132">
        <f t="shared" ref="AD396" si="1447">IF($Q396="B", (H396*$N396),0)</f>
        <v>0</v>
      </c>
      <c r="AE396" s="132">
        <f t="shared" ref="AE396" si="1448">IF($Q396="B", (I396*$N396),0)</f>
        <v>0</v>
      </c>
      <c r="AF396" s="132">
        <f t="shared" ref="AF396" si="1449">IF($Q396="B", (J396*$N396),0)</f>
        <v>0</v>
      </c>
      <c r="AG396" s="132">
        <f t="shared" ref="AG396" si="1450">IF($Q396="B", (K396*$N396),0)</f>
        <v>0</v>
      </c>
      <c r="AH396" s="234">
        <f t="shared" ref="AH396" si="1451">IF($Q396="B", (F396*$N396),0)</f>
        <v>0</v>
      </c>
      <c r="AI396" s="235"/>
      <c r="AJ396" s="132"/>
      <c r="AK396" s="132"/>
      <c r="AL396" s="166"/>
      <c r="AM396" s="131">
        <f t="shared" ref="AM396" si="1452">IF($Q396="C", (G396*$N396),0)</f>
        <v>0</v>
      </c>
      <c r="AN396" s="132">
        <f t="shared" ref="AN396" si="1453">IF($Q396="C", (H396*$N396),0)</f>
        <v>0</v>
      </c>
      <c r="AO396" s="132">
        <f t="shared" ref="AO396" si="1454">IF($Q396="C", (I396*$N396),0)</f>
        <v>0</v>
      </c>
      <c r="AP396" s="132">
        <f t="shared" ref="AP396" si="1455">IF($Q396="C", (J396*$N396),0)</f>
        <v>0</v>
      </c>
      <c r="AQ396" s="132">
        <f t="shared" ref="AQ396" si="1456">IF($Q396="C", (K396*$N396),0)</f>
        <v>0</v>
      </c>
      <c r="AR396" s="132">
        <f t="shared" ref="AR396" si="1457">IF($Q396="C", (F396*$N396),0)</f>
        <v>0</v>
      </c>
      <c r="AS396" s="235"/>
    </row>
    <row r="397" spans="1:45" s="20" customFormat="1">
      <c r="A397" s="46" t="s">
        <v>351</v>
      </c>
      <c r="B397" s="20" t="s">
        <v>57</v>
      </c>
      <c r="C397" s="165">
        <v>1</v>
      </c>
      <c r="D397" s="96" t="s">
        <v>9</v>
      </c>
      <c r="E397" s="166">
        <v>2000</v>
      </c>
      <c r="F397" s="167">
        <f t="shared" si="1355"/>
        <v>2000</v>
      </c>
      <c r="G397" s="168">
        <v>0</v>
      </c>
      <c r="H397" s="168">
        <v>8</v>
      </c>
      <c r="I397" s="168">
        <v>0</v>
      </c>
      <c r="J397" s="168">
        <v>0</v>
      </c>
      <c r="K397" s="169">
        <v>0</v>
      </c>
      <c r="L397" s="96" t="s">
        <v>8</v>
      </c>
      <c r="M397" s="166">
        <f t="shared" si="1356"/>
        <v>0</v>
      </c>
      <c r="N397" s="92">
        <v>0</v>
      </c>
      <c r="O397" s="170">
        <f t="shared" si="1357"/>
        <v>0</v>
      </c>
      <c r="P397" s="170"/>
      <c r="Q397" s="52" t="s">
        <v>47</v>
      </c>
      <c r="R397" s="71" t="s">
        <v>77</v>
      </c>
      <c r="S397" s="137" t="str">
        <f t="shared" si="1358"/>
        <v>BPD2011</v>
      </c>
      <c r="T397" s="137" t="str">
        <f t="shared" si="1359"/>
        <v>B1.5.1.3.52011</v>
      </c>
      <c r="U397" s="137" t="s">
        <v>223</v>
      </c>
      <c r="V397" s="137" t="str">
        <f t="shared" si="1360"/>
        <v>Bake Out Equipment</v>
      </c>
      <c r="AB397" s="33">
        <v>2011</v>
      </c>
      <c r="AC397" s="132">
        <f t="shared" si="1361"/>
        <v>0</v>
      </c>
      <c r="AD397" s="132">
        <f t="shared" si="1362"/>
        <v>0</v>
      </c>
      <c r="AE397" s="132">
        <f t="shared" si="1363"/>
        <v>0</v>
      </c>
      <c r="AF397" s="132">
        <f t="shared" si="1364"/>
        <v>0</v>
      </c>
      <c r="AG397" s="132">
        <f t="shared" si="1365"/>
        <v>0</v>
      </c>
      <c r="AH397" s="234">
        <f t="shared" si="1366"/>
        <v>0</v>
      </c>
      <c r="AI397" s="235"/>
      <c r="AJ397" s="132"/>
      <c r="AK397" s="132"/>
      <c r="AL397" s="166"/>
      <c r="AM397" s="131">
        <f t="shared" si="1367"/>
        <v>0</v>
      </c>
      <c r="AN397" s="132">
        <f t="shared" si="1368"/>
        <v>0</v>
      </c>
      <c r="AO397" s="132">
        <f t="shared" si="1369"/>
        <v>0</v>
      </c>
      <c r="AP397" s="132">
        <f t="shared" si="1370"/>
        <v>0</v>
      </c>
      <c r="AQ397" s="132">
        <f t="shared" si="1371"/>
        <v>0</v>
      </c>
      <c r="AR397" s="132">
        <f t="shared" si="1372"/>
        <v>0</v>
      </c>
      <c r="AS397" s="235"/>
    </row>
    <row r="398" spans="1:45" s="20" customFormat="1">
      <c r="A398" s="47" t="s">
        <v>445</v>
      </c>
      <c r="C398" s="165"/>
      <c r="D398" s="96"/>
      <c r="E398" s="57"/>
      <c r="F398" s="58"/>
      <c r="G398" s="59"/>
      <c r="H398" s="59"/>
      <c r="I398" s="59"/>
      <c r="J398" s="59"/>
      <c r="K398" s="60"/>
      <c r="L398" s="217" t="s">
        <v>66</v>
      </c>
      <c r="M398" s="177">
        <f>SUMIF(Q386:Q397,"B",M386:M397)</f>
        <v>24300.000000000004</v>
      </c>
      <c r="N398" s="65" t="s">
        <v>65</v>
      </c>
      <c r="O398" s="170"/>
      <c r="P398" s="170"/>
      <c r="Q398" s="52"/>
      <c r="R398" s="71"/>
      <c r="S398" s="137"/>
      <c r="T398" s="137"/>
      <c r="U398" s="137"/>
      <c r="V398" s="137"/>
      <c r="AB398" s="33"/>
      <c r="AC398" s="132"/>
      <c r="AD398" s="132"/>
      <c r="AE398" s="135"/>
      <c r="AF398" s="132"/>
      <c r="AG398" s="132"/>
      <c r="AH398" s="234"/>
      <c r="AI398" s="235"/>
      <c r="AJ398" s="132"/>
      <c r="AK398" s="132"/>
      <c r="AL398" s="166"/>
      <c r="AM398" s="131"/>
      <c r="AN398" s="132"/>
      <c r="AO398" s="132"/>
      <c r="AP398" s="132"/>
      <c r="AQ398" s="132"/>
      <c r="AR398" s="132"/>
      <c r="AS398" s="235"/>
    </row>
    <row r="399" spans="1:45" s="20" customFormat="1">
      <c r="A399" s="46" t="s">
        <v>446</v>
      </c>
      <c r="B399" s="20" t="s">
        <v>34</v>
      </c>
      <c r="C399" s="165">
        <v>0</v>
      </c>
      <c r="D399" s="96" t="s">
        <v>9</v>
      </c>
      <c r="E399" s="166">
        <v>0</v>
      </c>
      <c r="F399" s="167">
        <f t="shared" ref="F399:F400" si="1458">E399*C399</f>
        <v>0</v>
      </c>
      <c r="G399" s="168">
        <v>0</v>
      </c>
      <c r="H399" s="168">
        <v>0</v>
      </c>
      <c r="I399" s="168">
        <v>0</v>
      </c>
      <c r="J399" s="168">
        <v>80</v>
      </c>
      <c r="K399" s="169">
        <v>0</v>
      </c>
      <c r="L399" s="96" t="s">
        <v>8</v>
      </c>
      <c r="M399" s="166">
        <f t="shared" ref="M399:M400" si="1459">IF(R399="PD",((Shop*G399)+(M_Tech*H399)+(CMM*I399)+(ENG*J399)+(DES*K399))*N399,((Shop_RD*G399)+(MTECH_RD*H399)+(CMM_RD*I399)+(ENG_RD*J399)+(DES_RD*K399))*N399)</f>
        <v>9720.0000000000018</v>
      </c>
      <c r="N399" s="92">
        <v>1</v>
      </c>
      <c r="O399" s="170">
        <f t="shared" ref="O399:O400" si="1460">M399+(F399*N399)</f>
        <v>9720.0000000000018</v>
      </c>
      <c r="P399" s="170"/>
      <c r="Q399" s="52" t="s">
        <v>47</v>
      </c>
      <c r="R399" s="71" t="s">
        <v>77</v>
      </c>
      <c r="S399" s="137" t="str">
        <f t="shared" ref="S399:S400" si="1461">CONCATENATE(Q399,R399,AB399)</f>
        <v>BPD2011</v>
      </c>
      <c r="T399" s="137" t="str">
        <f t="shared" ref="T399:T400" si="1462">CONCATENATE(Q399,U399,AB399)</f>
        <v>B1.5.1.3.52011</v>
      </c>
      <c r="U399" s="137" t="s">
        <v>223</v>
      </c>
      <c r="V399" s="137" t="str">
        <f t="shared" ref="V399:V404" si="1463">LOOKUP(U399,$B$539:$B$574,$A$539:$A$574)</f>
        <v>Bake Out Equipment</v>
      </c>
      <c r="AB399" s="33">
        <v>2011</v>
      </c>
      <c r="AC399" s="132">
        <f t="shared" ref="AC399:AC400" si="1464">IF($Q399="B", (G399*$N399),0)</f>
        <v>0</v>
      </c>
      <c r="AD399" s="132">
        <f t="shared" ref="AD399:AD400" si="1465">IF($Q399="B", (H399*$N399),0)</f>
        <v>0</v>
      </c>
      <c r="AE399" s="132">
        <f t="shared" ref="AE399:AE400" si="1466">IF($Q399="B", (I399*$N399),0)</f>
        <v>0</v>
      </c>
      <c r="AF399" s="132">
        <f t="shared" ref="AF399:AF400" si="1467">IF($Q399="B", (J399*$N399),0)</f>
        <v>80</v>
      </c>
      <c r="AG399" s="132">
        <f t="shared" ref="AG399:AG400" si="1468">IF($Q399="B", (K399*$N399),0)</f>
        <v>0</v>
      </c>
      <c r="AH399" s="234">
        <f t="shared" ref="AH399:AH400" si="1469">IF($Q399="B", (F399*$N399),0)</f>
        <v>0</v>
      </c>
      <c r="AI399" s="235"/>
      <c r="AJ399" s="132"/>
      <c r="AK399" s="132"/>
      <c r="AL399" s="166"/>
      <c r="AM399" s="131">
        <f t="shared" ref="AM399:AM400" si="1470">IF($Q399="C", (G399*$N399),0)</f>
        <v>0</v>
      </c>
      <c r="AN399" s="132">
        <f t="shared" ref="AN399:AN400" si="1471">IF($Q399="C", (H399*$N399),0)</f>
        <v>0</v>
      </c>
      <c r="AO399" s="132">
        <f t="shared" ref="AO399:AO400" si="1472">IF($Q399="C", (I399*$N399),0)</f>
        <v>0</v>
      </c>
      <c r="AP399" s="132">
        <f t="shared" ref="AP399:AP400" si="1473">IF($Q399="C", (J399*$N399),0)</f>
        <v>0</v>
      </c>
      <c r="AQ399" s="132">
        <f t="shared" ref="AQ399:AQ400" si="1474">IF($Q399="C", (K399*$N399),0)</f>
        <v>0</v>
      </c>
      <c r="AR399" s="132">
        <f t="shared" ref="AR399:AR400" si="1475">IF($Q399="C", (F399*$N399),0)</f>
        <v>0</v>
      </c>
      <c r="AS399" s="235"/>
    </row>
    <row r="400" spans="1:45" s="20" customFormat="1">
      <c r="A400" s="46" t="s">
        <v>447</v>
      </c>
      <c r="B400" s="20" t="s">
        <v>34</v>
      </c>
      <c r="C400" s="165">
        <v>0</v>
      </c>
      <c r="D400" s="96" t="s">
        <v>9</v>
      </c>
      <c r="E400" s="166">
        <v>0</v>
      </c>
      <c r="F400" s="167">
        <f t="shared" si="1458"/>
        <v>0</v>
      </c>
      <c r="G400" s="168">
        <v>0</v>
      </c>
      <c r="H400" s="168">
        <v>0</v>
      </c>
      <c r="I400" s="168">
        <v>0</v>
      </c>
      <c r="J400" s="168">
        <v>40</v>
      </c>
      <c r="K400" s="169">
        <v>0</v>
      </c>
      <c r="L400" s="96" t="s">
        <v>8</v>
      </c>
      <c r="M400" s="166">
        <f t="shared" si="1459"/>
        <v>4860.0000000000009</v>
      </c>
      <c r="N400" s="92">
        <v>1</v>
      </c>
      <c r="O400" s="170">
        <f t="shared" si="1460"/>
        <v>4860.0000000000009</v>
      </c>
      <c r="P400" s="170"/>
      <c r="Q400" s="52" t="s">
        <v>48</v>
      </c>
      <c r="R400" s="71" t="s">
        <v>77</v>
      </c>
      <c r="S400" s="137" t="str">
        <f t="shared" si="1461"/>
        <v>CPD2011</v>
      </c>
      <c r="T400" s="137" t="str">
        <f t="shared" si="1462"/>
        <v>C1.5.1.3.52011</v>
      </c>
      <c r="U400" s="137" t="s">
        <v>223</v>
      </c>
      <c r="V400" s="137" t="str">
        <f t="shared" si="1463"/>
        <v>Bake Out Equipment</v>
      </c>
      <c r="AB400" s="33">
        <v>2011</v>
      </c>
      <c r="AC400" s="132">
        <f t="shared" si="1464"/>
        <v>0</v>
      </c>
      <c r="AD400" s="132">
        <f t="shared" si="1465"/>
        <v>0</v>
      </c>
      <c r="AE400" s="132">
        <f t="shared" si="1466"/>
        <v>0</v>
      </c>
      <c r="AF400" s="132">
        <f t="shared" si="1467"/>
        <v>0</v>
      </c>
      <c r="AG400" s="132">
        <f t="shared" si="1468"/>
        <v>0</v>
      </c>
      <c r="AH400" s="234">
        <f t="shared" si="1469"/>
        <v>0</v>
      </c>
      <c r="AI400" s="235"/>
      <c r="AJ400" s="132"/>
      <c r="AK400" s="132"/>
      <c r="AL400" s="166"/>
      <c r="AM400" s="131">
        <f t="shared" si="1470"/>
        <v>0</v>
      </c>
      <c r="AN400" s="132">
        <f t="shared" si="1471"/>
        <v>0</v>
      </c>
      <c r="AO400" s="132">
        <f t="shared" si="1472"/>
        <v>0</v>
      </c>
      <c r="AP400" s="132">
        <f t="shared" si="1473"/>
        <v>40</v>
      </c>
      <c r="AQ400" s="132">
        <f t="shared" si="1474"/>
        <v>0</v>
      </c>
      <c r="AR400" s="132">
        <f t="shared" si="1475"/>
        <v>0</v>
      </c>
      <c r="AS400" s="235"/>
    </row>
    <row r="401" spans="1:45" s="20" customFormat="1">
      <c r="A401" s="46" t="s">
        <v>448</v>
      </c>
      <c r="B401" s="20" t="s">
        <v>34</v>
      </c>
      <c r="C401" s="165">
        <v>0</v>
      </c>
      <c r="D401" s="96" t="s">
        <v>9</v>
      </c>
      <c r="E401" s="166">
        <v>0</v>
      </c>
      <c r="F401" s="167">
        <f t="shared" si="1355"/>
        <v>0</v>
      </c>
      <c r="G401" s="168">
        <v>0</v>
      </c>
      <c r="H401" s="168">
        <v>80</v>
      </c>
      <c r="I401" s="168">
        <v>0</v>
      </c>
      <c r="J401" s="168">
        <v>0</v>
      </c>
      <c r="K401" s="169">
        <v>0</v>
      </c>
      <c r="L401" s="96" t="s">
        <v>8</v>
      </c>
      <c r="M401" s="166">
        <f t="shared" si="1356"/>
        <v>7581.6</v>
      </c>
      <c r="N401" s="92">
        <v>1</v>
      </c>
      <c r="O401" s="170">
        <f t="shared" si="1357"/>
        <v>7581.6</v>
      </c>
      <c r="P401" s="170"/>
      <c r="Q401" s="52" t="s">
        <v>47</v>
      </c>
      <c r="R401" s="71" t="s">
        <v>77</v>
      </c>
      <c r="S401" s="137" t="str">
        <f t="shared" si="1358"/>
        <v>BPD2011</v>
      </c>
      <c r="T401" s="137" t="str">
        <f t="shared" si="1359"/>
        <v>B1.5.1.3.52011</v>
      </c>
      <c r="U401" s="137" t="s">
        <v>223</v>
      </c>
      <c r="V401" s="137" t="str">
        <f t="shared" si="1463"/>
        <v>Bake Out Equipment</v>
      </c>
      <c r="AB401" s="33">
        <v>2011</v>
      </c>
      <c r="AC401" s="132">
        <f t="shared" si="1361"/>
        <v>0</v>
      </c>
      <c r="AD401" s="132">
        <f t="shared" si="1362"/>
        <v>80</v>
      </c>
      <c r="AE401" s="132">
        <f t="shared" si="1363"/>
        <v>0</v>
      </c>
      <c r="AF401" s="132">
        <f t="shared" si="1364"/>
        <v>0</v>
      </c>
      <c r="AG401" s="132">
        <f t="shared" si="1365"/>
        <v>0</v>
      </c>
      <c r="AH401" s="234">
        <f t="shared" si="1366"/>
        <v>0</v>
      </c>
      <c r="AI401" s="235"/>
      <c r="AJ401" s="132"/>
      <c r="AK401" s="132"/>
      <c r="AL401" s="166"/>
      <c r="AM401" s="131">
        <f t="shared" si="1367"/>
        <v>0</v>
      </c>
      <c r="AN401" s="132">
        <f t="shared" si="1368"/>
        <v>0</v>
      </c>
      <c r="AO401" s="132">
        <f t="shared" si="1369"/>
        <v>0</v>
      </c>
      <c r="AP401" s="132">
        <f t="shared" si="1370"/>
        <v>0</v>
      </c>
      <c r="AQ401" s="132">
        <f t="shared" si="1371"/>
        <v>0</v>
      </c>
      <c r="AR401" s="132">
        <f t="shared" si="1372"/>
        <v>0</v>
      </c>
      <c r="AS401" s="235"/>
    </row>
    <row r="402" spans="1:45" s="20" customFormat="1">
      <c r="A402" s="46" t="s">
        <v>449</v>
      </c>
      <c r="B402" s="20" t="s">
        <v>34</v>
      </c>
      <c r="C402" s="165">
        <v>0</v>
      </c>
      <c r="D402" s="96" t="s">
        <v>9</v>
      </c>
      <c r="E402" s="166">
        <v>0</v>
      </c>
      <c r="F402" s="167">
        <f t="shared" ref="F402" si="1476">E402*C402</f>
        <v>0</v>
      </c>
      <c r="G402" s="168">
        <v>0</v>
      </c>
      <c r="H402" s="168">
        <v>80</v>
      </c>
      <c r="I402" s="168">
        <v>0</v>
      </c>
      <c r="J402" s="168">
        <v>0</v>
      </c>
      <c r="K402" s="169">
        <v>0</v>
      </c>
      <c r="L402" s="96" t="s">
        <v>8</v>
      </c>
      <c r="M402" s="166">
        <f t="shared" ref="M402" si="1477">IF(R402="PD",((Shop*G402)+(M_Tech*H402)+(CMM*I402)+(ENG*J402)+(DES*K402))*N402,((Shop_RD*G402)+(MTECH_RD*H402)+(CMM_RD*I402)+(ENG_RD*J402)+(DES_RD*K402))*N402)</f>
        <v>7581.6</v>
      </c>
      <c r="N402" s="92">
        <v>1</v>
      </c>
      <c r="O402" s="170">
        <f t="shared" ref="O402" si="1478">M402+(F402*N402)</f>
        <v>7581.6</v>
      </c>
      <c r="P402" s="170"/>
      <c r="Q402" s="52" t="s">
        <v>48</v>
      </c>
      <c r="R402" s="71" t="s">
        <v>77</v>
      </c>
      <c r="S402" s="137" t="str">
        <f t="shared" ref="S402" si="1479">CONCATENATE(Q402,R402,AB402)</f>
        <v>CPD2011</v>
      </c>
      <c r="T402" s="137" t="str">
        <f t="shared" ref="T402" si="1480">CONCATENATE(Q402,U402,AB402)</f>
        <v>C1.5.1.3.52011</v>
      </c>
      <c r="U402" s="137" t="s">
        <v>223</v>
      </c>
      <c r="V402" s="137" t="str">
        <f t="shared" si="1463"/>
        <v>Bake Out Equipment</v>
      </c>
      <c r="AB402" s="33">
        <v>2011</v>
      </c>
      <c r="AC402" s="132">
        <f t="shared" ref="AC402" si="1481">IF($Q402="B", (G402*$N402),0)</f>
        <v>0</v>
      </c>
      <c r="AD402" s="132">
        <f t="shared" ref="AD402" si="1482">IF($Q402="B", (H402*$N402),0)</f>
        <v>0</v>
      </c>
      <c r="AE402" s="132">
        <f t="shared" ref="AE402" si="1483">IF($Q402="B", (I402*$N402),0)</f>
        <v>0</v>
      </c>
      <c r="AF402" s="132">
        <f t="shared" ref="AF402" si="1484">IF($Q402="B", (J402*$N402),0)</f>
        <v>0</v>
      </c>
      <c r="AG402" s="132">
        <f t="shared" ref="AG402" si="1485">IF($Q402="B", (K402*$N402),0)</f>
        <v>0</v>
      </c>
      <c r="AH402" s="234">
        <f t="shared" ref="AH402" si="1486">IF($Q402="B", (F402*$N402),0)</f>
        <v>0</v>
      </c>
      <c r="AI402" s="235"/>
      <c r="AJ402" s="132"/>
      <c r="AK402" s="132"/>
      <c r="AL402" s="166"/>
      <c r="AM402" s="131">
        <f t="shared" ref="AM402" si="1487">IF($Q402="C", (G402*$N402),0)</f>
        <v>0</v>
      </c>
      <c r="AN402" s="132">
        <f t="shared" ref="AN402" si="1488">IF($Q402="C", (H402*$N402),0)</f>
        <v>80</v>
      </c>
      <c r="AO402" s="132">
        <f t="shared" ref="AO402" si="1489">IF($Q402="C", (I402*$N402),0)</f>
        <v>0</v>
      </c>
      <c r="AP402" s="132">
        <f t="shared" ref="AP402" si="1490">IF($Q402="C", (J402*$N402),0)</f>
        <v>0</v>
      </c>
      <c r="AQ402" s="132">
        <f t="shared" ref="AQ402" si="1491">IF($Q402="C", (K402*$N402),0)</f>
        <v>0</v>
      </c>
      <c r="AR402" s="132">
        <f t="shared" ref="AR402" si="1492">IF($Q402="C", (F402*$N402),0)</f>
        <v>0</v>
      </c>
      <c r="AS402" s="235"/>
    </row>
    <row r="403" spans="1:45" s="20" customFormat="1">
      <c r="A403" s="46" t="s">
        <v>450</v>
      </c>
      <c r="B403" s="20" t="s">
        <v>34</v>
      </c>
      <c r="C403" s="165">
        <v>0</v>
      </c>
      <c r="D403" s="96" t="s">
        <v>9</v>
      </c>
      <c r="E403" s="166">
        <v>0</v>
      </c>
      <c r="F403" s="167">
        <f t="shared" si="1355"/>
        <v>0</v>
      </c>
      <c r="G403" s="417">
        <v>8</v>
      </c>
      <c r="H403" s="168">
        <v>0</v>
      </c>
      <c r="I403" s="168">
        <v>0</v>
      </c>
      <c r="J403" s="417">
        <f>0.5*G403</f>
        <v>4</v>
      </c>
      <c r="K403" s="169">
        <v>0</v>
      </c>
      <c r="L403" s="96" t="s">
        <v>8</v>
      </c>
      <c r="M403" s="166">
        <f t="shared" si="1356"/>
        <v>1302.48</v>
      </c>
      <c r="N403" s="92">
        <v>1</v>
      </c>
      <c r="O403" s="170">
        <f t="shared" si="1357"/>
        <v>1302.48</v>
      </c>
      <c r="P403" s="170"/>
      <c r="Q403" s="52" t="s">
        <v>47</v>
      </c>
      <c r="R403" s="71" t="s">
        <v>77</v>
      </c>
      <c r="S403" s="137" t="str">
        <f t="shared" si="1358"/>
        <v>BPD2011</v>
      </c>
      <c r="T403" s="137" t="str">
        <f t="shared" si="1359"/>
        <v>B1.5.1.3.52011</v>
      </c>
      <c r="U403" s="137" t="s">
        <v>223</v>
      </c>
      <c r="V403" s="137" t="str">
        <f t="shared" si="1463"/>
        <v>Bake Out Equipment</v>
      </c>
      <c r="AB403" s="33">
        <v>2011</v>
      </c>
      <c r="AC403" s="132">
        <f t="shared" si="1361"/>
        <v>8</v>
      </c>
      <c r="AD403" s="132">
        <f t="shared" si="1362"/>
        <v>0</v>
      </c>
      <c r="AE403" s="132">
        <f t="shared" si="1363"/>
        <v>0</v>
      </c>
      <c r="AF403" s="132">
        <f t="shared" si="1364"/>
        <v>4</v>
      </c>
      <c r="AG403" s="132">
        <f t="shared" si="1365"/>
        <v>0</v>
      </c>
      <c r="AH403" s="234">
        <f t="shared" si="1366"/>
        <v>0</v>
      </c>
      <c r="AI403" s="235"/>
      <c r="AJ403" s="132"/>
      <c r="AK403" s="132"/>
      <c r="AL403" s="166"/>
      <c r="AM403" s="131">
        <f t="shared" si="1367"/>
        <v>0</v>
      </c>
      <c r="AN403" s="132">
        <f t="shared" si="1368"/>
        <v>0</v>
      </c>
      <c r="AO403" s="132">
        <f t="shared" si="1369"/>
        <v>0</v>
      </c>
      <c r="AP403" s="132">
        <f t="shared" si="1370"/>
        <v>0</v>
      </c>
      <c r="AQ403" s="132">
        <f t="shared" si="1371"/>
        <v>0</v>
      </c>
      <c r="AR403" s="132">
        <f t="shared" si="1372"/>
        <v>0</v>
      </c>
      <c r="AS403" s="235"/>
    </row>
    <row r="404" spans="1:45" s="20" customFormat="1">
      <c r="A404" s="46" t="s">
        <v>351</v>
      </c>
      <c r="B404" s="20" t="s">
        <v>57</v>
      </c>
      <c r="C404" s="165">
        <v>1</v>
      </c>
      <c r="D404" s="96" t="s">
        <v>9</v>
      </c>
      <c r="E404" s="166">
        <v>1000</v>
      </c>
      <c r="F404" s="167">
        <f t="shared" ref="F404" si="1493">E404*C404</f>
        <v>1000</v>
      </c>
      <c r="G404" s="168">
        <v>0</v>
      </c>
      <c r="H404" s="168">
        <v>4</v>
      </c>
      <c r="I404" s="168">
        <v>0</v>
      </c>
      <c r="J404" s="168">
        <v>0</v>
      </c>
      <c r="K404" s="169">
        <v>0</v>
      </c>
      <c r="L404" s="96" t="s">
        <v>8</v>
      </c>
      <c r="M404" s="166">
        <f t="shared" ref="M404" si="1494">IF(R404="PD",((Shop*G404)+(M_Tech*H404)+(CMM*I404)+(ENG*J404)+(DES*K404))*N404,((Shop_RD*G404)+(MTECH_RD*H404)+(CMM_RD*I404)+(ENG_RD*J404)+(DES_RD*K404))*N404)</f>
        <v>379.08000000000004</v>
      </c>
      <c r="N404" s="92">
        <v>1</v>
      </c>
      <c r="O404" s="170">
        <f t="shared" ref="O404" si="1495">M404+(F404*N404)</f>
        <v>1379.08</v>
      </c>
      <c r="P404" s="170"/>
      <c r="Q404" s="52" t="s">
        <v>47</v>
      </c>
      <c r="R404" s="71" t="s">
        <v>77</v>
      </c>
      <c r="S404" s="137" t="str">
        <f t="shared" ref="S404" si="1496">CONCATENATE(Q404,R404,AB404)</f>
        <v>BPD2011</v>
      </c>
      <c r="T404" s="137" t="str">
        <f t="shared" ref="T404" si="1497">CONCATENATE(Q404,U404,AB404)</f>
        <v>B1.5.1.3.52011</v>
      </c>
      <c r="U404" s="137" t="s">
        <v>223</v>
      </c>
      <c r="V404" s="137" t="str">
        <f t="shared" si="1463"/>
        <v>Bake Out Equipment</v>
      </c>
      <c r="AB404" s="33">
        <v>2011</v>
      </c>
      <c r="AC404" s="132">
        <f t="shared" ref="AC404" si="1498">IF($Q404="B", (G404*$N404),0)</f>
        <v>0</v>
      </c>
      <c r="AD404" s="132">
        <f t="shared" ref="AD404" si="1499">IF($Q404="B", (H404*$N404),0)</f>
        <v>4</v>
      </c>
      <c r="AE404" s="132">
        <f t="shared" ref="AE404" si="1500">IF($Q404="B", (I404*$N404),0)</f>
        <v>0</v>
      </c>
      <c r="AF404" s="132">
        <f t="shared" ref="AF404" si="1501">IF($Q404="B", (J404*$N404),0)</f>
        <v>0</v>
      </c>
      <c r="AG404" s="132">
        <f t="shared" ref="AG404" si="1502">IF($Q404="B", (K404*$N404),0)</f>
        <v>0</v>
      </c>
      <c r="AH404" s="234">
        <f t="shared" ref="AH404" si="1503">IF($Q404="B", (F404*$N404),0)</f>
        <v>1000</v>
      </c>
      <c r="AI404" s="235"/>
      <c r="AJ404" s="132"/>
      <c r="AK404" s="132"/>
      <c r="AL404" s="166"/>
      <c r="AM404" s="131">
        <f t="shared" ref="AM404" si="1504">IF($Q404="C", (G404*$N404),0)</f>
        <v>0</v>
      </c>
      <c r="AN404" s="132">
        <f t="shared" ref="AN404" si="1505">IF($Q404="C", (H404*$N404),0)</f>
        <v>0</v>
      </c>
      <c r="AO404" s="132">
        <f t="shared" ref="AO404" si="1506">IF($Q404="C", (I404*$N404),0)</f>
        <v>0</v>
      </c>
      <c r="AP404" s="132">
        <f t="shared" ref="AP404" si="1507">IF($Q404="C", (J404*$N404),0)</f>
        <v>0</v>
      </c>
      <c r="AQ404" s="132">
        <f t="shared" ref="AQ404" si="1508">IF($Q404="C", (K404*$N404),0)</f>
        <v>0</v>
      </c>
      <c r="AR404" s="132">
        <f t="shared" ref="AR404" si="1509">IF($Q404="C", (F404*$N404),0)</f>
        <v>0</v>
      </c>
      <c r="AS404" s="235"/>
    </row>
    <row r="405" spans="1:45" s="338" customFormat="1">
      <c r="A405" s="21" t="s">
        <v>387</v>
      </c>
      <c r="B405" s="3"/>
      <c r="C405" s="171"/>
      <c r="D405" s="339"/>
      <c r="E405" s="172"/>
      <c r="F405" s="173"/>
      <c r="G405" s="171"/>
      <c r="H405" s="171"/>
      <c r="I405" s="171"/>
      <c r="J405" s="171"/>
      <c r="K405" s="174"/>
      <c r="L405" s="339"/>
      <c r="M405" s="172">
        <f>SUMIF(Q330:Q404,"B",M330:M404)</f>
        <v>174998.88</v>
      </c>
      <c r="N405" s="456" t="s">
        <v>65</v>
      </c>
      <c r="O405" s="456"/>
      <c r="P405" s="459"/>
      <c r="Q405" s="53"/>
      <c r="R405" s="74"/>
      <c r="S405" s="138"/>
      <c r="T405" s="138"/>
      <c r="U405" s="138"/>
      <c r="V405" s="138"/>
      <c r="W405" s="3"/>
      <c r="X405" s="3"/>
      <c r="Y405" s="3"/>
      <c r="Z405" s="3"/>
      <c r="AA405" s="3"/>
      <c r="AB405" s="34"/>
      <c r="AC405" s="5">
        <f>SUM(AC330:AC404)</f>
        <v>72</v>
      </c>
      <c r="AD405" s="5">
        <f t="shared" ref="AD405:AG405" si="1510">SUM(AD330:AD404)</f>
        <v>528</v>
      </c>
      <c r="AE405" s="5">
        <f t="shared" si="1510"/>
        <v>0</v>
      </c>
      <c r="AF405" s="5">
        <f t="shared" si="1510"/>
        <v>968</v>
      </c>
      <c r="AG405" s="5">
        <f t="shared" si="1510"/>
        <v>0</v>
      </c>
      <c r="AH405" s="172"/>
      <c r="AI405" s="173">
        <f>SUM(AH330:AH404)</f>
        <v>12830</v>
      </c>
      <c r="AJ405" s="172">
        <f>(Shop*AC405)+M_Tech*AD405+CMM*AE405+ENG*AF405+DES*AG405+AI405</f>
        <v>187828.88</v>
      </c>
      <c r="AK405" s="172"/>
      <c r="AL405" s="173">
        <f>Shop*AM405+M_Tech*AN405+CMM*AO405+ENG*AP405+DES*AQ405+AS405</f>
        <v>72290.520000000019</v>
      </c>
      <c r="AM405" s="5">
        <f>SUM(AM330:AM404)</f>
        <v>96</v>
      </c>
      <c r="AN405" s="5">
        <f t="shared" ref="AN405" si="1511">SUM(AN330:AN404)</f>
        <v>188</v>
      </c>
      <c r="AO405" s="5">
        <f t="shared" ref="AO405" si="1512">SUM(AO330:AO404)</f>
        <v>0</v>
      </c>
      <c r="AP405" s="5">
        <f t="shared" ref="AP405" si="1513">SUM(AP330:AP404)</f>
        <v>324</v>
      </c>
      <c r="AQ405" s="5">
        <f t="shared" ref="AQ405" si="1514">SUM(AQ330:AQ404)</f>
        <v>0</v>
      </c>
      <c r="AR405" s="172"/>
      <c r="AS405" s="173">
        <f>SUM(AR330:AR404)</f>
        <v>5310</v>
      </c>
    </row>
    <row r="406" spans="1:45" s="20" customFormat="1" ht="15.75">
      <c r="A406" s="49" t="s">
        <v>452</v>
      </c>
      <c r="C406" s="165"/>
      <c r="D406" s="96"/>
      <c r="E406" s="166"/>
      <c r="F406" s="167"/>
      <c r="G406" s="168"/>
      <c r="H406" s="168"/>
      <c r="I406" s="168"/>
      <c r="J406" s="168"/>
      <c r="K406" s="169"/>
      <c r="L406" s="217" t="s">
        <v>66</v>
      </c>
      <c r="M406" s="177">
        <f>SUMIF(Q399:Q404,"B",M399:M404)</f>
        <v>18983.160000000003</v>
      </c>
      <c r="N406" s="65" t="s">
        <v>65</v>
      </c>
      <c r="O406" s="170"/>
      <c r="P406" s="170"/>
      <c r="Q406" s="52"/>
      <c r="R406" s="71"/>
      <c r="S406" s="137"/>
      <c r="T406" s="137"/>
      <c r="U406" s="137"/>
      <c r="V406" s="137"/>
      <c r="AB406" s="33"/>
      <c r="AC406" s="132"/>
      <c r="AD406" s="132"/>
      <c r="AE406" s="132"/>
      <c r="AF406" s="132"/>
      <c r="AG406" s="132"/>
      <c r="AH406" s="234"/>
      <c r="AI406" s="235"/>
      <c r="AJ406" s="132"/>
      <c r="AK406" s="132"/>
      <c r="AL406" s="166"/>
      <c r="AM406" s="131"/>
      <c r="AN406" s="132"/>
      <c r="AO406" s="132"/>
      <c r="AP406" s="132"/>
      <c r="AQ406" s="132"/>
      <c r="AR406" s="132"/>
      <c r="AS406" s="235"/>
    </row>
    <row r="407" spans="1:45" s="20" customFormat="1">
      <c r="A407" s="47" t="s">
        <v>258</v>
      </c>
      <c r="C407" s="165"/>
      <c r="D407" s="96"/>
      <c r="E407" s="57"/>
      <c r="F407" s="58"/>
      <c r="G407" s="59"/>
      <c r="H407" s="59"/>
      <c r="I407" s="59"/>
      <c r="J407" s="59"/>
      <c r="K407" s="60"/>
      <c r="L407" s="217"/>
      <c r="M407" s="177"/>
      <c r="N407" s="65" t="s">
        <v>279</v>
      </c>
      <c r="O407" s="170"/>
      <c r="P407" s="170"/>
      <c r="Q407" s="52"/>
      <c r="R407" s="71"/>
      <c r="S407" s="137"/>
      <c r="T407" s="137"/>
      <c r="U407" s="137"/>
      <c r="V407" s="137"/>
      <c r="AB407" s="33"/>
      <c r="AC407" s="132"/>
      <c r="AD407" s="132"/>
      <c r="AE407" s="135"/>
      <c r="AF407" s="132"/>
      <c r="AG407" s="132"/>
      <c r="AH407" s="234"/>
      <c r="AI407" s="235"/>
      <c r="AJ407" s="132"/>
      <c r="AK407" s="132"/>
      <c r="AL407" s="166"/>
      <c r="AM407" s="131"/>
      <c r="AN407" s="132"/>
      <c r="AO407" s="132"/>
      <c r="AP407" s="132"/>
      <c r="AQ407" s="132"/>
      <c r="AR407" s="132"/>
      <c r="AS407" s="235"/>
    </row>
    <row r="408" spans="1:45" s="20" customFormat="1">
      <c r="A408" s="46" t="s">
        <v>454</v>
      </c>
      <c r="B408" s="20" t="s">
        <v>34</v>
      </c>
      <c r="C408" s="165">
        <v>0.03</v>
      </c>
      <c r="D408" s="96" t="s">
        <v>9</v>
      </c>
      <c r="E408" s="166">
        <v>0</v>
      </c>
      <c r="F408" s="167">
        <f>E408*C408</f>
        <v>0</v>
      </c>
      <c r="G408" s="168">
        <v>0</v>
      </c>
      <c r="H408" s="168">
        <v>0</v>
      </c>
      <c r="I408" s="168">
        <v>0</v>
      </c>
      <c r="J408" s="168">
        <v>120</v>
      </c>
      <c r="K408" s="169">
        <v>0</v>
      </c>
      <c r="L408" s="96" t="s">
        <v>8</v>
      </c>
      <c r="M408" s="166">
        <f>IF(R408="PD",((Shop*G408)+(M_Tech*H408)+(CMM*I408)+(ENG*J408)+(DES*K408))*N408,((Shop_RD*G408)+(MTECH_RD*H408)+(CMM_RD*I408)+(ENG_RD*J408)+(DES_RD*K408))*N408)</f>
        <v>14580.000000000002</v>
      </c>
      <c r="N408" s="92">
        <v>1</v>
      </c>
      <c r="O408" s="170">
        <f>M408+(F408*N408)</f>
        <v>14580.000000000002</v>
      </c>
      <c r="P408" s="170"/>
      <c r="Q408" s="52" t="s">
        <v>47</v>
      </c>
      <c r="R408" s="71" t="s">
        <v>77</v>
      </c>
      <c r="S408" s="137" t="str">
        <f>CONCATENATE(Q408,R408,AB408)</f>
        <v>BPD2011</v>
      </c>
      <c r="T408" s="137" t="str">
        <f>CONCATENATE(Q408,U408,AB408)</f>
        <v>B1.5.3.12011</v>
      </c>
      <c r="U408" s="137" t="s">
        <v>229</v>
      </c>
      <c r="V408" s="137" t="str">
        <f t="shared" ref="V408:V422" si="1515">LOOKUP(U408,$B$539:$B$574,$A$539:$A$574)</f>
        <v>MSC Assembly</v>
      </c>
      <c r="AB408" s="33">
        <v>2011</v>
      </c>
      <c r="AC408" s="132">
        <f t="shared" ref="AC408:AC415" si="1516">IF($Q408="B", (G408*$N408),0)</f>
        <v>0</v>
      </c>
      <c r="AD408" s="132">
        <f t="shared" ref="AD408:AD415" si="1517">IF($Q408="B", (H408*$N408),0)</f>
        <v>0</v>
      </c>
      <c r="AE408" s="132">
        <f t="shared" ref="AE408:AE415" si="1518">IF($Q408="B", (I408*$N408),0)</f>
        <v>0</v>
      </c>
      <c r="AF408" s="132">
        <f t="shared" ref="AF408:AF415" si="1519">IF($Q408="B", (J408*$N408),0)</f>
        <v>120</v>
      </c>
      <c r="AG408" s="132">
        <f t="shared" ref="AG408:AG415" si="1520">IF($Q408="B", (K408*$N408),0)</f>
        <v>0</v>
      </c>
      <c r="AH408" s="234">
        <f>IF($Q408="B", (F408*$N408),0)</f>
        <v>0</v>
      </c>
      <c r="AI408" s="235"/>
      <c r="AJ408" s="132"/>
      <c r="AK408" s="132"/>
      <c r="AL408" s="166"/>
      <c r="AM408" s="131">
        <f t="shared" ref="AM408:AM415" si="1521">IF($Q408="C", (G408*$N408),0)</f>
        <v>0</v>
      </c>
      <c r="AN408" s="132">
        <f t="shared" ref="AN408:AN415" si="1522">IF($Q408="C", (H408*$N408),0)</f>
        <v>0</v>
      </c>
      <c r="AO408" s="132">
        <f t="shared" ref="AO408:AO415" si="1523">IF($Q408="C", (I408*$N408),0)</f>
        <v>0</v>
      </c>
      <c r="AP408" s="132">
        <f t="shared" ref="AP408:AP415" si="1524">IF($Q408="C", (J408*$N408),0)</f>
        <v>0</v>
      </c>
      <c r="AQ408" s="132">
        <f t="shared" ref="AQ408:AQ415" si="1525">IF($Q408="C", (K408*$N408),0)</f>
        <v>0</v>
      </c>
      <c r="AR408" s="132">
        <f>IF($Q408="C", (F408*$N408),0)</f>
        <v>0</v>
      </c>
      <c r="AS408" s="235"/>
    </row>
    <row r="409" spans="1:45" s="20" customFormat="1">
      <c r="A409" s="46" t="s">
        <v>461</v>
      </c>
      <c r="B409" s="20" t="s">
        <v>34</v>
      </c>
      <c r="C409" s="165">
        <v>0.03</v>
      </c>
      <c r="D409" s="96" t="s">
        <v>9</v>
      </c>
      <c r="E409" s="166">
        <v>0</v>
      </c>
      <c r="F409" s="167">
        <f>E409*C409</f>
        <v>0</v>
      </c>
      <c r="G409" s="168">
        <v>0</v>
      </c>
      <c r="H409" s="168">
        <v>0</v>
      </c>
      <c r="I409" s="168">
        <v>0</v>
      </c>
      <c r="J409" s="168">
        <v>40</v>
      </c>
      <c r="K409" s="169">
        <v>0</v>
      </c>
      <c r="L409" s="96" t="s">
        <v>8</v>
      </c>
      <c r="M409" s="166">
        <f>IF(R409="PD",((Shop*G409)+(M_Tech*H409)+(CMM*I409)+(ENG*J409)+(DES*K409))*N409,((Shop_RD*G409)+(MTECH_RD*H409)+(CMM_RD*I409)+(ENG_RD*J409)+(DES_RD*K409))*N409)</f>
        <v>4860.0000000000009</v>
      </c>
      <c r="N409" s="92">
        <v>1</v>
      </c>
      <c r="O409" s="170">
        <f>M409+(F409*N409)</f>
        <v>4860.0000000000009</v>
      </c>
      <c r="P409" s="170"/>
      <c r="Q409" s="52" t="s">
        <v>48</v>
      </c>
      <c r="R409" s="71" t="s">
        <v>77</v>
      </c>
      <c r="S409" s="137" t="str">
        <f>CONCATENATE(Q409,R409,AB409)</f>
        <v>CPD2012</v>
      </c>
      <c r="T409" s="137" t="str">
        <f>CONCATENATE(Q409,U409,AB409)</f>
        <v>C1.5.3.12012</v>
      </c>
      <c r="U409" s="137" t="s">
        <v>229</v>
      </c>
      <c r="V409" s="137" t="str">
        <f t="shared" si="1515"/>
        <v>MSC Assembly</v>
      </c>
      <c r="AB409" s="33">
        <v>2012</v>
      </c>
      <c r="AC409" s="132">
        <f t="shared" ref="AC409" si="1526">IF($Q409="B", (G409*$N409),0)</f>
        <v>0</v>
      </c>
      <c r="AD409" s="132">
        <f t="shared" ref="AD409" si="1527">IF($Q409="B", (H409*$N409),0)</f>
        <v>0</v>
      </c>
      <c r="AE409" s="132">
        <f t="shared" ref="AE409" si="1528">IF($Q409="B", (I409*$N409),0)</f>
        <v>0</v>
      </c>
      <c r="AF409" s="132">
        <f t="shared" ref="AF409" si="1529">IF($Q409="B", (J409*$N409),0)</f>
        <v>0</v>
      </c>
      <c r="AG409" s="132">
        <f t="shared" ref="AG409" si="1530">IF($Q409="B", (K409*$N409),0)</f>
        <v>0</v>
      </c>
      <c r="AH409" s="234">
        <f>IF($Q409="B", (F409*$N409),0)</f>
        <v>0</v>
      </c>
      <c r="AI409" s="235"/>
      <c r="AJ409" s="132"/>
      <c r="AK409" s="132"/>
      <c r="AL409" s="166"/>
      <c r="AM409" s="131">
        <f t="shared" ref="AM409" si="1531">IF($Q409="C", (G409*$N409),0)</f>
        <v>0</v>
      </c>
      <c r="AN409" s="132">
        <f t="shared" ref="AN409" si="1532">IF($Q409="C", (H409*$N409),0)</f>
        <v>0</v>
      </c>
      <c r="AO409" s="132">
        <f t="shared" ref="AO409" si="1533">IF($Q409="C", (I409*$N409),0)</f>
        <v>0</v>
      </c>
      <c r="AP409" s="132">
        <f t="shared" ref="AP409" si="1534">IF($Q409="C", (J409*$N409),0)</f>
        <v>40</v>
      </c>
      <c r="AQ409" s="132">
        <f t="shared" ref="AQ409" si="1535">IF($Q409="C", (K409*$N409),0)</f>
        <v>0</v>
      </c>
      <c r="AR409" s="132">
        <f>IF($Q409="C", (F409*$N409),0)</f>
        <v>0</v>
      </c>
      <c r="AS409" s="235"/>
    </row>
    <row r="410" spans="1:45" s="20" customFormat="1">
      <c r="A410" s="46" t="s">
        <v>455</v>
      </c>
      <c r="B410" s="20" t="s">
        <v>7</v>
      </c>
      <c r="C410" s="165">
        <v>800</v>
      </c>
      <c r="D410" s="96" t="s">
        <v>39</v>
      </c>
      <c r="E410" s="166">
        <v>8</v>
      </c>
      <c r="F410" s="167">
        <f>E410*C410</f>
        <v>6400</v>
      </c>
      <c r="G410" s="417">
        <v>24</v>
      </c>
      <c r="H410" s="168">
        <v>40</v>
      </c>
      <c r="I410" s="168">
        <v>0</v>
      </c>
      <c r="J410" s="417">
        <f>0.5*G410</f>
        <v>12</v>
      </c>
      <c r="K410" s="169">
        <v>0</v>
      </c>
      <c r="L410" s="96" t="s">
        <v>8</v>
      </c>
      <c r="M410" s="166">
        <f>IF(R410="PD",((Shop*G410)+(M_Tech*H410)+(CMM*I410)+(ENG*J410)+(DES*K410))*N410,((Shop_RD*G410)+(MTECH_RD*H410)+(CMM_RD*I410)+(ENG_RD*J410)+(DES_RD*K410))*N410)</f>
        <v>7698.24</v>
      </c>
      <c r="N410" s="92">
        <v>1</v>
      </c>
      <c r="O410" s="170">
        <f>M410+(F410*N410)</f>
        <v>14098.24</v>
      </c>
      <c r="P410" s="170"/>
      <c r="Q410" s="52" t="s">
        <v>47</v>
      </c>
      <c r="R410" s="71" t="s">
        <v>77</v>
      </c>
      <c r="S410" s="137" t="str">
        <f>CONCATENATE(Q410,R410,AB410)</f>
        <v>BPD2012</v>
      </c>
      <c r="T410" s="137" t="str">
        <f>CONCATENATE(Q410,U410,AB410)</f>
        <v>B1.5.3.12012</v>
      </c>
      <c r="U410" s="137" t="s">
        <v>229</v>
      </c>
      <c r="V410" s="137" t="str">
        <f t="shared" si="1515"/>
        <v>MSC Assembly</v>
      </c>
      <c r="AB410" s="33">
        <v>2012</v>
      </c>
      <c r="AC410" s="132">
        <f t="shared" si="1516"/>
        <v>24</v>
      </c>
      <c r="AD410" s="132">
        <f t="shared" si="1517"/>
        <v>40</v>
      </c>
      <c r="AE410" s="132">
        <f t="shared" si="1518"/>
        <v>0</v>
      </c>
      <c r="AF410" s="132">
        <f t="shared" si="1519"/>
        <v>12</v>
      </c>
      <c r="AG410" s="132">
        <f t="shared" si="1520"/>
        <v>0</v>
      </c>
      <c r="AH410" s="234">
        <f>IF($Q410="B", (F410*$N410),0)</f>
        <v>6400</v>
      </c>
      <c r="AI410" s="235"/>
      <c r="AJ410" s="132"/>
      <c r="AK410" s="132"/>
      <c r="AL410" s="166"/>
      <c r="AM410" s="131">
        <f t="shared" si="1521"/>
        <v>0</v>
      </c>
      <c r="AN410" s="132">
        <f t="shared" si="1522"/>
        <v>0</v>
      </c>
      <c r="AO410" s="132">
        <f t="shared" si="1523"/>
        <v>0</v>
      </c>
      <c r="AP410" s="132">
        <f t="shared" si="1524"/>
        <v>0</v>
      </c>
      <c r="AQ410" s="132">
        <f t="shared" si="1525"/>
        <v>0</v>
      </c>
      <c r="AR410" s="132">
        <f>IF($Q410="C", (F410*$N410),0)</f>
        <v>0</v>
      </c>
      <c r="AS410" s="235"/>
    </row>
    <row r="411" spans="1:45" s="20" customFormat="1">
      <c r="A411" s="46" t="s">
        <v>462</v>
      </c>
      <c r="B411" s="20" t="s">
        <v>7</v>
      </c>
      <c r="C411" s="165">
        <v>200</v>
      </c>
      <c r="D411" s="96" t="s">
        <v>39</v>
      </c>
      <c r="E411" s="166">
        <v>8</v>
      </c>
      <c r="F411" s="167">
        <f>E411*C411</f>
        <v>1600</v>
      </c>
      <c r="G411" s="168">
        <v>40</v>
      </c>
      <c r="H411" s="168">
        <v>20</v>
      </c>
      <c r="I411" s="168">
        <v>0</v>
      </c>
      <c r="J411" s="168">
        <v>0</v>
      </c>
      <c r="K411" s="169">
        <v>0</v>
      </c>
      <c r="L411" s="96" t="s">
        <v>8</v>
      </c>
      <c r="M411" s="166">
        <f>IF(R411="PD",((Shop*G411)+(M_Tech*H411)+(CMM*I411)+(ENG*J411)+(DES*K411))*N411,((Shop_RD*G411)+(MTECH_RD*H411)+(CMM_RD*I411)+(ENG_RD*J411)+(DES_RD*K411))*N411)</f>
        <v>5977.8</v>
      </c>
      <c r="N411" s="92">
        <v>1</v>
      </c>
      <c r="O411" s="170">
        <f>M411+(F411*N411)</f>
        <v>7577.8</v>
      </c>
      <c r="P411" s="170"/>
      <c r="Q411" s="52" t="s">
        <v>48</v>
      </c>
      <c r="R411" s="71" t="s">
        <v>77</v>
      </c>
      <c r="S411" s="137" t="str">
        <f>CONCATENATE(Q411,R411,AB411)</f>
        <v>CPD2012</v>
      </c>
      <c r="T411" s="137" t="str">
        <f>CONCATENATE(Q411,U411,AB411)</f>
        <v>C1.5.3.12012</v>
      </c>
      <c r="U411" s="137" t="s">
        <v>229</v>
      </c>
      <c r="V411" s="137" t="str">
        <f t="shared" si="1515"/>
        <v>MSC Assembly</v>
      </c>
      <c r="AB411" s="33">
        <v>2012</v>
      </c>
      <c r="AC411" s="132">
        <f t="shared" ref="AC411" si="1536">IF($Q411="B", (G411*$N411),0)</f>
        <v>0</v>
      </c>
      <c r="AD411" s="132">
        <f t="shared" ref="AD411" si="1537">IF($Q411="B", (H411*$N411),0)</f>
        <v>0</v>
      </c>
      <c r="AE411" s="132">
        <f t="shared" ref="AE411" si="1538">IF($Q411="B", (I411*$N411),0)</f>
        <v>0</v>
      </c>
      <c r="AF411" s="132">
        <f t="shared" ref="AF411" si="1539">IF($Q411="B", (J411*$N411),0)</f>
        <v>0</v>
      </c>
      <c r="AG411" s="132">
        <f t="shared" ref="AG411" si="1540">IF($Q411="B", (K411*$N411),0)</f>
        <v>0</v>
      </c>
      <c r="AH411" s="234">
        <f>IF($Q411="B", (F411*$N411),0)</f>
        <v>0</v>
      </c>
      <c r="AI411" s="235"/>
      <c r="AJ411" s="132"/>
      <c r="AK411" s="132"/>
      <c r="AL411" s="166"/>
      <c r="AM411" s="131">
        <f t="shared" ref="AM411" si="1541">IF($Q411="C", (G411*$N411),0)</f>
        <v>40</v>
      </c>
      <c r="AN411" s="132">
        <f t="shared" ref="AN411" si="1542">IF($Q411="C", (H411*$N411),0)</f>
        <v>20</v>
      </c>
      <c r="AO411" s="132">
        <f t="shared" ref="AO411" si="1543">IF($Q411="C", (I411*$N411),0)</f>
        <v>0</v>
      </c>
      <c r="AP411" s="132">
        <f t="shared" ref="AP411" si="1544">IF($Q411="C", (J411*$N411),0)</f>
        <v>0</v>
      </c>
      <c r="AQ411" s="132">
        <f t="shared" ref="AQ411" si="1545">IF($Q411="C", (K411*$N411),0)</f>
        <v>0</v>
      </c>
      <c r="AR411" s="132">
        <f>IF($Q411="C", (F411*$N411),0)</f>
        <v>1600</v>
      </c>
      <c r="AS411" s="235"/>
    </row>
    <row r="412" spans="1:45" s="20" customFormat="1">
      <c r="A412" s="46" t="s">
        <v>456</v>
      </c>
      <c r="B412" s="20" t="s">
        <v>34</v>
      </c>
      <c r="C412" s="165">
        <v>1</v>
      </c>
      <c r="D412" s="96" t="s">
        <v>9</v>
      </c>
      <c r="E412" s="166">
        <v>5000</v>
      </c>
      <c r="F412" s="167">
        <f>E412*C412</f>
        <v>5000</v>
      </c>
      <c r="G412" s="168">
        <v>0</v>
      </c>
      <c r="H412" s="168">
        <v>80</v>
      </c>
      <c r="I412" s="168">
        <v>0</v>
      </c>
      <c r="J412" s="168">
        <v>24</v>
      </c>
      <c r="K412" s="169">
        <v>0</v>
      </c>
      <c r="L412" s="96" t="s">
        <v>8</v>
      </c>
      <c r="M412" s="166">
        <f>IF(R412="PD",((Shop*G412)+(M_Tech*H412)+(CMM*I412)+(ENG*J412)+(DES*K412))*N412,((Shop_RD*G412)+(MTECH_RD*H412)+(CMM_RD*I412)+(ENG_RD*J412)+(DES_RD*K412))*N412)</f>
        <v>10497.6</v>
      </c>
      <c r="N412" s="92">
        <v>1</v>
      </c>
      <c r="O412" s="170">
        <f>M412+(F412*N412)</f>
        <v>15497.6</v>
      </c>
      <c r="P412" s="170"/>
      <c r="Q412" s="52" t="s">
        <v>47</v>
      </c>
      <c r="R412" s="71" t="s">
        <v>77</v>
      </c>
      <c r="S412" s="137" t="str">
        <f>CONCATENATE(Q412,R412,AB412)</f>
        <v>BPD2012</v>
      </c>
      <c r="T412" s="137" t="str">
        <f>CONCATENATE(Q412,U412,AB412)</f>
        <v>B1.5.3.12012</v>
      </c>
      <c r="U412" s="137" t="s">
        <v>229</v>
      </c>
      <c r="V412" s="137" t="str">
        <f t="shared" si="1515"/>
        <v>MSC Assembly</v>
      </c>
      <c r="AB412" s="33">
        <v>2012</v>
      </c>
      <c r="AC412" s="132">
        <f t="shared" ref="AC412:AC413" si="1546">IF($Q412="B", (G412*$N412),0)</f>
        <v>0</v>
      </c>
      <c r="AD412" s="132">
        <f t="shared" ref="AD412:AD413" si="1547">IF($Q412="B", (H412*$N412),0)</f>
        <v>80</v>
      </c>
      <c r="AE412" s="132">
        <f t="shared" ref="AE412:AE413" si="1548">IF($Q412="B", (I412*$N412),0)</f>
        <v>0</v>
      </c>
      <c r="AF412" s="132">
        <f t="shared" ref="AF412:AF413" si="1549">IF($Q412="B", (J412*$N412),0)</f>
        <v>24</v>
      </c>
      <c r="AG412" s="132">
        <f t="shared" ref="AG412:AG413" si="1550">IF($Q412="B", (K412*$N412),0)</f>
        <v>0</v>
      </c>
      <c r="AH412" s="234">
        <f>IF($Q412="B", (F412*$N412),0)</f>
        <v>5000</v>
      </c>
      <c r="AI412" s="235"/>
      <c r="AJ412" s="132"/>
      <c r="AK412" s="132"/>
      <c r="AL412" s="166"/>
      <c r="AM412" s="131">
        <f t="shared" ref="AM412:AM413" si="1551">IF($Q412="C", (G412*$N412),0)</f>
        <v>0</v>
      </c>
      <c r="AN412" s="132">
        <f t="shared" ref="AN412:AN413" si="1552">IF($Q412="C", (H412*$N412),0)</f>
        <v>0</v>
      </c>
      <c r="AO412" s="132">
        <f t="shared" ref="AO412:AO413" si="1553">IF($Q412="C", (I412*$N412),0)</f>
        <v>0</v>
      </c>
      <c r="AP412" s="132">
        <f t="shared" ref="AP412:AP413" si="1554">IF($Q412="C", (J412*$N412),0)</f>
        <v>0</v>
      </c>
      <c r="AQ412" s="132">
        <f t="shared" ref="AQ412:AQ413" si="1555">IF($Q412="C", (K412*$N412),0)</f>
        <v>0</v>
      </c>
      <c r="AR412" s="132">
        <f>IF($Q412="C", (F412*$N412),0)</f>
        <v>0</v>
      </c>
      <c r="AS412" s="235"/>
    </row>
    <row r="413" spans="1:45" s="20" customFormat="1">
      <c r="A413" s="46" t="s">
        <v>351</v>
      </c>
      <c r="B413" s="20" t="s">
        <v>57</v>
      </c>
      <c r="C413" s="165">
        <v>1</v>
      </c>
      <c r="D413" s="96" t="s">
        <v>9</v>
      </c>
      <c r="E413" s="166">
        <v>1000</v>
      </c>
      <c r="F413" s="167">
        <f t="shared" ref="F413" si="1556">E413*C413</f>
        <v>1000</v>
      </c>
      <c r="G413" s="168">
        <v>0</v>
      </c>
      <c r="H413" s="168">
        <v>4</v>
      </c>
      <c r="I413" s="168">
        <v>0</v>
      </c>
      <c r="J413" s="168">
        <v>0</v>
      </c>
      <c r="K413" s="169">
        <v>0</v>
      </c>
      <c r="L413" s="96" t="s">
        <v>8</v>
      </c>
      <c r="M413" s="166">
        <f t="shared" ref="M413" si="1557">IF(R413="PD",((Shop*G413)+(M_Tech*H413)+(CMM*I413)+(ENG*J413)+(DES*K413))*N413,((Shop_RD*G413)+(MTECH_RD*H413)+(CMM_RD*I413)+(ENG_RD*J413)+(DES_RD*K413))*N413)</f>
        <v>379.08000000000004</v>
      </c>
      <c r="N413" s="92">
        <v>1</v>
      </c>
      <c r="O413" s="170">
        <f t="shared" ref="O413" si="1558">M413+(F413*N413)</f>
        <v>1379.08</v>
      </c>
      <c r="P413" s="170"/>
      <c r="Q413" s="52" t="s">
        <v>47</v>
      </c>
      <c r="R413" s="71" t="s">
        <v>77</v>
      </c>
      <c r="S413" s="137" t="str">
        <f t="shared" ref="S413" si="1559">CONCATENATE(Q413,R413,AB413)</f>
        <v>BPD2012</v>
      </c>
      <c r="T413" s="137" t="str">
        <f t="shared" ref="T413" si="1560">CONCATENATE(Q413,U413,AB413)</f>
        <v>B1.5.3.12012</v>
      </c>
      <c r="U413" s="137" t="s">
        <v>229</v>
      </c>
      <c r="V413" s="137" t="str">
        <f t="shared" si="1515"/>
        <v>MSC Assembly</v>
      </c>
      <c r="AB413" s="33">
        <v>2012</v>
      </c>
      <c r="AC413" s="132">
        <f t="shared" si="1546"/>
        <v>0</v>
      </c>
      <c r="AD413" s="132">
        <f t="shared" si="1547"/>
        <v>4</v>
      </c>
      <c r="AE413" s="132">
        <f t="shared" si="1548"/>
        <v>0</v>
      </c>
      <c r="AF413" s="132">
        <f t="shared" si="1549"/>
        <v>0</v>
      </c>
      <c r="AG413" s="132">
        <f t="shared" si="1550"/>
        <v>0</v>
      </c>
      <c r="AH413" s="234">
        <f t="shared" ref="AH413" si="1561">IF($Q413="B", (F413*$N413),0)</f>
        <v>1000</v>
      </c>
      <c r="AI413" s="235"/>
      <c r="AJ413" s="132"/>
      <c r="AK413" s="132"/>
      <c r="AL413" s="166"/>
      <c r="AM413" s="131">
        <f t="shared" si="1551"/>
        <v>0</v>
      </c>
      <c r="AN413" s="132">
        <f t="shared" si="1552"/>
        <v>0</v>
      </c>
      <c r="AO413" s="132">
        <f t="shared" si="1553"/>
        <v>0</v>
      </c>
      <c r="AP413" s="132">
        <f t="shared" si="1554"/>
        <v>0</v>
      </c>
      <c r="AQ413" s="132">
        <f t="shared" si="1555"/>
        <v>0</v>
      </c>
      <c r="AR413" s="132">
        <f t="shared" ref="AR413" si="1562">IF($Q413="C", (F413*$N413),0)</f>
        <v>0</v>
      </c>
      <c r="AS413" s="235"/>
    </row>
    <row r="414" spans="1:45" s="20" customFormat="1">
      <c r="A414" s="46" t="s">
        <v>457</v>
      </c>
      <c r="B414" s="20" t="s">
        <v>34</v>
      </c>
      <c r="C414" s="165">
        <v>0</v>
      </c>
      <c r="D414" s="96" t="s">
        <v>9</v>
      </c>
      <c r="E414" s="166">
        <v>0</v>
      </c>
      <c r="F414" s="167">
        <f t="shared" ref="F414:F422" si="1563">E414*C414</f>
        <v>0</v>
      </c>
      <c r="G414" s="168">
        <v>0</v>
      </c>
      <c r="H414" s="168">
        <v>120</v>
      </c>
      <c r="I414" s="168">
        <v>0</v>
      </c>
      <c r="J414" s="168">
        <v>40</v>
      </c>
      <c r="K414" s="169">
        <v>0</v>
      </c>
      <c r="L414" s="96" t="s">
        <v>8</v>
      </c>
      <c r="M414" s="166">
        <f t="shared" ref="M414:M422" si="1564">IF(R414="PD",((Shop*G414)+(M_Tech*H414)+(CMM*I414)+(ENG*J414)+(DES*K414))*N414,((Shop_RD*G414)+(MTECH_RD*H414)+(CMM_RD*I414)+(ENG_RD*J414)+(DES_RD*K414))*N414)</f>
        <v>16232.400000000001</v>
      </c>
      <c r="N414" s="92">
        <v>1</v>
      </c>
      <c r="O414" s="170">
        <f t="shared" ref="O414:O422" si="1565">M414+(F414*N414)</f>
        <v>16232.400000000001</v>
      </c>
      <c r="P414" s="170"/>
      <c r="Q414" s="52" t="s">
        <v>47</v>
      </c>
      <c r="R414" s="71" t="s">
        <v>77</v>
      </c>
      <c r="S414" s="137" t="str">
        <f t="shared" ref="S414:S422" si="1566">CONCATENATE(Q414,R414,AB414)</f>
        <v>BPD2012</v>
      </c>
      <c r="T414" s="137" t="str">
        <f t="shared" ref="T414:T422" si="1567">CONCATENATE(Q414,U414,AB414)</f>
        <v>B1.5.3.12012</v>
      </c>
      <c r="U414" s="137" t="s">
        <v>229</v>
      </c>
      <c r="V414" s="137" t="str">
        <f t="shared" si="1515"/>
        <v>MSC Assembly</v>
      </c>
      <c r="AB414" s="33">
        <v>2012</v>
      </c>
      <c r="AC414" s="132">
        <f t="shared" si="1516"/>
        <v>0</v>
      </c>
      <c r="AD414" s="132">
        <f t="shared" si="1517"/>
        <v>120</v>
      </c>
      <c r="AE414" s="132">
        <f t="shared" si="1518"/>
        <v>0</v>
      </c>
      <c r="AF414" s="132">
        <f t="shared" si="1519"/>
        <v>40</v>
      </c>
      <c r="AG414" s="132">
        <f t="shared" si="1520"/>
        <v>0</v>
      </c>
      <c r="AH414" s="234">
        <f t="shared" ref="AH414:AH422" si="1568">IF($Q414="B", (F414*$N414),0)</f>
        <v>0</v>
      </c>
      <c r="AI414" s="235"/>
      <c r="AJ414" s="132"/>
      <c r="AK414" s="132"/>
      <c r="AL414" s="166"/>
      <c r="AM414" s="131">
        <f t="shared" si="1521"/>
        <v>0</v>
      </c>
      <c r="AN414" s="132">
        <f t="shared" si="1522"/>
        <v>0</v>
      </c>
      <c r="AO414" s="132">
        <f t="shared" si="1523"/>
        <v>0</v>
      </c>
      <c r="AP414" s="132">
        <f t="shared" si="1524"/>
        <v>0</v>
      </c>
      <c r="AQ414" s="132">
        <f t="shared" si="1525"/>
        <v>0</v>
      </c>
      <c r="AR414" s="132">
        <f t="shared" ref="AR414:AR422" si="1569">IF($Q414="C", (F414*$N414),0)</f>
        <v>0</v>
      </c>
      <c r="AS414" s="235"/>
    </row>
    <row r="415" spans="1:45" s="20" customFormat="1">
      <c r="A415" s="46" t="s">
        <v>458</v>
      </c>
      <c r="B415" s="20" t="s">
        <v>34</v>
      </c>
      <c r="C415" s="165">
        <v>0</v>
      </c>
      <c r="D415" s="96" t="s">
        <v>9</v>
      </c>
      <c r="E415" s="166">
        <v>0</v>
      </c>
      <c r="F415" s="167">
        <f t="shared" si="1563"/>
        <v>0</v>
      </c>
      <c r="G415" s="168">
        <v>0</v>
      </c>
      <c r="H415" s="168">
        <v>40</v>
      </c>
      <c r="I415" s="168">
        <v>0</v>
      </c>
      <c r="J415" s="168">
        <v>24</v>
      </c>
      <c r="K415" s="169">
        <v>0</v>
      </c>
      <c r="L415" s="96" t="s">
        <v>8</v>
      </c>
      <c r="M415" s="166">
        <f t="shared" si="1564"/>
        <v>6706.8000000000011</v>
      </c>
      <c r="N415" s="92">
        <v>1</v>
      </c>
      <c r="O415" s="170">
        <f t="shared" si="1565"/>
        <v>6706.8000000000011</v>
      </c>
      <c r="P415" s="170"/>
      <c r="Q415" s="52" t="s">
        <v>47</v>
      </c>
      <c r="R415" s="71" t="s">
        <v>77</v>
      </c>
      <c r="S415" s="137" t="str">
        <f t="shared" si="1566"/>
        <v>BPD2012</v>
      </c>
      <c r="T415" s="137" t="str">
        <f t="shared" si="1567"/>
        <v>B1.5.3.12012</v>
      </c>
      <c r="U415" s="137" t="s">
        <v>229</v>
      </c>
      <c r="V415" s="137" t="str">
        <f t="shared" si="1515"/>
        <v>MSC Assembly</v>
      </c>
      <c r="AB415" s="33">
        <v>2012</v>
      </c>
      <c r="AC415" s="132">
        <f t="shared" si="1516"/>
        <v>0</v>
      </c>
      <c r="AD415" s="132">
        <f t="shared" si="1517"/>
        <v>40</v>
      </c>
      <c r="AE415" s="132">
        <f t="shared" si="1518"/>
        <v>0</v>
      </c>
      <c r="AF415" s="132">
        <f t="shared" si="1519"/>
        <v>24</v>
      </c>
      <c r="AG415" s="132">
        <f t="shared" si="1520"/>
        <v>0</v>
      </c>
      <c r="AH415" s="234">
        <f t="shared" si="1568"/>
        <v>0</v>
      </c>
      <c r="AI415" s="235"/>
      <c r="AJ415" s="132"/>
      <c r="AK415" s="132"/>
      <c r="AL415" s="166"/>
      <c r="AM415" s="131">
        <f t="shared" si="1521"/>
        <v>0</v>
      </c>
      <c r="AN415" s="132">
        <f t="shared" si="1522"/>
        <v>0</v>
      </c>
      <c r="AO415" s="132">
        <f t="shared" si="1523"/>
        <v>0</v>
      </c>
      <c r="AP415" s="132">
        <f t="shared" si="1524"/>
        <v>0</v>
      </c>
      <c r="AQ415" s="132">
        <f t="shared" si="1525"/>
        <v>0</v>
      </c>
      <c r="AR415" s="132">
        <f t="shared" si="1569"/>
        <v>0</v>
      </c>
      <c r="AS415" s="235"/>
    </row>
    <row r="416" spans="1:45" s="20" customFormat="1">
      <c r="A416" s="46" t="s">
        <v>459</v>
      </c>
      <c r="B416" s="20" t="s">
        <v>34</v>
      </c>
      <c r="C416" s="165">
        <v>0</v>
      </c>
      <c r="D416" s="96" t="s">
        <v>9</v>
      </c>
      <c r="E416" s="166">
        <v>0</v>
      </c>
      <c r="F416" s="167">
        <f t="shared" si="1563"/>
        <v>0</v>
      </c>
      <c r="G416" s="168">
        <v>0</v>
      </c>
      <c r="H416" s="168">
        <v>40</v>
      </c>
      <c r="I416" s="168">
        <v>0</v>
      </c>
      <c r="J416" s="168">
        <v>24</v>
      </c>
      <c r="K416" s="169">
        <v>0</v>
      </c>
      <c r="L416" s="96" t="s">
        <v>8</v>
      </c>
      <c r="M416" s="166">
        <f t="shared" si="1564"/>
        <v>6706.8000000000011</v>
      </c>
      <c r="N416" s="92">
        <v>1</v>
      </c>
      <c r="O416" s="170">
        <f t="shared" si="1565"/>
        <v>6706.8000000000011</v>
      </c>
      <c r="P416" s="170"/>
      <c r="Q416" s="52" t="s">
        <v>47</v>
      </c>
      <c r="R416" s="71" t="s">
        <v>77</v>
      </c>
      <c r="S416" s="137" t="str">
        <f t="shared" si="1566"/>
        <v>BPDSTAR</v>
      </c>
      <c r="T416" s="137" t="str">
        <f t="shared" si="1567"/>
        <v>B1.5.3.1STAR</v>
      </c>
      <c r="U416" s="137" t="s">
        <v>229</v>
      </c>
      <c r="V416" s="137" t="str">
        <f t="shared" si="1515"/>
        <v>MSC Assembly</v>
      </c>
      <c r="AB416" s="33" t="s">
        <v>162</v>
      </c>
      <c r="AC416" s="132">
        <f t="shared" ref="AC416" si="1570">IF($Q416="B", (G416*$N416),0)</f>
        <v>0</v>
      </c>
      <c r="AD416" s="132">
        <f t="shared" ref="AD416" si="1571">IF($Q416="B", (H416*$N416),0)</f>
        <v>40</v>
      </c>
      <c r="AE416" s="132">
        <f t="shared" ref="AE416" si="1572">IF($Q416="B", (I416*$N416),0)</f>
        <v>0</v>
      </c>
      <c r="AF416" s="132">
        <f t="shared" ref="AF416" si="1573">IF($Q416="B", (J416*$N416),0)</f>
        <v>24</v>
      </c>
      <c r="AG416" s="132">
        <f t="shared" ref="AG416" si="1574">IF($Q416="B", (K416*$N416),0)</f>
        <v>0</v>
      </c>
      <c r="AH416" s="234">
        <f t="shared" si="1568"/>
        <v>0</v>
      </c>
      <c r="AI416" s="235"/>
      <c r="AJ416" s="132"/>
      <c r="AK416" s="132"/>
      <c r="AL416" s="166"/>
      <c r="AM416" s="131">
        <f t="shared" ref="AM416" si="1575">IF($Q416="C", (G416*$N416),0)</f>
        <v>0</v>
      </c>
      <c r="AN416" s="132">
        <f t="shared" ref="AN416" si="1576">IF($Q416="C", (H416*$N416),0)</f>
        <v>0</v>
      </c>
      <c r="AO416" s="132">
        <f t="shared" ref="AO416" si="1577">IF($Q416="C", (I416*$N416),0)</f>
        <v>0</v>
      </c>
      <c r="AP416" s="132">
        <f t="shared" ref="AP416" si="1578">IF($Q416="C", (J416*$N416),0)</f>
        <v>0</v>
      </c>
      <c r="AQ416" s="132">
        <f t="shared" ref="AQ416" si="1579">IF($Q416="C", (K416*$N416),0)</f>
        <v>0</v>
      </c>
      <c r="AR416" s="132">
        <f t="shared" si="1569"/>
        <v>0</v>
      </c>
      <c r="AS416" s="235"/>
    </row>
    <row r="417" spans="1:45" s="20" customFormat="1">
      <c r="A417" s="46" t="s">
        <v>460</v>
      </c>
      <c r="B417" s="20" t="s">
        <v>34</v>
      </c>
      <c r="C417" s="165">
        <v>0</v>
      </c>
      <c r="D417" s="96" t="s">
        <v>9</v>
      </c>
      <c r="E417" s="166">
        <v>0</v>
      </c>
      <c r="F417" s="167">
        <f t="shared" si="1563"/>
        <v>0</v>
      </c>
      <c r="G417" s="168">
        <v>0</v>
      </c>
      <c r="H417" s="168">
        <v>40</v>
      </c>
      <c r="I417" s="168">
        <v>0</v>
      </c>
      <c r="J417" s="168">
        <v>24</v>
      </c>
      <c r="K417" s="169">
        <v>0</v>
      </c>
      <c r="L417" s="96" t="s">
        <v>8</v>
      </c>
      <c r="M417" s="166">
        <f t="shared" si="1564"/>
        <v>6706.8000000000011</v>
      </c>
      <c r="N417" s="92">
        <v>1</v>
      </c>
      <c r="O417" s="170">
        <f t="shared" si="1565"/>
        <v>6706.8000000000011</v>
      </c>
      <c r="P417" s="170"/>
      <c r="Q417" s="52" t="s">
        <v>47</v>
      </c>
      <c r="R417" s="71" t="s">
        <v>77</v>
      </c>
      <c r="S417" s="137" t="str">
        <f t="shared" si="1566"/>
        <v>BPD2012</v>
      </c>
      <c r="T417" s="137" t="str">
        <f t="shared" si="1567"/>
        <v>B1.5.3.12012</v>
      </c>
      <c r="U417" s="137" t="s">
        <v>229</v>
      </c>
      <c r="V417" s="137" t="str">
        <f t="shared" si="1515"/>
        <v>MSC Assembly</v>
      </c>
      <c r="AB417" s="33">
        <v>2012</v>
      </c>
      <c r="AC417" s="132">
        <f t="shared" ref="AC417" si="1580">IF($Q417="B", (G417*$N417),0)</f>
        <v>0</v>
      </c>
      <c r="AD417" s="132">
        <f t="shared" ref="AD417" si="1581">IF($Q417="B", (H417*$N417),0)</f>
        <v>40</v>
      </c>
      <c r="AE417" s="132">
        <f t="shared" ref="AE417" si="1582">IF($Q417="B", (I417*$N417),0)</f>
        <v>0</v>
      </c>
      <c r="AF417" s="132">
        <f t="shared" ref="AF417" si="1583">IF($Q417="B", (J417*$N417),0)</f>
        <v>24</v>
      </c>
      <c r="AG417" s="132">
        <f t="shared" ref="AG417" si="1584">IF($Q417="B", (K417*$N417),0)</f>
        <v>0</v>
      </c>
      <c r="AH417" s="234">
        <f t="shared" si="1568"/>
        <v>0</v>
      </c>
      <c r="AI417" s="235"/>
      <c r="AJ417" s="132"/>
      <c r="AK417" s="132"/>
      <c r="AL417" s="166"/>
      <c r="AM417" s="131">
        <f t="shared" ref="AM417" si="1585">IF($Q417="C", (G417*$N417),0)</f>
        <v>0</v>
      </c>
      <c r="AN417" s="132">
        <f t="shared" ref="AN417" si="1586">IF($Q417="C", (H417*$N417),0)</f>
        <v>0</v>
      </c>
      <c r="AO417" s="132">
        <f t="shared" ref="AO417" si="1587">IF($Q417="C", (I417*$N417),0)</f>
        <v>0</v>
      </c>
      <c r="AP417" s="132">
        <f t="shared" ref="AP417" si="1588">IF($Q417="C", (J417*$N417),0)</f>
        <v>0</v>
      </c>
      <c r="AQ417" s="132">
        <f t="shared" ref="AQ417" si="1589">IF($Q417="C", (K417*$N417),0)</f>
        <v>0</v>
      </c>
      <c r="AR417" s="132">
        <f t="shared" si="1569"/>
        <v>0</v>
      </c>
      <c r="AS417" s="235"/>
    </row>
    <row r="418" spans="1:45" s="20" customFormat="1">
      <c r="A418" s="46" t="s">
        <v>463</v>
      </c>
      <c r="B418" s="20" t="s">
        <v>34</v>
      </c>
      <c r="C418" s="165">
        <v>0</v>
      </c>
      <c r="D418" s="96" t="s">
        <v>9</v>
      </c>
      <c r="E418" s="166">
        <v>0</v>
      </c>
      <c r="F418" s="167">
        <f t="shared" si="1563"/>
        <v>0</v>
      </c>
      <c r="G418" s="168">
        <v>0</v>
      </c>
      <c r="H418" s="168">
        <v>40</v>
      </c>
      <c r="I418" s="168">
        <v>0</v>
      </c>
      <c r="J418" s="168">
        <v>0</v>
      </c>
      <c r="K418" s="169">
        <v>0</v>
      </c>
      <c r="L418" s="96" t="s">
        <v>8</v>
      </c>
      <c r="M418" s="166">
        <f t="shared" si="1564"/>
        <v>3790.8</v>
      </c>
      <c r="N418" s="92">
        <v>1</v>
      </c>
      <c r="O418" s="170">
        <f t="shared" si="1565"/>
        <v>3790.8</v>
      </c>
      <c r="P418" s="170"/>
      <c r="Q418" s="52" t="s">
        <v>47</v>
      </c>
      <c r="R418" s="71" t="s">
        <v>77</v>
      </c>
      <c r="S418" s="137" t="str">
        <f t="shared" si="1566"/>
        <v>BPDSTAR</v>
      </c>
      <c r="T418" s="137" t="str">
        <f t="shared" si="1567"/>
        <v>B1.5.3.1STAR</v>
      </c>
      <c r="U418" s="137" t="s">
        <v>229</v>
      </c>
      <c r="V418" s="137" t="str">
        <f t="shared" si="1515"/>
        <v>MSC Assembly</v>
      </c>
      <c r="AB418" s="33" t="s">
        <v>162</v>
      </c>
      <c r="AC418" s="132">
        <f t="shared" ref="AC418:AC421" si="1590">IF($Q418="B", (G418*$N418),0)</f>
        <v>0</v>
      </c>
      <c r="AD418" s="132">
        <f t="shared" ref="AD418:AD421" si="1591">IF($Q418="B", (H418*$N418),0)</f>
        <v>40</v>
      </c>
      <c r="AE418" s="132">
        <f t="shared" ref="AE418:AE421" si="1592">IF($Q418="B", (I418*$N418),0)</f>
        <v>0</v>
      </c>
      <c r="AF418" s="132">
        <f t="shared" ref="AF418:AF421" si="1593">IF($Q418="B", (J418*$N418),0)</f>
        <v>0</v>
      </c>
      <c r="AG418" s="132">
        <f t="shared" ref="AG418:AG421" si="1594">IF($Q418="B", (K418*$N418),0)</f>
        <v>0</v>
      </c>
      <c r="AH418" s="234">
        <f t="shared" si="1568"/>
        <v>0</v>
      </c>
      <c r="AI418" s="235"/>
      <c r="AJ418" s="132"/>
      <c r="AK418" s="132"/>
      <c r="AL418" s="166"/>
      <c r="AM418" s="131">
        <f t="shared" ref="AM418:AM421" si="1595">IF($Q418="C", (G418*$N418),0)</f>
        <v>0</v>
      </c>
      <c r="AN418" s="132">
        <f t="shared" ref="AN418:AN421" si="1596">IF($Q418="C", (H418*$N418),0)</f>
        <v>0</v>
      </c>
      <c r="AO418" s="132">
        <f t="shared" ref="AO418:AO421" si="1597">IF($Q418="C", (I418*$N418),0)</f>
        <v>0</v>
      </c>
      <c r="AP418" s="132">
        <f t="shared" ref="AP418:AP421" si="1598">IF($Q418="C", (J418*$N418),0)</f>
        <v>0</v>
      </c>
      <c r="AQ418" s="132">
        <f t="shared" ref="AQ418:AQ421" si="1599">IF($Q418="C", (K418*$N418),0)</f>
        <v>0</v>
      </c>
      <c r="AR418" s="132">
        <f t="shared" si="1569"/>
        <v>0</v>
      </c>
      <c r="AS418" s="235"/>
    </row>
    <row r="419" spans="1:45" s="20" customFormat="1">
      <c r="A419" s="46" t="s">
        <v>458</v>
      </c>
      <c r="B419" s="20" t="s">
        <v>34</v>
      </c>
      <c r="C419" s="165">
        <v>0</v>
      </c>
      <c r="D419" s="96" t="s">
        <v>9</v>
      </c>
      <c r="E419" s="166">
        <v>0</v>
      </c>
      <c r="F419" s="167">
        <f t="shared" si="1563"/>
        <v>0</v>
      </c>
      <c r="G419" s="168">
        <v>0</v>
      </c>
      <c r="H419" s="168">
        <v>40</v>
      </c>
      <c r="I419" s="168">
        <v>0</v>
      </c>
      <c r="J419" s="168">
        <v>24</v>
      </c>
      <c r="K419" s="169">
        <v>0</v>
      </c>
      <c r="L419" s="96" t="s">
        <v>8</v>
      </c>
      <c r="M419" s="166">
        <f t="shared" si="1564"/>
        <v>6706.8000000000011</v>
      </c>
      <c r="N419" s="92">
        <v>1</v>
      </c>
      <c r="O419" s="170">
        <f t="shared" si="1565"/>
        <v>6706.8000000000011</v>
      </c>
      <c r="P419" s="170"/>
      <c r="Q419" s="52" t="s">
        <v>47</v>
      </c>
      <c r="R419" s="71" t="s">
        <v>77</v>
      </c>
      <c r="S419" s="137" t="str">
        <f t="shared" si="1566"/>
        <v>BPD2014</v>
      </c>
      <c r="T419" s="137" t="str">
        <f t="shared" si="1567"/>
        <v>B1.5.3.12014</v>
      </c>
      <c r="U419" s="137" t="s">
        <v>229</v>
      </c>
      <c r="V419" s="137" t="str">
        <f t="shared" si="1515"/>
        <v>MSC Assembly</v>
      </c>
      <c r="AB419" s="33">
        <v>2014</v>
      </c>
      <c r="AC419" s="132">
        <f t="shared" si="1590"/>
        <v>0</v>
      </c>
      <c r="AD419" s="132">
        <f t="shared" si="1591"/>
        <v>40</v>
      </c>
      <c r="AE419" s="132">
        <f t="shared" si="1592"/>
        <v>0</v>
      </c>
      <c r="AF419" s="132">
        <f t="shared" si="1593"/>
        <v>24</v>
      </c>
      <c r="AG419" s="132">
        <f t="shared" si="1594"/>
        <v>0</v>
      </c>
      <c r="AH419" s="234">
        <f t="shared" si="1568"/>
        <v>0</v>
      </c>
      <c r="AI419" s="235"/>
      <c r="AJ419" s="132"/>
      <c r="AK419" s="132"/>
      <c r="AL419" s="166"/>
      <c r="AM419" s="131">
        <f t="shared" si="1595"/>
        <v>0</v>
      </c>
      <c r="AN419" s="132">
        <f t="shared" si="1596"/>
        <v>0</v>
      </c>
      <c r="AO419" s="132">
        <f t="shared" si="1597"/>
        <v>0</v>
      </c>
      <c r="AP419" s="132">
        <f t="shared" si="1598"/>
        <v>0</v>
      </c>
      <c r="AQ419" s="132">
        <f t="shared" si="1599"/>
        <v>0</v>
      </c>
      <c r="AR419" s="132">
        <f t="shared" si="1569"/>
        <v>0</v>
      </c>
      <c r="AS419" s="235"/>
    </row>
    <row r="420" spans="1:45" s="20" customFormat="1">
      <c r="A420" s="46" t="s">
        <v>459</v>
      </c>
      <c r="B420" s="20" t="s">
        <v>34</v>
      </c>
      <c r="C420" s="165">
        <v>0</v>
      </c>
      <c r="D420" s="96" t="s">
        <v>9</v>
      </c>
      <c r="E420" s="166">
        <v>0</v>
      </c>
      <c r="F420" s="167">
        <f t="shared" si="1563"/>
        <v>0</v>
      </c>
      <c r="G420" s="168">
        <v>0</v>
      </c>
      <c r="H420" s="168">
        <v>40</v>
      </c>
      <c r="I420" s="168">
        <v>0</v>
      </c>
      <c r="J420" s="168">
        <v>24</v>
      </c>
      <c r="K420" s="169">
        <v>0</v>
      </c>
      <c r="L420" s="96" t="s">
        <v>8</v>
      </c>
      <c r="M420" s="166">
        <f t="shared" si="1564"/>
        <v>6706.8000000000011</v>
      </c>
      <c r="N420" s="92">
        <v>1</v>
      </c>
      <c r="O420" s="170">
        <f t="shared" si="1565"/>
        <v>6706.8000000000011</v>
      </c>
      <c r="P420" s="170"/>
      <c r="Q420" s="52" t="s">
        <v>47</v>
      </c>
      <c r="R420" s="71" t="s">
        <v>77</v>
      </c>
      <c r="S420" s="137" t="str">
        <f t="shared" si="1566"/>
        <v>BPDSTAR</v>
      </c>
      <c r="T420" s="137" t="str">
        <f t="shared" si="1567"/>
        <v>B1.5.3.1STAR</v>
      </c>
      <c r="U420" s="137" t="s">
        <v>229</v>
      </c>
      <c r="V420" s="137" t="str">
        <f t="shared" si="1515"/>
        <v>MSC Assembly</v>
      </c>
      <c r="AB420" s="33" t="s">
        <v>162</v>
      </c>
      <c r="AC420" s="132">
        <f t="shared" si="1590"/>
        <v>0</v>
      </c>
      <c r="AD420" s="132">
        <f t="shared" si="1591"/>
        <v>40</v>
      </c>
      <c r="AE420" s="132">
        <f t="shared" si="1592"/>
        <v>0</v>
      </c>
      <c r="AF420" s="132">
        <f t="shared" si="1593"/>
        <v>24</v>
      </c>
      <c r="AG420" s="132">
        <f t="shared" si="1594"/>
        <v>0</v>
      </c>
      <c r="AH420" s="234">
        <f t="shared" si="1568"/>
        <v>0</v>
      </c>
      <c r="AI420" s="235"/>
      <c r="AJ420" s="132"/>
      <c r="AK420" s="132"/>
      <c r="AL420" s="166"/>
      <c r="AM420" s="131">
        <f t="shared" si="1595"/>
        <v>0</v>
      </c>
      <c r="AN420" s="132">
        <f t="shared" si="1596"/>
        <v>0</v>
      </c>
      <c r="AO420" s="132">
        <f t="shared" si="1597"/>
        <v>0</v>
      </c>
      <c r="AP420" s="132">
        <f t="shared" si="1598"/>
        <v>0</v>
      </c>
      <c r="AQ420" s="132">
        <f t="shared" si="1599"/>
        <v>0</v>
      </c>
      <c r="AR420" s="132">
        <f t="shared" si="1569"/>
        <v>0</v>
      </c>
      <c r="AS420" s="235"/>
    </row>
    <row r="421" spans="1:45" s="20" customFormat="1">
      <c r="A421" s="46" t="s">
        <v>460</v>
      </c>
      <c r="B421" s="20" t="s">
        <v>34</v>
      </c>
      <c r="C421" s="165">
        <v>0</v>
      </c>
      <c r="D421" s="96" t="s">
        <v>9</v>
      </c>
      <c r="E421" s="166">
        <v>0</v>
      </c>
      <c r="F421" s="167">
        <f t="shared" si="1563"/>
        <v>0</v>
      </c>
      <c r="G421" s="168">
        <v>0</v>
      </c>
      <c r="H421" s="168">
        <v>40</v>
      </c>
      <c r="I421" s="168">
        <v>0</v>
      </c>
      <c r="J421" s="168">
        <v>24</v>
      </c>
      <c r="K421" s="169">
        <v>0</v>
      </c>
      <c r="L421" s="96" t="s">
        <v>8</v>
      </c>
      <c r="M421" s="166">
        <f t="shared" si="1564"/>
        <v>6706.8000000000011</v>
      </c>
      <c r="N421" s="92">
        <v>1</v>
      </c>
      <c r="O421" s="170">
        <f t="shared" si="1565"/>
        <v>6706.8000000000011</v>
      </c>
      <c r="P421" s="170"/>
      <c r="Q421" s="52" t="s">
        <v>47</v>
      </c>
      <c r="R421" s="71" t="s">
        <v>77</v>
      </c>
      <c r="S421" s="137" t="str">
        <f t="shared" si="1566"/>
        <v>BPD2014</v>
      </c>
      <c r="T421" s="137" t="str">
        <f t="shared" si="1567"/>
        <v>B1.5.3.12014</v>
      </c>
      <c r="U421" s="137" t="s">
        <v>229</v>
      </c>
      <c r="V421" s="137" t="str">
        <f t="shared" si="1515"/>
        <v>MSC Assembly</v>
      </c>
      <c r="AB421" s="33">
        <v>2014</v>
      </c>
      <c r="AC421" s="132">
        <f t="shared" si="1590"/>
        <v>0</v>
      </c>
      <c r="AD421" s="132">
        <f t="shared" si="1591"/>
        <v>40</v>
      </c>
      <c r="AE421" s="132">
        <f t="shared" si="1592"/>
        <v>0</v>
      </c>
      <c r="AF421" s="132">
        <f t="shared" si="1593"/>
        <v>24</v>
      </c>
      <c r="AG421" s="132">
        <f t="shared" si="1594"/>
        <v>0</v>
      </c>
      <c r="AH421" s="234">
        <f t="shared" si="1568"/>
        <v>0</v>
      </c>
      <c r="AI421" s="235"/>
      <c r="AJ421" s="132"/>
      <c r="AK421" s="132"/>
      <c r="AL421" s="166"/>
      <c r="AM421" s="131">
        <f t="shared" si="1595"/>
        <v>0</v>
      </c>
      <c r="AN421" s="132">
        <f t="shared" si="1596"/>
        <v>0</v>
      </c>
      <c r="AO421" s="132">
        <f t="shared" si="1597"/>
        <v>0</v>
      </c>
      <c r="AP421" s="132">
        <f t="shared" si="1598"/>
        <v>0</v>
      </c>
      <c r="AQ421" s="132">
        <f t="shared" si="1599"/>
        <v>0</v>
      </c>
      <c r="AR421" s="132">
        <f t="shared" si="1569"/>
        <v>0</v>
      </c>
      <c r="AS421" s="235"/>
    </row>
    <row r="422" spans="1:45" s="20" customFormat="1">
      <c r="A422" s="46" t="s">
        <v>463</v>
      </c>
      <c r="B422" s="20" t="s">
        <v>34</v>
      </c>
      <c r="C422" s="165">
        <v>0</v>
      </c>
      <c r="D422" s="96" t="s">
        <v>9</v>
      </c>
      <c r="E422" s="166">
        <v>0</v>
      </c>
      <c r="F422" s="167">
        <f t="shared" si="1563"/>
        <v>0</v>
      </c>
      <c r="G422" s="168">
        <v>0</v>
      </c>
      <c r="H422" s="168">
        <v>40</v>
      </c>
      <c r="I422" s="168">
        <v>0</v>
      </c>
      <c r="J422" s="168">
        <v>0</v>
      </c>
      <c r="K422" s="169">
        <v>0</v>
      </c>
      <c r="L422" s="96" t="s">
        <v>8</v>
      </c>
      <c r="M422" s="166">
        <f t="shared" si="1564"/>
        <v>3790.8</v>
      </c>
      <c r="N422" s="92">
        <v>1</v>
      </c>
      <c r="O422" s="170">
        <f t="shared" si="1565"/>
        <v>3790.8</v>
      </c>
      <c r="P422" s="170"/>
      <c r="Q422" s="52" t="s">
        <v>47</v>
      </c>
      <c r="R422" s="71" t="s">
        <v>77</v>
      </c>
      <c r="S422" s="137" t="str">
        <f t="shared" si="1566"/>
        <v>BPDSTAR</v>
      </c>
      <c r="T422" s="137" t="str">
        <f t="shared" si="1567"/>
        <v>B1.5.3.1STAR</v>
      </c>
      <c r="U422" s="137" t="s">
        <v>229</v>
      </c>
      <c r="V422" s="137" t="str">
        <f t="shared" si="1515"/>
        <v>MSC Assembly</v>
      </c>
      <c r="AB422" s="33" t="s">
        <v>162</v>
      </c>
      <c r="AC422" s="132">
        <f t="shared" ref="AC422" si="1600">IF($Q422="B", (G422*$N422),0)</f>
        <v>0</v>
      </c>
      <c r="AD422" s="132">
        <f t="shared" ref="AD422" si="1601">IF($Q422="B", (H422*$N422),0)</f>
        <v>40</v>
      </c>
      <c r="AE422" s="132">
        <f t="shared" ref="AE422" si="1602">IF($Q422="B", (I422*$N422),0)</f>
        <v>0</v>
      </c>
      <c r="AF422" s="132">
        <f t="shared" ref="AF422" si="1603">IF($Q422="B", (J422*$N422),0)</f>
        <v>0</v>
      </c>
      <c r="AG422" s="132">
        <f t="shared" ref="AG422" si="1604">IF($Q422="B", (K422*$N422),0)</f>
        <v>0</v>
      </c>
      <c r="AH422" s="234">
        <f t="shared" si="1568"/>
        <v>0</v>
      </c>
      <c r="AI422" s="235"/>
      <c r="AJ422" s="132"/>
      <c r="AK422" s="132"/>
      <c r="AL422" s="166"/>
      <c r="AM422" s="131">
        <f t="shared" ref="AM422" si="1605">IF($Q422="C", (G422*$N422),0)</f>
        <v>0</v>
      </c>
      <c r="AN422" s="132">
        <f t="shared" ref="AN422" si="1606">IF($Q422="C", (H422*$N422),0)</f>
        <v>0</v>
      </c>
      <c r="AO422" s="132">
        <f t="shared" ref="AO422" si="1607">IF($Q422="C", (I422*$N422),0)</f>
        <v>0</v>
      </c>
      <c r="AP422" s="132">
        <f t="shared" ref="AP422" si="1608">IF($Q422="C", (J422*$N422),0)</f>
        <v>0</v>
      </c>
      <c r="AQ422" s="132">
        <f t="shared" ref="AQ422" si="1609">IF($Q422="C", (K422*$N422),0)</f>
        <v>0</v>
      </c>
      <c r="AR422" s="132">
        <f t="shared" si="1569"/>
        <v>0</v>
      </c>
      <c r="AS422" s="235"/>
    </row>
    <row r="423" spans="1:45" s="20" customFormat="1">
      <c r="A423" s="47" t="s">
        <v>464</v>
      </c>
      <c r="C423" s="165"/>
      <c r="D423" s="96"/>
      <c r="E423" s="57"/>
      <c r="F423" s="58"/>
      <c r="G423" s="59"/>
      <c r="H423" s="59"/>
      <c r="I423" s="59"/>
      <c r="J423" s="59"/>
      <c r="K423" s="60"/>
      <c r="L423" s="217" t="s">
        <v>66</v>
      </c>
      <c r="M423" s="177">
        <f>SUMIF(Q408:Q422,"B",M408:M422)</f>
        <v>97209.72000000003</v>
      </c>
      <c r="N423" s="65" t="s">
        <v>65</v>
      </c>
      <c r="O423" s="170"/>
      <c r="P423" s="170"/>
      <c r="Q423" s="52"/>
      <c r="R423" s="71"/>
      <c r="S423" s="137"/>
      <c r="T423" s="137"/>
      <c r="U423" s="137"/>
      <c r="V423" s="137"/>
      <c r="AB423" s="33"/>
      <c r="AC423" s="132"/>
      <c r="AD423" s="132"/>
      <c r="AE423" s="135"/>
      <c r="AF423" s="132"/>
      <c r="AG423" s="132"/>
      <c r="AH423" s="234"/>
      <c r="AI423" s="235"/>
      <c r="AJ423" s="132"/>
      <c r="AK423" s="132"/>
      <c r="AL423" s="166"/>
      <c r="AM423" s="131"/>
      <c r="AN423" s="132"/>
      <c r="AO423" s="132"/>
      <c r="AP423" s="132"/>
      <c r="AQ423" s="132"/>
      <c r="AR423" s="132"/>
      <c r="AS423" s="235"/>
    </row>
    <row r="424" spans="1:45" s="20" customFormat="1">
      <c r="A424" s="46" t="s">
        <v>465</v>
      </c>
      <c r="B424" s="20" t="s">
        <v>34</v>
      </c>
      <c r="C424" s="165">
        <v>0.03</v>
      </c>
      <c r="D424" s="96" t="s">
        <v>9</v>
      </c>
      <c r="E424" s="166">
        <v>0</v>
      </c>
      <c r="F424" s="167">
        <f t="shared" ref="F424:F429" si="1610">E424*C424</f>
        <v>0</v>
      </c>
      <c r="G424" s="168">
        <v>0</v>
      </c>
      <c r="H424" s="168">
        <v>0</v>
      </c>
      <c r="I424" s="168">
        <v>0</v>
      </c>
      <c r="J424" s="168">
        <v>32</v>
      </c>
      <c r="K424" s="169">
        <v>0</v>
      </c>
      <c r="L424" s="96" t="s">
        <v>8</v>
      </c>
      <c r="M424" s="166">
        <f t="shared" ref="M424:M429" si="1611">IF(R424="PD",((Shop*G424)+(M_Tech*H424)+(CMM*I424)+(ENG*J424)+(DES*K424))*N424,((Shop_RD*G424)+(MTECH_RD*H424)+(CMM_RD*I424)+(ENG_RD*J424)+(DES_RD*K424))*N424)</f>
        <v>3888.0000000000005</v>
      </c>
      <c r="N424" s="92">
        <v>1</v>
      </c>
      <c r="O424" s="170">
        <f t="shared" ref="O424:O429" si="1612">M424+(F424*N424)</f>
        <v>3888.0000000000005</v>
      </c>
      <c r="P424" s="170"/>
      <c r="Q424" s="52" t="s">
        <v>47</v>
      </c>
      <c r="R424" s="71" t="s">
        <v>77</v>
      </c>
      <c r="S424" s="137" t="str">
        <f t="shared" ref="S424:S429" si="1613">CONCATENATE(Q424,R424,AB424)</f>
        <v>BPDSTAR</v>
      </c>
      <c r="T424" s="137" t="str">
        <f t="shared" ref="T424:T429" si="1614">CONCATENATE(Q424,U424,AB424)</f>
        <v>B1.5.3.2STAR</v>
      </c>
      <c r="U424" s="137" t="s">
        <v>230</v>
      </c>
      <c r="V424" s="137" t="str">
        <f t="shared" ref="V424:V439" si="1615">LOOKUP(U424,$B$539:$B$574,$A$539:$A$574)</f>
        <v>IDS Assembly</v>
      </c>
      <c r="AB424" s="33" t="s">
        <v>162</v>
      </c>
      <c r="AC424" s="132">
        <f t="shared" ref="AC424:AC439" si="1616">IF($Q424="B", (G424*$N424),0)</f>
        <v>0</v>
      </c>
      <c r="AD424" s="132">
        <f t="shared" ref="AD424:AD439" si="1617">IF($Q424="B", (H424*$N424),0)</f>
        <v>0</v>
      </c>
      <c r="AE424" s="132">
        <f t="shared" ref="AE424:AE439" si="1618">IF($Q424="B", (I424*$N424),0)</f>
        <v>0</v>
      </c>
      <c r="AF424" s="132">
        <f t="shared" ref="AF424:AF439" si="1619">IF($Q424="B", (J424*$N424),0)</f>
        <v>32</v>
      </c>
      <c r="AG424" s="132">
        <f t="shared" ref="AG424:AG439" si="1620">IF($Q424="B", (K424*$N424),0)</f>
        <v>0</v>
      </c>
      <c r="AH424" s="234">
        <f t="shared" ref="AH424:AH429" si="1621">IF($Q424="B", (F424*$N424),0)</f>
        <v>0</v>
      </c>
      <c r="AI424" s="235"/>
      <c r="AJ424" s="132"/>
      <c r="AK424" s="132"/>
      <c r="AL424" s="166"/>
      <c r="AM424" s="131">
        <f t="shared" ref="AM424:AM439" si="1622">IF($Q424="C", (G424*$N424),0)</f>
        <v>0</v>
      </c>
      <c r="AN424" s="132">
        <f t="shared" ref="AN424:AN439" si="1623">IF($Q424="C", (H424*$N424),0)</f>
        <v>0</v>
      </c>
      <c r="AO424" s="132">
        <f t="shared" ref="AO424:AO439" si="1624">IF($Q424="C", (I424*$N424),0)</f>
        <v>0</v>
      </c>
      <c r="AP424" s="132">
        <f t="shared" ref="AP424:AP439" si="1625">IF($Q424="C", (J424*$N424),0)</f>
        <v>0</v>
      </c>
      <c r="AQ424" s="132">
        <f t="shared" ref="AQ424:AQ439" si="1626">IF($Q424="C", (K424*$N424),0)</f>
        <v>0</v>
      </c>
      <c r="AR424" s="132">
        <f t="shared" ref="AR424:AR429" si="1627">IF($Q424="C", (F424*$N424),0)</f>
        <v>0</v>
      </c>
      <c r="AS424" s="235"/>
    </row>
    <row r="425" spans="1:45" s="20" customFormat="1">
      <c r="A425" s="46" t="s">
        <v>466</v>
      </c>
      <c r="B425" s="20" t="s">
        <v>34</v>
      </c>
      <c r="C425" s="165">
        <v>0.03</v>
      </c>
      <c r="D425" s="96" t="s">
        <v>9</v>
      </c>
      <c r="E425" s="166">
        <v>0</v>
      </c>
      <c r="F425" s="167">
        <f t="shared" si="1610"/>
        <v>0</v>
      </c>
      <c r="G425" s="168">
        <v>0</v>
      </c>
      <c r="H425" s="168">
        <v>0</v>
      </c>
      <c r="I425" s="168">
        <v>0</v>
      </c>
      <c r="J425" s="168">
        <v>120</v>
      </c>
      <c r="K425" s="169">
        <v>0</v>
      </c>
      <c r="L425" s="96" t="s">
        <v>8</v>
      </c>
      <c r="M425" s="166">
        <f t="shared" si="1611"/>
        <v>14580.000000000002</v>
      </c>
      <c r="N425" s="92">
        <v>1</v>
      </c>
      <c r="O425" s="170">
        <f t="shared" si="1612"/>
        <v>14580.000000000002</v>
      </c>
      <c r="P425" s="170"/>
      <c r="Q425" s="52" t="s">
        <v>47</v>
      </c>
      <c r="R425" s="71" t="s">
        <v>77</v>
      </c>
      <c r="S425" s="137" t="str">
        <f t="shared" si="1613"/>
        <v>BPD2011</v>
      </c>
      <c r="T425" s="137" t="str">
        <f t="shared" si="1614"/>
        <v>B1.5.3.22011</v>
      </c>
      <c r="U425" s="137" t="s">
        <v>230</v>
      </c>
      <c r="V425" s="137" t="str">
        <f t="shared" si="1615"/>
        <v>IDS Assembly</v>
      </c>
      <c r="AB425" s="33">
        <v>2011</v>
      </c>
      <c r="AC425" s="132">
        <f t="shared" si="1616"/>
        <v>0</v>
      </c>
      <c r="AD425" s="132">
        <f t="shared" si="1617"/>
        <v>0</v>
      </c>
      <c r="AE425" s="132">
        <f t="shared" si="1618"/>
        <v>0</v>
      </c>
      <c r="AF425" s="132">
        <f t="shared" si="1619"/>
        <v>120</v>
      </c>
      <c r="AG425" s="132">
        <f t="shared" si="1620"/>
        <v>0</v>
      </c>
      <c r="AH425" s="234">
        <f t="shared" si="1621"/>
        <v>0</v>
      </c>
      <c r="AI425" s="235"/>
      <c r="AJ425" s="132"/>
      <c r="AK425" s="132"/>
      <c r="AL425" s="166"/>
      <c r="AM425" s="131">
        <f t="shared" si="1622"/>
        <v>0</v>
      </c>
      <c r="AN425" s="132">
        <f t="shared" si="1623"/>
        <v>0</v>
      </c>
      <c r="AO425" s="132">
        <f t="shared" si="1624"/>
        <v>0</v>
      </c>
      <c r="AP425" s="132">
        <f t="shared" si="1625"/>
        <v>0</v>
      </c>
      <c r="AQ425" s="132">
        <f t="shared" si="1626"/>
        <v>0</v>
      </c>
      <c r="AR425" s="132">
        <f t="shared" si="1627"/>
        <v>0</v>
      </c>
      <c r="AS425" s="235"/>
    </row>
    <row r="426" spans="1:45" s="20" customFormat="1">
      <c r="A426" s="46" t="s">
        <v>467</v>
      </c>
      <c r="B426" s="20" t="s">
        <v>34</v>
      </c>
      <c r="C426" s="165">
        <v>0.03</v>
      </c>
      <c r="D426" s="96" t="s">
        <v>9</v>
      </c>
      <c r="E426" s="166">
        <v>0</v>
      </c>
      <c r="F426" s="167">
        <f t="shared" si="1610"/>
        <v>0</v>
      </c>
      <c r="G426" s="168">
        <v>0</v>
      </c>
      <c r="H426" s="168">
        <v>0</v>
      </c>
      <c r="I426" s="168">
        <v>0</v>
      </c>
      <c r="J426" s="168">
        <v>40</v>
      </c>
      <c r="K426" s="169">
        <v>0</v>
      </c>
      <c r="L426" s="96" t="s">
        <v>8</v>
      </c>
      <c r="M426" s="166">
        <f t="shared" si="1611"/>
        <v>4860.0000000000009</v>
      </c>
      <c r="N426" s="92">
        <v>1</v>
      </c>
      <c r="O426" s="170">
        <f t="shared" si="1612"/>
        <v>4860.0000000000009</v>
      </c>
      <c r="P426" s="170"/>
      <c r="Q426" s="52" t="s">
        <v>48</v>
      </c>
      <c r="R426" s="71" t="s">
        <v>77</v>
      </c>
      <c r="S426" s="137" t="str">
        <f t="shared" si="1613"/>
        <v>CPD2011</v>
      </c>
      <c r="T426" s="137" t="str">
        <f t="shared" si="1614"/>
        <v>C1.5.3.22011</v>
      </c>
      <c r="U426" s="137" t="s">
        <v>230</v>
      </c>
      <c r="V426" s="137" t="str">
        <f t="shared" si="1615"/>
        <v>IDS Assembly</v>
      </c>
      <c r="AB426" s="33">
        <v>2011</v>
      </c>
      <c r="AC426" s="132">
        <f t="shared" si="1616"/>
        <v>0</v>
      </c>
      <c r="AD426" s="132">
        <f t="shared" si="1617"/>
        <v>0</v>
      </c>
      <c r="AE426" s="132">
        <f t="shared" si="1618"/>
        <v>0</v>
      </c>
      <c r="AF426" s="132">
        <f t="shared" si="1619"/>
        <v>0</v>
      </c>
      <c r="AG426" s="132">
        <f t="shared" si="1620"/>
        <v>0</v>
      </c>
      <c r="AH426" s="234">
        <f t="shared" si="1621"/>
        <v>0</v>
      </c>
      <c r="AI426" s="235"/>
      <c r="AJ426" s="132"/>
      <c r="AK426" s="132"/>
      <c r="AL426" s="166"/>
      <c r="AM426" s="131">
        <f t="shared" si="1622"/>
        <v>0</v>
      </c>
      <c r="AN426" s="132">
        <f t="shared" si="1623"/>
        <v>0</v>
      </c>
      <c r="AO426" s="132">
        <f t="shared" si="1624"/>
        <v>0</v>
      </c>
      <c r="AP426" s="132">
        <f t="shared" si="1625"/>
        <v>40</v>
      </c>
      <c r="AQ426" s="132">
        <f t="shared" si="1626"/>
        <v>0</v>
      </c>
      <c r="AR426" s="132">
        <f t="shared" si="1627"/>
        <v>0</v>
      </c>
      <c r="AS426" s="235"/>
    </row>
    <row r="427" spans="1:45" s="20" customFormat="1">
      <c r="A427" s="46" t="s">
        <v>468</v>
      </c>
      <c r="B427" s="20" t="s">
        <v>7</v>
      </c>
      <c r="C427" s="165">
        <v>1500</v>
      </c>
      <c r="D427" s="96" t="s">
        <v>39</v>
      </c>
      <c r="E427" s="166">
        <v>8</v>
      </c>
      <c r="F427" s="167">
        <f t="shared" si="1610"/>
        <v>12000</v>
      </c>
      <c r="G427" s="417">
        <v>32</v>
      </c>
      <c r="H427" s="168">
        <v>40</v>
      </c>
      <c r="I427" s="168">
        <v>0</v>
      </c>
      <c r="J427" s="417">
        <f>0.5*G427</f>
        <v>16</v>
      </c>
      <c r="K427" s="169">
        <v>0</v>
      </c>
      <c r="L427" s="96" t="s">
        <v>8</v>
      </c>
      <c r="M427" s="166">
        <f t="shared" si="1611"/>
        <v>9000.7200000000012</v>
      </c>
      <c r="N427" s="92">
        <v>1</v>
      </c>
      <c r="O427" s="170">
        <f t="shared" si="1612"/>
        <v>21000.720000000001</v>
      </c>
      <c r="P427" s="170"/>
      <c r="Q427" s="52" t="s">
        <v>47</v>
      </c>
      <c r="R427" s="71" t="s">
        <v>77</v>
      </c>
      <c r="S427" s="137" t="str">
        <f t="shared" si="1613"/>
        <v>BPD2012</v>
      </c>
      <c r="T427" s="137" t="str">
        <f t="shared" si="1614"/>
        <v>B1.5.3.22012</v>
      </c>
      <c r="U427" s="137" t="s">
        <v>230</v>
      </c>
      <c r="V427" s="137" t="str">
        <f t="shared" si="1615"/>
        <v>IDS Assembly</v>
      </c>
      <c r="AB427" s="33">
        <v>2012</v>
      </c>
      <c r="AC427" s="132">
        <f t="shared" si="1616"/>
        <v>32</v>
      </c>
      <c r="AD427" s="132">
        <f t="shared" si="1617"/>
        <v>40</v>
      </c>
      <c r="AE427" s="132">
        <f t="shared" si="1618"/>
        <v>0</v>
      </c>
      <c r="AF427" s="132">
        <f t="shared" si="1619"/>
        <v>16</v>
      </c>
      <c r="AG427" s="132">
        <f t="shared" si="1620"/>
        <v>0</v>
      </c>
      <c r="AH427" s="234">
        <f t="shared" si="1621"/>
        <v>12000</v>
      </c>
      <c r="AI427" s="235"/>
      <c r="AJ427" s="132"/>
      <c r="AK427" s="132"/>
      <c r="AL427" s="166"/>
      <c r="AM427" s="131">
        <f t="shared" si="1622"/>
        <v>0</v>
      </c>
      <c r="AN427" s="132">
        <f t="shared" si="1623"/>
        <v>0</v>
      </c>
      <c r="AO427" s="132">
        <f t="shared" si="1624"/>
        <v>0</v>
      </c>
      <c r="AP427" s="132">
        <f t="shared" si="1625"/>
        <v>0</v>
      </c>
      <c r="AQ427" s="132">
        <f t="shared" si="1626"/>
        <v>0</v>
      </c>
      <c r="AR427" s="132">
        <f t="shared" si="1627"/>
        <v>0</v>
      </c>
      <c r="AS427" s="235"/>
    </row>
    <row r="428" spans="1:45" s="20" customFormat="1">
      <c r="A428" s="46" t="s">
        <v>469</v>
      </c>
      <c r="B428" s="20" t="s">
        <v>7</v>
      </c>
      <c r="C428" s="165">
        <v>200</v>
      </c>
      <c r="D428" s="96" t="s">
        <v>39</v>
      </c>
      <c r="E428" s="166">
        <v>8</v>
      </c>
      <c r="F428" s="167">
        <f t="shared" si="1610"/>
        <v>1600</v>
      </c>
      <c r="G428" s="168">
        <v>60</v>
      </c>
      <c r="H428" s="168">
        <v>20</v>
      </c>
      <c r="I428" s="168">
        <v>0</v>
      </c>
      <c r="J428" s="168">
        <v>0</v>
      </c>
      <c r="K428" s="169">
        <v>0</v>
      </c>
      <c r="L428" s="96" t="s">
        <v>8</v>
      </c>
      <c r="M428" s="166">
        <f t="shared" si="1611"/>
        <v>8019</v>
      </c>
      <c r="N428" s="92">
        <v>1</v>
      </c>
      <c r="O428" s="170">
        <f t="shared" si="1612"/>
        <v>9619</v>
      </c>
      <c r="P428" s="170"/>
      <c r="Q428" s="52" t="s">
        <v>48</v>
      </c>
      <c r="R428" s="71" t="s">
        <v>77</v>
      </c>
      <c r="S428" s="137" t="str">
        <f t="shared" si="1613"/>
        <v>CPD2012</v>
      </c>
      <c r="T428" s="137" t="str">
        <f t="shared" si="1614"/>
        <v>C1.5.3.22012</v>
      </c>
      <c r="U428" s="137" t="s">
        <v>230</v>
      </c>
      <c r="V428" s="137" t="str">
        <f t="shared" si="1615"/>
        <v>IDS Assembly</v>
      </c>
      <c r="AB428" s="33">
        <v>2012</v>
      </c>
      <c r="AC428" s="132">
        <f t="shared" si="1616"/>
        <v>0</v>
      </c>
      <c r="AD428" s="132">
        <f t="shared" si="1617"/>
        <v>0</v>
      </c>
      <c r="AE428" s="132">
        <f t="shared" si="1618"/>
        <v>0</v>
      </c>
      <c r="AF428" s="132">
        <f t="shared" si="1619"/>
        <v>0</v>
      </c>
      <c r="AG428" s="132">
        <f t="shared" si="1620"/>
        <v>0</v>
      </c>
      <c r="AH428" s="234">
        <f t="shared" si="1621"/>
        <v>0</v>
      </c>
      <c r="AI428" s="235"/>
      <c r="AJ428" s="132"/>
      <c r="AK428" s="132"/>
      <c r="AL428" s="166"/>
      <c r="AM428" s="131">
        <f t="shared" si="1622"/>
        <v>60</v>
      </c>
      <c r="AN428" s="132">
        <f t="shared" si="1623"/>
        <v>20</v>
      </c>
      <c r="AO428" s="132">
        <f t="shared" si="1624"/>
        <v>0</v>
      </c>
      <c r="AP428" s="132">
        <f t="shared" si="1625"/>
        <v>0</v>
      </c>
      <c r="AQ428" s="132">
        <f t="shared" si="1626"/>
        <v>0</v>
      </c>
      <c r="AR428" s="132">
        <f t="shared" si="1627"/>
        <v>1600</v>
      </c>
      <c r="AS428" s="235"/>
    </row>
    <row r="429" spans="1:45" s="20" customFormat="1">
      <c r="A429" s="46" t="s">
        <v>470</v>
      </c>
      <c r="B429" s="20" t="s">
        <v>34</v>
      </c>
      <c r="C429" s="165">
        <v>1</v>
      </c>
      <c r="D429" s="96" t="s">
        <v>9</v>
      </c>
      <c r="E429" s="166">
        <v>5000</v>
      </c>
      <c r="F429" s="167">
        <f t="shared" si="1610"/>
        <v>5000</v>
      </c>
      <c r="G429" s="168">
        <v>0</v>
      </c>
      <c r="H429" s="168">
        <v>80</v>
      </c>
      <c r="I429" s="168">
        <v>0</v>
      </c>
      <c r="J429" s="168">
        <v>24</v>
      </c>
      <c r="K429" s="169">
        <v>0</v>
      </c>
      <c r="L429" s="96" t="s">
        <v>8</v>
      </c>
      <c r="M429" s="166">
        <f t="shared" si="1611"/>
        <v>10497.6</v>
      </c>
      <c r="N429" s="92">
        <v>1</v>
      </c>
      <c r="O429" s="170">
        <f t="shared" si="1612"/>
        <v>15497.6</v>
      </c>
      <c r="P429" s="170"/>
      <c r="Q429" s="52" t="s">
        <v>47</v>
      </c>
      <c r="R429" s="71" t="s">
        <v>77</v>
      </c>
      <c r="S429" s="137" t="str">
        <f t="shared" si="1613"/>
        <v>BPD2012</v>
      </c>
      <c r="T429" s="137" t="str">
        <f t="shared" si="1614"/>
        <v>B1.5.3.22012</v>
      </c>
      <c r="U429" s="137" t="s">
        <v>230</v>
      </c>
      <c r="V429" s="137" t="str">
        <f t="shared" si="1615"/>
        <v>IDS Assembly</v>
      </c>
      <c r="AB429" s="33">
        <v>2012</v>
      </c>
      <c r="AC429" s="132">
        <f t="shared" si="1616"/>
        <v>0</v>
      </c>
      <c r="AD429" s="132">
        <f t="shared" si="1617"/>
        <v>80</v>
      </c>
      <c r="AE429" s="132">
        <f t="shared" si="1618"/>
        <v>0</v>
      </c>
      <c r="AF429" s="132">
        <f t="shared" si="1619"/>
        <v>24</v>
      </c>
      <c r="AG429" s="132">
        <f t="shared" si="1620"/>
        <v>0</v>
      </c>
      <c r="AH429" s="234">
        <f t="shared" si="1621"/>
        <v>5000</v>
      </c>
      <c r="AI429" s="235"/>
      <c r="AJ429" s="132"/>
      <c r="AK429" s="132"/>
      <c r="AL429" s="166"/>
      <c r="AM429" s="131">
        <f t="shared" si="1622"/>
        <v>0</v>
      </c>
      <c r="AN429" s="132">
        <f t="shared" si="1623"/>
        <v>0</v>
      </c>
      <c r="AO429" s="132">
        <f t="shared" si="1624"/>
        <v>0</v>
      </c>
      <c r="AP429" s="132">
        <f t="shared" si="1625"/>
        <v>0</v>
      </c>
      <c r="AQ429" s="132">
        <f t="shared" si="1626"/>
        <v>0</v>
      </c>
      <c r="AR429" s="132">
        <f t="shared" si="1627"/>
        <v>0</v>
      </c>
      <c r="AS429" s="235"/>
    </row>
    <row r="430" spans="1:45" s="20" customFormat="1">
      <c r="A430" s="46" t="s">
        <v>351</v>
      </c>
      <c r="B430" s="20" t="s">
        <v>57</v>
      </c>
      <c r="C430" s="165">
        <v>1</v>
      </c>
      <c r="D430" s="96" t="s">
        <v>9</v>
      </c>
      <c r="E430" s="166">
        <v>2000</v>
      </c>
      <c r="F430" s="167">
        <f t="shared" ref="F430" si="1628">E430*C430</f>
        <v>2000</v>
      </c>
      <c r="G430" s="168">
        <v>0</v>
      </c>
      <c r="H430" s="168">
        <v>8</v>
      </c>
      <c r="I430" s="168">
        <v>0</v>
      </c>
      <c r="J430" s="168">
        <v>0</v>
      </c>
      <c r="K430" s="169">
        <v>0</v>
      </c>
      <c r="L430" s="96" t="s">
        <v>8</v>
      </c>
      <c r="M430" s="166">
        <f t="shared" ref="M430" si="1629">IF(R430="PD",((Shop*G430)+(M_Tech*H430)+(CMM*I430)+(ENG*J430)+(DES*K430))*N430,((Shop_RD*G430)+(MTECH_RD*H430)+(CMM_RD*I430)+(ENG_RD*J430)+(DES_RD*K430))*N430)</f>
        <v>758.16000000000008</v>
      </c>
      <c r="N430" s="92">
        <v>1</v>
      </c>
      <c r="O430" s="170">
        <f t="shared" ref="O430" si="1630">M430+(F430*N430)</f>
        <v>2758.16</v>
      </c>
      <c r="P430" s="170"/>
      <c r="Q430" s="52" t="s">
        <v>47</v>
      </c>
      <c r="R430" s="71" t="s">
        <v>77</v>
      </c>
      <c r="S430" s="137" t="str">
        <f t="shared" ref="S430" si="1631">CONCATENATE(Q430,R430,AB430)</f>
        <v>BPD2012</v>
      </c>
      <c r="T430" s="137" t="str">
        <f t="shared" ref="T430" si="1632">CONCATENATE(Q430,U430,AB430)</f>
        <v>B1.5.3.22012</v>
      </c>
      <c r="U430" s="137" t="s">
        <v>230</v>
      </c>
      <c r="V430" s="137" t="str">
        <f t="shared" si="1615"/>
        <v>IDS Assembly</v>
      </c>
      <c r="AB430" s="33">
        <v>2012</v>
      </c>
      <c r="AC430" s="132">
        <f t="shared" si="1616"/>
        <v>0</v>
      </c>
      <c r="AD430" s="132">
        <f t="shared" si="1617"/>
        <v>8</v>
      </c>
      <c r="AE430" s="132">
        <f t="shared" si="1618"/>
        <v>0</v>
      </c>
      <c r="AF430" s="132">
        <f t="shared" si="1619"/>
        <v>0</v>
      </c>
      <c r="AG430" s="132">
        <f t="shared" si="1620"/>
        <v>0</v>
      </c>
      <c r="AH430" s="234">
        <f t="shared" ref="AH430" si="1633">IF($Q430="B", (F430*$N430),0)</f>
        <v>2000</v>
      </c>
      <c r="AI430" s="235"/>
      <c r="AJ430" s="132"/>
      <c r="AK430" s="132"/>
      <c r="AL430" s="166"/>
      <c r="AM430" s="131">
        <f t="shared" si="1622"/>
        <v>0</v>
      </c>
      <c r="AN430" s="132">
        <f t="shared" si="1623"/>
        <v>0</v>
      </c>
      <c r="AO430" s="132">
        <f t="shared" si="1624"/>
        <v>0</v>
      </c>
      <c r="AP430" s="132">
        <f t="shared" si="1625"/>
        <v>0</v>
      </c>
      <c r="AQ430" s="132">
        <f t="shared" si="1626"/>
        <v>0</v>
      </c>
      <c r="AR430" s="132">
        <f t="shared" ref="AR430" si="1634">IF($Q430="C", (F430*$N430),0)</f>
        <v>0</v>
      </c>
      <c r="AS430" s="235"/>
    </row>
    <row r="431" spans="1:45" s="20" customFormat="1">
      <c r="A431" s="46" t="s">
        <v>471</v>
      </c>
      <c r="B431" s="20" t="s">
        <v>34</v>
      </c>
      <c r="C431" s="165">
        <v>0</v>
      </c>
      <c r="D431" s="96" t="s">
        <v>9</v>
      </c>
      <c r="E431" s="166">
        <v>0</v>
      </c>
      <c r="F431" s="167">
        <f t="shared" ref="F431:F439" si="1635">E431*C431</f>
        <v>0</v>
      </c>
      <c r="G431" s="168">
        <v>0</v>
      </c>
      <c r="H431" s="168">
        <v>120</v>
      </c>
      <c r="I431" s="168">
        <v>0</v>
      </c>
      <c r="J431" s="168">
        <v>40</v>
      </c>
      <c r="K431" s="169">
        <v>0</v>
      </c>
      <c r="L431" s="96" t="s">
        <v>8</v>
      </c>
      <c r="M431" s="166">
        <f t="shared" ref="M431:M439" si="1636">IF(R431="PD",((Shop*G431)+(M_Tech*H431)+(CMM*I431)+(ENG*J431)+(DES*K431))*N431,((Shop_RD*G431)+(MTECH_RD*H431)+(CMM_RD*I431)+(ENG_RD*J431)+(DES_RD*K431))*N431)</f>
        <v>16232.400000000001</v>
      </c>
      <c r="N431" s="92">
        <v>1</v>
      </c>
      <c r="O431" s="170">
        <f t="shared" ref="O431:O439" si="1637">M431+(F431*N431)</f>
        <v>16232.400000000001</v>
      </c>
      <c r="P431" s="170"/>
      <c r="Q431" s="52" t="s">
        <v>47</v>
      </c>
      <c r="R431" s="71" t="s">
        <v>77</v>
      </c>
      <c r="S431" s="137" t="str">
        <f t="shared" ref="S431:S439" si="1638">CONCATENATE(Q431,R431,AB431)</f>
        <v>BPD2012</v>
      </c>
      <c r="T431" s="137" t="str">
        <f t="shared" ref="T431:T439" si="1639">CONCATENATE(Q431,U431,AB431)</f>
        <v>B1.5.3.22012</v>
      </c>
      <c r="U431" s="137" t="s">
        <v>230</v>
      </c>
      <c r="V431" s="137" t="str">
        <f t="shared" si="1615"/>
        <v>IDS Assembly</v>
      </c>
      <c r="AB431" s="33">
        <v>2012</v>
      </c>
      <c r="AC431" s="132">
        <f t="shared" si="1616"/>
        <v>0</v>
      </c>
      <c r="AD431" s="132">
        <f t="shared" si="1617"/>
        <v>120</v>
      </c>
      <c r="AE431" s="132">
        <f t="shared" si="1618"/>
        <v>0</v>
      </c>
      <c r="AF431" s="132">
        <f t="shared" si="1619"/>
        <v>40</v>
      </c>
      <c r="AG431" s="132">
        <f t="shared" si="1620"/>
        <v>0</v>
      </c>
      <c r="AH431" s="234">
        <f t="shared" ref="AH431:AH439" si="1640">IF($Q431="B", (F431*$N431),0)</f>
        <v>0</v>
      </c>
      <c r="AI431" s="235"/>
      <c r="AJ431" s="132"/>
      <c r="AK431" s="132"/>
      <c r="AL431" s="166"/>
      <c r="AM431" s="131">
        <f t="shared" si="1622"/>
        <v>0</v>
      </c>
      <c r="AN431" s="132">
        <f t="shared" si="1623"/>
        <v>0</v>
      </c>
      <c r="AO431" s="132">
        <f t="shared" si="1624"/>
        <v>0</v>
      </c>
      <c r="AP431" s="132">
        <f t="shared" si="1625"/>
        <v>0</v>
      </c>
      <c r="AQ431" s="132">
        <f t="shared" si="1626"/>
        <v>0</v>
      </c>
      <c r="AR431" s="132">
        <f t="shared" ref="AR431:AR439" si="1641">IF($Q431="C", (F431*$N431),0)</f>
        <v>0</v>
      </c>
      <c r="AS431" s="235"/>
    </row>
    <row r="432" spans="1:45" s="20" customFormat="1">
      <c r="A432" s="46" t="s">
        <v>472</v>
      </c>
      <c r="B432" s="20" t="s">
        <v>34</v>
      </c>
      <c r="C432" s="165">
        <v>0</v>
      </c>
      <c r="D432" s="96" t="s">
        <v>9</v>
      </c>
      <c r="E432" s="166">
        <v>0</v>
      </c>
      <c r="F432" s="167">
        <f t="shared" si="1635"/>
        <v>0</v>
      </c>
      <c r="G432" s="168">
        <v>0</v>
      </c>
      <c r="H432" s="168">
        <v>40</v>
      </c>
      <c r="I432" s="168">
        <v>0</v>
      </c>
      <c r="J432" s="168">
        <v>24</v>
      </c>
      <c r="K432" s="169">
        <v>0</v>
      </c>
      <c r="L432" s="96" t="s">
        <v>8</v>
      </c>
      <c r="M432" s="166">
        <f t="shared" si="1636"/>
        <v>6706.8000000000011</v>
      </c>
      <c r="N432" s="92">
        <v>1</v>
      </c>
      <c r="O432" s="170">
        <f t="shared" si="1637"/>
        <v>6706.8000000000011</v>
      </c>
      <c r="P432" s="170"/>
      <c r="Q432" s="52" t="s">
        <v>47</v>
      </c>
      <c r="R432" s="71" t="s">
        <v>77</v>
      </c>
      <c r="S432" s="137" t="str">
        <f t="shared" si="1638"/>
        <v>BPD2012</v>
      </c>
      <c r="T432" s="137" t="str">
        <f t="shared" si="1639"/>
        <v>B1.5.3.22012</v>
      </c>
      <c r="U432" s="137" t="s">
        <v>230</v>
      </c>
      <c r="V432" s="137" t="str">
        <f t="shared" si="1615"/>
        <v>IDS Assembly</v>
      </c>
      <c r="AB432" s="33">
        <v>2012</v>
      </c>
      <c r="AC432" s="132">
        <f t="shared" si="1616"/>
        <v>0</v>
      </c>
      <c r="AD432" s="132">
        <f t="shared" si="1617"/>
        <v>40</v>
      </c>
      <c r="AE432" s="132">
        <f t="shared" si="1618"/>
        <v>0</v>
      </c>
      <c r="AF432" s="132">
        <f t="shared" si="1619"/>
        <v>24</v>
      </c>
      <c r="AG432" s="132">
        <f t="shared" si="1620"/>
        <v>0</v>
      </c>
      <c r="AH432" s="234">
        <f t="shared" si="1640"/>
        <v>0</v>
      </c>
      <c r="AI432" s="235"/>
      <c r="AJ432" s="132"/>
      <c r="AK432" s="132"/>
      <c r="AL432" s="166"/>
      <c r="AM432" s="131">
        <f t="shared" si="1622"/>
        <v>0</v>
      </c>
      <c r="AN432" s="132">
        <f t="shared" si="1623"/>
        <v>0</v>
      </c>
      <c r="AO432" s="132">
        <f t="shared" si="1624"/>
        <v>0</v>
      </c>
      <c r="AP432" s="132">
        <f t="shared" si="1625"/>
        <v>0</v>
      </c>
      <c r="AQ432" s="132">
        <f t="shared" si="1626"/>
        <v>0</v>
      </c>
      <c r="AR432" s="132">
        <f t="shared" si="1641"/>
        <v>0</v>
      </c>
      <c r="AS432" s="235"/>
    </row>
    <row r="433" spans="1:45" s="20" customFormat="1">
      <c r="A433" s="46" t="s">
        <v>473</v>
      </c>
      <c r="B433" s="20" t="s">
        <v>34</v>
      </c>
      <c r="C433" s="165">
        <v>0</v>
      </c>
      <c r="D433" s="96" t="s">
        <v>9</v>
      </c>
      <c r="E433" s="166">
        <v>0</v>
      </c>
      <c r="F433" s="167">
        <f t="shared" si="1635"/>
        <v>0</v>
      </c>
      <c r="G433" s="168">
        <v>0</v>
      </c>
      <c r="H433" s="168">
        <v>40</v>
      </c>
      <c r="I433" s="168">
        <v>0</v>
      </c>
      <c r="J433" s="168">
        <v>24</v>
      </c>
      <c r="K433" s="169">
        <v>0</v>
      </c>
      <c r="L433" s="96" t="s">
        <v>8</v>
      </c>
      <c r="M433" s="166">
        <f t="shared" si="1636"/>
        <v>6706.8000000000011</v>
      </c>
      <c r="N433" s="92">
        <v>1</v>
      </c>
      <c r="O433" s="170">
        <f t="shared" si="1637"/>
        <v>6706.8000000000011</v>
      </c>
      <c r="P433" s="170"/>
      <c r="Q433" s="52" t="s">
        <v>47</v>
      </c>
      <c r="R433" s="71" t="s">
        <v>77</v>
      </c>
      <c r="S433" s="137" t="str">
        <f t="shared" si="1638"/>
        <v>BPDSTAR</v>
      </c>
      <c r="T433" s="137" t="str">
        <f t="shared" si="1639"/>
        <v>B1.5.3.2STAR</v>
      </c>
      <c r="U433" s="137" t="s">
        <v>230</v>
      </c>
      <c r="V433" s="137" t="str">
        <f t="shared" si="1615"/>
        <v>IDS Assembly</v>
      </c>
      <c r="AB433" s="33" t="s">
        <v>162</v>
      </c>
      <c r="AC433" s="132">
        <f t="shared" si="1616"/>
        <v>0</v>
      </c>
      <c r="AD433" s="132">
        <f t="shared" si="1617"/>
        <v>40</v>
      </c>
      <c r="AE433" s="132">
        <f t="shared" si="1618"/>
        <v>0</v>
      </c>
      <c r="AF433" s="132">
        <f t="shared" si="1619"/>
        <v>24</v>
      </c>
      <c r="AG433" s="132">
        <f t="shared" si="1620"/>
        <v>0</v>
      </c>
      <c r="AH433" s="234">
        <f t="shared" si="1640"/>
        <v>0</v>
      </c>
      <c r="AI433" s="235"/>
      <c r="AJ433" s="132"/>
      <c r="AK433" s="132"/>
      <c r="AL433" s="166"/>
      <c r="AM433" s="131">
        <f t="shared" si="1622"/>
        <v>0</v>
      </c>
      <c r="AN433" s="132">
        <f t="shared" si="1623"/>
        <v>0</v>
      </c>
      <c r="AO433" s="132">
        <f t="shared" si="1624"/>
        <v>0</v>
      </c>
      <c r="AP433" s="132">
        <f t="shared" si="1625"/>
        <v>0</v>
      </c>
      <c r="AQ433" s="132">
        <f t="shared" si="1626"/>
        <v>0</v>
      </c>
      <c r="AR433" s="132">
        <f t="shared" si="1641"/>
        <v>0</v>
      </c>
      <c r="AS433" s="235"/>
    </row>
    <row r="434" spans="1:45" s="20" customFormat="1">
      <c r="A434" s="46" t="s">
        <v>474</v>
      </c>
      <c r="B434" s="20" t="s">
        <v>34</v>
      </c>
      <c r="C434" s="165">
        <v>0</v>
      </c>
      <c r="D434" s="96" t="s">
        <v>9</v>
      </c>
      <c r="E434" s="166">
        <v>0</v>
      </c>
      <c r="F434" s="167">
        <f t="shared" si="1635"/>
        <v>0</v>
      </c>
      <c r="G434" s="168">
        <v>0</v>
      </c>
      <c r="H434" s="168">
        <v>120</v>
      </c>
      <c r="I434" s="168">
        <v>0</v>
      </c>
      <c r="J434" s="168">
        <v>24</v>
      </c>
      <c r="K434" s="169">
        <v>0</v>
      </c>
      <c r="L434" s="96" t="s">
        <v>8</v>
      </c>
      <c r="M434" s="166">
        <f t="shared" si="1636"/>
        <v>14288.400000000001</v>
      </c>
      <c r="N434" s="92">
        <v>1</v>
      </c>
      <c r="O434" s="170">
        <f t="shared" si="1637"/>
        <v>14288.400000000001</v>
      </c>
      <c r="P434" s="170"/>
      <c r="Q434" s="52" t="s">
        <v>47</v>
      </c>
      <c r="R434" s="71" t="s">
        <v>77</v>
      </c>
      <c r="S434" s="137" t="str">
        <f t="shared" si="1638"/>
        <v>BPD2012</v>
      </c>
      <c r="T434" s="137" t="str">
        <f t="shared" si="1639"/>
        <v>B1.5.3.22012</v>
      </c>
      <c r="U434" s="137" t="s">
        <v>230</v>
      </c>
      <c r="V434" s="137" t="str">
        <f t="shared" si="1615"/>
        <v>IDS Assembly</v>
      </c>
      <c r="AB434" s="33">
        <v>2012</v>
      </c>
      <c r="AC434" s="132">
        <f t="shared" si="1616"/>
        <v>0</v>
      </c>
      <c r="AD434" s="132">
        <f t="shared" si="1617"/>
        <v>120</v>
      </c>
      <c r="AE434" s="132">
        <f t="shared" si="1618"/>
        <v>0</v>
      </c>
      <c r="AF434" s="132">
        <f t="shared" si="1619"/>
        <v>24</v>
      </c>
      <c r="AG434" s="132">
        <f t="shared" si="1620"/>
        <v>0</v>
      </c>
      <c r="AH434" s="234">
        <f t="shared" si="1640"/>
        <v>0</v>
      </c>
      <c r="AI434" s="235"/>
      <c r="AJ434" s="132"/>
      <c r="AK434" s="132"/>
      <c r="AL434" s="166"/>
      <c r="AM434" s="131">
        <f t="shared" si="1622"/>
        <v>0</v>
      </c>
      <c r="AN434" s="132">
        <f t="shared" si="1623"/>
        <v>0</v>
      </c>
      <c r="AO434" s="132">
        <f t="shared" si="1624"/>
        <v>0</v>
      </c>
      <c r="AP434" s="132">
        <f t="shared" si="1625"/>
        <v>0</v>
      </c>
      <c r="AQ434" s="132">
        <f t="shared" si="1626"/>
        <v>0</v>
      </c>
      <c r="AR434" s="132">
        <f t="shared" si="1641"/>
        <v>0</v>
      </c>
      <c r="AS434" s="235"/>
    </row>
    <row r="435" spans="1:45" s="20" customFormat="1">
      <c r="A435" s="46" t="s">
        <v>475</v>
      </c>
      <c r="B435" s="20" t="s">
        <v>34</v>
      </c>
      <c r="C435" s="165">
        <v>0</v>
      </c>
      <c r="D435" s="96" t="s">
        <v>9</v>
      </c>
      <c r="E435" s="166">
        <v>0</v>
      </c>
      <c r="F435" s="167">
        <f t="shared" si="1635"/>
        <v>0</v>
      </c>
      <c r="G435" s="168">
        <v>0</v>
      </c>
      <c r="H435" s="168">
        <v>40</v>
      </c>
      <c r="I435" s="168">
        <v>0</v>
      </c>
      <c r="J435" s="168">
        <v>0</v>
      </c>
      <c r="K435" s="169">
        <v>0</v>
      </c>
      <c r="L435" s="96" t="s">
        <v>8</v>
      </c>
      <c r="M435" s="166">
        <f t="shared" si="1636"/>
        <v>3790.8</v>
      </c>
      <c r="N435" s="92">
        <v>1</v>
      </c>
      <c r="O435" s="170">
        <f t="shared" si="1637"/>
        <v>3790.8</v>
      </c>
      <c r="P435" s="170"/>
      <c r="Q435" s="52" t="s">
        <v>47</v>
      </c>
      <c r="R435" s="71" t="s">
        <v>77</v>
      </c>
      <c r="S435" s="137" t="str">
        <f t="shared" si="1638"/>
        <v>BPDSTAR</v>
      </c>
      <c r="T435" s="137" t="str">
        <f t="shared" si="1639"/>
        <v>B1.5.3.2STAR</v>
      </c>
      <c r="U435" s="137" t="s">
        <v>230</v>
      </c>
      <c r="V435" s="137" t="str">
        <f t="shared" si="1615"/>
        <v>IDS Assembly</v>
      </c>
      <c r="AB435" s="33" t="s">
        <v>162</v>
      </c>
      <c r="AC435" s="132">
        <f t="shared" si="1616"/>
        <v>0</v>
      </c>
      <c r="AD435" s="132">
        <f t="shared" si="1617"/>
        <v>40</v>
      </c>
      <c r="AE435" s="132">
        <f t="shared" si="1618"/>
        <v>0</v>
      </c>
      <c r="AF435" s="132">
        <f t="shared" si="1619"/>
        <v>0</v>
      </c>
      <c r="AG435" s="132">
        <f t="shared" si="1620"/>
        <v>0</v>
      </c>
      <c r="AH435" s="234">
        <f t="shared" si="1640"/>
        <v>0</v>
      </c>
      <c r="AI435" s="235"/>
      <c r="AJ435" s="132"/>
      <c r="AK435" s="132"/>
      <c r="AL435" s="166"/>
      <c r="AM435" s="131">
        <f t="shared" si="1622"/>
        <v>0</v>
      </c>
      <c r="AN435" s="132">
        <f t="shared" si="1623"/>
        <v>0</v>
      </c>
      <c r="AO435" s="132">
        <f t="shared" si="1624"/>
        <v>0</v>
      </c>
      <c r="AP435" s="132">
        <f t="shared" si="1625"/>
        <v>0</v>
      </c>
      <c r="AQ435" s="132">
        <f t="shared" si="1626"/>
        <v>0</v>
      </c>
      <c r="AR435" s="132">
        <f t="shared" si="1641"/>
        <v>0</v>
      </c>
      <c r="AS435" s="235"/>
    </row>
    <row r="436" spans="1:45" s="20" customFormat="1">
      <c r="A436" s="46" t="s">
        <v>472</v>
      </c>
      <c r="B436" s="20" t="s">
        <v>34</v>
      </c>
      <c r="C436" s="165">
        <v>0</v>
      </c>
      <c r="D436" s="96" t="s">
        <v>9</v>
      </c>
      <c r="E436" s="166">
        <v>0</v>
      </c>
      <c r="F436" s="167">
        <f t="shared" si="1635"/>
        <v>0</v>
      </c>
      <c r="G436" s="168">
        <v>0</v>
      </c>
      <c r="H436" s="168">
        <v>40</v>
      </c>
      <c r="I436" s="168">
        <v>0</v>
      </c>
      <c r="J436" s="168">
        <v>24</v>
      </c>
      <c r="K436" s="169">
        <v>0</v>
      </c>
      <c r="L436" s="96" t="s">
        <v>8</v>
      </c>
      <c r="M436" s="166">
        <f t="shared" si="1636"/>
        <v>6706.8000000000011</v>
      </c>
      <c r="N436" s="92">
        <v>1</v>
      </c>
      <c r="O436" s="170">
        <f t="shared" si="1637"/>
        <v>6706.8000000000011</v>
      </c>
      <c r="P436" s="170"/>
      <c r="Q436" s="52" t="s">
        <v>47</v>
      </c>
      <c r="R436" s="71" t="s">
        <v>77</v>
      </c>
      <c r="S436" s="137" t="str">
        <f t="shared" si="1638"/>
        <v>BPD2013</v>
      </c>
      <c r="T436" s="137" t="str">
        <f t="shared" si="1639"/>
        <v>B1.5.3.22013</v>
      </c>
      <c r="U436" s="137" t="s">
        <v>230</v>
      </c>
      <c r="V436" s="137" t="str">
        <f t="shared" si="1615"/>
        <v>IDS Assembly</v>
      </c>
      <c r="AB436" s="33">
        <v>2013</v>
      </c>
      <c r="AC436" s="132">
        <f t="shared" si="1616"/>
        <v>0</v>
      </c>
      <c r="AD436" s="132">
        <f t="shared" si="1617"/>
        <v>40</v>
      </c>
      <c r="AE436" s="132">
        <f t="shared" si="1618"/>
        <v>0</v>
      </c>
      <c r="AF436" s="132">
        <f t="shared" si="1619"/>
        <v>24</v>
      </c>
      <c r="AG436" s="132">
        <f t="shared" si="1620"/>
        <v>0</v>
      </c>
      <c r="AH436" s="234">
        <f t="shared" si="1640"/>
        <v>0</v>
      </c>
      <c r="AI436" s="235"/>
      <c r="AJ436" s="132"/>
      <c r="AK436" s="132"/>
      <c r="AL436" s="166"/>
      <c r="AM436" s="131">
        <f t="shared" si="1622"/>
        <v>0</v>
      </c>
      <c r="AN436" s="132">
        <f t="shared" si="1623"/>
        <v>0</v>
      </c>
      <c r="AO436" s="132">
        <f t="shared" si="1624"/>
        <v>0</v>
      </c>
      <c r="AP436" s="132">
        <f t="shared" si="1625"/>
        <v>0</v>
      </c>
      <c r="AQ436" s="132">
        <f t="shared" si="1626"/>
        <v>0</v>
      </c>
      <c r="AR436" s="132">
        <f t="shared" si="1641"/>
        <v>0</v>
      </c>
      <c r="AS436" s="235"/>
    </row>
    <row r="437" spans="1:45" s="20" customFormat="1">
      <c r="A437" s="46" t="s">
        <v>473</v>
      </c>
      <c r="B437" s="20" t="s">
        <v>34</v>
      </c>
      <c r="C437" s="165">
        <v>0</v>
      </c>
      <c r="D437" s="96" t="s">
        <v>9</v>
      </c>
      <c r="E437" s="166">
        <v>0</v>
      </c>
      <c r="F437" s="167">
        <f t="shared" si="1635"/>
        <v>0</v>
      </c>
      <c r="G437" s="168">
        <v>0</v>
      </c>
      <c r="H437" s="168">
        <v>40</v>
      </c>
      <c r="I437" s="168">
        <v>0</v>
      </c>
      <c r="J437" s="168">
        <v>24</v>
      </c>
      <c r="K437" s="169">
        <v>0</v>
      </c>
      <c r="L437" s="96" t="s">
        <v>8</v>
      </c>
      <c r="M437" s="166">
        <f t="shared" si="1636"/>
        <v>6706.8000000000011</v>
      </c>
      <c r="N437" s="92">
        <v>1</v>
      </c>
      <c r="O437" s="170">
        <f t="shared" si="1637"/>
        <v>6706.8000000000011</v>
      </c>
      <c r="P437" s="170"/>
      <c r="Q437" s="52" t="s">
        <v>47</v>
      </c>
      <c r="R437" s="71" t="s">
        <v>77</v>
      </c>
      <c r="S437" s="137" t="str">
        <f t="shared" si="1638"/>
        <v>BPDSTAR</v>
      </c>
      <c r="T437" s="137" t="str">
        <f t="shared" si="1639"/>
        <v>B1.5.3.2STAR</v>
      </c>
      <c r="U437" s="137" t="s">
        <v>230</v>
      </c>
      <c r="V437" s="137" t="str">
        <f t="shared" si="1615"/>
        <v>IDS Assembly</v>
      </c>
      <c r="AB437" s="33" t="s">
        <v>162</v>
      </c>
      <c r="AC437" s="132">
        <f t="shared" si="1616"/>
        <v>0</v>
      </c>
      <c r="AD437" s="132">
        <f t="shared" si="1617"/>
        <v>40</v>
      </c>
      <c r="AE437" s="132">
        <f t="shared" si="1618"/>
        <v>0</v>
      </c>
      <c r="AF437" s="132">
        <f t="shared" si="1619"/>
        <v>24</v>
      </c>
      <c r="AG437" s="132">
        <f t="shared" si="1620"/>
        <v>0</v>
      </c>
      <c r="AH437" s="234">
        <f t="shared" si="1640"/>
        <v>0</v>
      </c>
      <c r="AI437" s="235"/>
      <c r="AJ437" s="132"/>
      <c r="AK437" s="132"/>
      <c r="AL437" s="166"/>
      <c r="AM437" s="131">
        <f t="shared" si="1622"/>
        <v>0</v>
      </c>
      <c r="AN437" s="132">
        <f t="shared" si="1623"/>
        <v>0</v>
      </c>
      <c r="AO437" s="132">
        <f t="shared" si="1624"/>
        <v>0</v>
      </c>
      <c r="AP437" s="132">
        <f t="shared" si="1625"/>
        <v>0</v>
      </c>
      <c r="AQ437" s="132">
        <f t="shared" si="1626"/>
        <v>0</v>
      </c>
      <c r="AR437" s="132">
        <f t="shared" si="1641"/>
        <v>0</v>
      </c>
      <c r="AS437" s="235"/>
    </row>
    <row r="438" spans="1:45" s="20" customFormat="1">
      <c r="A438" s="46" t="s">
        <v>474</v>
      </c>
      <c r="B438" s="20" t="s">
        <v>34</v>
      </c>
      <c r="C438" s="165">
        <v>0</v>
      </c>
      <c r="D438" s="96" t="s">
        <v>9</v>
      </c>
      <c r="E438" s="166">
        <v>0</v>
      </c>
      <c r="F438" s="167">
        <f t="shared" si="1635"/>
        <v>0</v>
      </c>
      <c r="G438" s="168">
        <v>0</v>
      </c>
      <c r="H438" s="168">
        <v>120</v>
      </c>
      <c r="I438" s="168">
        <v>0</v>
      </c>
      <c r="J438" s="168">
        <v>24</v>
      </c>
      <c r="K438" s="169">
        <v>0</v>
      </c>
      <c r="L438" s="96" t="s">
        <v>8</v>
      </c>
      <c r="M438" s="166">
        <f t="shared" si="1636"/>
        <v>14288.400000000001</v>
      </c>
      <c r="N438" s="92">
        <v>1</v>
      </c>
      <c r="O438" s="170">
        <f t="shared" si="1637"/>
        <v>14288.400000000001</v>
      </c>
      <c r="P438" s="170"/>
      <c r="Q438" s="52" t="s">
        <v>47</v>
      </c>
      <c r="R438" s="71" t="s">
        <v>77</v>
      </c>
      <c r="S438" s="137" t="str">
        <f t="shared" si="1638"/>
        <v>BPD2013</v>
      </c>
      <c r="T438" s="137" t="str">
        <f t="shared" si="1639"/>
        <v>B1.5.3.22013</v>
      </c>
      <c r="U438" s="137" t="s">
        <v>230</v>
      </c>
      <c r="V438" s="137" t="str">
        <f t="shared" si="1615"/>
        <v>IDS Assembly</v>
      </c>
      <c r="AB438" s="33">
        <v>2013</v>
      </c>
      <c r="AC438" s="132">
        <f t="shared" si="1616"/>
        <v>0</v>
      </c>
      <c r="AD438" s="132">
        <f t="shared" si="1617"/>
        <v>120</v>
      </c>
      <c r="AE438" s="132">
        <f t="shared" si="1618"/>
        <v>0</v>
      </c>
      <c r="AF438" s="132">
        <f t="shared" si="1619"/>
        <v>24</v>
      </c>
      <c r="AG438" s="132">
        <f t="shared" si="1620"/>
        <v>0</v>
      </c>
      <c r="AH438" s="234">
        <f t="shared" si="1640"/>
        <v>0</v>
      </c>
      <c r="AI438" s="235"/>
      <c r="AJ438" s="132"/>
      <c r="AK438" s="132"/>
      <c r="AL438" s="166"/>
      <c r="AM438" s="131">
        <f t="shared" si="1622"/>
        <v>0</v>
      </c>
      <c r="AN438" s="132">
        <f t="shared" si="1623"/>
        <v>0</v>
      </c>
      <c r="AO438" s="132">
        <f t="shared" si="1624"/>
        <v>0</v>
      </c>
      <c r="AP438" s="132">
        <f t="shared" si="1625"/>
        <v>0</v>
      </c>
      <c r="AQ438" s="132">
        <f t="shared" si="1626"/>
        <v>0</v>
      </c>
      <c r="AR438" s="132">
        <f t="shared" si="1641"/>
        <v>0</v>
      </c>
      <c r="AS438" s="235"/>
    </row>
    <row r="439" spans="1:45" s="20" customFormat="1">
      <c r="A439" s="46" t="s">
        <v>475</v>
      </c>
      <c r="B439" s="20" t="s">
        <v>34</v>
      </c>
      <c r="C439" s="165">
        <v>0</v>
      </c>
      <c r="D439" s="96" t="s">
        <v>9</v>
      </c>
      <c r="E439" s="166">
        <v>0</v>
      </c>
      <c r="F439" s="167">
        <f t="shared" si="1635"/>
        <v>0</v>
      </c>
      <c r="G439" s="168">
        <v>0</v>
      </c>
      <c r="H439" s="168">
        <v>40</v>
      </c>
      <c r="I439" s="168">
        <v>0</v>
      </c>
      <c r="J439" s="168">
        <v>0</v>
      </c>
      <c r="K439" s="169">
        <v>0</v>
      </c>
      <c r="L439" s="96" t="s">
        <v>8</v>
      </c>
      <c r="M439" s="166">
        <f t="shared" si="1636"/>
        <v>3790.8</v>
      </c>
      <c r="N439" s="92">
        <v>1</v>
      </c>
      <c r="O439" s="170">
        <f t="shared" si="1637"/>
        <v>3790.8</v>
      </c>
      <c r="P439" s="170"/>
      <c r="Q439" s="52" t="s">
        <v>47</v>
      </c>
      <c r="R439" s="71" t="s">
        <v>77</v>
      </c>
      <c r="S439" s="137" t="str">
        <f t="shared" si="1638"/>
        <v>BPDSTAR</v>
      </c>
      <c r="T439" s="137" t="str">
        <f t="shared" si="1639"/>
        <v>B1.5.3.2STAR</v>
      </c>
      <c r="U439" s="137" t="s">
        <v>230</v>
      </c>
      <c r="V439" s="137" t="str">
        <f t="shared" si="1615"/>
        <v>IDS Assembly</v>
      </c>
      <c r="AB439" s="33" t="s">
        <v>162</v>
      </c>
      <c r="AC439" s="132">
        <f t="shared" si="1616"/>
        <v>0</v>
      </c>
      <c r="AD439" s="132">
        <f t="shared" si="1617"/>
        <v>40</v>
      </c>
      <c r="AE439" s="132">
        <f t="shared" si="1618"/>
        <v>0</v>
      </c>
      <c r="AF439" s="132">
        <f t="shared" si="1619"/>
        <v>0</v>
      </c>
      <c r="AG439" s="132">
        <f t="shared" si="1620"/>
        <v>0</v>
      </c>
      <c r="AH439" s="234">
        <f t="shared" si="1640"/>
        <v>0</v>
      </c>
      <c r="AI439" s="235"/>
      <c r="AJ439" s="132"/>
      <c r="AK439" s="132"/>
      <c r="AL439" s="166"/>
      <c r="AM439" s="131">
        <f t="shared" si="1622"/>
        <v>0</v>
      </c>
      <c r="AN439" s="132">
        <f t="shared" si="1623"/>
        <v>0</v>
      </c>
      <c r="AO439" s="132">
        <f t="shared" si="1624"/>
        <v>0</v>
      </c>
      <c r="AP439" s="132">
        <f t="shared" si="1625"/>
        <v>0</v>
      </c>
      <c r="AQ439" s="132">
        <f t="shared" si="1626"/>
        <v>0</v>
      </c>
      <c r="AR439" s="132">
        <f t="shared" si="1641"/>
        <v>0</v>
      </c>
      <c r="AS439" s="235"/>
    </row>
    <row r="440" spans="1:45" s="338" customFormat="1">
      <c r="A440" s="21" t="s">
        <v>453</v>
      </c>
      <c r="B440" s="3"/>
      <c r="C440" s="171"/>
      <c r="D440" s="339"/>
      <c r="E440" s="172"/>
      <c r="F440" s="173"/>
      <c r="G440" s="171"/>
      <c r="H440" s="171"/>
      <c r="I440" s="171"/>
      <c r="J440" s="171"/>
      <c r="K440" s="174"/>
      <c r="L440" s="339"/>
      <c r="M440" s="172">
        <f>SUMIF(Q407:Q439,"B",M407:M439)</f>
        <v>215152.19999999995</v>
      </c>
      <c r="N440" s="456" t="s">
        <v>65</v>
      </c>
      <c r="O440" s="456"/>
      <c r="P440" s="459"/>
      <c r="Q440" s="53"/>
      <c r="R440" s="74"/>
      <c r="S440" s="138"/>
      <c r="T440" s="138"/>
      <c r="U440" s="138"/>
      <c r="V440" s="138"/>
      <c r="W440" s="3"/>
      <c r="X440" s="3"/>
      <c r="Y440" s="3"/>
      <c r="Z440" s="3"/>
      <c r="AA440" s="3"/>
      <c r="AB440" s="34"/>
      <c r="AC440" s="5">
        <f>SUM(AC407:AC439)</f>
        <v>56</v>
      </c>
      <c r="AD440" s="5">
        <f>SUM(AD407:AD439)</f>
        <v>1292</v>
      </c>
      <c r="AE440" s="5">
        <f>SUM(AE407:AE439)</f>
        <v>0</v>
      </c>
      <c r="AF440" s="5">
        <f>SUM(AF407:AF439)</f>
        <v>716</v>
      </c>
      <c r="AG440" s="5">
        <f>SUM(AG407:AG439)</f>
        <v>0</v>
      </c>
      <c r="AH440" s="172"/>
      <c r="AI440" s="173">
        <f>SUM(AH407:AH439)</f>
        <v>31400</v>
      </c>
      <c r="AJ440" s="172">
        <f>(Shop*AC440)+M_Tech*AD440+CMM*AE440+ENG*AF440+DES*AG440+AI440</f>
        <v>246552.2</v>
      </c>
      <c r="AK440" s="172"/>
      <c r="AL440" s="173">
        <f>Shop*AM440+M_Tech*AN440+CMM*AO440+ENG*AP440+DES*AQ440+AS440</f>
        <v>26916.800000000003</v>
      </c>
      <c r="AM440" s="5">
        <f>SUM(AM407:AM439)</f>
        <v>100</v>
      </c>
      <c r="AN440" s="5">
        <f>SUM(AN407:AN439)</f>
        <v>40</v>
      </c>
      <c r="AO440" s="5">
        <f>SUM(AO407:AO439)</f>
        <v>0</v>
      </c>
      <c r="AP440" s="5">
        <f>SUM(AP407:AP439)</f>
        <v>80</v>
      </c>
      <c r="AQ440" s="5">
        <f>SUM(AQ407:AQ439)</f>
        <v>0</v>
      </c>
      <c r="AR440" s="172"/>
      <c r="AS440" s="173">
        <f>SUM(AR407:AR439)</f>
        <v>3200</v>
      </c>
    </row>
    <row r="441" spans="1:45" s="20" customFormat="1" ht="15.75">
      <c r="A441" s="49" t="s">
        <v>246</v>
      </c>
      <c r="C441" s="165"/>
      <c r="D441" s="96"/>
      <c r="E441" s="166"/>
      <c r="F441" s="167"/>
      <c r="G441" s="168"/>
      <c r="H441" s="168"/>
      <c r="I441" s="168"/>
      <c r="J441" s="168"/>
      <c r="K441" s="169"/>
      <c r="L441" s="217" t="s">
        <v>66</v>
      </c>
      <c r="M441" s="177">
        <f>SUMIF(Q434:Q439,"B",M434:M439)</f>
        <v>49572.000000000007</v>
      </c>
      <c r="N441" s="65" t="s">
        <v>65</v>
      </c>
      <c r="O441" s="170"/>
      <c r="P441" s="170"/>
      <c r="Q441" s="52"/>
      <c r="R441" s="71"/>
      <c r="S441" s="137"/>
      <c r="T441" s="137"/>
      <c r="U441" s="137"/>
      <c r="V441" s="137"/>
      <c r="AB441" s="33"/>
      <c r="AC441" s="132"/>
      <c r="AD441" s="132"/>
      <c r="AE441" s="132"/>
      <c r="AF441" s="132"/>
      <c r="AG441" s="132"/>
      <c r="AH441" s="234"/>
      <c r="AI441" s="235"/>
      <c r="AJ441" s="132"/>
      <c r="AK441" s="132"/>
      <c r="AL441" s="166"/>
      <c r="AM441" s="131"/>
      <c r="AN441" s="132"/>
      <c r="AO441" s="132"/>
      <c r="AP441" s="132"/>
      <c r="AQ441" s="132"/>
      <c r="AR441" s="132"/>
      <c r="AS441" s="235"/>
    </row>
    <row r="442" spans="1:45" s="20" customFormat="1">
      <c r="A442" s="47" t="s">
        <v>476</v>
      </c>
      <c r="C442" s="165"/>
      <c r="D442" s="96"/>
      <c r="E442" s="57"/>
      <c r="F442" s="58"/>
      <c r="G442" s="59"/>
      <c r="H442" s="59"/>
      <c r="I442" s="59"/>
      <c r="J442" s="59"/>
      <c r="K442" s="60"/>
      <c r="L442" s="217"/>
      <c r="M442" s="177"/>
      <c r="N442" s="65" t="s">
        <v>279</v>
      </c>
      <c r="O442" s="170"/>
      <c r="P442" s="170"/>
      <c r="Q442" s="52"/>
      <c r="R442" s="71"/>
      <c r="S442" s="137"/>
      <c r="T442" s="137"/>
      <c r="U442" s="137"/>
      <c r="V442" s="137"/>
      <c r="AB442" s="33"/>
      <c r="AC442" s="132"/>
      <c r="AD442" s="132"/>
      <c r="AE442" s="135"/>
      <c r="AF442" s="132"/>
      <c r="AG442" s="132"/>
      <c r="AH442" s="234"/>
      <c r="AI442" s="235"/>
      <c r="AJ442" s="132"/>
      <c r="AK442" s="132"/>
      <c r="AL442" s="166"/>
      <c r="AM442" s="131"/>
      <c r="AN442" s="132"/>
      <c r="AO442" s="132"/>
      <c r="AP442" s="132"/>
      <c r="AQ442" s="132"/>
      <c r="AR442" s="132"/>
      <c r="AS442" s="235"/>
    </row>
    <row r="443" spans="1:45" s="20" customFormat="1">
      <c r="A443" s="46" t="s">
        <v>477</v>
      </c>
      <c r="B443" s="20" t="s">
        <v>34</v>
      </c>
      <c r="C443" s="165">
        <v>0.03</v>
      </c>
      <c r="D443" s="96" t="s">
        <v>9</v>
      </c>
      <c r="E443" s="166">
        <v>0</v>
      </c>
      <c r="F443" s="167">
        <f t="shared" ref="F443:F452" si="1642">E443*C443</f>
        <v>0</v>
      </c>
      <c r="G443" s="168">
        <v>0</v>
      </c>
      <c r="H443" s="168">
        <v>0</v>
      </c>
      <c r="I443" s="168">
        <v>0</v>
      </c>
      <c r="J443" s="168">
        <v>40</v>
      </c>
      <c r="K443" s="169">
        <v>0</v>
      </c>
      <c r="L443" s="96" t="s">
        <v>8</v>
      </c>
      <c r="M443" s="166">
        <f t="shared" ref="M443:M452" si="1643">IF(R443="PD",((Shop*G443)+(M_Tech*H443)+(CMM*I443)+(ENG*J443)+(DES*K443))*N443,((Shop_RD*G443)+(MTECH_RD*H443)+(CMM_RD*I443)+(ENG_RD*J443)+(DES_RD*K443))*N443)</f>
        <v>4860.0000000000009</v>
      </c>
      <c r="N443" s="92">
        <v>1</v>
      </c>
      <c r="O443" s="170">
        <f t="shared" ref="O443:O452" si="1644">M443+(F443*N443)</f>
        <v>4860.0000000000009</v>
      </c>
      <c r="P443" s="170"/>
      <c r="Q443" s="52" t="s">
        <v>47</v>
      </c>
      <c r="R443" s="71" t="s">
        <v>77</v>
      </c>
      <c r="S443" s="137" t="str">
        <f t="shared" ref="S443:S452" si="1645">CONCATENATE(Q443,R443,AB443)</f>
        <v>BPDSTAR</v>
      </c>
      <c r="T443" s="137" t="str">
        <f t="shared" ref="T443:T452" si="1646">CONCATENATE(Q443,U443,AB443)</f>
        <v>B1.5.5STAR</v>
      </c>
      <c r="U443" s="137" t="s">
        <v>238</v>
      </c>
      <c r="V443" s="137" t="str">
        <f t="shared" ref="V443:V452" si="1647">LOOKUP(U443,$B$539:$B$574,$A$539:$A$574)</f>
        <v>Installation</v>
      </c>
      <c r="AB443" s="33" t="s">
        <v>162</v>
      </c>
      <c r="AC443" s="132">
        <f t="shared" ref="AC443:AC447" si="1648">IF($Q443="B", (G443*$N443),0)</f>
        <v>0</v>
      </c>
      <c r="AD443" s="132">
        <f t="shared" ref="AD443:AD447" si="1649">IF($Q443="B", (H443*$N443),0)</f>
        <v>0</v>
      </c>
      <c r="AE443" s="132">
        <f t="shared" ref="AE443:AE447" si="1650">IF($Q443="B", (I443*$N443),0)</f>
        <v>0</v>
      </c>
      <c r="AF443" s="132">
        <f t="shared" ref="AF443:AF447" si="1651">IF($Q443="B", (J443*$N443),0)</f>
        <v>40</v>
      </c>
      <c r="AG443" s="132">
        <f t="shared" ref="AG443:AG447" si="1652">IF($Q443="B", (K443*$N443),0)</f>
        <v>0</v>
      </c>
      <c r="AH443" s="234">
        <f t="shared" ref="AH443:AH452" si="1653">IF($Q443="B", (F443*$N443),0)</f>
        <v>0</v>
      </c>
      <c r="AI443" s="235"/>
      <c r="AJ443" s="132"/>
      <c r="AK443" s="132"/>
      <c r="AL443" s="166"/>
      <c r="AM443" s="131">
        <f t="shared" ref="AM443:AM447" si="1654">IF($Q443="C", (G443*$N443),0)</f>
        <v>0</v>
      </c>
      <c r="AN443" s="132">
        <f t="shared" ref="AN443:AN447" si="1655">IF($Q443="C", (H443*$N443),0)</f>
        <v>0</v>
      </c>
      <c r="AO443" s="132">
        <f t="shared" ref="AO443:AO447" si="1656">IF($Q443="C", (I443*$N443),0)</f>
        <v>0</v>
      </c>
      <c r="AP443" s="132">
        <f t="shared" ref="AP443:AP447" si="1657">IF($Q443="C", (J443*$N443),0)</f>
        <v>0</v>
      </c>
      <c r="AQ443" s="132">
        <f t="shared" ref="AQ443:AQ447" si="1658">IF($Q443="C", (K443*$N443),0)</f>
        <v>0</v>
      </c>
      <c r="AR443" s="132">
        <f t="shared" ref="AR443:AR452" si="1659">IF($Q443="C", (F443*$N443),0)</f>
        <v>0</v>
      </c>
      <c r="AS443" s="235"/>
    </row>
    <row r="444" spans="1:45" s="20" customFormat="1">
      <c r="A444" s="46" t="s">
        <v>487</v>
      </c>
      <c r="B444" s="20" t="s">
        <v>94</v>
      </c>
      <c r="C444" s="165">
        <v>200</v>
      </c>
      <c r="D444" s="96" t="s">
        <v>39</v>
      </c>
      <c r="E444" s="166">
        <v>4</v>
      </c>
      <c r="F444" s="167">
        <f t="shared" si="1642"/>
        <v>800</v>
      </c>
      <c r="G444" s="168">
        <v>40</v>
      </c>
      <c r="H444" s="168">
        <v>0</v>
      </c>
      <c r="I444" s="168">
        <v>0</v>
      </c>
      <c r="J444" s="168">
        <v>24</v>
      </c>
      <c r="K444" s="169">
        <v>0</v>
      </c>
      <c r="L444" s="96" t="s">
        <v>8</v>
      </c>
      <c r="M444" s="166">
        <f t="shared" si="1643"/>
        <v>6998.4000000000005</v>
      </c>
      <c r="N444" s="92">
        <v>1</v>
      </c>
      <c r="O444" s="170">
        <f t="shared" si="1644"/>
        <v>7798.4000000000005</v>
      </c>
      <c r="P444" s="170"/>
      <c r="Q444" s="52" t="s">
        <v>48</v>
      </c>
      <c r="R444" s="71" t="s">
        <v>77</v>
      </c>
      <c r="S444" s="137" t="str">
        <f t="shared" si="1645"/>
        <v>CPD2012</v>
      </c>
      <c r="T444" s="137" t="str">
        <f t="shared" si="1646"/>
        <v>C1.5.52012</v>
      </c>
      <c r="U444" s="137" t="s">
        <v>238</v>
      </c>
      <c r="V444" s="137" t="str">
        <f t="shared" si="1647"/>
        <v>Installation</v>
      </c>
      <c r="AB444" s="33">
        <v>2012</v>
      </c>
      <c r="AC444" s="132">
        <f t="shared" si="1648"/>
        <v>0</v>
      </c>
      <c r="AD444" s="132">
        <f t="shared" si="1649"/>
        <v>0</v>
      </c>
      <c r="AE444" s="132">
        <f t="shared" si="1650"/>
        <v>0</v>
      </c>
      <c r="AF444" s="132">
        <f t="shared" si="1651"/>
        <v>0</v>
      </c>
      <c r="AG444" s="132">
        <f t="shared" si="1652"/>
        <v>0</v>
      </c>
      <c r="AH444" s="234">
        <f t="shared" si="1653"/>
        <v>0</v>
      </c>
      <c r="AI444" s="235"/>
      <c r="AJ444" s="132"/>
      <c r="AK444" s="132"/>
      <c r="AL444" s="166"/>
      <c r="AM444" s="131">
        <f t="shared" si="1654"/>
        <v>40</v>
      </c>
      <c r="AN444" s="132">
        <f t="shared" si="1655"/>
        <v>0</v>
      </c>
      <c r="AO444" s="132">
        <f t="shared" si="1656"/>
        <v>0</v>
      </c>
      <c r="AP444" s="132">
        <f t="shared" si="1657"/>
        <v>24</v>
      </c>
      <c r="AQ444" s="132">
        <f t="shared" si="1658"/>
        <v>0</v>
      </c>
      <c r="AR444" s="132">
        <f t="shared" si="1659"/>
        <v>800</v>
      </c>
      <c r="AS444" s="235"/>
    </row>
    <row r="445" spans="1:45" s="20" customFormat="1">
      <c r="A445" s="46" t="s">
        <v>478</v>
      </c>
      <c r="B445" s="20" t="s">
        <v>34</v>
      </c>
      <c r="C445" s="165">
        <v>0.03</v>
      </c>
      <c r="D445" s="96" t="s">
        <v>9</v>
      </c>
      <c r="E445" s="166">
        <v>0</v>
      </c>
      <c r="F445" s="167">
        <f t="shared" si="1642"/>
        <v>0</v>
      </c>
      <c r="G445" s="168">
        <v>0</v>
      </c>
      <c r="H445" s="168">
        <v>0</v>
      </c>
      <c r="I445" s="168">
        <v>0</v>
      </c>
      <c r="J445" s="168">
        <v>40</v>
      </c>
      <c r="K445" s="169">
        <v>0</v>
      </c>
      <c r="L445" s="96" t="s">
        <v>8</v>
      </c>
      <c r="M445" s="166">
        <f t="shared" si="1643"/>
        <v>4860.0000000000009</v>
      </c>
      <c r="N445" s="92">
        <v>1</v>
      </c>
      <c r="O445" s="170">
        <f t="shared" si="1644"/>
        <v>4860.0000000000009</v>
      </c>
      <c r="P445" s="170"/>
      <c r="Q445" s="52" t="s">
        <v>47</v>
      </c>
      <c r="R445" s="71" t="s">
        <v>77</v>
      </c>
      <c r="S445" s="137" t="str">
        <f t="shared" si="1645"/>
        <v>BPDSTAR</v>
      </c>
      <c r="T445" s="137" t="str">
        <f t="shared" si="1646"/>
        <v>B1.5.5STAR</v>
      </c>
      <c r="U445" s="137" t="s">
        <v>238</v>
      </c>
      <c r="V445" s="137" t="str">
        <f t="shared" si="1647"/>
        <v>Installation</v>
      </c>
      <c r="AB445" s="33" t="s">
        <v>162</v>
      </c>
      <c r="AC445" s="132">
        <f t="shared" ref="AC445:AC446" si="1660">IF($Q445="B", (G445*$N445),0)</f>
        <v>0</v>
      </c>
      <c r="AD445" s="132">
        <f t="shared" ref="AD445:AD446" si="1661">IF($Q445="B", (H445*$N445),0)</f>
        <v>0</v>
      </c>
      <c r="AE445" s="132">
        <f t="shared" ref="AE445:AE446" si="1662">IF($Q445="B", (I445*$N445),0)</f>
        <v>0</v>
      </c>
      <c r="AF445" s="132">
        <f t="shared" ref="AF445:AF446" si="1663">IF($Q445="B", (J445*$N445),0)</f>
        <v>40</v>
      </c>
      <c r="AG445" s="132">
        <f t="shared" ref="AG445:AG446" si="1664">IF($Q445="B", (K445*$N445),0)</f>
        <v>0</v>
      </c>
      <c r="AH445" s="234">
        <f t="shared" si="1653"/>
        <v>0</v>
      </c>
      <c r="AI445" s="235"/>
      <c r="AJ445" s="132"/>
      <c r="AK445" s="132"/>
      <c r="AL445" s="166"/>
      <c r="AM445" s="131">
        <f t="shared" ref="AM445:AM446" si="1665">IF($Q445="C", (G445*$N445),0)</f>
        <v>0</v>
      </c>
      <c r="AN445" s="132">
        <f t="shared" ref="AN445:AN446" si="1666">IF($Q445="C", (H445*$N445),0)</f>
        <v>0</v>
      </c>
      <c r="AO445" s="132">
        <f t="shared" ref="AO445:AO446" si="1667">IF($Q445="C", (I445*$N445),0)</f>
        <v>0</v>
      </c>
      <c r="AP445" s="132">
        <f t="shared" ref="AP445:AP446" si="1668">IF($Q445="C", (J445*$N445),0)</f>
        <v>0</v>
      </c>
      <c r="AQ445" s="132">
        <f t="shared" ref="AQ445:AQ446" si="1669">IF($Q445="C", (K445*$N445),0)</f>
        <v>0</v>
      </c>
      <c r="AR445" s="132">
        <f t="shared" si="1659"/>
        <v>0</v>
      </c>
      <c r="AS445" s="235"/>
    </row>
    <row r="446" spans="1:45" s="20" customFormat="1">
      <c r="A446" s="46" t="s">
        <v>488</v>
      </c>
      <c r="B446" s="20" t="s">
        <v>94</v>
      </c>
      <c r="C446" s="165">
        <v>200</v>
      </c>
      <c r="D446" s="96" t="s">
        <v>39</v>
      </c>
      <c r="E446" s="166">
        <v>4</v>
      </c>
      <c r="F446" s="167">
        <f t="shared" si="1642"/>
        <v>800</v>
      </c>
      <c r="G446" s="168">
        <v>40</v>
      </c>
      <c r="H446" s="168">
        <v>0</v>
      </c>
      <c r="I446" s="168">
        <v>0</v>
      </c>
      <c r="J446" s="168">
        <v>24</v>
      </c>
      <c r="K446" s="169">
        <v>0</v>
      </c>
      <c r="L446" s="96" t="s">
        <v>8</v>
      </c>
      <c r="M446" s="166">
        <f t="shared" si="1643"/>
        <v>6998.4000000000005</v>
      </c>
      <c r="N446" s="92">
        <v>1</v>
      </c>
      <c r="O446" s="170">
        <f t="shared" si="1644"/>
        <v>7798.4000000000005</v>
      </c>
      <c r="P446" s="170"/>
      <c r="Q446" s="52" t="s">
        <v>48</v>
      </c>
      <c r="R446" s="71" t="s">
        <v>77</v>
      </c>
      <c r="S446" s="137" t="str">
        <f t="shared" si="1645"/>
        <v>CPD2012</v>
      </c>
      <c r="T446" s="137" t="str">
        <f t="shared" si="1646"/>
        <v>C1.5.52012</v>
      </c>
      <c r="U446" s="137" t="s">
        <v>238</v>
      </c>
      <c r="V446" s="137" t="str">
        <f t="shared" si="1647"/>
        <v>Installation</v>
      </c>
      <c r="AB446" s="33">
        <v>2012</v>
      </c>
      <c r="AC446" s="132">
        <f t="shared" si="1660"/>
        <v>0</v>
      </c>
      <c r="AD446" s="132">
        <f t="shared" si="1661"/>
        <v>0</v>
      </c>
      <c r="AE446" s="132">
        <f t="shared" si="1662"/>
        <v>0</v>
      </c>
      <c r="AF446" s="132">
        <f t="shared" si="1663"/>
        <v>0</v>
      </c>
      <c r="AG446" s="132">
        <f t="shared" si="1664"/>
        <v>0</v>
      </c>
      <c r="AH446" s="234">
        <f t="shared" si="1653"/>
        <v>0</v>
      </c>
      <c r="AI446" s="235"/>
      <c r="AJ446" s="132"/>
      <c r="AK446" s="132"/>
      <c r="AL446" s="166"/>
      <c r="AM446" s="131">
        <f t="shared" si="1665"/>
        <v>40</v>
      </c>
      <c r="AN446" s="132">
        <f t="shared" si="1666"/>
        <v>0</v>
      </c>
      <c r="AO446" s="132">
        <f t="shared" si="1667"/>
        <v>0</v>
      </c>
      <c r="AP446" s="132">
        <f t="shared" si="1668"/>
        <v>24</v>
      </c>
      <c r="AQ446" s="132">
        <f t="shared" si="1669"/>
        <v>0</v>
      </c>
      <c r="AR446" s="132">
        <f t="shared" si="1659"/>
        <v>800</v>
      </c>
      <c r="AS446" s="235"/>
    </row>
    <row r="447" spans="1:45" s="20" customFormat="1">
      <c r="A447" s="46" t="s">
        <v>479</v>
      </c>
      <c r="B447" s="20" t="s">
        <v>34</v>
      </c>
      <c r="C447" s="165">
        <v>0</v>
      </c>
      <c r="D447" s="96" t="s">
        <v>9</v>
      </c>
      <c r="E447" s="166">
        <v>0</v>
      </c>
      <c r="F447" s="167">
        <f t="shared" si="1642"/>
        <v>0</v>
      </c>
      <c r="G447" s="168">
        <v>0</v>
      </c>
      <c r="H447" s="168">
        <v>40</v>
      </c>
      <c r="I447" s="168">
        <v>0</v>
      </c>
      <c r="J447" s="168">
        <v>20</v>
      </c>
      <c r="K447" s="169">
        <v>0</v>
      </c>
      <c r="L447" s="96" t="s">
        <v>8</v>
      </c>
      <c r="M447" s="166">
        <f t="shared" si="1643"/>
        <v>6220.8000000000011</v>
      </c>
      <c r="N447" s="92">
        <v>1</v>
      </c>
      <c r="O447" s="170">
        <f t="shared" si="1644"/>
        <v>6220.8000000000011</v>
      </c>
      <c r="P447" s="170"/>
      <c r="Q447" s="52" t="s">
        <v>47</v>
      </c>
      <c r="R447" s="71" t="s">
        <v>77</v>
      </c>
      <c r="S447" s="137" t="str">
        <f t="shared" si="1645"/>
        <v>BPD2012</v>
      </c>
      <c r="T447" s="137" t="str">
        <f t="shared" si="1646"/>
        <v>B1.5.52012</v>
      </c>
      <c r="U447" s="137" t="s">
        <v>238</v>
      </c>
      <c r="V447" s="137" t="str">
        <f t="shared" si="1647"/>
        <v>Installation</v>
      </c>
      <c r="AB447" s="33">
        <v>2012</v>
      </c>
      <c r="AC447" s="132">
        <f t="shared" si="1648"/>
        <v>0</v>
      </c>
      <c r="AD447" s="132">
        <f t="shared" si="1649"/>
        <v>40</v>
      </c>
      <c r="AE447" s="132">
        <f t="shared" si="1650"/>
        <v>0</v>
      </c>
      <c r="AF447" s="132">
        <f t="shared" si="1651"/>
        <v>20</v>
      </c>
      <c r="AG447" s="132">
        <f t="shared" si="1652"/>
        <v>0</v>
      </c>
      <c r="AH447" s="234">
        <f t="shared" si="1653"/>
        <v>0</v>
      </c>
      <c r="AI447" s="235"/>
      <c r="AJ447" s="132"/>
      <c r="AK447" s="132"/>
      <c r="AL447" s="166"/>
      <c r="AM447" s="131">
        <f t="shared" si="1654"/>
        <v>0</v>
      </c>
      <c r="AN447" s="132">
        <f t="shared" si="1655"/>
        <v>0</v>
      </c>
      <c r="AO447" s="132">
        <f t="shared" si="1656"/>
        <v>0</v>
      </c>
      <c r="AP447" s="132">
        <f t="shared" si="1657"/>
        <v>0</v>
      </c>
      <c r="AQ447" s="132">
        <f t="shared" si="1658"/>
        <v>0</v>
      </c>
      <c r="AR447" s="132">
        <f t="shared" si="1659"/>
        <v>0</v>
      </c>
      <c r="AS447" s="235"/>
    </row>
    <row r="448" spans="1:45" s="20" customFormat="1">
      <c r="A448" s="46" t="s">
        <v>480</v>
      </c>
      <c r="B448" s="20" t="s">
        <v>34</v>
      </c>
      <c r="C448" s="165">
        <v>0</v>
      </c>
      <c r="D448" s="96" t="s">
        <v>9</v>
      </c>
      <c r="E448" s="166">
        <v>0</v>
      </c>
      <c r="F448" s="167">
        <f t="shared" si="1642"/>
        <v>0</v>
      </c>
      <c r="G448" s="168">
        <v>0</v>
      </c>
      <c r="H448" s="168">
        <v>60</v>
      </c>
      <c r="I448" s="168">
        <v>0</v>
      </c>
      <c r="J448" s="168">
        <v>0</v>
      </c>
      <c r="K448" s="169">
        <v>0</v>
      </c>
      <c r="L448" s="96" t="s">
        <v>8</v>
      </c>
      <c r="M448" s="166">
        <f t="shared" si="1643"/>
        <v>5686.2000000000007</v>
      </c>
      <c r="N448" s="92">
        <v>1</v>
      </c>
      <c r="O448" s="170">
        <f t="shared" si="1644"/>
        <v>5686.2000000000007</v>
      </c>
      <c r="P448" s="170"/>
      <c r="Q448" s="52" t="s">
        <v>47</v>
      </c>
      <c r="R448" s="71" t="s">
        <v>77</v>
      </c>
      <c r="S448" s="137" t="str">
        <f t="shared" si="1645"/>
        <v>BPDSTAR</v>
      </c>
      <c r="T448" s="137" t="str">
        <f t="shared" si="1646"/>
        <v>B1.5.5STAR</v>
      </c>
      <c r="U448" s="137" t="s">
        <v>238</v>
      </c>
      <c r="V448" s="137" t="str">
        <f t="shared" si="1647"/>
        <v>Installation</v>
      </c>
      <c r="AB448" s="33" t="s">
        <v>162</v>
      </c>
      <c r="AC448" s="132">
        <f t="shared" ref="AC448:AC449" si="1670">IF($Q448="B", (G448*$N448),0)</f>
        <v>0</v>
      </c>
      <c r="AD448" s="132">
        <f t="shared" ref="AD448:AD449" si="1671">IF($Q448="B", (H448*$N448),0)</f>
        <v>60</v>
      </c>
      <c r="AE448" s="132">
        <f t="shared" ref="AE448:AE449" si="1672">IF($Q448="B", (I448*$N448),0)</f>
        <v>0</v>
      </c>
      <c r="AF448" s="132">
        <f t="shared" ref="AF448:AF449" si="1673">IF($Q448="B", (J448*$N448),0)</f>
        <v>0</v>
      </c>
      <c r="AG448" s="132">
        <f t="shared" ref="AG448:AG449" si="1674">IF($Q448="B", (K448*$N448),0)</f>
        <v>0</v>
      </c>
      <c r="AH448" s="234">
        <f t="shared" si="1653"/>
        <v>0</v>
      </c>
      <c r="AI448" s="235"/>
      <c r="AJ448" s="132"/>
      <c r="AK448" s="132"/>
      <c r="AL448" s="166"/>
      <c r="AM448" s="131">
        <f t="shared" ref="AM448:AM449" si="1675">IF($Q448="C", (G448*$N448),0)</f>
        <v>0</v>
      </c>
      <c r="AN448" s="132">
        <f t="shared" ref="AN448:AN449" si="1676">IF($Q448="C", (H448*$N448),0)</f>
        <v>0</v>
      </c>
      <c r="AO448" s="132">
        <f t="shared" ref="AO448:AO449" si="1677">IF($Q448="C", (I448*$N448),0)</f>
        <v>0</v>
      </c>
      <c r="AP448" s="132">
        <f t="shared" ref="AP448:AP449" si="1678">IF($Q448="C", (J448*$N448),0)</f>
        <v>0</v>
      </c>
      <c r="AQ448" s="132">
        <f t="shared" ref="AQ448:AQ449" si="1679">IF($Q448="C", (K448*$N448),0)</f>
        <v>0</v>
      </c>
      <c r="AR448" s="132">
        <f t="shared" si="1659"/>
        <v>0</v>
      </c>
      <c r="AS448" s="235"/>
    </row>
    <row r="449" spans="1:45" s="20" customFormat="1">
      <c r="A449" s="46" t="s">
        <v>481</v>
      </c>
      <c r="B449" s="20" t="s">
        <v>34</v>
      </c>
      <c r="C449" s="165">
        <v>0</v>
      </c>
      <c r="D449" s="96" t="s">
        <v>9</v>
      </c>
      <c r="E449" s="166">
        <v>0</v>
      </c>
      <c r="F449" s="167">
        <f t="shared" si="1642"/>
        <v>0</v>
      </c>
      <c r="G449" s="168">
        <v>0</v>
      </c>
      <c r="H449" s="168">
        <v>40</v>
      </c>
      <c r="I449" s="168">
        <v>0</v>
      </c>
      <c r="J449" s="168">
        <v>20</v>
      </c>
      <c r="K449" s="169">
        <v>0</v>
      </c>
      <c r="L449" s="96" t="s">
        <v>8</v>
      </c>
      <c r="M449" s="166">
        <f t="shared" si="1643"/>
        <v>6220.8000000000011</v>
      </c>
      <c r="N449" s="92">
        <v>1</v>
      </c>
      <c r="O449" s="170">
        <f t="shared" si="1644"/>
        <v>6220.8000000000011</v>
      </c>
      <c r="P449" s="170"/>
      <c r="Q449" s="52" t="s">
        <v>47</v>
      </c>
      <c r="R449" s="71" t="s">
        <v>77</v>
      </c>
      <c r="S449" s="137" t="str">
        <f t="shared" si="1645"/>
        <v>BPD2012</v>
      </c>
      <c r="T449" s="137" t="str">
        <f t="shared" si="1646"/>
        <v>B1.5.52012</v>
      </c>
      <c r="U449" s="137" t="s">
        <v>238</v>
      </c>
      <c r="V449" s="137" t="str">
        <f t="shared" si="1647"/>
        <v>Installation</v>
      </c>
      <c r="AB449" s="33">
        <v>2012</v>
      </c>
      <c r="AC449" s="132">
        <f t="shared" si="1670"/>
        <v>0</v>
      </c>
      <c r="AD449" s="132">
        <f t="shared" si="1671"/>
        <v>40</v>
      </c>
      <c r="AE449" s="132">
        <f t="shared" si="1672"/>
        <v>0</v>
      </c>
      <c r="AF449" s="132">
        <f t="shared" si="1673"/>
        <v>20</v>
      </c>
      <c r="AG449" s="132">
        <f t="shared" si="1674"/>
        <v>0</v>
      </c>
      <c r="AH449" s="234">
        <f t="shared" si="1653"/>
        <v>0</v>
      </c>
      <c r="AI449" s="235"/>
      <c r="AJ449" s="132"/>
      <c r="AK449" s="132"/>
      <c r="AL449" s="166"/>
      <c r="AM449" s="131">
        <f t="shared" si="1675"/>
        <v>0</v>
      </c>
      <c r="AN449" s="132">
        <f t="shared" si="1676"/>
        <v>0</v>
      </c>
      <c r="AO449" s="132">
        <f t="shared" si="1677"/>
        <v>0</v>
      </c>
      <c r="AP449" s="132">
        <f t="shared" si="1678"/>
        <v>0</v>
      </c>
      <c r="AQ449" s="132">
        <f t="shared" si="1679"/>
        <v>0</v>
      </c>
      <c r="AR449" s="132">
        <f t="shared" si="1659"/>
        <v>0</v>
      </c>
      <c r="AS449" s="235"/>
    </row>
    <row r="450" spans="1:45" s="20" customFormat="1">
      <c r="A450" s="46" t="s">
        <v>482</v>
      </c>
      <c r="B450" s="20" t="s">
        <v>34</v>
      </c>
      <c r="C450" s="165">
        <v>0</v>
      </c>
      <c r="D450" s="96" t="s">
        <v>9</v>
      </c>
      <c r="E450" s="166">
        <v>0</v>
      </c>
      <c r="F450" s="167">
        <f t="shared" si="1642"/>
        <v>0</v>
      </c>
      <c r="G450" s="168">
        <v>0</v>
      </c>
      <c r="H450" s="168">
        <v>60</v>
      </c>
      <c r="I450" s="168">
        <v>0</v>
      </c>
      <c r="J450" s="168">
        <v>0</v>
      </c>
      <c r="K450" s="169">
        <v>0</v>
      </c>
      <c r="L450" s="96" t="s">
        <v>8</v>
      </c>
      <c r="M450" s="166">
        <f t="shared" si="1643"/>
        <v>5686.2000000000007</v>
      </c>
      <c r="N450" s="92">
        <v>1</v>
      </c>
      <c r="O450" s="170">
        <f t="shared" si="1644"/>
        <v>5686.2000000000007</v>
      </c>
      <c r="P450" s="170"/>
      <c r="Q450" s="52" t="s">
        <v>47</v>
      </c>
      <c r="R450" s="71" t="s">
        <v>77</v>
      </c>
      <c r="S450" s="137" t="str">
        <f t="shared" si="1645"/>
        <v>BPDSTAR</v>
      </c>
      <c r="T450" s="137" t="str">
        <f t="shared" si="1646"/>
        <v>B1.5.5STAR</v>
      </c>
      <c r="U450" s="137" t="s">
        <v>238</v>
      </c>
      <c r="V450" s="137" t="str">
        <f t="shared" si="1647"/>
        <v>Installation</v>
      </c>
      <c r="AB450" s="33" t="s">
        <v>162</v>
      </c>
      <c r="AC450" s="132">
        <f t="shared" ref="AC450:AC451" si="1680">IF($Q450="B", (G450*$N450),0)</f>
        <v>0</v>
      </c>
      <c r="AD450" s="132">
        <f t="shared" ref="AD450:AD451" si="1681">IF($Q450="B", (H450*$N450),0)</f>
        <v>60</v>
      </c>
      <c r="AE450" s="132">
        <f t="shared" ref="AE450:AE451" si="1682">IF($Q450="B", (I450*$N450),0)</f>
        <v>0</v>
      </c>
      <c r="AF450" s="132">
        <f t="shared" ref="AF450:AF451" si="1683">IF($Q450="B", (J450*$N450),0)</f>
        <v>0</v>
      </c>
      <c r="AG450" s="132">
        <f t="shared" ref="AG450:AG451" si="1684">IF($Q450="B", (K450*$N450),0)</f>
        <v>0</v>
      </c>
      <c r="AH450" s="234">
        <f t="shared" si="1653"/>
        <v>0</v>
      </c>
      <c r="AI450" s="235"/>
      <c r="AJ450" s="132"/>
      <c r="AK450" s="132"/>
      <c r="AL450" s="166"/>
      <c r="AM450" s="131">
        <f t="shared" ref="AM450:AM451" si="1685">IF($Q450="C", (G450*$N450),0)</f>
        <v>0</v>
      </c>
      <c r="AN450" s="132">
        <f t="shared" ref="AN450:AN451" si="1686">IF($Q450="C", (H450*$N450),0)</f>
        <v>0</v>
      </c>
      <c r="AO450" s="132">
        <f t="shared" ref="AO450:AO451" si="1687">IF($Q450="C", (I450*$N450),0)</f>
        <v>0</v>
      </c>
      <c r="AP450" s="132">
        <f t="shared" ref="AP450:AP451" si="1688">IF($Q450="C", (J450*$N450),0)</f>
        <v>0</v>
      </c>
      <c r="AQ450" s="132">
        <f t="shared" ref="AQ450:AQ451" si="1689">IF($Q450="C", (K450*$N450),0)</f>
        <v>0</v>
      </c>
      <c r="AR450" s="132">
        <f t="shared" si="1659"/>
        <v>0</v>
      </c>
      <c r="AS450" s="235"/>
    </row>
    <row r="451" spans="1:45" s="20" customFormat="1">
      <c r="A451" s="46" t="s">
        <v>483</v>
      </c>
      <c r="B451" s="20" t="s">
        <v>34</v>
      </c>
      <c r="C451" s="165">
        <v>0</v>
      </c>
      <c r="D451" s="96" t="s">
        <v>9</v>
      </c>
      <c r="E451" s="166">
        <v>0</v>
      </c>
      <c r="F451" s="167">
        <f t="shared" si="1642"/>
        <v>0</v>
      </c>
      <c r="G451" s="168">
        <v>0</v>
      </c>
      <c r="H451" s="168">
        <v>40</v>
      </c>
      <c r="I451" s="168">
        <v>0</v>
      </c>
      <c r="J451" s="168">
        <v>20</v>
      </c>
      <c r="K451" s="169">
        <v>0</v>
      </c>
      <c r="L451" s="96" t="s">
        <v>8</v>
      </c>
      <c r="M451" s="166">
        <f t="shared" si="1643"/>
        <v>6220.8000000000011</v>
      </c>
      <c r="N451" s="92">
        <v>1</v>
      </c>
      <c r="O451" s="170">
        <f t="shared" si="1644"/>
        <v>6220.8000000000011</v>
      </c>
      <c r="P451" s="170"/>
      <c r="Q451" s="52" t="s">
        <v>47</v>
      </c>
      <c r="R451" s="71" t="s">
        <v>77</v>
      </c>
      <c r="S451" s="137" t="str">
        <f t="shared" si="1645"/>
        <v>BPD2014</v>
      </c>
      <c r="T451" s="137" t="str">
        <f t="shared" si="1646"/>
        <v>B1.5.52014</v>
      </c>
      <c r="U451" s="137" t="s">
        <v>238</v>
      </c>
      <c r="V451" s="137" t="str">
        <f t="shared" si="1647"/>
        <v>Installation</v>
      </c>
      <c r="AB451" s="33">
        <v>2014</v>
      </c>
      <c r="AC451" s="132">
        <f t="shared" si="1680"/>
        <v>0</v>
      </c>
      <c r="AD451" s="132">
        <f t="shared" si="1681"/>
        <v>40</v>
      </c>
      <c r="AE451" s="132">
        <f t="shared" si="1682"/>
        <v>0</v>
      </c>
      <c r="AF451" s="132">
        <f t="shared" si="1683"/>
        <v>20</v>
      </c>
      <c r="AG451" s="132">
        <f t="shared" si="1684"/>
        <v>0</v>
      </c>
      <c r="AH451" s="234">
        <f t="shared" si="1653"/>
        <v>0</v>
      </c>
      <c r="AI451" s="235"/>
      <c r="AJ451" s="132"/>
      <c r="AK451" s="132"/>
      <c r="AL451" s="166"/>
      <c r="AM451" s="131">
        <f t="shared" si="1685"/>
        <v>0</v>
      </c>
      <c r="AN451" s="132">
        <f t="shared" si="1686"/>
        <v>0</v>
      </c>
      <c r="AO451" s="132">
        <f t="shared" si="1687"/>
        <v>0</v>
      </c>
      <c r="AP451" s="132">
        <f t="shared" si="1688"/>
        <v>0</v>
      </c>
      <c r="AQ451" s="132">
        <f t="shared" si="1689"/>
        <v>0</v>
      </c>
      <c r="AR451" s="132">
        <f t="shared" si="1659"/>
        <v>0</v>
      </c>
      <c r="AS451" s="235"/>
    </row>
    <row r="452" spans="1:45" s="20" customFormat="1">
      <c r="A452" s="46" t="s">
        <v>484</v>
      </c>
      <c r="B452" s="20" t="s">
        <v>34</v>
      </c>
      <c r="C452" s="165">
        <v>0</v>
      </c>
      <c r="D452" s="96" t="s">
        <v>9</v>
      </c>
      <c r="E452" s="166">
        <v>0</v>
      </c>
      <c r="F452" s="167">
        <f t="shared" si="1642"/>
        <v>0</v>
      </c>
      <c r="G452" s="168">
        <v>0</v>
      </c>
      <c r="H452" s="168">
        <v>60</v>
      </c>
      <c r="I452" s="168">
        <v>0</v>
      </c>
      <c r="J452" s="168">
        <v>0</v>
      </c>
      <c r="K452" s="169">
        <v>0</v>
      </c>
      <c r="L452" s="96" t="s">
        <v>8</v>
      </c>
      <c r="M452" s="166">
        <f t="shared" si="1643"/>
        <v>5686.2000000000007</v>
      </c>
      <c r="N452" s="92">
        <v>1</v>
      </c>
      <c r="O452" s="170">
        <f t="shared" si="1644"/>
        <v>5686.2000000000007</v>
      </c>
      <c r="P452" s="170"/>
      <c r="Q452" s="52" t="s">
        <v>47</v>
      </c>
      <c r="R452" s="71" t="s">
        <v>77</v>
      </c>
      <c r="S452" s="137" t="str">
        <f t="shared" si="1645"/>
        <v>BPDSTAR</v>
      </c>
      <c r="T452" s="137" t="str">
        <f t="shared" si="1646"/>
        <v>B1.5.5STAR</v>
      </c>
      <c r="U452" s="137" t="s">
        <v>238</v>
      </c>
      <c r="V452" s="137" t="str">
        <f t="shared" si="1647"/>
        <v>Installation</v>
      </c>
      <c r="AB452" s="33" t="s">
        <v>162</v>
      </c>
      <c r="AC452" s="132">
        <f t="shared" ref="AC452" si="1690">IF($Q452="B", (G452*$N452),0)</f>
        <v>0</v>
      </c>
      <c r="AD452" s="132">
        <f t="shared" ref="AD452" si="1691">IF($Q452="B", (H452*$N452),0)</f>
        <v>60</v>
      </c>
      <c r="AE452" s="132">
        <f t="shared" ref="AE452" si="1692">IF($Q452="B", (I452*$N452),0)</f>
        <v>0</v>
      </c>
      <c r="AF452" s="132">
        <f t="shared" ref="AF452" si="1693">IF($Q452="B", (J452*$N452),0)</f>
        <v>0</v>
      </c>
      <c r="AG452" s="132">
        <f t="shared" ref="AG452" si="1694">IF($Q452="B", (K452*$N452),0)</f>
        <v>0</v>
      </c>
      <c r="AH452" s="234">
        <f t="shared" si="1653"/>
        <v>0</v>
      </c>
      <c r="AI452" s="235"/>
      <c r="AJ452" s="132"/>
      <c r="AK452" s="132"/>
      <c r="AL452" s="166"/>
      <c r="AM452" s="131">
        <f t="shared" ref="AM452" si="1695">IF($Q452="C", (G452*$N452),0)</f>
        <v>0</v>
      </c>
      <c r="AN452" s="132">
        <f t="shared" ref="AN452" si="1696">IF($Q452="C", (H452*$N452),0)</f>
        <v>0</v>
      </c>
      <c r="AO452" s="132">
        <f t="shared" ref="AO452" si="1697">IF($Q452="C", (I452*$N452),0)</f>
        <v>0</v>
      </c>
      <c r="AP452" s="132">
        <f t="shared" ref="AP452" si="1698">IF($Q452="C", (J452*$N452),0)</f>
        <v>0</v>
      </c>
      <c r="AQ452" s="132">
        <f t="shared" ref="AQ452" si="1699">IF($Q452="C", (K452*$N452),0)</f>
        <v>0</v>
      </c>
      <c r="AR452" s="132">
        <f t="shared" si="1659"/>
        <v>0</v>
      </c>
      <c r="AS452" s="235"/>
    </row>
    <row r="453" spans="1:45" s="20" customFormat="1">
      <c r="A453" s="47" t="s">
        <v>485</v>
      </c>
      <c r="C453" s="165"/>
      <c r="D453" s="96"/>
      <c r="E453" s="57"/>
      <c r="F453" s="58"/>
      <c r="G453" s="59"/>
      <c r="H453" s="59"/>
      <c r="I453" s="59"/>
      <c r="J453" s="59"/>
      <c r="K453" s="60"/>
      <c r="L453" s="217" t="s">
        <v>66</v>
      </c>
      <c r="M453" s="177">
        <f>SUMIF(Q443:Q452,"B",M443:M452)</f>
        <v>45441</v>
      </c>
      <c r="N453" s="65" t="s">
        <v>65</v>
      </c>
      <c r="O453" s="170"/>
      <c r="P453" s="170"/>
      <c r="Q453" s="52"/>
      <c r="R453" s="71"/>
      <c r="S453" s="137"/>
      <c r="T453" s="137"/>
      <c r="U453" s="137"/>
      <c r="V453" s="137"/>
      <c r="AB453" s="33"/>
      <c r="AC453" s="132"/>
      <c r="AD453" s="132"/>
      <c r="AE453" s="135"/>
      <c r="AF453" s="132"/>
      <c r="AG453" s="132"/>
      <c r="AH453" s="234"/>
      <c r="AI453" s="235"/>
      <c r="AJ453" s="132"/>
      <c r="AK453" s="132"/>
      <c r="AL453" s="166"/>
      <c r="AM453" s="131"/>
      <c r="AN453" s="132"/>
      <c r="AO453" s="132"/>
      <c r="AP453" s="132"/>
      <c r="AQ453" s="132"/>
      <c r="AR453" s="132"/>
      <c r="AS453" s="235"/>
    </row>
    <row r="454" spans="1:45" s="20" customFormat="1">
      <c r="A454" s="46" t="s">
        <v>486</v>
      </c>
      <c r="B454" s="20" t="s">
        <v>34</v>
      </c>
      <c r="C454" s="165">
        <v>0.03</v>
      </c>
      <c r="D454" s="96" t="s">
        <v>9</v>
      </c>
      <c r="E454" s="166">
        <v>0</v>
      </c>
      <c r="F454" s="167">
        <f>E454*C454</f>
        <v>0</v>
      </c>
      <c r="G454" s="168">
        <v>0</v>
      </c>
      <c r="H454" s="168">
        <v>0</v>
      </c>
      <c r="I454" s="168">
        <v>0</v>
      </c>
      <c r="J454" s="168">
        <v>40</v>
      </c>
      <c r="K454" s="169">
        <v>0</v>
      </c>
      <c r="L454" s="96" t="s">
        <v>8</v>
      </c>
      <c r="M454" s="166">
        <f>IF(R454="PD",((Shop*G454)+(M_Tech*H454)+(CMM*I454)+(ENG*J454)+(DES*K454))*N454,((Shop_RD*G454)+(MTECH_RD*H454)+(CMM_RD*I454)+(ENG_RD*J454)+(DES_RD*K454))*N454)</f>
        <v>4860.0000000000009</v>
      </c>
      <c r="N454" s="92">
        <v>1</v>
      </c>
      <c r="O454" s="170">
        <f>M454+(F454*N454)</f>
        <v>4860.0000000000009</v>
      </c>
      <c r="P454" s="170"/>
      <c r="Q454" s="52" t="s">
        <v>47</v>
      </c>
      <c r="R454" s="71" t="s">
        <v>77</v>
      </c>
      <c r="S454" s="137" t="str">
        <f>CONCATENATE(Q454,R454,AB454)</f>
        <v>BPDSTAR</v>
      </c>
      <c r="T454" s="137" t="str">
        <f>CONCATENATE(Q454,U454,AB454)</f>
        <v>B1.5.3.2STAR</v>
      </c>
      <c r="U454" s="137" t="s">
        <v>230</v>
      </c>
      <c r="V454" s="137" t="str">
        <f>LOOKUP(U454,$B$539:$B$574,$A$539:$A$574)</f>
        <v>IDS Assembly</v>
      </c>
      <c r="AB454" s="33" t="s">
        <v>162</v>
      </c>
      <c r="AC454" s="132">
        <f t="shared" ref="AC454:AC457" si="1700">IF($Q454="B", (G454*$N454),0)</f>
        <v>0</v>
      </c>
      <c r="AD454" s="132">
        <f t="shared" ref="AD454:AD457" si="1701">IF($Q454="B", (H454*$N454),0)</f>
        <v>0</v>
      </c>
      <c r="AE454" s="132">
        <f t="shared" ref="AE454:AE457" si="1702">IF($Q454="B", (I454*$N454),0)</f>
        <v>0</v>
      </c>
      <c r="AF454" s="132">
        <f t="shared" ref="AF454:AF457" si="1703">IF($Q454="B", (J454*$N454),0)</f>
        <v>40</v>
      </c>
      <c r="AG454" s="132">
        <f t="shared" ref="AG454:AG457" si="1704">IF($Q454="B", (K454*$N454),0)</f>
        <v>0</v>
      </c>
      <c r="AH454" s="234">
        <f>IF($Q454="B", (F454*$N454),0)</f>
        <v>0</v>
      </c>
      <c r="AI454" s="235"/>
      <c r="AJ454" s="132"/>
      <c r="AK454" s="132"/>
      <c r="AL454" s="166"/>
      <c r="AM454" s="131">
        <f t="shared" ref="AM454:AM457" si="1705">IF($Q454="C", (G454*$N454),0)</f>
        <v>0</v>
      </c>
      <c r="AN454" s="132">
        <f t="shared" ref="AN454:AN457" si="1706">IF($Q454="C", (H454*$N454),0)</f>
        <v>0</v>
      </c>
      <c r="AO454" s="132">
        <f t="shared" ref="AO454:AO457" si="1707">IF($Q454="C", (I454*$N454),0)</f>
        <v>0</v>
      </c>
      <c r="AP454" s="132">
        <f t="shared" ref="AP454:AP457" si="1708">IF($Q454="C", (J454*$N454),0)</f>
        <v>0</v>
      </c>
      <c r="AQ454" s="132">
        <f t="shared" ref="AQ454:AQ457" si="1709">IF($Q454="C", (K454*$N454),0)</f>
        <v>0</v>
      </c>
      <c r="AR454" s="132">
        <f>IF($Q454="C", (F454*$N454),0)</f>
        <v>0</v>
      </c>
      <c r="AS454" s="235"/>
    </row>
    <row r="455" spans="1:45" s="20" customFormat="1">
      <c r="A455" s="46" t="s">
        <v>489</v>
      </c>
      <c r="B455" s="20" t="s">
        <v>34</v>
      </c>
      <c r="C455" s="165">
        <v>0.03</v>
      </c>
      <c r="D455" s="96" t="s">
        <v>9</v>
      </c>
      <c r="E455" s="166">
        <v>0</v>
      </c>
      <c r="F455" s="167">
        <f>E455*C455</f>
        <v>0</v>
      </c>
      <c r="G455" s="168">
        <v>0</v>
      </c>
      <c r="H455" s="168">
        <v>32</v>
      </c>
      <c r="I455" s="168">
        <v>0</v>
      </c>
      <c r="J455" s="168">
        <v>0</v>
      </c>
      <c r="K455" s="169">
        <v>0</v>
      </c>
      <c r="L455" s="96" t="s">
        <v>8</v>
      </c>
      <c r="M455" s="166">
        <f>IF(R455="PD",((Shop*G455)+(M_Tech*H455)+(CMM*I455)+(ENG*J455)+(DES*K455))*N455,((Shop_RD*G455)+(MTECH_RD*H455)+(CMM_RD*I455)+(ENG_RD*J455)+(DES_RD*K455))*N455)</f>
        <v>3032.6400000000003</v>
      </c>
      <c r="N455" s="92">
        <v>1</v>
      </c>
      <c r="O455" s="170">
        <f>M455+(F455*N455)</f>
        <v>3032.6400000000003</v>
      </c>
      <c r="P455" s="170"/>
      <c r="Q455" s="52" t="s">
        <v>47</v>
      </c>
      <c r="R455" s="71" t="s">
        <v>77</v>
      </c>
      <c r="S455" s="137" t="str">
        <f>CONCATENATE(Q455,R455,AB455)</f>
        <v>BPDSTAR</v>
      </c>
      <c r="T455" s="137" t="str">
        <f>CONCATENATE(Q455,U455,AB455)</f>
        <v>B1.5.3.2STAR</v>
      </c>
      <c r="U455" s="137" t="s">
        <v>230</v>
      </c>
      <c r="V455" s="137" t="str">
        <f>LOOKUP(U455,$B$539:$B$574,$A$539:$A$574)</f>
        <v>IDS Assembly</v>
      </c>
      <c r="AB455" s="33" t="s">
        <v>162</v>
      </c>
      <c r="AC455" s="132">
        <f t="shared" si="1700"/>
        <v>0</v>
      </c>
      <c r="AD455" s="132">
        <f t="shared" si="1701"/>
        <v>32</v>
      </c>
      <c r="AE455" s="132">
        <f t="shared" si="1702"/>
        <v>0</v>
      </c>
      <c r="AF455" s="132">
        <f t="shared" si="1703"/>
        <v>0</v>
      </c>
      <c r="AG455" s="132">
        <f t="shared" si="1704"/>
        <v>0</v>
      </c>
      <c r="AH455" s="234">
        <f>IF($Q455="B", (F455*$N455),0)</f>
        <v>0</v>
      </c>
      <c r="AI455" s="235"/>
      <c r="AJ455" s="132"/>
      <c r="AK455" s="132"/>
      <c r="AL455" s="166"/>
      <c r="AM455" s="131">
        <f t="shared" si="1705"/>
        <v>0</v>
      </c>
      <c r="AN455" s="132">
        <f t="shared" si="1706"/>
        <v>0</v>
      </c>
      <c r="AO455" s="132">
        <f t="shared" si="1707"/>
        <v>0</v>
      </c>
      <c r="AP455" s="132">
        <f t="shared" si="1708"/>
        <v>0</v>
      </c>
      <c r="AQ455" s="132">
        <f t="shared" si="1709"/>
        <v>0</v>
      </c>
      <c r="AR455" s="132">
        <f>IF($Q455="C", (F455*$N455),0)</f>
        <v>0</v>
      </c>
      <c r="AS455" s="235"/>
    </row>
    <row r="456" spans="1:45" s="20" customFormat="1">
      <c r="A456" s="46" t="s">
        <v>490</v>
      </c>
      <c r="B456" s="20" t="s">
        <v>34</v>
      </c>
      <c r="C456" s="165">
        <v>0.03</v>
      </c>
      <c r="D456" s="96" t="s">
        <v>9</v>
      </c>
      <c r="E456" s="166">
        <v>0</v>
      </c>
      <c r="F456" s="167">
        <f>E456*C456</f>
        <v>0</v>
      </c>
      <c r="G456" s="168">
        <v>0</v>
      </c>
      <c r="H456" s="168">
        <v>32</v>
      </c>
      <c r="I456" s="168">
        <v>0</v>
      </c>
      <c r="J456" s="168">
        <v>0</v>
      </c>
      <c r="K456" s="169">
        <v>0</v>
      </c>
      <c r="L456" s="96" t="s">
        <v>8</v>
      </c>
      <c r="M456" s="166">
        <f>IF(R456="PD",((Shop*G456)+(M_Tech*H456)+(CMM*I456)+(ENG*J456)+(DES*K456))*N456,((Shop_RD*G456)+(MTECH_RD*H456)+(CMM_RD*I456)+(ENG_RD*J456)+(DES_RD*K456))*N456)</f>
        <v>3032.6400000000003</v>
      </c>
      <c r="N456" s="92">
        <v>1</v>
      </c>
      <c r="O456" s="170">
        <f>M456+(F456*N456)</f>
        <v>3032.6400000000003</v>
      </c>
      <c r="P456" s="170"/>
      <c r="Q456" s="52" t="s">
        <v>47</v>
      </c>
      <c r="R456" s="71" t="s">
        <v>77</v>
      </c>
      <c r="S456" s="137" t="str">
        <f>CONCATENATE(Q456,R456,AB456)</f>
        <v>BPDSTAR</v>
      </c>
      <c r="T456" s="137" t="str">
        <f>CONCATENATE(Q456,U456,AB456)</f>
        <v>B1.5.3.2STAR</v>
      </c>
      <c r="U456" s="137" t="s">
        <v>230</v>
      </c>
      <c r="V456" s="137" t="str">
        <f>LOOKUP(U456,$B$539:$B$574,$A$539:$A$574)</f>
        <v>IDS Assembly</v>
      </c>
      <c r="AB456" s="33" t="s">
        <v>162</v>
      </c>
      <c r="AC456" s="132">
        <f t="shared" si="1700"/>
        <v>0</v>
      </c>
      <c r="AD456" s="132">
        <f t="shared" si="1701"/>
        <v>32</v>
      </c>
      <c r="AE456" s="132">
        <f t="shared" si="1702"/>
        <v>0</v>
      </c>
      <c r="AF456" s="132">
        <f t="shared" si="1703"/>
        <v>0</v>
      </c>
      <c r="AG456" s="132">
        <f t="shared" si="1704"/>
        <v>0</v>
      </c>
      <c r="AH456" s="234">
        <f>IF($Q456="B", (F456*$N456),0)</f>
        <v>0</v>
      </c>
      <c r="AI456" s="235"/>
      <c r="AJ456" s="132"/>
      <c r="AK456" s="132"/>
      <c r="AL456" s="166"/>
      <c r="AM456" s="131">
        <f t="shared" si="1705"/>
        <v>0</v>
      </c>
      <c r="AN456" s="132">
        <f t="shared" si="1706"/>
        <v>0</v>
      </c>
      <c r="AO456" s="132">
        <f t="shared" si="1707"/>
        <v>0</v>
      </c>
      <c r="AP456" s="132">
        <f t="shared" si="1708"/>
        <v>0</v>
      </c>
      <c r="AQ456" s="132">
        <f t="shared" si="1709"/>
        <v>0</v>
      </c>
      <c r="AR456" s="132">
        <f>IF($Q456="C", (F456*$N456),0)</f>
        <v>0</v>
      </c>
      <c r="AS456" s="235"/>
    </row>
    <row r="457" spans="1:45" s="20" customFormat="1">
      <c r="A457" s="46" t="s">
        <v>491</v>
      </c>
      <c r="B457" s="20" t="s">
        <v>34</v>
      </c>
      <c r="C457" s="165">
        <v>0</v>
      </c>
      <c r="D457" s="96" t="s">
        <v>39</v>
      </c>
      <c r="E457" s="166">
        <v>0</v>
      </c>
      <c r="F457" s="167">
        <f>E457*C457</f>
        <v>0</v>
      </c>
      <c r="G457" s="168">
        <v>0</v>
      </c>
      <c r="H457" s="168">
        <v>40</v>
      </c>
      <c r="I457" s="168">
        <v>0</v>
      </c>
      <c r="J457" s="168">
        <v>0</v>
      </c>
      <c r="K457" s="169">
        <v>0</v>
      </c>
      <c r="L457" s="96" t="s">
        <v>8</v>
      </c>
      <c r="M457" s="166">
        <f>IF(R457="PD",((Shop*G457)+(M_Tech*H457)+(CMM*I457)+(ENG*J457)+(DES*K457))*N457,((Shop_RD*G457)+(MTECH_RD*H457)+(CMM_RD*I457)+(ENG_RD*J457)+(DES_RD*K457))*N457)</f>
        <v>3790.8</v>
      </c>
      <c r="N457" s="92">
        <v>1</v>
      </c>
      <c r="O457" s="170">
        <f>M457+(F457*N457)</f>
        <v>3790.8</v>
      </c>
      <c r="P457" s="170"/>
      <c r="Q457" s="52" t="s">
        <v>47</v>
      </c>
      <c r="R457" s="71" t="s">
        <v>77</v>
      </c>
      <c r="S457" s="137" t="str">
        <f>CONCATENATE(Q457,R457,AB457)</f>
        <v>BPDSTAR</v>
      </c>
      <c r="T457" s="137" t="str">
        <f>CONCATENATE(Q457,U457,AB457)</f>
        <v>B1.5.3.2STAR</v>
      </c>
      <c r="U457" s="137" t="s">
        <v>230</v>
      </c>
      <c r="V457" s="137" t="str">
        <f>LOOKUP(U457,$B$539:$B$574,$A$539:$A$574)</f>
        <v>IDS Assembly</v>
      </c>
      <c r="AB457" s="33" t="s">
        <v>162</v>
      </c>
      <c r="AC457" s="132">
        <f t="shared" si="1700"/>
        <v>0</v>
      </c>
      <c r="AD457" s="132">
        <f t="shared" si="1701"/>
        <v>40</v>
      </c>
      <c r="AE457" s="132">
        <f t="shared" si="1702"/>
        <v>0</v>
      </c>
      <c r="AF457" s="132">
        <f t="shared" si="1703"/>
        <v>0</v>
      </c>
      <c r="AG457" s="132">
        <f t="shared" si="1704"/>
        <v>0</v>
      </c>
      <c r="AH457" s="234">
        <f>IF($Q457="B", (F457*$N457),0)</f>
        <v>0</v>
      </c>
      <c r="AI457" s="235"/>
      <c r="AJ457" s="132"/>
      <c r="AK457" s="132"/>
      <c r="AL457" s="166"/>
      <c r="AM457" s="131">
        <f t="shared" si="1705"/>
        <v>0</v>
      </c>
      <c r="AN457" s="132">
        <f t="shared" si="1706"/>
        <v>0</v>
      </c>
      <c r="AO457" s="132">
        <f t="shared" si="1707"/>
        <v>0</v>
      </c>
      <c r="AP457" s="132">
        <f t="shared" si="1708"/>
        <v>0</v>
      </c>
      <c r="AQ457" s="132">
        <f t="shared" si="1709"/>
        <v>0</v>
      </c>
      <c r="AR457" s="132">
        <f>IF($Q457="C", (F457*$N457),0)</f>
        <v>0</v>
      </c>
      <c r="AS457" s="235"/>
    </row>
    <row r="458" spans="1:45" s="338" customFormat="1">
      <c r="A458" s="21" t="s">
        <v>453</v>
      </c>
      <c r="B458" s="3"/>
      <c r="C458" s="171"/>
      <c r="D458" s="339"/>
      <c r="E458" s="172"/>
      <c r="F458" s="173"/>
      <c r="G458" s="171"/>
      <c r="H458" s="171"/>
      <c r="I458" s="171"/>
      <c r="J458" s="171"/>
      <c r="K458" s="174"/>
      <c r="L458" s="339"/>
      <c r="M458" s="172">
        <f>SUMIF(Q442:Q457,"B",M442:M457)</f>
        <v>60157.08</v>
      </c>
      <c r="N458" s="456" t="s">
        <v>65</v>
      </c>
      <c r="O458" s="456"/>
      <c r="P458" s="459"/>
      <c r="Q458" s="53"/>
      <c r="R458" s="74"/>
      <c r="S458" s="138"/>
      <c r="T458" s="138"/>
      <c r="U458" s="138"/>
      <c r="V458" s="138"/>
      <c r="W458" s="3"/>
      <c r="X458" s="3"/>
      <c r="Y458" s="3"/>
      <c r="Z458" s="3"/>
      <c r="AA458" s="3"/>
      <c r="AB458" s="34"/>
      <c r="AC458" s="5">
        <f>SUM(AC442:AC457)</f>
        <v>0</v>
      </c>
      <c r="AD458" s="5">
        <f>SUM(AD442:AD457)</f>
        <v>404</v>
      </c>
      <c r="AE458" s="5">
        <f>SUM(AE442:AE457)</f>
        <v>0</v>
      </c>
      <c r="AF458" s="5">
        <f>SUM(AF442:AF457)</f>
        <v>180</v>
      </c>
      <c r="AG458" s="5">
        <f>SUM(AG442:AG457)</f>
        <v>0</v>
      </c>
      <c r="AH458" s="172"/>
      <c r="AI458" s="173">
        <f>SUM(AH442:AH457)</f>
        <v>0</v>
      </c>
      <c r="AJ458" s="172">
        <f>(Shop*AC458)+M_Tech*AD458+CMM*AE458+ENG*AF458+DES*AG458+AI458</f>
        <v>60157.08</v>
      </c>
      <c r="AK458" s="172"/>
      <c r="AL458" s="173">
        <f>Shop*AM458+M_Tech*AN458+CMM*AO458+ENG*AP458+DES*AQ458+AS458</f>
        <v>15596.800000000001</v>
      </c>
      <c r="AM458" s="5">
        <f>SUM(AM442:AM457)</f>
        <v>80</v>
      </c>
      <c r="AN458" s="5">
        <f>SUM(AN442:AN457)</f>
        <v>0</v>
      </c>
      <c r="AO458" s="5">
        <f>SUM(AO442:AO457)</f>
        <v>0</v>
      </c>
      <c r="AP458" s="5">
        <f>SUM(AP442:AP457)</f>
        <v>48</v>
      </c>
      <c r="AQ458" s="5">
        <f>SUM(AQ442:AQ457)</f>
        <v>0</v>
      </c>
      <c r="AR458" s="172"/>
      <c r="AS458" s="173">
        <f>SUM(AR442:AR457)</f>
        <v>1600</v>
      </c>
    </row>
    <row r="459" spans="1:45">
      <c r="F459" s="160"/>
      <c r="G459" s="158"/>
      <c r="H459" s="158"/>
      <c r="I459" s="158"/>
      <c r="J459" s="158"/>
      <c r="K459" s="175"/>
      <c r="L459" s="217" t="s">
        <v>66</v>
      </c>
      <c r="M459" s="177">
        <f>SUMIF(Q454:Q457,"B",M454:M457)</f>
        <v>14716.080000000002</v>
      </c>
      <c r="N459" s="65" t="s">
        <v>65</v>
      </c>
      <c r="O459" s="176"/>
      <c r="P459" s="176"/>
      <c r="Q459" s="35"/>
      <c r="R459" s="72"/>
      <c r="S459" s="139"/>
      <c r="T459" s="139"/>
      <c r="U459" s="139"/>
      <c r="V459" s="139"/>
      <c r="W459"/>
      <c r="X459"/>
      <c r="Y459"/>
      <c r="Z459"/>
      <c r="AA459"/>
      <c r="AB459" s="36"/>
      <c r="AC459" s="31"/>
      <c r="AD459" s="31"/>
      <c r="AE459" s="31"/>
      <c r="AF459" s="31"/>
      <c r="AG459" s="31"/>
      <c r="AH459" s="237"/>
      <c r="AI459" s="238"/>
      <c r="AJ459" s="6"/>
      <c r="AK459" s="6"/>
      <c r="AM459" s="32"/>
      <c r="AN459" s="4"/>
      <c r="AO459" s="4"/>
      <c r="AP459" s="4"/>
      <c r="AQ459" s="4"/>
      <c r="AR459" s="4"/>
      <c r="AS459" s="239"/>
    </row>
    <row r="460" spans="1:45" s="20" customFormat="1">
      <c r="A460" s="20" t="s">
        <v>492</v>
      </c>
      <c r="C460" s="165"/>
      <c r="D460" s="96"/>
      <c r="E460" s="166"/>
      <c r="F460" s="167"/>
      <c r="G460" s="168"/>
      <c r="H460" s="168"/>
      <c r="I460" s="168"/>
      <c r="J460" s="168"/>
      <c r="K460" s="169"/>
      <c r="L460" s="96"/>
      <c r="M460" s="166"/>
      <c r="N460" s="92"/>
      <c r="O460" s="267"/>
      <c r="P460" s="267"/>
      <c r="Q460" s="52"/>
      <c r="R460" s="71"/>
      <c r="S460" s="137"/>
      <c r="T460" s="137"/>
      <c r="U460" s="137"/>
      <c r="V460" s="137"/>
      <c r="AB460" s="33"/>
      <c r="AC460" s="132"/>
      <c r="AD460" s="132"/>
      <c r="AE460" s="132"/>
      <c r="AF460" s="132"/>
      <c r="AG460" s="132"/>
      <c r="AH460" s="234"/>
      <c r="AI460" s="235"/>
      <c r="AJ460" s="132"/>
      <c r="AK460" s="132"/>
      <c r="AL460" s="166"/>
      <c r="AM460" s="131"/>
      <c r="AN460" s="132"/>
      <c r="AO460" s="132"/>
      <c r="AP460" s="132"/>
      <c r="AQ460" s="132"/>
      <c r="AR460" s="132"/>
      <c r="AS460" s="235"/>
    </row>
    <row r="461" spans="1:45" s="20" customFormat="1">
      <c r="A461" s="20" t="s">
        <v>17</v>
      </c>
      <c r="B461" s="20" t="s">
        <v>22</v>
      </c>
      <c r="C461" s="165">
        <v>4</v>
      </c>
      <c r="D461" s="96" t="s">
        <v>13</v>
      </c>
      <c r="E461" s="166">
        <v>10</v>
      </c>
      <c r="F461" s="167">
        <f t="shared" ref="F461:F467" si="1710">E461*C461</f>
        <v>40</v>
      </c>
      <c r="G461" s="168">
        <v>0</v>
      </c>
      <c r="H461" s="168">
        <v>0</v>
      </c>
      <c r="I461" s="168">
        <v>0</v>
      </c>
      <c r="J461" s="168">
        <v>0</v>
      </c>
      <c r="K461" s="169">
        <v>0</v>
      </c>
      <c r="L461" s="96" t="s">
        <v>8</v>
      </c>
      <c r="M461" s="166">
        <f t="shared" ref="M461:M467" si="1711">IF(R461="PD",((Shop*G461)+(M_Tech*H461)+(CMM*I461)+(ENG*J461)+(DES*K461))*N461,((Shop_RD*G461)+(MTECH_RD*H461)+(CMM_RD*I461)+(ENG_RD*J461)+(DES_RD*K461))*N461)</f>
        <v>0</v>
      </c>
      <c r="N461" s="92">
        <v>1</v>
      </c>
      <c r="O461" s="170">
        <f t="shared" ref="O461:O467" si="1712">M461+(F461*N461)</f>
        <v>40</v>
      </c>
      <c r="P461" s="267"/>
      <c r="Q461" s="52" t="s">
        <v>47</v>
      </c>
      <c r="R461" s="71" t="s">
        <v>77</v>
      </c>
      <c r="S461" s="137" t="str">
        <f t="shared" ref="S461:S467" si="1713">CONCATENATE(Q461,R461,AB461)</f>
        <v>BPD2012</v>
      </c>
      <c r="T461" s="137" t="str">
        <f t="shared" ref="T461:T467" si="1714">CONCATENATE(Q461,U461,AB461)</f>
        <v>B1.5.1.22012</v>
      </c>
      <c r="U461" s="137" t="s">
        <v>208</v>
      </c>
      <c r="V461" s="137" t="str">
        <f t="shared" ref="V461:V467" si="1715">LOOKUP(U461,$B$539:$B$574,$A$539:$A$574)</f>
        <v>Middle Support Cylinder (MSC)</v>
      </c>
      <c r="AB461" s="33">
        <v>2012</v>
      </c>
      <c r="AC461" s="132">
        <f t="shared" ref="AC461:AC467" si="1716">IF($Q461="B", (G461*$N461),0)</f>
        <v>0</v>
      </c>
      <c r="AD461" s="132">
        <f t="shared" ref="AD461:AD467" si="1717">IF($Q461="B", (H461*$N461),0)</f>
        <v>0</v>
      </c>
      <c r="AE461" s="132">
        <f t="shared" ref="AE461:AE467" si="1718">IF($Q461="B", (I461*$N461),0)</f>
        <v>0</v>
      </c>
      <c r="AF461" s="132">
        <f t="shared" ref="AF461:AF467" si="1719">IF($Q461="B", (J461*$N461),0)</f>
        <v>0</v>
      </c>
      <c r="AG461" s="132">
        <f t="shared" ref="AG461:AG467" si="1720">IF($Q461="B", (K461*$N461),0)</f>
        <v>0</v>
      </c>
      <c r="AH461" s="234">
        <f t="shared" ref="AH461:AH467" si="1721">IF($Q461="B", (F461*$N461),0)</f>
        <v>40</v>
      </c>
      <c r="AI461" s="235"/>
      <c r="AJ461" s="132"/>
      <c r="AK461" s="132"/>
      <c r="AL461" s="166"/>
      <c r="AM461" s="131">
        <f t="shared" ref="AM461:AM467" si="1722">IF($Q461="C", (G461*$N461),0)</f>
        <v>0</v>
      </c>
      <c r="AN461" s="132">
        <f t="shared" ref="AN461:AN467" si="1723">IF($Q461="C", (H461*$N461),0)</f>
        <v>0</v>
      </c>
      <c r="AO461" s="132">
        <f t="shared" ref="AO461:AO467" si="1724">IF($Q461="C", (I461*$N461),0)</f>
        <v>0</v>
      </c>
      <c r="AP461" s="132">
        <f t="shared" ref="AP461:AP467" si="1725">IF($Q461="C", (J461*$N461),0)</f>
        <v>0</v>
      </c>
      <c r="AQ461" s="132">
        <f t="shared" ref="AQ461:AQ467" si="1726">IF($Q461="C", (K461*$N461),0)</f>
        <v>0</v>
      </c>
      <c r="AR461" s="132">
        <f t="shared" ref="AR461:AR467" si="1727">IF($Q461="C", (F461*$N461),0)</f>
        <v>0</v>
      </c>
      <c r="AS461" s="235"/>
    </row>
    <row r="462" spans="1:45" s="20" customFormat="1">
      <c r="A462" s="20" t="s">
        <v>18</v>
      </c>
      <c r="B462" s="20" t="s">
        <v>23</v>
      </c>
      <c r="C462" s="165">
        <v>1</v>
      </c>
      <c r="D462" s="96" t="s">
        <v>24</v>
      </c>
      <c r="E462" s="166">
        <v>100</v>
      </c>
      <c r="F462" s="167">
        <f t="shared" si="1710"/>
        <v>100</v>
      </c>
      <c r="G462" s="168">
        <v>0</v>
      </c>
      <c r="H462" s="168">
        <v>0</v>
      </c>
      <c r="I462" s="168">
        <v>0</v>
      </c>
      <c r="J462" s="168">
        <v>0</v>
      </c>
      <c r="K462" s="169">
        <v>0</v>
      </c>
      <c r="L462" s="96" t="s">
        <v>8</v>
      </c>
      <c r="M462" s="166">
        <f t="shared" si="1711"/>
        <v>0</v>
      </c>
      <c r="N462" s="92">
        <v>1</v>
      </c>
      <c r="O462" s="170">
        <f t="shared" si="1712"/>
        <v>100</v>
      </c>
      <c r="P462" s="267"/>
      <c r="Q462" s="52" t="s">
        <v>47</v>
      </c>
      <c r="R462" s="71" t="s">
        <v>77</v>
      </c>
      <c r="S462" s="137" t="str">
        <f t="shared" si="1713"/>
        <v>BPD2012</v>
      </c>
      <c r="T462" s="137" t="str">
        <f t="shared" si="1714"/>
        <v>B1.5.1.22012</v>
      </c>
      <c r="U462" s="137" t="s">
        <v>208</v>
      </c>
      <c r="V462" s="137" t="str">
        <f t="shared" si="1715"/>
        <v>Middle Support Cylinder (MSC)</v>
      </c>
      <c r="AB462" s="33">
        <v>2012</v>
      </c>
      <c r="AC462" s="132">
        <f t="shared" si="1716"/>
        <v>0</v>
      </c>
      <c r="AD462" s="132">
        <f t="shared" si="1717"/>
        <v>0</v>
      </c>
      <c r="AE462" s="132">
        <f t="shared" si="1718"/>
        <v>0</v>
      </c>
      <c r="AF462" s="132">
        <f t="shared" si="1719"/>
        <v>0</v>
      </c>
      <c r="AG462" s="132">
        <f t="shared" si="1720"/>
        <v>0</v>
      </c>
      <c r="AH462" s="234">
        <f t="shared" si="1721"/>
        <v>100</v>
      </c>
      <c r="AI462" s="235"/>
      <c r="AJ462" s="92"/>
      <c r="AK462" s="92"/>
      <c r="AL462" s="166"/>
      <c r="AM462" s="131">
        <f t="shared" si="1722"/>
        <v>0</v>
      </c>
      <c r="AN462" s="132">
        <f t="shared" si="1723"/>
        <v>0</v>
      </c>
      <c r="AO462" s="132">
        <f t="shared" si="1724"/>
        <v>0</v>
      </c>
      <c r="AP462" s="132">
        <f t="shared" si="1725"/>
        <v>0</v>
      </c>
      <c r="AQ462" s="132">
        <f t="shared" si="1726"/>
        <v>0</v>
      </c>
      <c r="AR462" s="132">
        <f t="shared" si="1727"/>
        <v>0</v>
      </c>
      <c r="AS462" s="235"/>
    </row>
    <row r="463" spans="1:45" s="20" customFormat="1">
      <c r="A463" s="20" t="s">
        <v>19</v>
      </c>
      <c r="B463" s="20" t="s">
        <v>25</v>
      </c>
      <c r="C463" s="165">
        <v>5</v>
      </c>
      <c r="D463" s="96" t="s">
        <v>26</v>
      </c>
      <c r="E463" s="166">
        <v>3</v>
      </c>
      <c r="F463" s="167">
        <f>E463*C463</f>
        <v>15</v>
      </c>
      <c r="G463" s="168">
        <v>0</v>
      </c>
      <c r="H463" s="168">
        <v>0</v>
      </c>
      <c r="I463" s="168">
        <v>0</v>
      </c>
      <c r="J463" s="168">
        <v>0</v>
      </c>
      <c r="K463" s="169">
        <v>0</v>
      </c>
      <c r="L463" s="96" t="s">
        <v>8</v>
      </c>
      <c r="M463" s="166">
        <f t="shared" si="1711"/>
        <v>0</v>
      </c>
      <c r="N463" s="92">
        <v>1</v>
      </c>
      <c r="O463" s="170">
        <f t="shared" si="1712"/>
        <v>15</v>
      </c>
      <c r="P463" s="267"/>
      <c r="Q463" s="52" t="s">
        <v>47</v>
      </c>
      <c r="R463" s="71" t="s">
        <v>77</v>
      </c>
      <c r="S463" s="137" t="str">
        <f t="shared" si="1713"/>
        <v>BPD2012</v>
      </c>
      <c r="T463" s="137" t="str">
        <f t="shared" si="1714"/>
        <v>B1.5.1.22012</v>
      </c>
      <c r="U463" s="137" t="s">
        <v>208</v>
      </c>
      <c r="V463" s="137" t="str">
        <f t="shared" si="1715"/>
        <v>Middle Support Cylinder (MSC)</v>
      </c>
      <c r="AB463" s="33">
        <v>2012</v>
      </c>
      <c r="AC463" s="132">
        <f t="shared" si="1716"/>
        <v>0</v>
      </c>
      <c r="AD463" s="132">
        <f t="shared" si="1717"/>
        <v>0</v>
      </c>
      <c r="AE463" s="132">
        <f t="shared" si="1718"/>
        <v>0</v>
      </c>
      <c r="AF463" s="132">
        <f t="shared" si="1719"/>
        <v>0</v>
      </c>
      <c r="AG463" s="132">
        <f t="shared" si="1720"/>
        <v>0</v>
      </c>
      <c r="AH463" s="234">
        <f t="shared" si="1721"/>
        <v>15</v>
      </c>
      <c r="AI463" s="235"/>
      <c r="AJ463" s="92"/>
      <c r="AK463" s="92"/>
      <c r="AL463" s="166"/>
      <c r="AM463" s="131">
        <f t="shared" si="1722"/>
        <v>0</v>
      </c>
      <c r="AN463" s="132">
        <f t="shared" si="1723"/>
        <v>0</v>
      </c>
      <c r="AO463" s="132">
        <f t="shared" si="1724"/>
        <v>0</v>
      </c>
      <c r="AP463" s="132">
        <f t="shared" si="1725"/>
        <v>0</v>
      </c>
      <c r="AQ463" s="132">
        <f t="shared" si="1726"/>
        <v>0</v>
      </c>
      <c r="AR463" s="132">
        <f t="shared" si="1727"/>
        <v>0</v>
      </c>
      <c r="AS463" s="235"/>
    </row>
    <row r="464" spans="1:45" s="20" customFormat="1">
      <c r="A464" s="20" t="s">
        <v>68</v>
      </c>
      <c r="B464" s="20" t="s">
        <v>23</v>
      </c>
      <c r="C464" s="165">
        <v>1</v>
      </c>
      <c r="D464" s="96" t="s">
        <v>24</v>
      </c>
      <c r="E464" s="166">
        <v>150</v>
      </c>
      <c r="F464" s="167">
        <f t="shared" si="1710"/>
        <v>150</v>
      </c>
      <c r="G464" s="168">
        <v>0</v>
      </c>
      <c r="H464" s="168">
        <v>5</v>
      </c>
      <c r="I464" s="168">
        <v>0</v>
      </c>
      <c r="J464" s="168">
        <v>0</v>
      </c>
      <c r="K464" s="169">
        <v>0</v>
      </c>
      <c r="L464" s="96" t="s">
        <v>8</v>
      </c>
      <c r="M464" s="166">
        <f t="shared" si="1711"/>
        <v>473.85</v>
      </c>
      <c r="N464" s="92">
        <v>1</v>
      </c>
      <c r="O464" s="170">
        <f t="shared" si="1712"/>
        <v>623.85</v>
      </c>
      <c r="P464" s="267"/>
      <c r="Q464" s="52" t="s">
        <v>47</v>
      </c>
      <c r="R464" s="71" t="s">
        <v>77</v>
      </c>
      <c r="S464" s="137" t="str">
        <f t="shared" si="1713"/>
        <v>BPD2012</v>
      </c>
      <c r="T464" s="137" t="str">
        <f t="shared" si="1714"/>
        <v>B1.5.1.22012</v>
      </c>
      <c r="U464" s="137" t="s">
        <v>208</v>
      </c>
      <c r="V464" s="137" t="str">
        <f t="shared" si="1715"/>
        <v>Middle Support Cylinder (MSC)</v>
      </c>
      <c r="AB464" s="33">
        <v>2012</v>
      </c>
      <c r="AC464" s="132">
        <f t="shared" si="1716"/>
        <v>0</v>
      </c>
      <c r="AD464" s="132">
        <f t="shared" si="1717"/>
        <v>5</v>
      </c>
      <c r="AE464" s="132">
        <f t="shared" si="1718"/>
        <v>0</v>
      </c>
      <c r="AF464" s="132">
        <f t="shared" si="1719"/>
        <v>0</v>
      </c>
      <c r="AG464" s="132">
        <f t="shared" si="1720"/>
        <v>0</v>
      </c>
      <c r="AH464" s="234">
        <f t="shared" si="1721"/>
        <v>150</v>
      </c>
      <c r="AI464" s="235"/>
      <c r="AJ464" s="132"/>
      <c r="AK464" s="132"/>
      <c r="AL464" s="166"/>
      <c r="AM464" s="131">
        <f t="shared" si="1722"/>
        <v>0</v>
      </c>
      <c r="AN464" s="132">
        <f t="shared" si="1723"/>
        <v>0</v>
      </c>
      <c r="AO464" s="132">
        <f t="shared" si="1724"/>
        <v>0</v>
      </c>
      <c r="AP464" s="132">
        <f t="shared" si="1725"/>
        <v>0</v>
      </c>
      <c r="AQ464" s="132">
        <f t="shared" si="1726"/>
        <v>0</v>
      </c>
      <c r="AR464" s="132">
        <f t="shared" si="1727"/>
        <v>0</v>
      </c>
      <c r="AS464" s="235"/>
    </row>
    <row r="465" spans="1:45" s="20" customFormat="1">
      <c r="A465" s="20" t="s">
        <v>67</v>
      </c>
      <c r="B465" s="20" t="s">
        <v>27</v>
      </c>
      <c r="C465" s="165">
        <v>1</v>
      </c>
      <c r="D465" s="96" t="s">
        <v>28</v>
      </c>
      <c r="E465" s="166">
        <v>50</v>
      </c>
      <c r="F465" s="167">
        <f t="shared" si="1710"/>
        <v>50</v>
      </c>
      <c r="G465" s="168">
        <v>4</v>
      </c>
      <c r="H465" s="168">
        <v>0</v>
      </c>
      <c r="I465" s="168">
        <v>0</v>
      </c>
      <c r="J465" s="168">
        <v>0</v>
      </c>
      <c r="K465" s="169">
        <v>0</v>
      </c>
      <c r="L465" s="96" t="s">
        <v>8</v>
      </c>
      <c r="M465" s="166">
        <f t="shared" si="1711"/>
        <v>408.24</v>
      </c>
      <c r="N465" s="92">
        <v>1</v>
      </c>
      <c r="O465" s="170">
        <f t="shared" si="1712"/>
        <v>458.24</v>
      </c>
      <c r="P465" s="267"/>
      <c r="Q465" s="52" t="s">
        <v>47</v>
      </c>
      <c r="R465" s="71" t="s">
        <v>77</v>
      </c>
      <c r="S465" s="137" t="str">
        <f t="shared" si="1713"/>
        <v>BPD2012</v>
      </c>
      <c r="T465" s="137" t="str">
        <f t="shared" si="1714"/>
        <v>B1.5.1.22012</v>
      </c>
      <c r="U465" s="137" t="s">
        <v>208</v>
      </c>
      <c r="V465" s="137" t="str">
        <f t="shared" si="1715"/>
        <v>Middle Support Cylinder (MSC)</v>
      </c>
      <c r="AB465" s="33">
        <v>2012</v>
      </c>
      <c r="AC465" s="132">
        <f t="shared" si="1716"/>
        <v>4</v>
      </c>
      <c r="AD465" s="132">
        <f t="shared" si="1717"/>
        <v>0</v>
      </c>
      <c r="AE465" s="132">
        <f t="shared" si="1718"/>
        <v>0</v>
      </c>
      <c r="AF465" s="132">
        <f t="shared" si="1719"/>
        <v>0</v>
      </c>
      <c r="AG465" s="132">
        <f t="shared" si="1720"/>
        <v>0</v>
      </c>
      <c r="AH465" s="234">
        <f t="shared" si="1721"/>
        <v>50</v>
      </c>
      <c r="AI465" s="235"/>
      <c r="AJ465" s="92"/>
      <c r="AK465" s="92"/>
      <c r="AL465" s="166"/>
      <c r="AM465" s="131">
        <f t="shared" si="1722"/>
        <v>0</v>
      </c>
      <c r="AN465" s="132">
        <f t="shared" si="1723"/>
        <v>0</v>
      </c>
      <c r="AO465" s="132">
        <f t="shared" si="1724"/>
        <v>0</v>
      </c>
      <c r="AP465" s="132">
        <f t="shared" si="1725"/>
        <v>0</v>
      </c>
      <c r="AQ465" s="132">
        <f t="shared" si="1726"/>
        <v>0</v>
      </c>
      <c r="AR465" s="132">
        <f t="shared" si="1727"/>
        <v>0</v>
      </c>
      <c r="AS465" s="235"/>
    </row>
    <row r="466" spans="1:45" s="20" customFormat="1">
      <c r="A466" s="20" t="s">
        <v>20</v>
      </c>
      <c r="B466" s="20" t="s">
        <v>34</v>
      </c>
      <c r="C466" s="165"/>
      <c r="D466" s="96"/>
      <c r="E466" s="166">
        <v>0</v>
      </c>
      <c r="F466" s="167">
        <f t="shared" si="1710"/>
        <v>0</v>
      </c>
      <c r="G466" s="168">
        <v>0</v>
      </c>
      <c r="H466" s="168">
        <v>8</v>
      </c>
      <c r="I466" s="168">
        <v>0</v>
      </c>
      <c r="J466" s="168">
        <v>0</v>
      </c>
      <c r="K466" s="169">
        <v>0</v>
      </c>
      <c r="L466" s="96" t="s">
        <v>8</v>
      </c>
      <c r="M466" s="166">
        <f t="shared" si="1711"/>
        <v>758.16000000000008</v>
      </c>
      <c r="N466" s="92">
        <v>1</v>
      </c>
      <c r="O466" s="170">
        <f t="shared" si="1712"/>
        <v>758.16000000000008</v>
      </c>
      <c r="P466" s="267"/>
      <c r="Q466" s="52" t="s">
        <v>47</v>
      </c>
      <c r="R466" s="71" t="s">
        <v>77</v>
      </c>
      <c r="S466" s="137" t="str">
        <f t="shared" si="1713"/>
        <v>BPD2012</v>
      </c>
      <c r="T466" s="137" t="str">
        <f t="shared" si="1714"/>
        <v>B1.5.1.22012</v>
      </c>
      <c r="U466" s="137" t="s">
        <v>208</v>
      </c>
      <c r="V466" s="137" t="str">
        <f t="shared" si="1715"/>
        <v>Middle Support Cylinder (MSC)</v>
      </c>
      <c r="AB466" s="33">
        <v>2012</v>
      </c>
      <c r="AC466" s="132">
        <f t="shared" si="1716"/>
        <v>0</v>
      </c>
      <c r="AD466" s="132">
        <f t="shared" si="1717"/>
        <v>8</v>
      </c>
      <c r="AE466" s="132">
        <f t="shared" si="1718"/>
        <v>0</v>
      </c>
      <c r="AF466" s="132">
        <f t="shared" si="1719"/>
        <v>0</v>
      </c>
      <c r="AG466" s="132">
        <f t="shared" si="1720"/>
        <v>0</v>
      </c>
      <c r="AH466" s="234">
        <f t="shared" si="1721"/>
        <v>0</v>
      </c>
      <c r="AI466" s="235"/>
      <c r="AJ466" s="132"/>
      <c r="AK466" s="132"/>
      <c r="AL466" s="166"/>
      <c r="AM466" s="131">
        <f t="shared" si="1722"/>
        <v>0</v>
      </c>
      <c r="AN466" s="132">
        <f t="shared" si="1723"/>
        <v>0</v>
      </c>
      <c r="AO466" s="132">
        <f t="shared" si="1724"/>
        <v>0</v>
      </c>
      <c r="AP466" s="132">
        <f t="shared" si="1725"/>
        <v>0</v>
      </c>
      <c r="AQ466" s="132">
        <f t="shared" si="1726"/>
        <v>0</v>
      </c>
      <c r="AR466" s="132">
        <f t="shared" si="1727"/>
        <v>0</v>
      </c>
      <c r="AS466" s="235"/>
    </row>
    <row r="467" spans="1:45" s="20" customFormat="1">
      <c r="A467" s="20" t="s">
        <v>21</v>
      </c>
      <c r="B467" s="20" t="s">
        <v>33</v>
      </c>
      <c r="C467" s="165">
        <v>1</v>
      </c>
      <c r="D467" s="96"/>
      <c r="E467" s="166">
        <v>1500</v>
      </c>
      <c r="F467" s="167">
        <f t="shared" si="1710"/>
        <v>1500</v>
      </c>
      <c r="G467" s="168">
        <v>0</v>
      </c>
      <c r="H467" s="168">
        <v>0</v>
      </c>
      <c r="I467" s="168">
        <v>0</v>
      </c>
      <c r="J467" s="168">
        <v>0</v>
      </c>
      <c r="K467" s="169">
        <v>0</v>
      </c>
      <c r="L467" s="96" t="s">
        <v>8</v>
      </c>
      <c r="M467" s="166">
        <f t="shared" si="1711"/>
        <v>0</v>
      </c>
      <c r="N467" s="92">
        <v>1</v>
      </c>
      <c r="O467" s="170">
        <f t="shared" si="1712"/>
        <v>1500</v>
      </c>
      <c r="P467" s="267"/>
      <c r="Q467" s="52" t="s">
        <v>47</v>
      </c>
      <c r="R467" s="71" t="s">
        <v>77</v>
      </c>
      <c r="S467" s="137" t="str">
        <f t="shared" si="1713"/>
        <v>BPD2012</v>
      </c>
      <c r="T467" s="137" t="str">
        <f t="shared" si="1714"/>
        <v>B1.5.1.22012</v>
      </c>
      <c r="U467" s="137" t="s">
        <v>208</v>
      </c>
      <c r="V467" s="137" t="str">
        <f t="shared" si="1715"/>
        <v>Middle Support Cylinder (MSC)</v>
      </c>
      <c r="AB467" s="33">
        <v>2012</v>
      </c>
      <c r="AC467" s="132">
        <f t="shared" si="1716"/>
        <v>0</v>
      </c>
      <c r="AD467" s="132">
        <f t="shared" si="1717"/>
        <v>0</v>
      </c>
      <c r="AE467" s="132">
        <f t="shared" si="1718"/>
        <v>0</v>
      </c>
      <c r="AF467" s="132">
        <f t="shared" si="1719"/>
        <v>0</v>
      </c>
      <c r="AG467" s="132">
        <f t="shared" si="1720"/>
        <v>0</v>
      </c>
      <c r="AH467" s="234">
        <f t="shared" si="1721"/>
        <v>1500</v>
      </c>
      <c r="AI467" s="271"/>
      <c r="AJ467" s="92"/>
      <c r="AK467" s="92"/>
      <c r="AL467" s="166"/>
      <c r="AM467" s="272">
        <f t="shared" si="1722"/>
        <v>0</v>
      </c>
      <c r="AN467" s="273">
        <f t="shared" si="1723"/>
        <v>0</v>
      </c>
      <c r="AO467" s="273">
        <f t="shared" si="1724"/>
        <v>0</v>
      </c>
      <c r="AP467" s="273">
        <f t="shared" si="1725"/>
        <v>0</v>
      </c>
      <c r="AQ467" s="273">
        <f t="shared" si="1726"/>
        <v>0</v>
      </c>
      <c r="AR467" s="273">
        <f t="shared" si="1727"/>
        <v>0</v>
      </c>
      <c r="AS467" s="271"/>
    </row>
    <row r="468" spans="1:45" s="20" customFormat="1">
      <c r="A468" s="20" t="s">
        <v>494</v>
      </c>
      <c r="C468" s="165"/>
      <c r="D468" s="96"/>
      <c r="E468" s="166"/>
      <c r="F468" s="167"/>
      <c r="G468" s="168"/>
      <c r="H468" s="168"/>
      <c r="I468" s="168"/>
      <c r="J468" s="168"/>
      <c r="K468" s="169"/>
      <c r="L468" s="96"/>
      <c r="M468" s="177">
        <f>SUMIF(Q461:Q467,"B",M461:M467)</f>
        <v>1640.25</v>
      </c>
      <c r="N468" s="92" t="s">
        <v>279</v>
      </c>
      <c r="O468" s="267"/>
      <c r="P468" s="267"/>
      <c r="Q468" s="52"/>
      <c r="R468" s="71"/>
      <c r="S468" s="137"/>
      <c r="T468" s="137"/>
      <c r="U468" s="137"/>
      <c r="V468" s="137"/>
      <c r="AB468" s="33"/>
      <c r="AC468" s="132"/>
      <c r="AD468" s="132"/>
      <c r="AE468" s="132"/>
      <c r="AF468" s="132"/>
      <c r="AG468" s="132"/>
      <c r="AH468" s="234"/>
      <c r="AI468" s="235"/>
      <c r="AJ468" s="132"/>
      <c r="AK468" s="132"/>
      <c r="AL468" s="166"/>
      <c r="AM468" s="131"/>
      <c r="AN468" s="132"/>
      <c r="AO468" s="132"/>
      <c r="AP468" s="132"/>
      <c r="AQ468" s="132"/>
      <c r="AR468" s="132"/>
      <c r="AS468" s="235"/>
    </row>
    <row r="469" spans="1:45" s="20" customFormat="1">
      <c r="A469" s="20" t="s">
        <v>17</v>
      </c>
      <c r="B469" s="20" t="s">
        <v>22</v>
      </c>
      <c r="C469" s="165">
        <v>4</v>
      </c>
      <c r="D469" s="96" t="s">
        <v>13</v>
      </c>
      <c r="E469" s="166">
        <v>10</v>
      </c>
      <c r="F469" s="167">
        <f t="shared" ref="F469:F470" si="1728">E469*C469</f>
        <v>40</v>
      </c>
      <c r="G469" s="168">
        <v>0</v>
      </c>
      <c r="H469" s="168">
        <v>0</v>
      </c>
      <c r="I469" s="168">
        <v>0</v>
      </c>
      <c r="J469" s="168">
        <v>0</v>
      </c>
      <c r="K469" s="169">
        <v>0</v>
      </c>
      <c r="L469" s="96" t="s">
        <v>8</v>
      </c>
      <c r="M469" s="166">
        <f t="shared" ref="M469:M475" si="1729">IF(R469="PD",((Shop*G469)+(M_Tech*H469)+(CMM*I469)+(ENG*J469)+(DES*K469))*N469,((Shop_RD*G469)+(MTECH_RD*H469)+(CMM_RD*I469)+(ENG_RD*J469)+(DES_RD*K469))*N469)</f>
        <v>0</v>
      </c>
      <c r="N469" s="92">
        <v>2</v>
      </c>
      <c r="O469" s="170">
        <f t="shared" ref="O469:O475" si="1730">M469+(F469*N469)</f>
        <v>80</v>
      </c>
      <c r="P469" s="267"/>
      <c r="Q469" s="52" t="s">
        <v>47</v>
      </c>
      <c r="R469" s="71" t="s">
        <v>77</v>
      </c>
      <c r="S469" s="137" t="str">
        <f t="shared" ref="S469:S475" si="1731">CONCATENATE(Q469,R469,AB469)</f>
        <v>BPD2012</v>
      </c>
      <c r="T469" s="137" t="str">
        <f t="shared" ref="T469:T475" si="1732">CONCATENATE(Q469,U469,AB469)</f>
        <v>B1.5.3.12012</v>
      </c>
      <c r="U469" s="137" t="s">
        <v>229</v>
      </c>
      <c r="V469" s="137" t="str">
        <f t="shared" ref="V469:V475" si="1733">LOOKUP(U469,$B$539:$B$574,$A$539:$A$574)</f>
        <v>MSC Assembly</v>
      </c>
      <c r="AB469" s="33">
        <v>2012</v>
      </c>
      <c r="AC469" s="132">
        <f t="shared" ref="AC469:AC475" si="1734">IF($Q469="B", (G469*$N469),0)</f>
        <v>0</v>
      </c>
      <c r="AD469" s="132">
        <f t="shared" ref="AD469:AD475" si="1735">IF($Q469="B", (H469*$N469),0)</f>
        <v>0</v>
      </c>
      <c r="AE469" s="132">
        <f t="shared" ref="AE469:AE475" si="1736">IF($Q469="B", (I469*$N469),0)</f>
        <v>0</v>
      </c>
      <c r="AF469" s="132">
        <f t="shared" ref="AF469:AF475" si="1737">IF($Q469="B", (J469*$N469),0)</f>
        <v>0</v>
      </c>
      <c r="AG469" s="132">
        <f t="shared" ref="AG469:AG475" si="1738">IF($Q469="B", (K469*$N469),0)</f>
        <v>0</v>
      </c>
      <c r="AH469" s="234">
        <f t="shared" ref="AH469:AH475" si="1739">IF($Q469="B", (F469*$N469),0)</f>
        <v>80</v>
      </c>
      <c r="AI469" s="235"/>
      <c r="AJ469" s="132"/>
      <c r="AK469" s="132"/>
      <c r="AL469" s="166"/>
      <c r="AM469" s="131">
        <f t="shared" ref="AM469:AM475" si="1740">IF($Q469="C", (G469*$N469),0)</f>
        <v>0</v>
      </c>
      <c r="AN469" s="132">
        <f t="shared" ref="AN469:AN475" si="1741">IF($Q469="C", (H469*$N469),0)</f>
        <v>0</v>
      </c>
      <c r="AO469" s="132">
        <f t="shared" ref="AO469:AO475" si="1742">IF($Q469="C", (I469*$N469),0)</f>
        <v>0</v>
      </c>
      <c r="AP469" s="132">
        <f t="shared" ref="AP469:AP475" si="1743">IF($Q469="C", (J469*$N469),0)</f>
        <v>0</v>
      </c>
      <c r="AQ469" s="132">
        <f t="shared" ref="AQ469:AQ475" si="1744">IF($Q469="C", (K469*$N469),0)</f>
        <v>0</v>
      </c>
      <c r="AR469" s="132">
        <f t="shared" ref="AR469:AR475" si="1745">IF($Q469="C", (F469*$N469),0)</f>
        <v>0</v>
      </c>
      <c r="AS469" s="235"/>
    </row>
    <row r="470" spans="1:45" s="20" customFormat="1">
      <c r="A470" s="20" t="s">
        <v>18</v>
      </c>
      <c r="B470" s="20" t="s">
        <v>23</v>
      </c>
      <c r="C470" s="165">
        <v>1</v>
      </c>
      <c r="D470" s="96" t="s">
        <v>24</v>
      </c>
      <c r="E470" s="166">
        <v>100</v>
      </c>
      <c r="F470" s="167">
        <f t="shared" si="1728"/>
        <v>100</v>
      </c>
      <c r="G470" s="168">
        <v>0</v>
      </c>
      <c r="H470" s="168">
        <v>0</v>
      </c>
      <c r="I470" s="168">
        <v>0</v>
      </c>
      <c r="J470" s="168">
        <v>0</v>
      </c>
      <c r="K470" s="169">
        <v>0</v>
      </c>
      <c r="L470" s="96" t="s">
        <v>8</v>
      </c>
      <c r="M470" s="166">
        <f t="shared" si="1729"/>
        <v>0</v>
      </c>
      <c r="N470" s="92">
        <v>2</v>
      </c>
      <c r="O470" s="170">
        <f t="shared" si="1730"/>
        <v>200</v>
      </c>
      <c r="P470" s="267"/>
      <c r="Q470" s="52" t="s">
        <v>47</v>
      </c>
      <c r="R470" s="71" t="s">
        <v>77</v>
      </c>
      <c r="S470" s="137" t="str">
        <f t="shared" si="1731"/>
        <v>BPD2012</v>
      </c>
      <c r="T470" s="137" t="str">
        <f t="shared" si="1732"/>
        <v>B1.5.3.12012</v>
      </c>
      <c r="U470" s="137" t="s">
        <v>229</v>
      </c>
      <c r="V470" s="137" t="str">
        <f t="shared" si="1733"/>
        <v>MSC Assembly</v>
      </c>
      <c r="AB470" s="33">
        <v>2012</v>
      </c>
      <c r="AC470" s="132">
        <f t="shared" si="1734"/>
        <v>0</v>
      </c>
      <c r="AD470" s="132">
        <f t="shared" si="1735"/>
        <v>0</v>
      </c>
      <c r="AE470" s="132">
        <f t="shared" si="1736"/>
        <v>0</v>
      </c>
      <c r="AF470" s="132">
        <f t="shared" si="1737"/>
        <v>0</v>
      </c>
      <c r="AG470" s="132">
        <f t="shared" si="1738"/>
        <v>0</v>
      </c>
      <c r="AH470" s="234">
        <f t="shared" si="1739"/>
        <v>200</v>
      </c>
      <c r="AI470" s="235"/>
      <c r="AJ470" s="92"/>
      <c r="AK470" s="92"/>
      <c r="AL470" s="166"/>
      <c r="AM470" s="131">
        <f t="shared" si="1740"/>
        <v>0</v>
      </c>
      <c r="AN470" s="132">
        <f t="shared" si="1741"/>
        <v>0</v>
      </c>
      <c r="AO470" s="132">
        <f t="shared" si="1742"/>
        <v>0</v>
      </c>
      <c r="AP470" s="132">
        <f t="shared" si="1743"/>
        <v>0</v>
      </c>
      <c r="AQ470" s="132">
        <f t="shared" si="1744"/>
        <v>0</v>
      </c>
      <c r="AR470" s="132">
        <f t="shared" si="1745"/>
        <v>0</v>
      </c>
      <c r="AS470" s="235"/>
    </row>
    <row r="471" spans="1:45" s="20" customFormat="1">
      <c r="A471" s="20" t="s">
        <v>19</v>
      </c>
      <c r="B471" s="20" t="s">
        <v>25</v>
      </c>
      <c r="C471" s="165">
        <v>5</v>
      </c>
      <c r="D471" s="96" t="s">
        <v>26</v>
      </c>
      <c r="E471" s="166">
        <v>3</v>
      </c>
      <c r="F471" s="167">
        <f>E471*C471</f>
        <v>15</v>
      </c>
      <c r="G471" s="168">
        <v>0</v>
      </c>
      <c r="H471" s="168">
        <v>0</v>
      </c>
      <c r="I471" s="168">
        <v>0</v>
      </c>
      <c r="J471" s="168">
        <v>0</v>
      </c>
      <c r="K471" s="169">
        <v>0</v>
      </c>
      <c r="L471" s="96" t="s">
        <v>8</v>
      </c>
      <c r="M471" s="166">
        <f t="shared" si="1729"/>
        <v>0</v>
      </c>
      <c r="N471" s="92">
        <v>2</v>
      </c>
      <c r="O471" s="170">
        <f t="shared" si="1730"/>
        <v>30</v>
      </c>
      <c r="P471" s="267"/>
      <c r="Q471" s="52" t="s">
        <v>47</v>
      </c>
      <c r="R471" s="71" t="s">
        <v>77</v>
      </c>
      <c r="S471" s="137" t="str">
        <f t="shared" si="1731"/>
        <v>BPD2012</v>
      </c>
      <c r="T471" s="137" t="str">
        <f t="shared" si="1732"/>
        <v>B1.5.3.12012</v>
      </c>
      <c r="U471" s="137" t="s">
        <v>229</v>
      </c>
      <c r="V471" s="137" t="str">
        <f t="shared" si="1733"/>
        <v>MSC Assembly</v>
      </c>
      <c r="AB471" s="33">
        <v>2012</v>
      </c>
      <c r="AC471" s="132">
        <f t="shared" si="1734"/>
        <v>0</v>
      </c>
      <c r="AD471" s="132">
        <f t="shared" si="1735"/>
        <v>0</v>
      </c>
      <c r="AE471" s="132">
        <f t="shared" si="1736"/>
        <v>0</v>
      </c>
      <c r="AF471" s="132">
        <f t="shared" si="1737"/>
        <v>0</v>
      </c>
      <c r="AG471" s="132">
        <f t="shared" si="1738"/>
        <v>0</v>
      </c>
      <c r="AH471" s="234">
        <f t="shared" si="1739"/>
        <v>30</v>
      </c>
      <c r="AI471" s="235"/>
      <c r="AJ471" s="92"/>
      <c r="AK471" s="92"/>
      <c r="AL471" s="166"/>
      <c r="AM471" s="131">
        <f t="shared" si="1740"/>
        <v>0</v>
      </c>
      <c r="AN471" s="132">
        <f t="shared" si="1741"/>
        <v>0</v>
      </c>
      <c r="AO471" s="132">
        <f t="shared" si="1742"/>
        <v>0</v>
      </c>
      <c r="AP471" s="132">
        <f t="shared" si="1743"/>
        <v>0</v>
      </c>
      <c r="AQ471" s="132">
        <f t="shared" si="1744"/>
        <v>0</v>
      </c>
      <c r="AR471" s="132">
        <f t="shared" si="1745"/>
        <v>0</v>
      </c>
      <c r="AS471" s="235"/>
    </row>
    <row r="472" spans="1:45" s="20" customFormat="1">
      <c r="A472" s="20" t="s">
        <v>68</v>
      </c>
      <c r="B472" s="20" t="s">
        <v>23</v>
      </c>
      <c r="C472" s="165">
        <v>1</v>
      </c>
      <c r="D472" s="96" t="s">
        <v>24</v>
      </c>
      <c r="E472" s="166">
        <v>150</v>
      </c>
      <c r="F472" s="167">
        <f t="shared" ref="F472:F475" si="1746">E472*C472</f>
        <v>150</v>
      </c>
      <c r="G472" s="168">
        <v>0</v>
      </c>
      <c r="H472" s="168">
        <v>5</v>
      </c>
      <c r="I472" s="168">
        <v>0</v>
      </c>
      <c r="J472" s="168">
        <v>0</v>
      </c>
      <c r="K472" s="169">
        <v>0</v>
      </c>
      <c r="L472" s="96" t="s">
        <v>8</v>
      </c>
      <c r="M472" s="166">
        <f t="shared" si="1729"/>
        <v>947.7</v>
      </c>
      <c r="N472" s="92">
        <v>2</v>
      </c>
      <c r="O472" s="170">
        <f t="shared" si="1730"/>
        <v>1247.7</v>
      </c>
      <c r="P472" s="267"/>
      <c r="Q472" s="52" t="s">
        <v>47</v>
      </c>
      <c r="R472" s="71" t="s">
        <v>77</v>
      </c>
      <c r="S472" s="137" t="str">
        <f t="shared" si="1731"/>
        <v>BPD2012</v>
      </c>
      <c r="T472" s="137" t="str">
        <f t="shared" si="1732"/>
        <v>B1.5.3.12012</v>
      </c>
      <c r="U472" s="137" t="s">
        <v>229</v>
      </c>
      <c r="V472" s="137" t="str">
        <f t="shared" si="1733"/>
        <v>MSC Assembly</v>
      </c>
      <c r="AB472" s="33">
        <v>2012</v>
      </c>
      <c r="AC472" s="132">
        <f t="shared" si="1734"/>
        <v>0</v>
      </c>
      <c r="AD472" s="132">
        <f t="shared" si="1735"/>
        <v>10</v>
      </c>
      <c r="AE472" s="132">
        <f t="shared" si="1736"/>
        <v>0</v>
      </c>
      <c r="AF472" s="132">
        <f t="shared" si="1737"/>
        <v>0</v>
      </c>
      <c r="AG472" s="132">
        <f t="shared" si="1738"/>
        <v>0</v>
      </c>
      <c r="AH472" s="234">
        <f t="shared" si="1739"/>
        <v>300</v>
      </c>
      <c r="AI472" s="235"/>
      <c r="AJ472" s="132"/>
      <c r="AK472" s="132"/>
      <c r="AL472" s="166"/>
      <c r="AM472" s="131">
        <f t="shared" si="1740"/>
        <v>0</v>
      </c>
      <c r="AN472" s="132">
        <f t="shared" si="1741"/>
        <v>0</v>
      </c>
      <c r="AO472" s="132">
        <f t="shared" si="1742"/>
        <v>0</v>
      </c>
      <c r="AP472" s="132">
        <f t="shared" si="1743"/>
        <v>0</v>
      </c>
      <c r="AQ472" s="132">
        <f t="shared" si="1744"/>
        <v>0</v>
      </c>
      <c r="AR472" s="132">
        <f t="shared" si="1745"/>
        <v>0</v>
      </c>
      <c r="AS472" s="235"/>
    </row>
    <row r="473" spans="1:45" s="20" customFormat="1">
      <c r="A473" s="20" t="s">
        <v>67</v>
      </c>
      <c r="B473" s="20" t="s">
        <v>27</v>
      </c>
      <c r="C473" s="165">
        <v>1</v>
      </c>
      <c r="D473" s="96" t="s">
        <v>28</v>
      </c>
      <c r="E473" s="166">
        <v>50</v>
      </c>
      <c r="F473" s="167">
        <f t="shared" si="1746"/>
        <v>50</v>
      </c>
      <c r="G473" s="168">
        <v>4</v>
      </c>
      <c r="H473" s="168">
        <v>0</v>
      </c>
      <c r="I473" s="168">
        <v>0</v>
      </c>
      <c r="J473" s="168">
        <v>0</v>
      </c>
      <c r="K473" s="169">
        <v>0</v>
      </c>
      <c r="L473" s="96" t="s">
        <v>8</v>
      </c>
      <c r="M473" s="166">
        <f t="shared" si="1729"/>
        <v>816.48</v>
      </c>
      <c r="N473" s="92">
        <v>2</v>
      </c>
      <c r="O473" s="170">
        <f t="shared" si="1730"/>
        <v>916.48</v>
      </c>
      <c r="P473" s="267"/>
      <c r="Q473" s="52" t="s">
        <v>47</v>
      </c>
      <c r="R473" s="71" t="s">
        <v>77</v>
      </c>
      <c r="S473" s="137" t="str">
        <f t="shared" si="1731"/>
        <v>BPD2012</v>
      </c>
      <c r="T473" s="137" t="str">
        <f t="shared" si="1732"/>
        <v>B1.5.3.12012</v>
      </c>
      <c r="U473" s="137" t="s">
        <v>229</v>
      </c>
      <c r="V473" s="137" t="str">
        <f t="shared" si="1733"/>
        <v>MSC Assembly</v>
      </c>
      <c r="AB473" s="33">
        <v>2012</v>
      </c>
      <c r="AC473" s="132">
        <f t="shared" si="1734"/>
        <v>8</v>
      </c>
      <c r="AD473" s="132">
        <f t="shared" si="1735"/>
        <v>0</v>
      </c>
      <c r="AE473" s="132">
        <f t="shared" si="1736"/>
        <v>0</v>
      </c>
      <c r="AF473" s="132">
        <f t="shared" si="1737"/>
        <v>0</v>
      </c>
      <c r="AG473" s="132">
        <f t="shared" si="1738"/>
        <v>0</v>
      </c>
      <c r="AH473" s="234">
        <f t="shared" si="1739"/>
        <v>100</v>
      </c>
      <c r="AI473" s="235"/>
      <c r="AJ473" s="92"/>
      <c r="AK473" s="92"/>
      <c r="AL473" s="166"/>
      <c r="AM473" s="131">
        <f t="shared" si="1740"/>
        <v>0</v>
      </c>
      <c r="AN473" s="132">
        <f t="shared" si="1741"/>
        <v>0</v>
      </c>
      <c r="AO473" s="132">
        <f t="shared" si="1742"/>
        <v>0</v>
      </c>
      <c r="AP473" s="132">
        <f t="shared" si="1743"/>
        <v>0</v>
      </c>
      <c r="AQ473" s="132">
        <f t="shared" si="1744"/>
        <v>0</v>
      </c>
      <c r="AR473" s="132">
        <f t="shared" si="1745"/>
        <v>0</v>
      </c>
      <c r="AS473" s="235"/>
    </row>
    <row r="474" spans="1:45" s="20" customFormat="1">
      <c r="A474" s="20" t="s">
        <v>20</v>
      </c>
      <c r="B474" s="20" t="s">
        <v>34</v>
      </c>
      <c r="C474" s="165"/>
      <c r="D474" s="96"/>
      <c r="E474" s="166">
        <v>0</v>
      </c>
      <c r="F474" s="167">
        <f t="shared" si="1746"/>
        <v>0</v>
      </c>
      <c r="G474" s="168">
        <v>0</v>
      </c>
      <c r="H474" s="168">
        <v>8</v>
      </c>
      <c r="I474" s="168">
        <v>0</v>
      </c>
      <c r="J474" s="168">
        <v>0</v>
      </c>
      <c r="K474" s="169">
        <v>0</v>
      </c>
      <c r="L474" s="96" t="s">
        <v>8</v>
      </c>
      <c r="M474" s="166">
        <f t="shared" si="1729"/>
        <v>1516.3200000000002</v>
      </c>
      <c r="N474" s="92">
        <v>2</v>
      </c>
      <c r="O474" s="170">
        <f t="shared" si="1730"/>
        <v>1516.3200000000002</v>
      </c>
      <c r="P474" s="267"/>
      <c r="Q474" s="52" t="s">
        <v>47</v>
      </c>
      <c r="R474" s="71" t="s">
        <v>77</v>
      </c>
      <c r="S474" s="137" t="str">
        <f t="shared" si="1731"/>
        <v>BPD2012</v>
      </c>
      <c r="T474" s="137" t="str">
        <f t="shared" si="1732"/>
        <v>B1.5.3.12012</v>
      </c>
      <c r="U474" s="137" t="s">
        <v>229</v>
      </c>
      <c r="V474" s="137" t="str">
        <f t="shared" si="1733"/>
        <v>MSC Assembly</v>
      </c>
      <c r="AB474" s="33">
        <v>2012</v>
      </c>
      <c r="AC474" s="132">
        <f t="shared" si="1734"/>
        <v>0</v>
      </c>
      <c r="AD474" s="132">
        <f t="shared" si="1735"/>
        <v>16</v>
      </c>
      <c r="AE474" s="132">
        <f t="shared" si="1736"/>
        <v>0</v>
      </c>
      <c r="AF474" s="132">
        <f t="shared" si="1737"/>
        <v>0</v>
      </c>
      <c r="AG474" s="132">
        <f t="shared" si="1738"/>
        <v>0</v>
      </c>
      <c r="AH474" s="234">
        <f t="shared" si="1739"/>
        <v>0</v>
      </c>
      <c r="AI474" s="235"/>
      <c r="AJ474" s="132"/>
      <c r="AK474" s="132"/>
      <c r="AL474" s="166"/>
      <c r="AM474" s="131">
        <f t="shared" si="1740"/>
        <v>0</v>
      </c>
      <c r="AN474" s="132">
        <f t="shared" si="1741"/>
        <v>0</v>
      </c>
      <c r="AO474" s="132">
        <f t="shared" si="1742"/>
        <v>0</v>
      </c>
      <c r="AP474" s="132">
        <f t="shared" si="1743"/>
        <v>0</v>
      </c>
      <c r="AQ474" s="132">
        <f t="shared" si="1744"/>
        <v>0</v>
      </c>
      <c r="AR474" s="132">
        <f t="shared" si="1745"/>
        <v>0</v>
      </c>
      <c r="AS474" s="235"/>
    </row>
    <row r="475" spans="1:45" s="20" customFormat="1">
      <c r="A475" s="20" t="s">
        <v>21</v>
      </c>
      <c r="B475" s="20" t="s">
        <v>33</v>
      </c>
      <c r="C475" s="165">
        <v>1</v>
      </c>
      <c r="D475" s="96"/>
      <c r="E475" s="166">
        <v>1500</v>
      </c>
      <c r="F475" s="167">
        <f t="shared" si="1746"/>
        <v>1500</v>
      </c>
      <c r="G475" s="168">
        <v>0</v>
      </c>
      <c r="H475" s="168">
        <v>0</v>
      </c>
      <c r="I475" s="168">
        <v>0</v>
      </c>
      <c r="J475" s="168">
        <v>0</v>
      </c>
      <c r="K475" s="169">
        <v>0</v>
      </c>
      <c r="L475" s="96" t="s">
        <v>8</v>
      </c>
      <c r="M475" s="166">
        <f t="shared" si="1729"/>
        <v>0</v>
      </c>
      <c r="N475" s="92">
        <v>2</v>
      </c>
      <c r="O475" s="170">
        <f t="shared" si="1730"/>
        <v>3000</v>
      </c>
      <c r="P475" s="267"/>
      <c r="Q475" s="52" t="s">
        <v>47</v>
      </c>
      <c r="R475" s="71" t="s">
        <v>77</v>
      </c>
      <c r="S475" s="137" t="str">
        <f t="shared" si="1731"/>
        <v>BPD2012</v>
      </c>
      <c r="T475" s="137" t="str">
        <f t="shared" si="1732"/>
        <v>B1.5.3.12012</v>
      </c>
      <c r="U475" s="137" t="s">
        <v>229</v>
      </c>
      <c r="V475" s="137" t="str">
        <f t="shared" si="1733"/>
        <v>MSC Assembly</v>
      </c>
      <c r="AB475" s="33">
        <v>2012</v>
      </c>
      <c r="AC475" s="132">
        <f t="shared" si="1734"/>
        <v>0</v>
      </c>
      <c r="AD475" s="132">
        <f t="shared" si="1735"/>
        <v>0</v>
      </c>
      <c r="AE475" s="132">
        <f t="shared" si="1736"/>
        <v>0</v>
      </c>
      <c r="AF475" s="132">
        <f t="shared" si="1737"/>
        <v>0</v>
      </c>
      <c r="AG475" s="132">
        <f t="shared" si="1738"/>
        <v>0</v>
      </c>
      <c r="AH475" s="234">
        <f t="shared" si="1739"/>
        <v>3000</v>
      </c>
      <c r="AI475" s="271"/>
      <c r="AJ475" s="92"/>
      <c r="AK475" s="92"/>
      <c r="AL475" s="166"/>
      <c r="AM475" s="272">
        <f t="shared" si="1740"/>
        <v>0</v>
      </c>
      <c r="AN475" s="273">
        <f t="shared" si="1741"/>
        <v>0</v>
      </c>
      <c r="AO475" s="273">
        <f t="shared" si="1742"/>
        <v>0</v>
      </c>
      <c r="AP475" s="273">
        <f t="shared" si="1743"/>
        <v>0</v>
      </c>
      <c r="AQ475" s="273">
        <f t="shared" si="1744"/>
        <v>0</v>
      </c>
      <c r="AR475" s="273">
        <f t="shared" si="1745"/>
        <v>0</v>
      </c>
      <c r="AS475" s="271"/>
    </row>
    <row r="476" spans="1:45" s="20" customFormat="1">
      <c r="A476" s="20" t="s">
        <v>493</v>
      </c>
      <c r="C476" s="165"/>
      <c r="D476" s="96"/>
      <c r="E476" s="166"/>
      <c r="F476" s="167"/>
      <c r="G476" s="168"/>
      <c r="H476" s="168"/>
      <c r="I476" s="168"/>
      <c r="J476" s="168"/>
      <c r="K476" s="169"/>
      <c r="L476" s="96"/>
      <c r="M476" s="177">
        <f>SUMIF(Q469:Q475,"B",M469:M475)</f>
        <v>3280.5</v>
      </c>
      <c r="N476" s="92" t="s">
        <v>279</v>
      </c>
      <c r="O476" s="267"/>
      <c r="P476" s="267"/>
      <c r="Q476" s="52"/>
      <c r="R476" s="71"/>
      <c r="S476" s="137"/>
      <c r="T476" s="137"/>
      <c r="U476" s="137"/>
      <c r="V476" s="137"/>
      <c r="AB476" s="33"/>
      <c r="AC476" s="132"/>
      <c r="AD476" s="132"/>
      <c r="AE476" s="132"/>
      <c r="AF476" s="132"/>
      <c r="AG476" s="132"/>
      <c r="AH476" s="234"/>
      <c r="AI476" s="235"/>
      <c r="AJ476" s="132"/>
      <c r="AK476" s="132"/>
      <c r="AL476" s="166"/>
      <c r="AM476" s="131"/>
      <c r="AN476" s="132"/>
      <c r="AO476" s="132"/>
      <c r="AP476" s="132"/>
      <c r="AQ476" s="132"/>
      <c r="AR476" s="132"/>
      <c r="AS476" s="235"/>
    </row>
    <row r="477" spans="1:45" s="20" customFormat="1">
      <c r="A477" s="20" t="s">
        <v>17</v>
      </c>
      <c r="B477" s="20" t="s">
        <v>22</v>
      </c>
      <c r="C477" s="165">
        <v>4</v>
      </c>
      <c r="D477" s="96" t="s">
        <v>13</v>
      </c>
      <c r="E477" s="166">
        <v>10</v>
      </c>
      <c r="F477" s="167">
        <f t="shared" ref="F477:F478" si="1747">E477*C477</f>
        <v>40</v>
      </c>
      <c r="G477" s="168">
        <v>0</v>
      </c>
      <c r="H477" s="168">
        <v>0</v>
      </c>
      <c r="I477" s="168">
        <v>0</v>
      </c>
      <c r="J477" s="168">
        <v>0</v>
      </c>
      <c r="K477" s="169">
        <v>0</v>
      </c>
      <c r="L477" s="96" t="s">
        <v>8</v>
      </c>
      <c r="M477" s="166">
        <f t="shared" ref="M477:M483" si="1748">IF(R477="PD",((Shop*G477)+(M_Tech*H477)+(CMM*I477)+(ENG*J477)+(DES*K477))*N477,((Shop_RD*G477)+(MTECH_RD*H477)+(CMM_RD*I477)+(ENG_RD*J477)+(DES_RD*K477))*N477)</f>
        <v>0</v>
      </c>
      <c r="N477" s="92">
        <v>1</v>
      </c>
      <c r="O477" s="170">
        <f t="shared" ref="O477:O483" si="1749">M477+(F477*N477)</f>
        <v>40</v>
      </c>
      <c r="P477" s="267"/>
      <c r="Q477" s="52" t="s">
        <v>47</v>
      </c>
      <c r="R477" s="71" t="s">
        <v>77</v>
      </c>
      <c r="S477" s="137" t="str">
        <f t="shared" ref="S477:S483" si="1750">CONCATENATE(Q477,R477,AB477)</f>
        <v>BPD2013</v>
      </c>
      <c r="T477" s="137" t="str">
        <f t="shared" ref="T477:T483" si="1751">CONCATENATE(Q477,U477,AB477)</f>
        <v>B1.5.1.22013</v>
      </c>
      <c r="U477" s="137" t="s">
        <v>208</v>
      </c>
      <c r="V477" s="137" t="str">
        <f t="shared" ref="V477:V483" si="1752">LOOKUP(U477,$B$539:$B$574,$A$539:$A$574)</f>
        <v>Middle Support Cylinder (MSC)</v>
      </c>
      <c r="AB477" s="33">
        <v>2013</v>
      </c>
      <c r="AC477" s="132">
        <f t="shared" ref="AC477:AC483" si="1753">IF($Q477="B", (G477*$N477),0)</f>
        <v>0</v>
      </c>
      <c r="AD477" s="132">
        <f t="shared" ref="AD477:AD483" si="1754">IF($Q477="B", (H477*$N477),0)</f>
        <v>0</v>
      </c>
      <c r="AE477" s="132">
        <f t="shared" ref="AE477:AE483" si="1755">IF($Q477="B", (I477*$N477),0)</f>
        <v>0</v>
      </c>
      <c r="AF477" s="132">
        <f t="shared" ref="AF477:AF483" si="1756">IF($Q477="B", (J477*$N477),0)</f>
        <v>0</v>
      </c>
      <c r="AG477" s="132">
        <f t="shared" ref="AG477:AG483" si="1757">IF($Q477="B", (K477*$N477),0)</f>
        <v>0</v>
      </c>
      <c r="AH477" s="234">
        <f t="shared" ref="AH477:AH483" si="1758">IF($Q477="B", (F477*$N477),0)</f>
        <v>40</v>
      </c>
      <c r="AI477" s="235"/>
      <c r="AJ477" s="132"/>
      <c r="AK477" s="132"/>
      <c r="AL477" s="166"/>
      <c r="AM477" s="131">
        <f t="shared" ref="AM477:AM483" si="1759">IF($Q477="C", (G477*$N477),0)</f>
        <v>0</v>
      </c>
      <c r="AN477" s="132">
        <f t="shared" ref="AN477:AN483" si="1760">IF($Q477="C", (H477*$N477),0)</f>
        <v>0</v>
      </c>
      <c r="AO477" s="132">
        <f t="shared" ref="AO477:AO483" si="1761">IF($Q477="C", (I477*$N477),0)</f>
        <v>0</v>
      </c>
      <c r="AP477" s="132">
        <f t="shared" ref="AP477:AP483" si="1762">IF($Q477="C", (J477*$N477),0)</f>
        <v>0</v>
      </c>
      <c r="AQ477" s="132">
        <f t="shared" ref="AQ477:AQ483" si="1763">IF($Q477="C", (K477*$N477),0)</f>
        <v>0</v>
      </c>
      <c r="AR477" s="132">
        <f t="shared" ref="AR477:AR483" si="1764">IF($Q477="C", (F477*$N477),0)</f>
        <v>0</v>
      </c>
      <c r="AS477" s="235"/>
    </row>
    <row r="478" spans="1:45" s="20" customFormat="1">
      <c r="A478" s="20" t="s">
        <v>18</v>
      </c>
      <c r="B478" s="20" t="s">
        <v>23</v>
      </c>
      <c r="C478" s="165">
        <v>1</v>
      </c>
      <c r="D478" s="96" t="s">
        <v>24</v>
      </c>
      <c r="E478" s="166">
        <v>100</v>
      </c>
      <c r="F478" s="167">
        <f t="shared" si="1747"/>
        <v>100</v>
      </c>
      <c r="G478" s="168">
        <v>0</v>
      </c>
      <c r="H478" s="168">
        <v>0</v>
      </c>
      <c r="I478" s="168">
        <v>0</v>
      </c>
      <c r="J478" s="168">
        <v>0</v>
      </c>
      <c r="K478" s="169">
        <v>0</v>
      </c>
      <c r="L478" s="96" t="s">
        <v>8</v>
      </c>
      <c r="M478" s="166">
        <f t="shared" si="1748"/>
        <v>0</v>
      </c>
      <c r="N478" s="92">
        <v>1</v>
      </c>
      <c r="O478" s="170">
        <f t="shared" si="1749"/>
        <v>100</v>
      </c>
      <c r="P478" s="267"/>
      <c r="Q478" s="52" t="s">
        <v>47</v>
      </c>
      <c r="R478" s="71" t="s">
        <v>77</v>
      </c>
      <c r="S478" s="137" t="str">
        <f t="shared" si="1750"/>
        <v>BPD2013</v>
      </c>
      <c r="T478" s="137" t="str">
        <f t="shared" si="1751"/>
        <v>B1.5.1.22013</v>
      </c>
      <c r="U478" s="137" t="s">
        <v>208</v>
      </c>
      <c r="V478" s="137" t="str">
        <f t="shared" si="1752"/>
        <v>Middle Support Cylinder (MSC)</v>
      </c>
      <c r="AB478" s="33">
        <v>2013</v>
      </c>
      <c r="AC478" s="132">
        <f t="shared" si="1753"/>
        <v>0</v>
      </c>
      <c r="AD478" s="132">
        <f t="shared" si="1754"/>
        <v>0</v>
      </c>
      <c r="AE478" s="132">
        <f t="shared" si="1755"/>
        <v>0</v>
      </c>
      <c r="AF478" s="132">
        <f t="shared" si="1756"/>
        <v>0</v>
      </c>
      <c r="AG478" s="132">
        <f t="shared" si="1757"/>
        <v>0</v>
      </c>
      <c r="AH478" s="234">
        <f t="shared" si="1758"/>
        <v>100</v>
      </c>
      <c r="AI478" s="235"/>
      <c r="AJ478" s="92"/>
      <c r="AK478" s="92"/>
      <c r="AL478" s="166"/>
      <c r="AM478" s="131">
        <f t="shared" si="1759"/>
        <v>0</v>
      </c>
      <c r="AN478" s="132">
        <f t="shared" si="1760"/>
        <v>0</v>
      </c>
      <c r="AO478" s="132">
        <f t="shared" si="1761"/>
        <v>0</v>
      </c>
      <c r="AP478" s="132">
        <f t="shared" si="1762"/>
        <v>0</v>
      </c>
      <c r="AQ478" s="132">
        <f t="shared" si="1763"/>
        <v>0</v>
      </c>
      <c r="AR478" s="132">
        <f t="shared" si="1764"/>
        <v>0</v>
      </c>
      <c r="AS478" s="235"/>
    </row>
    <row r="479" spans="1:45" s="20" customFormat="1">
      <c r="A479" s="20" t="s">
        <v>19</v>
      </c>
      <c r="B479" s="20" t="s">
        <v>25</v>
      </c>
      <c r="C479" s="165">
        <v>5</v>
      </c>
      <c r="D479" s="96" t="s">
        <v>26</v>
      </c>
      <c r="E479" s="166">
        <v>3</v>
      </c>
      <c r="F479" s="167">
        <f>E479*C479</f>
        <v>15</v>
      </c>
      <c r="G479" s="168">
        <v>0</v>
      </c>
      <c r="H479" s="168">
        <v>0</v>
      </c>
      <c r="I479" s="168">
        <v>0</v>
      </c>
      <c r="J479" s="168">
        <v>0</v>
      </c>
      <c r="K479" s="169">
        <v>0</v>
      </c>
      <c r="L479" s="96" t="s">
        <v>8</v>
      </c>
      <c r="M479" s="166">
        <f t="shared" si="1748"/>
        <v>0</v>
      </c>
      <c r="N479" s="92">
        <v>1</v>
      </c>
      <c r="O479" s="170">
        <f t="shared" si="1749"/>
        <v>15</v>
      </c>
      <c r="P479" s="267"/>
      <c r="Q479" s="52" t="s">
        <v>47</v>
      </c>
      <c r="R479" s="71" t="s">
        <v>77</v>
      </c>
      <c r="S479" s="137" t="str">
        <f t="shared" si="1750"/>
        <v>BPD2013</v>
      </c>
      <c r="T479" s="137" t="str">
        <f t="shared" si="1751"/>
        <v>B1.5.1.22013</v>
      </c>
      <c r="U479" s="137" t="s">
        <v>208</v>
      </c>
      <c r="V479" s="137" t="str">
        <f t="shared" si="1752"/>
        <v>Middle Support Cylinder (MSC)</v>
      </c>
      <c r="AB479" s="33">
        <v>2013</v>
      </c>
      <c r="AC479" s="132">
        <f t="shared" si="1753"/>
        <v>0</v>
      </c>
      <c r="AD479" s="132">
        <f t="shared" si="1754"/>
        <v>0</v>
      </c>
      <c r="AE479" s="132">
        <f t="shared" si="1755"/>
        <v>0</v>
      </c>
      <c r="AF479" s="132">
        <f t="shared" si="1756"/>
        <v>0</v>
      </c>
      <c r="AG479" s="132">
        <f t="shared" si="1757"/>
        <v>0</v>
      </c>
      <c r="AH479" s="234">
        <f t="shared" si="1758"/>
        <v>15</v>
      </c>
      <c r="AI479" s="235"/>
      <c r="AJ479" s="92"/>
      <c r="AK479" s="92"/>
      <c r="AL479" s="166"/>
      <c r="AM479" s="131">
        <f t="shared" si="1759"/>
        <v>0</v>
      </c>
      <c r="AN479" s="132">
        <f t="shared" si="1760"/>
        <v>0</v>
      </c>
      <c r="AO479" s="132">
        <f t="shared" si="1761"/>
        <v>0</v>
      </c>
      <c r="AP479" s="132">
        <f t="shared" si="1762"/>
        <v>0</v>
      </c>
      <c r="AQ479" s="132">
        <f t="shared" si="1763"/>
        <v>0</v>
      </c>
      <c r="AR479" s="132">
        <f t="shared" si="1764"/>
        <v>0</v>
      </c>
      <c r="AS479" s="235"/>
    </row>
    <row r="480" spans="1:45" s="20" customFormat="1">
      <c r="A480" s="20" t="s">
        <v>68</v>
      </c>
      <c r="B480" s="20" t="s">
        <v>23</v>
      </c>
      <c r="C480" s="165">
        <v>1</v>
      </c>
      <c r="D480" s="96" t="s">
        <v>24</v>
      </c>
      <c r="E480" s="166">
        <v>150</v>
      </c>
      <c r="F480" s="167">
        <f t="shared" ref="F480:F483" si="1765">E480*C480</f>
        <v>150</v>
      </c>
      <c r="G480" s="168">
        <v>0</v>
      </c>
      <c r="H480" s="168">
        <v>5</v>
      </c>
      <c r="I480" s="168">
        <v>0</v>
      </c>
      <c r="J480" s="168">
        <v>0</v>
      </c>
      <c r="K480" s="169">
        <v>0</v>
      </c>
      <c r="L480" s="96" t="s">
        <v>8</v>
      </c>
      <c r="M480" s="166">
        <f t="shared" si="1748"/>
        <v>473.85</v>
      </c>
      <c r="N480" s="92">
        <v>1</v>
      </c>
      <c r="O480" s="170">
        <f t="shared" si="1749"/>
        <v>623.85</v>
      </c>
      <c r="P480" s="267"/>
      <c r="Q480" s="52" t="s">
        <v>47</v>
      </c>
      <c r="R480" s="71" t="s">
        <v>77</v>
      </c>
      <c r="S480" s="137" t="str">
        <f t="shared" si="1750"/>
        <v>BPD2013</v>
      </c>
      <c r="T480" s="137" t="str">
        <f t="shared" si="1751"/>
        <v>B1.5.1.22013</v>
      </c>
      <c r="U480" s="137" t="s">
        <v>208</v>
      </c>
      <c r="V480" s="137" t="str">
        <f t="shared" si="1752"/>
        <v>Middle Support Cylinder (MSC)</v>
      </c>
      <c r="AB480" s="33">
        <v>2013</v>
      </c>
      <c r="AC480" s="132">
        <f t="shared" si="1753"/>
        <v>0</v>
      </c>
      <c r="AD480" s="132">
        <f t="shared" si="1754"/>
        <v>5</v>
      </c>
      <c r="AE480" s="132">
        <f t="shared" si="1755"/>
        <v>0</v>
      </c>
      <c r="AF480" s="132">
        <f t="shared" si="1756"/>
        <v>0</v>
      </c>
      <c r="AG480" s="132">
        <f t="shared" si="1757"/>
        <v>0</v>
      </c>
      <c r="AH480" s="234">
        <f t="shared" si="1758"/>
        <v>150</v>
      </c>
      <c r="AI480" s="235"/>
      <c r="AJ480" s="132"/>
      <c r="AK480" s="132"/>
      <c r="AL480" s="166"/>
      <c r="AM480" s="131">
        <f t="shared" si="1759"/>
        <v>0</v>
      </c>
      <c r="AN480" s="132">
        <f t="shared" si="1760"/>
        <v>0</v>
      </c>
      <c r="AO480" s="132">
        <f t="shared" si="1761"/>
        <v>0</v>
      </c>
      <c r="AP480" s="132">
        <f t="shared" si="1762"/>
        <v>0</v>
      </c>
      <c r="AQ480" s="132">
        <f t="shared" si="1763"/>
        <v>0</v>
      </c>
      <c r="AR480" s="132">
        <f t="shared" si="1764"/>
        <v>0</v>
      </c>
      <c r="AS480" s="235"/>
    </row>
    <row r="481" spans="1:45" s="20" customFormat="1">
      <c r="A481" s="20" t="s">
        <v>67</v>
      </c>
      <c r="B481" s="20" t="s">
        <v>27</v>
      </c>
      <c r="C481" s="165">
        <v>1</v>
      </c>
      <c r="D481" s="96" t="s">
        <v>28</v>
      </c>
      <c r="E481" s="166">
        <v>50</v>
      </c>
      <c r="F481" s="167">
        <f t="shared" si="1765"/>
        <v>50</v>
      </c>
      <c r="G481" s="168">
        <v>4</v>
      </c>
      <c r="H481" s="168">
        <v>0</v>
      </c>
      <c r="I481" s="168">
        <v>0</v>
      </c>
      <c r="J481" s="168">
        <v>0</v>
      </c>
      <c r="K481" s="169">
        <v>0</v>
      </c>
      <c r="L481" s="96" t="s">
        <v>8</v>
      </c>
      <c r="M481" s="166">
        <f t="shared" si="1748"/>
        <v>408.24</v>
      </c>
      <c r="N481" s="92">
        <v>1</v>
      </c>
      <c r="O481" s="170">
        <f t="shared" si="1749"/>
        <v>458.24</v>
      </c>
      <c r="P481" s="267"/>
      <c r="Q481" s="52" t="s">
        <v>47</v>
      </c>
      <c r="R481" s="71" t="s">
        <v>77</v>
      </c>
      <c r="S481" s="137" t="str">
        <f t="shared" si="1750"/>
        <v>BPD2013</v>
      </c>
      <c r="T481" s="137" t="str">
        <f t="shared" si="1751"/>
        <v>B1.5.1.22013</v>
      </c>
      <c r="U481" s="137" t="s">
        <v>208</v>
      </c>
      <c r="V481" s="137" t="str">
        <f t="shared" si="1752"/>
        <v>Middle Support Cylinder (MSC)</v>
      </c>
      <c r="AB481" s="33">
        <v>2013</v>
      </c>
      <c r="AC481" s="132">
        <f t="shared" si="1753"/>
        <v>4</v>
      </c>
      <c r="AD481" s="132">
        <f t="shared" si="1754"/>
        <v>0</v>
      </c>
      <c r="AE481" s="132">
        <f t="shared" si="1755"/>
        <v>0</v>
      </c>
      <c r="AF481" s="132">
        <f t="shared" si="1756"/>
        <v>0</v>
      </c>
      <c r="AG481" s="132">
        <f t="shared" si="1757"/>
        <v>0</v>
      </c>
      <c r="AH481" s="234">
        <f t="shared" si="1758"/>
        <v>50</v>
      </c>
      <c r="AI481" s="235"/>
      <c r="AJ481" s="92"/>
      <c r="AK481" s="92"/>
      <c r="AL481" s="166"/>
      <c r="AM481" s="131">
        <f t="shared" si="1759"/>
        <v>0</v>
      </c>
      <c r="AN481" s="132">
        <f t="shared" si="1760"/>
        <v>0</v>
      </c>
      <c r="AO481" s="132">
        <f t="shared" si="1761"/>
        <v>0</v>
      </c>
      <c r="AP481" s="132">
        <f t="shared" si="1762"/>
        <v>0</v>
      </c>
      <c r="AQ481" s="132">
        <f t="shared" si="1763"/>
        <v>0</v>
      </c>
      <c r="AR481" s="132">
        <f t="shared" si="1764"/>
        <v>0</v>
      </c>
      <c r="AS481" s="235"/>
    </row>
    <row r="482" spans="1:45" s="20" customFormat="1">
      <c r="A482" s="20" t="s">
        <v>20</v>
      </c>
      <c r="B482" s="20" t="s">
        <v>34</v>
      </c>
      <c r="C482" s="165"/>
      <c r="D482" s="96"/>
      <c r="E482" s="166">
        <v>0</v>
      </c>
      <c r="F482" s="167">
        <f t="shared" si="1765"/>
        <v>0</v>
      </c>
      <c r="G482" s="168">
        <v>0</v>
      </c>
      <c r="H482" s="168">
        <v>8</v>
      </c>
      <c r="I482" s="168">
        <v>0</v>
      </c>
      <c r="J482" s="168">
        <v>0</v>
      </c>
      <c r="K482" s="169">
        <v>0</v>
      </c>
      <c r="L482" s="96" t="s">
        <v>8</v>
      </c>
      <c r="M482" s="166">
        <f t="shared" si="1748"/>
        <v>758.16000000000008</v>
      </c>
      <c r="N482" s="92">
        <v>1</v>
      </c>
      <c r="O482" s="170">
        <f t="shared" si="1749"/>
        <v>758.16000000000008</v>
      </c>
      <c r="P482" s="267"/>
      <c r="Q482" s="52" t="s">
        <v>47</v>
      </c>
      <c r="R482" s="71" t="s">
        <v>77</v>
      </c>
      <c r="S482" s="137" t="str">
        <f t="shared" si="1750"/>
        <v>BPD2013</v>
      </c>
      <c r="T482" s="137" t="str">
        <f t="shared" si="1751"/>
        <v>B1.5.1.22013</v>
      </c>
      <c r="U482" s="137" t="s">
        <v>208</v>
      </c>
      <c r="V482" s="137" t="str">
        <f t="shared" si="1752"/>
        <v>Middle Support Cylinder (MSC)</v>
      </c>
      <c r="AB482" s="33">
        <v>2013</v>
      </c>
      <c r="AC482" s="132">
        <f t="shared" si="1753"/>
        <v>0</v>
      </c>
      <c r="AD482" s="132">
        <f t="shared" si="1754"/>
        <v>8</v>
      </c>
      <c r="AE482" s="132">
        <f t="shared" si="1755"/>
        <v>0</v>
      </c>
      <c r="AF482" s="132">
        <f t="shared" si="1756"/>
        <v>0</v>
      </c>
      <c r="AG482" s="132">
        <f t="shared" si="1757"/>
        <v>0</v>
      </c>
      <c r="AH482" s="234">
        <f t="shared" si="1758"/>
        <v>0</v>
      </c>
      <c r="AI482" s="235"/>
      <c r="AJ482" s="132"/>
      <c r="AK482" s="132"/>
      <c r="AL482" s="166"/>
      <c r="AM482" s="131">
        <f t="shared" si="1759"/>
        <v>0</v>
      </c>
      <c r="AN482" s="132">
        <f t="shared" si="1760"/>
        <v>0</v>
      </c>
      <c r="AO482" s="132">
        <f t="shared" si="1761"/>
        <v>0</v>
      </c>
      <c r="AP482" s="132">
        <f t="shared" si="1762"/>
        <v>0</v>
      </c>
      <c r="AQ482" s="132">
        <f t="shared" si="1763"/>
        <v>0</v>
      </c>
      <c r="AR482" s="132">
        <f t="shared" si="1764"/>
        <v>0</v>
      </c>
      <c r="AS482" s="235"/>
    </row>
    <row r="483" spans="1:45" s="20" customFormat="1">
      <c r="A483" s="20" t="s">
        <v>21</v>
      </c>
      <c r="B483" s="20" t="s">
        <v>33</v>
      </c>
      <c r="C483" s="165">
        <v>1</v>
      </c>
      <c r="D483" s="96"/>
      <c r="E483" s="166">
        <v>1500</v>
      </c>
      <c r="F483" s="167">
        <f t="shared" si="1765"/>
        <v>1500</v>
      </c>
      <c r="G483" s="168">
        <v>0</v>
      </c>
      <c r="H483" s="168">
        <v>0</v>
      </c>
      <c r="I483" s="168">
        <v>0</v>
      </c>
      <c r="J483" s="168">
        <v>0</v>
      </c>
      <c r="K483" s="169">
        <v>0</v>
      </c>
      <c r="L483" s="96" t="s">
        <v>8</v>
      </c>
      <c r="M483" s="166">
        <f t="shared" si="1748"/>
        <v>0</v>
      </c>
      <c r="N483" s="92">
        <v>1</v>
      </c>
      <c r="O483" s="170">
        <f t="shared" si="1749"/>
        <v>1500</v>
      </c>
      <c r="P483" s="267"/>
      <c r="Q483" s="52" t="s">
        <v>47</v>
      </c>
      <c r="R483" s="71" t="s">
        <v>77</v>
      </c>
      <c r="S483" s="137" t="str">
        <f t="shared" si="1750"/>
        <v>BPD2013</v>
      </c>
      <c r="T483" s="137" t="str">
        <f t="shared" si="1751"/>
        <v>B1.5.1.22013</v>
      </c>
      <c r="U483" s="137" t="s">
        <v>208</v>
      </c>
      <c r="V483" s="137" t="str">
        <f t="shared" si="1752"/>
        <v>Middle Support Cylinder (MSC)</v>
      </c>
      <c r="AB483" s="33">
        <v>2013</v>
      </c>
      <c r="AC483" s="132">
        <f t="shared" si="1753"/>
        <v>0</v>
      </c>
      <c r="AD483" s="132">
        <f t="shared" si="1754"/>
        <v>0</v>
      </c>
      <c r="AE483" s="132">
        <f t="shared" si="1755"/>
        <v>0</v>
      </c>
      <c r="AF483" s="132">
        <f t="shared" si="1756"/>
        <v>0</v>
      </c>
      <c r="AG483" s="132">
        <f t="shared" si="1757"/>
        <v>0</v>
      </c>
      <c r="AH483" s="234">
        <f t="shared" si="1758"/>
        <v>1500</v>
      </c>
      <c r="AI483" s="271"/>
      <c r="AJ483" s="92"/>
      <c r="AK483" s="92"/>
      <c r="AL483" s="166"/>
      <c r="AM483" s="272">
        <f t="shared" si="1759"/>
        <v>0</v>
      </c>
      <c r="AN483" s="273">
        <f t="shared" si="1760"/>
        <v>0</v>
      </c>
      <c r="AO483" s="273">
        <f t="shared" si="1761"/>
        <v>0</v>
      </c>
      <c r="AP483" s="273">
        <f t="shared" si="1762"/>
        <v>0</v>
      </c>
      <c r="AQ483" s="273">
        <f t="shared" si="1763"/>
        <v>0</v>
      </c>
      <c r="AR483" s="273">
        <f t="shared" si="1764"/>
        <v>0</v>
      </c>
      <c r="AS483" s="271"/>
    </row>
    <row r="484" spans="1:45" s="20" customFormat="1">
      <c r="A484" s="20" t="s">
        <v>495</v>
      </c>
      <c r="C484" s="165"/>
      <c r="D484" s="96"/>
      <c r="E484" s="166"/>
      <c r="F484" s="167"/>
      <c r="G484" s="168"/>
      <c r="H484" s="168"/>
      <c r="I484" s="168"/>
      <c r="J484" s="168"/>
      <c r="K484" s="169"/>
      <c r="L484" s="96"/>
      <c r="M484" s="177">
        <f>SUMIF(Q477:Q483,"B",M477:M483)</f>
        <v>1640.25</v>
      </c>
      <c r="N484" s="92" t="s">
        <v>279</v>
      </c>
      <c r="O484" s="267"/>
      <c r="P484" s="267"/>
      <c r="Q484" s="52"/>
      <c r="R484" s="71"/>
      <c r="S484" s="137"/>
      <c r="T484" s="137"/>
      <c r="U484" s="137"/>
      <c r="V484" s="137"/>
      <c r="AB484" s="33"/>
      <c r="AC484" s="132"/>
      <c r="AD484" s="132"/>
      <c r="AE484" s="132"/>
      <c r="AF484" s="132"/>
      <c r="AG484" s="132"/>
      <c r="AH484" s="234"/>
      <c r="AI484" s="235"/>
      <c r="AJ484" s="132"/>
      <c r="AK484" s="132"/>
      <c r="AL484" s="166"/>
      <c r="AM484" s="131"/>
      <c r="AN484" s="132"/>
      <c r="AO484" s="132"/>
      <c r="AP484" s="132"/>
      <c r="AQ484" s="132"/>
      <c r="AR484" s="132"/>
      <c r="AS484" s="235"/>
    </row>
    <row r="485" spans="1:45" s="20" customFormat="1">
      <c r="A485" s="20" t="s">
        <v>17</v>
      </c>
      <c r="B485" s="20" t="s">
        <v>22</v>
      </c>
      <c r="C485" s="165">
        <v>4</v>
      </c>
      <c r="D485" s="96" t="s">
        <v>13</v>
      </c>
      <c r="E485" s="166">
        <v>10</v>
      </c>
      <c r="F485" s="167">
        <f t="shared" ref="F485:F486" si="1766">E485*C485</f>
        <v>40</v>
      </c>
      <c r="G485" s="168">
        <v>0</v>
      </c>
      <c r="H485" s="168">
        <v>0</v>
      </c>
      <c r="I485" s="168">
        <v>0</v>
      </c>
      <c r="J485" s="168">
        <v>0</v>
      </c>
      <c r="K485" s="169">
        <v>0</v>
      </c>
      <c r="L485" s="96" t="s">
        <v>8</v>
      </c>
      <c r="M485" s="166">
        <f t="shared" ref="M485:M491" si="1767">IF(R485="PD",((Shop*G485)+(M_Tech*H485)+(CMM*I485)+(ENG*J485)+(DES*K485))*N485,((Shop_RD*G485)+(MTECH_RD*H485)+(CMM_RD*I485)+(ENG_RD*J485)+(DES_RD*K485))*N485)</f>
        <v>0</v>
      </c>
      <c r="N485" s="92">
        <v>1</v>
      </c>
      <c r="O485" s="170">
        <f t="shared" ref="O485:O491" si="1768">M485+(F485*N485)</f>
        <v>40</v>
      </c>
      <c r="P485" s="267"/>
      <c r="Q485" s="52" t="s">
        <v>48</v>
      </c>
      <c r="R485" s="71" t="s">
        <v>77</v>
      </c>
      <c r="S485" s="137" t="str">
        <f t="shared" ref="S485:S491" si="1769">CONCATENATE(Q485,R485,AB485)</f>
        <v>CPD2013</v>
      </c>
      <c r="T485" s="137" t="str">
        <f t="shared" ref="T485:T491" si="1770">CONCATENATE(Q485,U485,AB485)</f>
        <v>C1.5.1.22013</v>
      </c>
      <c r="U485" s="137" t="s">
        <v>208</v>
      </c>
      <c r="V485" s="137" t="str">
        <f t="shared" ref="V485:V491" si="1771">LOOKUP(U485,$B$539:$B$574,$A$539:$A$574)</f>
        <v>Middle Support Cylinder (MSC)</v>
      </c>
      <c r="AB485" s="33">
        <v>2013</v>
      </c>
      <c r="AC485" s="132">
        <f t="shared" ref="AC485:AC491" si="1772">IF($Q485="B", (G485*$N485),0)</f>
        <v>0</v>
      </c>
      <c r="AD485" s="132">
        <f t="shared" ref="AD485:AD491" si="1773">IF($Q485="B", (H485*$N485),0)</f>
        <v>0</v>
      </c>
      <c r="AE485" s="132">
        <f t="shared" ref="AE485:AE491" si="1774">IF($Q485="B", (I485*$N485),0)</f>
        <v>0</v>
      </c>
      <c r="AF485" s="132">
        <f t="shared" ref="AF485:AF491" si="1775">IF($Q485="B", (J485*$N485),0)</f>
        <v>0</v>
      </c>
      <c r="AG485" s="132">
        <f t="shared" ref="AG485:AG491" si="1776">IF($Q485="B", (K485*$N485),0)</f>
        <v>0</v>
      </c>
      <c r="AH485" s="234">
        <f t="shared" ref="AH485:AH491" si="1777">IF($Q485="B", (F485*$N485),0)</f>
        <v>0</v>
      </c>
      <c r="AI485" s="235"/>
      <c r="AJ485" s="132"/>
      <c r="AK485" s="132"/>
      <c r="AL485" s="166"/>
      <c r="AM485" s="131">
        <f t="shared" ref="AM485:AM491" si="1778">IF($Q485="C", (G485*$N485),0)</f>
        <v>0</v>
      </c>
      <c r="AN485" s="132">
        <f t="shared" ref="AN485:AN491" si="1779">IF($Q485="C", (H485*$N485),0)</f>
        <v>0</v>
      </c>
      <c r="AO485" s="132">
        <f t="shared" ref="AO485:AO491" si="1780">IF($Q485="C", (I485*$N485),0)</f>
        <v>0</v>
      </c>
      <c r="AP485" s="132">
        <f t="shared" ref="AP485:AP491" si="1781">IF($Q485="C", (J485*$N485),0)</f>
        <v>0</v>
      </c>
      <c r="AQ485" s="132">
        <f t="shared" ref="AQ485:AQ491" si="1782">IF($Q485="C", (K485*$N485),0)</f>
        <v>0</v>
      </c>
      <c r="AR485" s="132">
        <f t="shared" ref="AR485:AR491" si="1783">IF($Q485="C", (F485*$N485),0)</f>
        <v>40</v>
      </c>
      <c r="AS485" s="235"/>
    </row>
    <row r="486" spans="1:45" s="20" customFormat="1">
      <c r="A486" s="20" t="s">
        <v>18</v>
      </c>
      <c r="B486" s="20" t="s">
        <v>23</v>
      </c>
      <c r="C486" s="165">
        <v>1</v>
      </c>
      <c r="D486" s="96" t="s">
        <v>24</v>
      </c>
      <c r="E486" s="166">
        <v>100</v>
      </c>
      <c r="F486" s="167">
        <f t="shared" si="1766"/>
        <v>100</v>
      </c>
      <c r="G486" s="168">
        <v>0</v>
      </c>
      <c r="H486" s="168">
        <v>0</v>
      </c>
      <c r="I486" s="168">
        <v>0</v>
      </c>
      <c r="J486" s="168">
        <v>0</v>
      </c>
      <c r="K486" s="169">
        <v>0</v>
      </c>
      <c r="L486" s="96" t="s">
        <v>8</v>
      </c>
      <c r="M486" s="166">
        <f t="shared" si="1767"/>
        <v>0</v>
      </c>
      <c r="N486" s="92">
        <v>1</v>
      </c>
      <c r="O486" s="170">
        <f t="shared" si="1768"/>
        <v>100</v>
      </c>
      <c r="P486" s="267"/>
      <c r="Q486" s="52" t="s">
        <v>48</v>
      </c>
      <c r="R486" s="71" t="s">
        <v>77</v>
      </c>
      <c r="S486" s="137" t="str">
        <f t="shared" si="1769"/>
        <v>CPD2013</v>
      </c>
      <c r="T486" s="137" t="str">
        <f t="shared" si="1770"/>
        <v>C1.5.1.22013</v>
      </c>
      <c r="U486" s="137" t="s">
        <v>208</v>
      </c>
      <c r="V486" s="137" t="str">
        <f t="shared" si="1771"/>
        <v>Middle Support Cylinder (MSC)</v>
      </c>
      <c r="AB486" s="33">
        <v>2013</v>
      </c>
      <c r="AC486" s="132">
        <f t="shared" si="1772"/>
        <v>0</v>
      </c>
      <c r="AD486" s="132">
        <f t="shared" si="1773"/>
        <v>0</v>
      </c>
      <c r="AE486" s="132">
        <f t="shared" si="1774"/>
        <v>0</v>
      </c>
      <c r="AF486" s="132">
        <f t="shared" si="1775"/>
        <v>0</v>
      </c>
      <c r="AG486" s="132">
        <f t="shared" si="1776"/>
        <v>0</v>
      </c>
      <c r="AH486" s="234">
        <f t="shared" si="1777"/>
        <v>0</v>
      </c>
      <c r="AI486" s="235"/>
      <c r="AJ486" s="92"/>
      <c r="AK486" s="92"/>
      <c r="AL486" s="166"/>
      <c r="AM486" s="131">
        <f t="shared" si="1778"/>
        <v>0</v>
      </c>
      <c r="AN486" s="132">
        <f t="shared" si="1779"/>
        <v>0</v>
      </c>
      <c r="AO486" s="132">
        <f t="shared" si="1780"/>
        <v>0</v>
      </c>
      <c r="AP486" s="132">
        <f t="shared" si="1781"/>
        <v>0</v>
      </c>
      <c r="AQ486" s="132">
        <f t="shared" si="1782"/>
        <v>0</v>
      </c>
      <c r="AR486" s="132">
        <f t="shared" si="1783"/>
        <v>100</v>
      </c>
      <c r="AS486" s="235"/>
    </row>
    <row r="487" spans="1:45" s="20" customFormat="1">
      <c r="A487" s="20" t="s">
        <v>19</v>
      </c>
      <c r="B487" s="20" t="s">
        <v>25</v>
      </c>
      <c r="C487" s="165">
        <v>5</v>
      </c>
      <c r="D487" s="96" t="s">
        <v>26</v>
      </c>
      <c r="E487" s="166">
        <v>3</v>
      </c>
      <c r="F487" s="167">
        <f>E487*C487</f>
        <v>15</v>
      </c>
      <c r="G487" s="168">
        <v>0</v>
      </c>
      <c r="H487" s="168">
        <v>0</v>
      </c>
      <c r="I487" s="168">
        <v>0</v>
      </c>
      <c r="J487" s="168">
        <v>0</v>
      </c>
      <c r="K487" s="169">
        <v>0</v>
      </c>
      <c r="L487" s="96" t="s">
        <v>8</v>
      </c>
      <c r="M487" s="166">
        <f t="shared" si="1767"/>
        <v>0</v>
      </c>
      <c r="N487" s="92">
        <v>1</v>
      </c>
      <c r="O487" s="170">
        <f t="shared" si="1768"/>
        <v>15</v>
      </c>
      <c r="P487" s="267"/>
      <c r="Q487" s="52" t="s">
        <v>48</v>
      </c>
      <c r="R487" s="71" t="s">
        <v>77</v>
      </c>
      <c r="S487" s="137" t="str">
        <f t="shared" si="1769"/>
        <v>CPD2013</v>
      </c>
      <c r="T487" s="137" t="str">
        <f t="shared" si="1770"/>
        <v>C1.5.1.22013</v>
      </c>
      <c r="U487" s="137" t="s">
        <v>208</v>
      </c>
      <c r="V487" s="137" t="str">
        <f t="shared" si="1771"/>
        <v>Middle Support Cylinder (MSC)</v>
      </c>
      <c r="AB487" s="33">
        <v>2013</v>
      </c>
      <c r="AC487" s="132">
        <f t="shared" si="1772"/>
        <v>0</v>
      </c>
      <c r="AD487" s="132">
        <f t="shared" si="1773"/>
        <v>0</v>
      </c>
      <c r="AE487" s="132">
        <f t="shared" si="1774"/>
        <v>0</v>
      </c>
      <c r="AF487" s="132">
        <f t="shared" si="1775"/>
        <v>0</v>
      </c>
      <c r="AG487" s="132">
        <f t="shared" si="1776"/>
        <v>0</v>
      </c>
      <c r="AH487" s="234">
        <f t="shared" si="1777"/>
        <v>0</v>
      </c>
      <c r="AI487" s="235"/>
      <c r="AJ487" s="92"/>
      <c r="AK487" s="92"/>
      <c r="AL487" s="166"/>
      <c r="AM487" s="131">
        <f t="shared" si="1778"/>
        <v>0</v>
      </c>
      <c r="AN487" s="132">
        <f t="shared" si="1779"/>
        <v>0</v>
      </c>
      <c r="AO487" s="132">
        <f t="shared" si="1780"/>
        <v>0</v>
      </c>
      <c r="AP487" s="132">
        <f t="shared" si="1781"/>
        <v>0</v>
      </c>
      <c r="AQ487" s="132">
        <f t="shared" si="1782"/>
        <v>0</v>
      </c>
      <c r="AR487" s="132">
        <f t="shared" si="1783"/>
        <v>15</v>
      </c>
      <c r="AS487" s="235"/>
    </row>
    <row r="488" spans="1:45" s="20" customFormat="1">
      <c r="A488" s="20" t="s">
        <v>68</v>
      </c>
      <c r="B488" s="20" t="s">
        <v>23</v>
      </c>
      <c r="C488" s="165">
        <v>1</v>
      </c>
      <c r="D488" s="96" t="s">
        <v>24</v>
      </c>
      <c r="E488" s="166">
        <v>150</v>
      </c>
      <c r="F488" s="167">
        <f t="shared" ref="F488:F491" si="1784">E488*C488</f>
        <v>150</v>
      </c>
      <c r="G488" s="168">
        <v>0</v>
      </c>
      <c r="H488" s="168">
        <v>5</v>
      </c>
      <c r="I488" s="168">
        <v>0</v>
      </c>
      <c r="J488" s="168">
        <v>0</v>
      </c>
      <c r="K488" s="169">
        <v>0</v>
      </c>
      <c r="L488" s="96" t="s">
        <v>8</v>
      </c>
      <c r="M488" s="166">
        <f t="shared" si="1767"/>
        <v>473.85</v>
      </c>
      <c r="N488" s="92">
        <v>1</v>
      </c>
      <c r="O488" s="170">
        <f t="shared" si="1768"/>
        <v>623.85</v>
      </c>
      <c r="P488" s="267"/>
      <c r="Q488" s="52" t="s">
        <v>48</v>
      </c>
      <c r="R488" s="71" t="s">
        <v>77</v>
      </c>
      <c r="S488" s="137" t="str">
        <f t="shared" si="1769"/>
        <v>CPD2013</v>
      </c>
      <c r="T488" s="137" t="str">
        <f t="shared" si="1770"/>
        <v>C1.5.1.22013</v>
      </c>
      <c r="U488" s="137" t="s">
        <v>208</v>
      </c>
      <c r="V488" s="137" t="str">
        <f t="shared" si="1771"/>
        <v>Middle Support Cylinder (MSC)</v>
      </c>
      <c r="AB488" s="33">
        <v>2013</v>
      </c>
      <c r="AC488" s="132">
        <f t="shared" si="1772"/>
        <v>0</v>
      </c>
      <c r="AD488" s="132">
        <f t="shared" si="1773"/>
        <v>0</v>
      </c>
      <c r="AE488" s="132">
        <f t="shared" si="1774"/>
        <v>0</v>
      </c>
      <c r="AF488" s="132">
        <f t="shared" si="1775"/>
        <v>0</v>
      </c>
      <c r="AG488" s="132">
        <f t="shared" si="1776"/>
        <v>0</v>
      </c>
      <c r="AH488" s="234">
        <f t="shared" si="1777"/>
        <v>0</v>
      </c>
      <c r="AI488" s="235"/>
      <c r="AJ488" s="132"/>
      <c r="AK488" s="132"/>
      <c r="AL488" s="166"/>
      <c r="AM488" s="131">
        <f t="shared" si="1778"/>
        <v>0</v>
      </c>
      <c r="AN488" s="132">
        <f t="shared" si="1779"/>
        <v>5</v>
      </c>
      <c r="AO488" s="132">
        <f t="shared" si="1780"/>
        <v>0</v>
      </c>
      <c r="AP488" s="132">
        <f t="shared" si="1781"/>
        <v>0</v>
      </c>
      <c r="AQ488" s="132">
        <f t="shared" si="1782"/>
        <v>0</v>
      </c>
      <c r="AR488" s="132">
        <f t="shared" si="1783"/>
        <v>150</v>
      </c>
      <c r="AS488" s="235"/>
    </row>
    <row r="489" spans="1:45" s="20" customFormat="1">
      <c r="A489" s="20" t="s">
        <v>67</v>
      </c>
      <c r="B489" s="20" t="s">
        <v>27</v>
      </c>
      <c r="C489" s="165">
        <v>1</v>
      </c>
      <c r="D489" s="96" t="s">
        <v>28</v>
      </c>
      <c r="E489" s="166">
        <v>50</v>
      </c>
      <c r="F489" s="167">
        <f t="shared" si="1784"/>
        <v>50</v>
      </c>
      <c r="G489" s="168">
        <v>4</v>
      </c>
      <c r="H489" s="168">
        <v>0</v>
      </c>
      <c r="I489" s="168">
        <v>0</v>
      </c>
      <c r="J489" s="168">
        <v>0</v>
      </c>
      <c r="K489" s="169">
        <v>0</v>
      </c>
      <c r="L489" s="96" t="s">
        <v>8</v>
      </c>
      <c r="M489" s="166">
        <f t="shared" si="1767"/>
        <v>408.24</v>
      </c>
      <c r="N489" s="92">
        <v>1</v>
      </c>
      <c r="O489" s="170">
        <f t="shared" si="1768"/>
        <v>458.24</v>
      </c>
      <c r="P489" s="267"/>
      <c r="Q489" s="52" t="s">
        <v>48</v>
      </c>
      <c r="R489" s="71" t="s">
        <v>77</v>
      </c>
      <c r="S489" s="137" t="str">
        <f t="shared" si="1769"/>
        <v>CPD2013</v>
      </c>
      <c r="T489" s="137" t="str">
        <f t="shared" si="1770"/>
        <v>C1.5.1.22013</v>
      </c>
      <c r="U489" s="137" t="s">
        <v>208</v>
      </c>
      <c r="V489" s="137" t="str">
        <f t="shared" si="1771"/>
        <v>Middle Support Cylinder (MSC)</v>
      </c>
      <c r="AB489" s="33">
        <v>2013</v>
      </c>
      <c r="AC489" s="132">
        <f t="shared" si="1772"/>
        <v>0</v>
      </c>
      <c r="AD489" s="132">
        <f t="shared" si="1773"/>
        <v>0</v>
      </c>
      <c r="AE489" s="132">
        <f t="shared" si="1774"/>
        <v>0</v>
      </c>
      <c r="AF489" s="132">
        <f t="shared" si="1775"/>
        <v>0</v>
      </c>
      <c r="AG489" s="132">
        <f t="shared" si="1776"/>
        <v>0</v>
      </c>
      <c r="AH489" s="234">
        <f t="shared" si="1777"/>
        <v>0</v>
      </c>
      <c r="AI489" s="235"/>
      <c r="AJ489" s="92"/>
      <c r="AK489" s="92"/>
      <c r="AL489" s="166"/>
      <c r="AM489" s="131">
        <f t="shared" si="1778"/>
        <v>4</v>
      </c>
      <c r="AN489" s="132">
        <f t="shared" si="1779"/>
        <v>0</v>
      </c>
      <c r="AO489" s="132">
        <f t="shared" si="1780"/>
        <v>0</v>
      </c>
      <c r="AP489" s="132">
        <f t="shared" si="1781"/>
        <v>0</v>
      </c>
      <c r="AQ489" s="132">
        <f t="shared" si="1782"/>
        <v>0</v>
      </c>
      <c r="AR489" s="132">
        <f t="shared" si="1783"/>
        <v>50</v>
      </c>
      <c r="AS489" s="235"/>
    </row>
    <row r="490" spans="1:45" s="20" customFormat="1">
      <c r="A490" s="20" t="s">
        <v>20</v>
      </c>
      <c r="B490" s="20" t="s">
        <v>34</v>
      </c>
      <c r="C490" s="165"/>
      <c r="D490" s="96"/>
      <c r="E490" s="166">
        <v>0</v>
      </c>
      <c r="F490" s="167">
        <f t="shared" si="1784"/>
        <v>0</v>
      </c>
      <c r="G490" s="168">
        <v>0</v>
      </c>
      <c r="H490" s="168">
        <v>8</v>
      </c>
      <c r="I490" s="168">
        <v>0</v>
      </c>
      <c r="J490" s="168">
        <v>0</v>
      </c>
      <c r="K490" s="169">
        <v>0</v>
      </c>
      <c r="L490" s="96" t="s">
        <v>8</v>
      </c>
      <c r="M490" s="166">
        <f t="shared" si="1767"/>
        <v>758.16000000000008</v>
      </c>
      <c r="N490" s="92">
        <v>1</v>
      </c>
      <c r="O490" s="170">
        <f t="shared" si="1768"/>
        <v>758.16000000000008</v>
      </c>
      <c r="P490" s="267"/>
      <c r="Q490" s="52" t="s">
        <v>48</v>
      </c>
      <c r="R490" s="71" t="s">
        <v>77</v>
      </c>
      <c r="S490" s="137" t="str">
        <f t="shared" si="1769"/>
        <v>CPD2013</v>
      </c>
      <c r="T490" s="137" t="str">
        <f t="shared" si="1770"/>
        <v>C1.5.1.22013</v>
      </c>
      <c r="U490" s="137" t="s">
        <v>208</v>
      </c>
      <c r="V490" s="137" t="str">
        <f t="shared" si="1771"/>
        <v>Middle Support Cylinder (MSC)</v>
      </c>
      <c r="AB490" s="33">
        <v>2013</v>
      </c>
      <c r="AC490" s="132">
        <f t="shared" si="1772"/>
        <v>0</v>
      </c>
      <c r="AD490" s="132">
        <f t="shared" si="1773"/>
        <v>0</v>
      </c>
      <c r="AE490" s="132">
        <f t="shared" si="1774"/>
        <v>0</v>
      </c>
      <c r="AF490" s="132">
        <f t="shared" si="1775"/>
        <v>0</v>
      </c>
      <c r="AG490" s="132">
        <f t="shared" si="1776"/>
        <v>0</v>
      </c>
      <c r="AH490" s="234">
        <f t="shared" si="1777"/>
        <v>0</v>
      </c>
      <c r="AI490" s="235"/>
      <c r="AJ490" s="132"/>
      <c r="AK490" s="132"/>
      <c r="AL490" s="166"/>
      <c r="AM490" s="131">
        <f t="shared" si="1778"/>
        <v>0</v>
      </c>
      <c r="AN490" s="132">
        <f t="shared" si="1779"/>
        <v>8</v>
      </c>
      <c r="AO490" s="132">
        <f t="shared" si="1780"/>
        <v>0</v>
      </c>
      <c r="AP490" s="132">
        <f t="shared" si="1781"/>
        <v>0</v>
      </c>
      <c r="AQ490" s="132">
        <f t="shared" si="1782"/>
        <v>0</v>
      </c>
      <c r="AR490" s="132">
        <f t="shared" si="1783"/>
        <v>0</v>
      </c>
      <c r="AS490" s="235"/>
    </row>
    <row r="491" spans="1:45" s="20" customFormat="1">
      <c r="A491" s="20" t="s">
        <v>21</v>
      </c>
      <c r="B491" s="20" t="s">
        <v>33</v>
      </c>
      <c r="C491" s="165">
        <v>1</v>
      </c>
      <c r="D491" s="96"/>
      <c r="E491" s="166">
        <v>1500</v>
      </c>
      <c r="F491" s="167">
        <f t="shared" si="1784"/>
        <v>1500</v>
      </c>
      <c r="G491" s="168">
        <v>0</v>
      </c>
      <c r="H491" s="168">
        <v>0</v>
      </c>
      <c r="I491" s="168">
        <v>0</v>
      </c>
      <c r="J491" s="168">
        <v>0</v>
      </c>
      <c r="K491" s="169">
        <v>0</v>
      </c>
      <c r="L491" s="96" t="s">
        <v>8</v>
      </c>
      <c r="M491" s="166">
        <f t="shared" si="1767"/>
        <v>0</v>
      </c>
      <c r="N491" s="92">
        <v>1</v>
      </c>
      <c r="O491" s="170">
        <f t="shared" si="1768"/>
        <v>1500</v>
      </c>
      <c r="P491" s="267"/>
      <c r="Q491" s="52" t="s">
        <v>48</v>
      </c>
      <c r="R491" s="71" t="s">
        <v>77</v>
      </c>
      <c r="S491" s="137" t="str">
        <f t="shared" si="1769"/>
        <v>CPD2013</v>
      </c>
      <c r="T491" s="137" t="str">
        <f t="shared" si="1770"/>
        <v>C1.5.1.22013</v>
      </c>
      <c r="U491" s="137" t="s">
        <v>208</v>
      </c>
      <c r="V491" s="137" t="str">
        <f t="shared" si="1771"/>
        <v>Middle Support Cylinder (MSC)</v>
      </c>
      <c r="AB491" s="33">
        <v>2013</v>
      </c>
      <c r="AC491" s="132">
        <f t="shared" si="1772"/>
        <v>0</v>
      </c>
      <c r="AD491" s="132">
        <f t="shared" si="1773"/>
        <v>0</v>
      </c>
      <c r="AE491" s="132">
        <f t="shared" si="1774"/>
        <v>0</v>
      </c>
      <c r="AF491" s="132">
        <f t="shared" si="1775"/>
        <v>0</v>
      </c>
      <c r="AG491" s="132">
        <f t="shared" si="1776"/>
        <v>0</v>
      </c>
      <c r="AH491" s="234">
        <f t="shared" si="1777"/>
        <v>0</v>
      </c>
      <c r="AI491" s="271"/>
      <c r="AJ491" s="92"/>
      <c r="AK491" s="92"/>
      <c r="AL491" s="166"/>
      <c r="AM491" s="272">
        <f t="shared" si="1778"/>
        <v>0</v>
      </c>
      <c r="AN491" s="273">
        <f t="shared" si="1779"/>
        <v>0</v>
      </c>
      <c r="AO491" s="273">
        <f t="shared" si="1780"/>
        <v>0</v>
      </c>
      <c r="AP491" s="273">
        <f t="shared" si="1781"/>
        <v>0</v>
      </c>
      <c r="AQ491" s="273">
        <f t="shared" si="1782"/>
        <v>0</v>
      </c>
      <c r="AR491" s="273">
        <f t="shared" si="1783"/>
        <v>1500</v>
      </c>
      <c r="AS491" s="271"/>
    </row>
    <row r="492" spans="1:45" s="20" customFormat="1">
      <c r="A492" s="20" t="s">
        <v>496</v>
      </c>
      <c r="C492" s="165"/>
      <c r="D492" s="96"/>
      <c r="E492" s="166"/>
      <c r="F492" s="167"/>
      <c r="G492" s="168"/>
      <c r="H492" s="168"/>
      <c r="I492" s="168"/>
      <c r="J492" s="168"/>
      <c r="K492" s="169"/>
      <c r="L492" s="96"/>
      <c r="M492" s="177">
        <f>SUMIF(Q485:Q491,"B",M485:M491)</f>
        <v>0</v>
      </c>
      <c r="N492" s="92" t="s">
        <v>279</v>
      </c>
      <c r="O492" s="267"/>
      <c r="P492" s="267"/>
      <c r="Q492" s="52"/>
      <c r="R492" s="71"/>
      <c r="S492" s="137"/>
      <c r="T492" s="137"/>
      <c r="U492" s="137"/>
      <c r="V492" s="137"/>
      <c r="AB492" s="33"/>
      <c r="AC492" s="132"/>
      <c r="AD492" s="132"/>
      <c r="AE492" s="132"/>
      <c r="AF492" s="132"/>
      <c r="AG492" s="132"/>
      <c r="AH492" s="234"/>
      <c r="AI492" s="235"/>
      <c r="AJ492" s="132"/>
      <c r="AK492" s="132"/>
      <c r="AL492" s="166"/>
      <c r="AM492" s="131"/>
      <c r="AN492" s="132"/>
      <c r="AO492" s="132"/>
      <c r="AP492" s="132"/>
      <c r="AQ492" s="132"/>
      <c r="AR492" s="132"/>
      <c r="AS492" s="235"/>
    </row>
    <row r="493" spans="1:45" s="20" customFormat="1">
      <c r="A493" s="20" t="s">
        <v>17</v>
      </c>
      <c r="B493" s="20" t="s">
        <v>22</v>
      </c>
      <c r="C493" s="165">
        <v>4</v>
      </c>
      <c r="D493" s="96" t="s">
        <v>13</v>
      </c>
      <c r="E493" s="166">
        <v>10</v>
      </c>
      <c r="F493" s="167">
        <f t="shared" ref="F493:F494" si="1785">E493*C493</f>
        <v>40</v>
      </c>
      <c r="G493" s="168">
        <v>0</v>
      </c>
      <c r="H493" s="168">
        <v>0</v>
      </c>
      <c r="I493" s="168">
        <v>0</v>
      </c>
      <c r="J493" s="168">
        <v>0</v>
      </c>
      <c r="K493" s="169">
        <v>0</v>
      </c>
      <c r="L493" s="96" t="s">
        <v>8</v>
      </c>
      <c r="M493" s="166">
        <f t="shared" ref="M493:M499" si="1786">IF(R493="PD",((Shop*G493)+(M_Tech*H493)+(CMM*I493)+(ENG*J493)+(DES*K493))*N493,((Shop_RD*G493)+(MTECH_RD*H493)+(CMM_RD*I493)+(ENG_RD*J493)+(DES_RD*K493))*N493)</f>
        <v>0</v>
      </c>
      <c r="N493" s="92">
        <v>1</v>
      </c>
      <c r="O493" s="170">
        <f t="shared" ref="O493:O499" si="1787">M493+(F493*N493)</f>
        <v>40</v>
      </c>
      <c r="P493" s="267"/>
      <c r="Q493" s="52" t="s">
        <v>47</v>
      </c>
      <c r="R493" s="71" t="s">
        <v>77</v>
      </c>
      <c r="S493" s="137" t="str">
        <f t="shared" ref="S493:S499" si="1788">CONCATENATE(Q493,R493,AB493)</f>
        <v>BPD2012</v>
      </c>
      <c r="T493" s="137" t="str">
        <f t="shared" ref="T493:T499" si="1789">CONCATENATE(Q493,U493,AB493)</f>
        <v>B1.5.1.22012</v>
      </c>
      <c r="U493" s="137" t="s">
        <v>208</v>
      </c>
      <c r="V493" s="137" t="str">
        <f t="shared" ref="V493:V499" si="1790">LOOKUP(U493,$B$539:$B$574,$A$539:$A$574)</f>
        <v>Middle Support Cylinder (MSC)</v>
      </c>
      <c r="AB493" s="33">
        <v>2012</v>
      </c>
      <c r="AC493" s="132">
        <f t="shared" ref="AC493:AC499" si="1791">IF($Q493="B", (G493*$N493),0)</f>
        <v>0</v>
      </c>
      <c r="AD493" s="132">
        <f t="shared" ref="AD493:AD499" si="1792">IF($Q493="B", (H493*$N493),0)</f>
        <v>0</v>
      </c>
      <c r="AE493" s="132">
        <f t="shared" ref="AE493:AE499" si="1793">IF($Q493="B", (I493*$N493),0)</f>
        <v>0</v>
      </c>
      <c r="AF493" s="132">
        <f t="shared" ref="AF493:AF499" si="1794">IF($Q493="B", (J493*$N493),0)</f>
        <v>0</v>
      </c>
      <c r="AG493" s="132">
        <f t="shared" ref="AG493:AG499" si="1795">IF($Q493="B", (K493*$N493),0)</f>
        <v>0</v>
      </c>
      <c r="AH493" s="234">
        <f t="shared" ref="AH493:AH499" si="1796">IF($Q493="B", (F493*$N493),0)</f>
        <v>40</v>
      </c>
      <c r="AI493" s="235"/>
      <c r="AJ493" s="132"/>
      <c r="AK493" s="132"/>
      <c r="AL493" s="166"/>
      <c r="AM493" s="131">
        <f t="shared" ref="AM493:AM499" si="1797">IF($Q493="C", (G493*$N493),0)</f>
        <v>0</v>
      </c>
      <c r="AN493" s="132">
        <f t="shared" ref="AN493:AN499" si="1798">IF($Q493="C", (H493*$N493),0)</f>
        <v>0</v>
      </c>
      <c r="AO493" s="132">
        <f t="shared" ref="AO493:AO499" si="1799">IF($Q493="C", (I493*$N493),0)</f>
        <v>0</v>
      </c>
      <c r="AP493" s="132">
        <f t="shared" ref="AP493:AP499" si="1800">IF($Q493="C", (J493*$N493),0)</f>
        <v>0</v>
      </c>
      <c r="AQ493" s="132">
        <f t="shared" ref="AQ493:AQ499" si="1801">IF($Q493="C", (K493*$N493),0)</f>
        <v>0</v>
      </c>
      <c r="AR493" s="132">
        <f t="shared" ref="AR493:AR499" si="1802">IF($Q493="C", (F493*$N493),0)</f>
        <v>0</v>
      </c>
      <c r="AS493" s="235"/>
    </row>
    <row r="494" spans="1:45" s="20" customFormat="1">
      <c r="A494" s="20" t="s">
        <v>18</v>
      </c>
      <c r="B494" s="20" t="s">
        <v>23</v>
      </c>
      <c r="C494" s="165">
        <v>1</v>
      </c>
      <c r="D494" s="96" t="s">
        <v>24</v>
      </c>
      <c r="E494" s="166">
        <v>100</v>
      </c>
      <c r="F494" s="167">
        <f t="shared" si="1785"/>
        <v>100</v>
      </c>
      <c r="G494" s="168">
        <v>0</v>
      </c>
      <c r="H494" s="168">
        <v>0</v>
      </c>
      <c r="I494" s="168">
        <v>0</v>
      </c>
      <c r="J494" s="168">
        <v>0</v>
      </c>
      <c r="K494" s="169">
        <v>0</v>
      </c>
      <c r="L494" s="96" t="s">
        <v>8</v>
      </c>
      <c r="M494" s="166">
        <f t="shared" si="1786"/>
        <v>0</v>
      </c>
      <c r="N494" s="92">
        <v>1</v>
      </c>
      <c r="O494" s="170">
        <f t="shared" si="1787"/>
        <v>100</v>
      </c>
      <c r="P494" s="267"/>
      <c r="Q494" s="52" t="s">
        <v>47</v>
      </c>
      <c r="R494" s="71" t="s">
        <v>77</v>
      </c>
      <c r="S494" s="137" t="str">
        <f t="shared" si="1788"/>
        <v>BPD2012</v>
      </c>
      <c r="T494" s="137" t="str">
        <f t="shared" si="1789"/>
        <v>B1.5.1.22012</v>
      </c>
      <c r="U494" s="137" t="s">
        <v>208</v>
      </c>
      <c r="V494" s="137" t="str">
        <f t="shared" si="1790"/>
        <v>Middle Support Cylinder (MSC)</v>
      </c>
      <c r="AB494" s="33">
        <v>2012</v>
      </c>
      <c r="AC494" s="132">
        <f t="shared" si="1791"/>
        <v>0</v>
      </c>
      <c r="AD494" s="132">
        <f t="shared" si="1792"/>
        <v>0</v>
      </c>
      <c r="AE494" s="132">
        <f t="shared" si="1793"/>
        <v>0</v>
      </c>
      <c r="AF494" s="132">
        <f t="shared" si="1794"/>
        <v>0</v>
      </c>
      <c r="AG494" s="132">
        <f t="shared" si="1795"/>
        <v>0</v>
      </c>
      <c r="AH494" s="234">
        <f t="shared" si="1796"/>
        <v>100</v>
      </c>
      <c r="AI494" s="235"/>
      <c r="AJ494" s="92"/>
      <c r="AK494" s="92"/>
      <c r="AL494" s="166"/>
      <c r="AM494" s="131">
        <f t="shared" si="1797"/>
        <v>0</v>
      </c>
      <c r="AN494" s="132">
        <f t="shared" si="1798"/>
        <v>0</v>
      </c>
      <c r="AO494" s="132">
        <f t="shared" si="1799"/>
        <v>0</v>
      </c>
      <c r="AP494" s="132">
        <f t="shared" si="1800"/>
        <v>0</v>
      </c>
      <c r="AQ494" s="132">
        <f t="shared" si="1801"/>
        <v>0</v>
      </c>
      <c r="AR494" s="132">
        <f t="shared" si="1802"/>
        <v>0</v>
      </c>
      <c r="AS494" s="235"/>
    </row>
    <row r="495" spans="1:45" s="20" customFormat="1">
      <c r="A495" s="20" t="s">
        <v>19</v>
      </c>
      <c r="B495" s="20" t="s">
        <v>25</v>
      </c>
      <c r="C495" s="165">
        <v>5</v>
      </c>
      <c r="D495" s="96" t="s">
        <v>26</v>
      </c>
      <c r="E495" s="166">
        <v>3</v>
      </c>
      <c r="F495" s="167">
        <f>E495*C495</f>
        <v>15</v>
      </c>
      <c r="G495" s="168">
        <v>0</v>
      </c>
      <c r="H495" s="168">
        <v>0</v>
      </c>
      <c r="I495" s="168">
        <v>0</v>
      </c>
      <c r="J495" s="168">
        <v>0</v>
      </c>
      <c r="K495" s="169">
        <v>0</v>
      </c>
      <c r="L495" s="96" t="s">
        <v>8</v>
      </c>
      <c r="M495" s="166">
        <f t="shared" si="1786"/>
        <v>0</v>
      </c>
      <c r="N495" s="92">
        <v>1</v>
      </c>
      <c r="O495" s="170">
        <f t="shared" si="1787"/>
        <v>15</v>
      </c>
      <c r="P495" s="267"/>
      <c r="Q495" s="52" t="s">
        <v>47</v>
      </c>
      <c r="R495" s="71" t="s">
        <v>77</v>
      </c>
      <c r="S495" s="137" t="str">
        <f t="shared" si="1788"/>
        <v>BPD2012</v>
      </c>
      <c r="T495" s="137" t="str">
        <f t="shared" si="1789"/>
        <v>B1.5.1.22012</v>
      </c>
      <c r="U495" s="137" t="s">
        <v>208</v>
      </c>
      <c r="V495" s="137" t="str">
        <f t="shared" si="1790"/>
        <v>Middle Support Cylinder (MSC)</v>
      </c>
      <c r="AB495" s="33">
        <v>2012</v>
      </c>
      <c r="AC495" s="132">
        <f t="shared" si="1791"/>
        <v>0</v>
      </c>
      <c r="AD495" s="132">
        <f t="shared" si="1792"/>
        <v>0</v>
      </c>
      <c r="AE495" s="132">
        <f t="shared" si="1793"/>
        <v>0</v>
      </c>
      <c r="AF495" s="132">
        <f t="shared" si="1794"/>
        <v>0</v>
      </c>
      <c r="AG495" s="132">
        <f t="shared" si="1795"/>
        <v>0</v>
      </c>
      <c r="AH495" s="234">
        <f t="shared" si="1796"/>
        <v>15</v>
      </c>
      <c r="AI495" s="235"/>
      <c r="AJ495" s="92"/>
      <c r="AK495" s="92"/>
      <c r="AL495" s="166"/>
      <c r="AM495" s="131">
        <f t="shared" si="1797"/>
        <v>0</v>
      </c>
      <c r="AN495" s="132">
        <f t="shared" si="1798"/>
        <v>0</v>
      </c>
      <c r="AO495" s="132">
        <f t="shared" si="1799"/>
        <v>0</v>
      </c>
      <c r="AP495" s="132">
        <f t="shared" si="1800"/>
        <v>0</v>
      </c>
      <c r="AQ495" s="132">
        <f t="shared" si="1801"/>
        <v>0</v>
      </c>
      <c r="AR495" s="132">
        <f t="shared" si="1802"/>
        <v>0</v>
      </c>
      <c r="AS495" s="235"/>
    </row>
    <row r="496" spans="1:45" s="20" customFormat="1">
      <c r="A496" s="20" t="s">
        <v>68</v>
      </c>
      <c r="B496" s="20" t="s">
        <v>23</v>
      </c>
      <c r="C496" s="165">
        <v>1</v>
      </c>
      <c r="D496" s="96" t="s">
        <v>24</v>
      </c>
      <c r="E496" s="166">
        <v>150</v>
      </c>
      <c r="F496" s="167">
        <f t="shared" ref="F496:F499" si="1803">E496*C496</f>
        <v>150</v>
      </c>
      <c r="G496" s="168">
        <v>0</v>
      </c>
      <c r="H496" s="168">
        <v>5</v>
      </c>
      <c r="I496" s="168">
        <v>0</v>
      </c>
      <c r="J496" s="168">
        <v>0</v>
      </c>
      <c r="K496" s="169">
        <v>0</v>
      </c>
      <c r="L496" s="96" t="s">
        <v>8</v>
      </c>
      <c r="M496" s="166">
        <f t="shared" si="1786"/>
        <v>473.85</v>
      </c>
      <c r="N496" s="92">
        <v>1</v>
      </c>
      <c r="O496" s="170">
        <f t="shared" si="1787"/>
        <v>623.85</v>
      </c>
      <c r="P496" s="267"/>
      <c r="Q496" s="52" t="s">
        <v>47</v>
      </c>
      <c r="R496" s="71" t="s">
        <v>77</v>
      </c>
      <c r="S496" s="137" t="str">
        <f t="shared" si="1788"/>
        <v>BPD2012</v>
      </c>
      <c r="T496" s="137" t="str">
        <f t="shared" si="1789"/>
        <v>B1.5.1.22012</v>
      </c>
      <c r="U496" s="137" t="s">
        <v>208</v>
      </c>
      <c r="V496" s="137" t="str">
        <f t="shared" si="1790"/>
        <v>Middle Support Cylinder (MSC)</v>
      </c>
      <c r="AB496" s="33">
        <v>2012</v>
      </c>
      <c r="AC496" s="132">
        <f t="shared" si="1791"/>
        <v>0</v>
      </c>
      <c r="AD496" s="132">
        <f t="shared" si="1792"/>
        <v>5</v>
      </c>
      <c r="AE496" s="132">
        <f t="shared" si="1793"/>
        <v>0</v>
      </c>
      <c r="AF496" s="132">
        <f t="shared" si="1794"/>
        <v>0</v>
      </c>
      <c r="AG496" s="132">
        <f t="shared" si="1795"/>
        <v>0</v>
      </c>
      <c r="AH496" s="234">
        <f t="shared" si="1796"/>
        <v>150</v>
      </c>
      <c r="AI496" s="235"/>
      <c r="AJ496" s="132"/>
      <c r="AK496" s="132"/>
      <c r="AL496" s="166"/>
      <c r="AM496" s="131">
        <f t="shared" si="1797"/>
        <v>0</v>
      </c>
      <c r="AN496" s="132">
        <f t="shared" si="1798"/>
        <v>0</v>
      </c>
      <c r="AO496" s="132">
        <f t="shared" si="1799"/>
        <v>0</v>
      </c>
      <c r="AP496" s="132">
        <f t="shared" si="1800"/>
        <v>0</v>
      </c>
      <c r="AQ496" s="132">
        <f t="shared" si="1801"/>
        <v>0</v>
      </c>
      <c r="AR496" s="132">
        <f t="shared" si="1802"/>
        <v>0</v>
      </c>
      <c r="AS496" s="235"/>
    </row>
    <row r="497" spans="1:45" s="20" customFormat="1">
      <c r="A497" s="20" t="s">
        <v>67</v>
      </c>
      <c r="B497" s="20" t="s">
        <v>27</v>
      </c>
      <c r="C497" s="165">
        <v>1</v>
      </c>
      <c r="D497" s="96" t="s">
        <v>28</v>
      </c>
      <c r="E497" s="166">
        <v>50</v>
      </c>
      <c r="F497" s="167">
        <f t="shared" si="1803"/>
        <v>50</v>
      </c>
      <c r="G497" s="168">
        <v>4</v>
      </c>
      <c r="H497" s="168">
        <v>0</v>
      </c>
      <c r="I497" s="168">
        <v>0</v>
      </c>
      <c r="J497" s="168">
        <v>0</v>
      </c>
      <c r="K497" s="169">
        <v>0</v>
      </c>
      <c r="L497" s="96" t="s">
        <v>8</v>
      </c>
      <c r="M497" s="166">
        <f t="shared" si="1786"/>
        <v>408.24</v>
      </c>
      <c r="N497" s="92">
        <v>1</v>
      </c>
      <c r="O497" s="170">
        <f t="shared" si="1787"/>
        <v>458.24</v>
      </c>
      <c r="P497" s="267"/>
      <c r="Q497" s="52" t="s">
        <v>47</v>
      </c>
      <c r="R497" s="71" t="s">
        <v>77</v>
      </c>
      <c r="S497" s="137" t="str">
        <f t="shared" si="1788"/>
        <v>BPD2012</v>
      </c>
      <c r="T497" s="137" t="str">
        <f t="shared" si="1789"/>
        <v>B1.5.1.22012</v>
      </c>
      <c r="U497" s="137" t="s">
        <v>208</v>
      </c>
      <c r="V497" s="137" t="str">
        <f t="shared" si="1790"/>
        <v>Middle Support Cylinder (MSC)</v>
      </c>
      <c r="AB497" s="33">
        <v>2012</v>
      </c>
      <c r="AC497" s="132">
        <f t="shared" si="1791"/>
        <v>4</v>
      </c>
      <c r="AD497" s="132">
        <f t="shared" si="1792"/>
        <v>0</v>
      </c>
      <c r="AE497" s="132">
        <f t="shared" si="1793"/>
        <v>0</v>
      </c>
      <c r="AF497" s="132">
        <f t="shared" si="1794"/>
        <v>0</v>
      </c>
      <c r="AG497" s="132">
        <f t="shared" si="1795"/>
        <v>0</v>
      </c>
      <c r="AH497" s="234">
        <f t="shared" si="1796"/>
        <v>50</v>
      </c>
      <c r="AI497" s="235"/>
      <c r="AJ497" s="92"/>
      <c r="AK497" s="92"/>
      <c r="AL497" s="166"/>
      <c r="AM497" s="131">
        <f t="shared" si="1797"/>
        <v>0</v>
      </c>
      <c r="AN497" s="132">
        <f t="shared" si="1798"/>
        <v>0</v>
      </c>
      <c r="AO497" s="132">
        <f t="shared" si="1799"/>
        <v>0</v>
      </c>
      <c r="AP497" s="132">
        <f t="shared" si="1800"/>
        <v>0</v>
      </c>
      <c r="AQ497" s="132">
        <f t="shared" si="1801"/>
        <v>0</v>
      </c>
      <c r="AR497" s="132">
        <f t="shared" si="1802"/>
        <v>0</v>
      </c>
      <c r="AS497" s="235"/>
    </row>
    <row r="498" spans="1:45" s="20" customFormat="1">
      <c r="A498" s="20" t="s">
        <v>20</v>
      </c>
      <c r="B498" s="20" t="s">
        <v>34</v>
      </c>
      <c r="C498" s="165"/>
      <c r="D498" s="96"/>
      <c r="E498" s="166">
        <v>0</v>
      </c>
      <c r="F498" s="167">
        <f t="shared" si="1803"/>
        <v>0</v>
      </c>
      <c r="G498" s="168">
        <v>0</v>
      </c>
      <c r="H498" s="168">
        <v>8</v>
      </c>
      <c r="I498" s="168">
        <v>0</v>
      </c>
      <c r="J498" s="168">
        <v>0</v>
      </c>
      <c r="K498" s="169">
        <v>0</v>
      </c>
      <c r="L498" s="96" t="s">
        <v>8</v>
      </c>
      <c r="M498" s="166">
        <f t="shared" si="1786"/>
        <v>758.16000000000008</v>
      </c>
      <c r="N498" s="92">
        <v>1</v>
      </c>
      <c r="O498" s="170">
        <f t="shared" si="1787"/>
        <v>758.16000000000008</v>
      </c>
      <c r="P498" s="267"/>
      <c r="Q498" s="52" t="s">
        <v>47</v>
      </c>
      <c r="R498" s="71" t="s">
        <v>77</v>
      </c>
      <c r="S498" s="137" t="str">
        <f t="shared" si="1788"/>
        <v>BPD2012</v>
      </c>
      <c r="T498" s="137" t="str">
        <f t="shared" si="1789"/>
        <v>B1.5.1.22012</v>
      </c>
      <c r="U498" s="137" t="s">
        <v>208</v>
      </c>
      <c r="V498" s="137" t="str">
        <f t="shared" si="1790"/>
        <v>Middle Support Cylinder (MSC)</v>
      </c>
      <c r="AB498" s="33">
        <v>2012</v>
      </c>
      <c r="AC498" s="132">
        <f t="shared" si="1791"/>
        <v>0</v>
      </c>
      <c r="AD498" s="132">
        <f t="shared" si="1792"/>
        <v>8</v>
      </c>
      <c r="AE498" s="132">
        <f t="shared" si="1793"/>
        <v>0</v>
      </c>
      <c r="AF498" s="132">
        <f t="shared" si="1794"/>
        <v>0</v>
      </c>
      <c r="AG498" s="132">
        <f t="shared" si="1795"/>
        <v>0</v>
      </c>
      <c r="AH498" s="234">
        <f t="shared" si="1796"/>
        <v>0</v>
      </c>
      <c r="AI498" s="235"/>
      <c r="AJ498" s="132"/>
      <c r="AK498" s="132"/>
      <c r="AL498" s="166"/>
      <c r="AM498" s="131">
        <f t="shared" si="1797"/>
        <v>0</v>
      </c>
      <c r="AN498" s="132">
        <f t="shared" si="1798"/>
        <v>0</v>
      </c>
      <c r="AO498" s="132">
        <f t="shared" si="1799"/>
        <v>0</v>
      </c>
      <c r="AP498" s="132">
        <f t="shared" si="1800"/>
        <v>0</v>
      </c>
      <c r="AQ498" s="132">
        <f t="shared" si="1801"/>
        <v>0</v>
      </c>
      <c r="AR498" s="132">
        <f t="shared" si="1802"/>
        <v>0</v>
      </c>
      <c r="AS498" s="235"/>
    </row>
    <row r="499" spans="1:45" s="20" customFormat="1">
      <c r="A499" s="20" t="s">
        <v>21</v>
      </c>
      <c r="B499" s="20" t="s">
        <v>33</v>
      </c>
      <c r="C499" s="165">
        <v>1</v>
      </c>
      <c r="D499" s="96"/>
      <c r="E499" s="166">
        <v>1500</v>
      </c>
      <c r="F499" s="167">
        <f t="shared" si="1803"/>
        <v>1500</v>
      </c>
      <c r="G499" s="168">
        <v>0</v>
      </c>
      <c r="H499" s="168">
        <v>0</v>
      </c>
      <c r="I499" s="168">
        <v>0</v>
      </c>
      <c r="J499" s="168">
        <v>0</v>
      </c>
      <c r="K499" s="169">
        <v>0</v>
      </c>
      <c r="L499" s="96" t="s">
        <v>8</v>
      </c>
      <c r="M499" s="166">
        <f t="shared" si="1786"/>
        <v>0</v>
      </c>
      <c r="N499" s="92">
        <v>1</v>
      </c>
      <c r="O499" s="170">
        <f t="shared" si="1787"/>
        <v>1500</v>
      </c>
      <c r="P499" s="267"/>
      <c r="Q499" s="52" t="s">
        <v>47</v>
      </c>
      <c r="R499" s="71" t="s">
        <v>77</v>
      </c>
      <c r="S499" s="137" t="str">
        <f t="shared" si="1788"/>
        <v>BPD2012</v>
      </c>
      <c r="T499" s="137" t="str">
        <f t="shared" si="1789"/>
        <v>B1.5.1.22012</v>
      </c>
      <c r="U499" s="137" t="s">
        <v>208</v>
      </c>
      <c r="V499" s="137" t="str">
        <f t="shared" si="1790"/>
        <v>Middle Support Cylinder (MSC)</v>
      </c>
      <c r="AB499" s="33">
        <v>2012</v>
      </c>
      <c r="AC499" s="132">
        <f t="shared" si="1791"/>
        <v>0</v>
      </c>
      <c r="AD499" s="132">
        <f t="shared" si="1792"/>
        <v>0</v>
      </c>
      <c r="AE499" s="132">
        <f t="shared" si="1793"/>
        <v>0</v>
      </c>
      <c r="AF499" s="132">
        <f t="shared" si="1794"/>
        <v>0</v>
      </c>
      <c r="AG499" s="132">
        <f t="shared" si="1795"/>
        <v>0</v>
      </c>
      <c r="AH499" s="234">
        <f t="shared" si="1796"/>
        <v>1500</v>
      </c>
      <c r="AI499" s="271"/>
      <c r="AJ499" s="92"/>
      <c r="AK499" s="92"/>
      <c r="AL499" s="166"/>
      <c r="AM499" s="272">
        <f t="shared" si="1797"/>
        <v>0</v>
      </c>
      <c r="AN499" s="273">
        <f t="shared" si="1798"/>
        <v>0</v>
      </c>
      <c r="AO499" s="273">
        <f t="shared" si="1799"/>
        <v>0</v>
      </c>
      <c r="AP499" s="273">
        <f t="shared" si="1800"/>
        <v>0</v>
      </c>
      <c r="AQ499" s="273">
        <f t="shared" si="1801"/>
        <v>0</v>
      </c>
      <c r="AR499" s="273">
        <f t="shared" si="1802"/>
        <v>0</v>
      </c>
      <c r="AS499" s="271"/>
    </row>
    <row r="500" spans="1:45" s="20" customFormat="1">
      <c r="A500" s="20" t="s">
        <v>497</v>
      </c>
      <c r="C500" s="165"/>
      <c r="D500" s="96"/>
      <c r="E500" s="166"/>
      <c r="F500" s="167"/>
      <c r="G500" s="168"/>
      <c r="H500" s="168"/>
      <c r="I500" s="168"/>
      <c r="J500" s="168"/>
      <c r="K500" s="169"/>
      <c r="L500" s="96"/>
      <c r="M500" s="177">
        <f>SUMIF(Q493:Q499,"B",M493:M499)</f>
        <v>1640.25</v>
      </c>
      <c r="N500" s="92" t="s">
        <v>279</v>
      </c>
      <c r="O500" s="267"/>
      <c r="P500" s="267"/>
      <c r="Q500" s="52"/>
      <c r="R500" s="71"/>
      <c r="S500" s="137"/>
      <c r="T500" s="137"/>
      <c r="U500" s="137"/>
      <c r="V500" s="137"/>
      <c r="AB500" s="33"/>
      <c r="AC500" s="132"/>
      <c r="AD500" s="132"/>
      <c r="AE500" s="132"/>
      <c r="AF500" s="132"/>
      <c r="AG500" s="132"/>
      <c r="AH500" s="234"/>
      <c r="AI500" s="235"/>
      <c r="AJ500" s="132"/>
      <c r="AK500" s="132"/>
      <c r="AL500" s="166"/>
      <c r="AM500" s="131"/>
      <c r="AN500" s="132"/>
      <c r="AO500" s="132"/>
      <c r="AP500" s="132"/>
      <c r="AQ500" s="132"/>
      <c r="AR500" s="132"/>
      <c r="AS500" s="235"/>
    </row>
    <row r="501" spans="1:45" s="20" customFormat="1">
      <c r="A501" s="20" t="s">
        <v>17</v>
      </c>
      <c r="B501" s="20" t="s">
        <v>22</v>
      </c>
      <c r="C501" s="165">
        <v>4</v>
      </c>
      <c r="D501" s="96" t="s">
        <v>13</v>
      </c>
      <c r="E501" s="166">
        <v>10</v>
      </c>
      <c r="F501" s="167">
        <f t="shared" ref="F501:F502" si="1804">E501*C501</f>
        <v>40</v>
      </c>
      <c r="G501" s="168">
        <v>0</v>
      </c>
      <c r="H501" s="168">
        <v>0</v>
      </c>
      <c r="I501" s="168">
        <v>0</v>
      </c>
      <c r="J501" s="168">
        <v>0</v>
      </c>
      <c r="K501" s="169">
        <v>0</v>
      </c>
      <c r="L501" s="96" t="s">
        <v>8</v>
      </c>
      <c r="M501" s="166">
        <f t="shared" ref="M501:M507" si="1805">IF(R501="PD",((Shop*G501)+(M_Tech*H501)+(CMM*I501)+(ENG*J501)+(DES*K501))*N501,((Shop_RD*G501)+(MTECH_RD*H501)+(CMM_RD*I501)+(ENG_RD*J501)+(DES_RD*K501))*N501)</f>
        <v>0</v>
      </c>
      <c r="N501" s="92">
        <v>1</v>
      </c>
      <c r="O501" s="170">
        <f t="shared" ref="O501:O507" si="1806">M501+(F501*N501)</f>
        <v>40</v>
      </c>
      <c r="P501" s="267"/>
      <c r="Q501" s="52" t="s">
        <v>47</v>
      </c>
      <c r="R501" s="71" t="s">
        <v>77</v>
      </c>
      <c r="S501" s="137" t="str">
        <f t="shared" ref="S501:S507" si="1807">CONCATENATE(Q501,R501,AB501)</f>
        <v>BPD2013</v>
      </c>
      <c r="T501" s="137" t="str">
        <f t="shared" ref="T501:T507" si="1808">CONCATENATE(Q501,U501,AB501)</f>
        <v>B1.5.1.22013</v>
      </c>
      <c r="U501" s="137" t="s">
        <v>208</v>
      </c>
      <c r="V501" s="137" t="str">
        <f t="shared" ref="V501:V507" si="1809">LOOKUP(U501,$B$539:$B$574,$A$539:$A$574)</f>
        <v>Middle Support Cylinder (MSC)</v>
      </c>
      <c r="AB501" s="33">
        <v>2013</v>
      </c>
      <c r="AC501" s="132">
        <f t="shared" ref="AC501:AC507" si="1810">IF($Q501="B", (G501*$N501),0)</f>
        <v>0</v>
      </c>
      <c r="AD501" s="132">
        <f t="shared" ref="AD501:AD507" si="1811">IF($Q501="B", (H501*$N501),0)</f>
        <v>0</v>
      </c>
      <c r="AE501" s="132">
        <f t="shared" ref="AE501:AE507" si="1812">IF($Q501="B", (I501*$N501),0)</f>
        <v>0</v>
      </c>
      <c r="AF501" s="132">
        <f t="shared" ref="AF501:AF507" si="1813">IF($Q501="B", (J501*$N501),0)</f>
        <v>0</v>
      </c>
      <c r="AG501" s="132">
        <f t="shared" ref="AG501:AG507" si="1814">IF($Q501="B", (K501*$N501),0)</f>
        <v>0</v>
      </c>
      <c r="AH501" s="234">
        <f t="shared" ref="AH501:AH507" si="1815">IF($Q501="B", (F501*$N501),0)</f>
        <v>40</v>
      </c>
      <c r="AI501" s="235"/>
      <c r="AJ501" s="132"/>
      <c r="AK501" s="132"/>
      <c r="AL501" s="166"/>
      <c r="AM501" s="131">
        <f t="shared" ref="AM501:AM507" si="1816">IF($Q501="C", (G501*$N501),0)</f>
        <v>0</v>
      </c>
      <c r="AN501" s="132">
        <f t="shared" ref="AN501:AN507" si="1817">IF($Q501="C", (H501*$N501),0)</f>
        <v>0</v>
      </c>
      <c r="AO501" s="132">
        <f t="shared" ref="AO501:AO507" si="1818">IF($Q501="C", (I501*$N501),0)</f>
        <v>0</v>
      </c>
      <c r="AP501" s="132">
        <f t="shared" ref="AP501:AP507" si="1819">IF($Q501="C", (J501*$N501),0)</f>
        <v>0</v>
      </c>
      <c r="AQ501" s="132">
        <f t="shared" ref="AQ501:AQ507" si="1820">IF($Q501="C", (K501*$N501),0)</f>
        <v>0</v>
      </c>
      <c r="AR501" s="132">
        <f t="shared" ref="AR501:AR507" si="1821">IF($Q501="C", (F501*$N501),0)</f>
        <v>0</v>
      </c>
      <c r="AS501" s="235"/>
    </row>
    <row r="502" spans="1:45" s="20" customFormat="1">
      <c r="A502" s="20" t="s">
        <v>18</v>
      </c>
      <c r="B502" s="20" t="s">
        <v>23</v>
      </c>
      <c r="C502" s="165">
        <v>1</v>
      </c>
      <c r="D502" s="96" t="s">
        <v>24</v>
      </c>
      <c r="E502" s="166">
        <v>100</v>
      </c>
      <c r="F502" s="167">
        <f t="shared" si="1804"/>
        <v>100</v>
      </c>
      <c r="G502" s="168">
        <v>0</v>
      </c>
      <c r="H502" s="168">
        <v>0</v>
      </c>
      <c r="I502" s="168">
        <v>0</v>
      </c>
      <c r="J502" s="168">
        <v>0</v>
      </c>
      <c r="K502" s="169">
        <v>0</v>
      </c>
      <c r="L502" s="96" t="s">
        <v>8</v>
      </c>
      <c r="M502" s="166">
        <f t="shared" si="1805"/>
        <v>0</v>
      </c>
      <c r="N502" s="92">
        <v>1</v>
      </c>
      <c r="O502" s="170">
        <f t="shared" si="1806"/>
        <v>100</v>
      </c>
      <c r="P502" s="267"/>
      <c r="Q502" s="52" t="s">
        <v>47</v>
      </c>
      <c r="R502" s="71" t="s">
        <v>77</v>
      </c>
      <c r="S502" s="137" t="str">
        <f t="shared" si="1807"/>
        <v>BPD2013</v>
      </c>
      <c r="T502" s="137" t="str">
        <f t="shared" si="1808"/>
        <v>B1.5.1.22013</v>
      </c>
      <c r="U502" s="137" t="s">
        <v>208</v>
      </c>
      <c r="V502" s="137" t="str">
        <f t="shared" si="1809"/>
        <v>Middle Support Cylinder (MSC)</v>
      </c>
      <c r="AB502" s="33">
        <v>2013</v>
      </c>
      <c r="AC502" s="132">
        <f t="shared" si="1810"/>
        <v>0</v>
      </c>
      <c r="AD502" s="132">
        <f t="shared" si="1811"/>
        <v>0</v>
      </c>
      <c r="AE502" s="132">
        <f t="shared" si="1812"/>
        <v>0</v>
      </c>
      <c r="AF502" s="132">
        <f t="shared" si="1813"/>
        <v>0</v>
      </c>
      <c r="AG502" s="132">
        <f t="shared" si="1814"/>
        <v>0</v>
      </c>
      <c r="AH502" s="234">
        <f t="shared" si="1815"/>
        <v>100</v>
      </c>
      <c r="AI502" s="235"/>
      <c r="AJ502" s="92"/>
      <c r="AK502" s="92"/>
      <c r="AL502" s="166"/>
      <c r="AM502" s="131">
        <f t="shared" si="1816"/>
        <v>0</v>
      </c>
      <c r="AN502" s="132">
        <f t="shared" si="1817"/>
        <v>0</v>
      </c>
      <c r="AO502" s="132">
        <f t="shared" si="1818"/>
        <v>0</v>
      </c>
      <c r="AP502" s="132">
        <f t="shared" si="1819"/>
        <v>0</v>
      </c>
      <c r="AQ502" s="132">
        <f t="shared" si="1820"/>
        <v>0</v>
      </c>
      <c r="AR502" s="132">
        <f t="shared" si="1821"/>
        <v>0</v>
      </c>
      <c r="AS502" s="235"/>
    </row>
    <row r="503" spans="1:45" s="20" customFormat="1">
      <c r="A503" s="20" t="s">
        <v>19</v>
      </c>
      <c r="B503" s="20" t="s">
        <v>25</v>
      </c>
      <c r="C503" s="165">
        <v>5</v>
      </c>
      <c r="D503" s="96" t="s">
        <v>26</v>
      </c>
      <c r="E503" s="166">
        <v>3</v>
      </c>
      <c r="F503" s="167">
        <f>E503*C503</f>
        <v>15</v>
      </c>
      <c r="G503" s="168">
        <v>0</v>
      </c>
      <c r="H503" s="168">
        <v>0</v>
      </c>
      <c r="I503" s="168">
        <v>0</v>
      </c>
      <c r="J503" s="168">
        <v>0</v>
      </c>
      <c r="K503" s="169">
        <v>0</v>
      </c>
      <c r="L503" s="96" t="s">
        <v>8</v>
      </c>
      <c r="M503" s="166">
        <f t="shared" si="1805"/>
        <v>0</v>
      </c>
      <c r="N503" s="92">
        <v>1</v>
      </c>
      <c r="O503" s="170">
        <f t="shared" si="1806"/>
        <v>15</v>
      </c>
      <c r="P503" s="267"/>
      <c r="Q503" s="52" t="s">
        <v>47</v>
      </c>
      <c r="R503" s="71" t="s">
        <v>77</v>
      </c>
      <c r="S503" s="137" t="str">
        <f t="shared" si="1807"/>
        <v>BPD2013</v>
      </c>
      <c r="T503" s="137" t="str">
        <f t="shared" si="1808"/>
        <v>B1.5.1.22013</v>
      </c>
      <c r="U503" s="137" t="s">
        <v>208</v>
      </c>
      <c r="V503" s="137" t="str">
        <f t="shared" si="1809"/>
        <v>Middle Support Cylinder (MSC)</v>
      </c>
      <c r="AB503" s="33">
        <v>2013</v>
      </c>
      <c r="AC503" s="132">
        <f t="shared" si="1810"/>
        <v>0</v>
      </c>
      <c r="AD503" s="132">
        <f t="shared" si="1811"/>
        <v>0</v>
      </c>
      <c r="AE503" s="132">
        <f t="shared" si="1812"/>
        <v>0</v>
      </c>
      <c r="AF503" s="132">
        <f t="shared" si="1813"/>
        <v>0</v>
      </c>
      <c r="AG503" s="132">
        <f t="shared" si="1814"/>
        <v>0</v>
      </c>
      <c r="AH503" s="234">
        <f t="shared" si="1815"/>
        <v>15</v>
      </c>
      <c r="AI503" s="235"/>
      <c r="AJ503" s="92"/>
      <c r="AK503" s="92"/>
      <c r="AL503" s="166"/>
      <c r="AM503" s="131">
        <f t="shared" si="1816"/>
        <v>0</v>
      </c>
      <c r="AN503" s="132">
        <f t="shared" si="1817"/>
        <v>0</v>
      </c>
      <c r="AO503" s="132">
        <f t="shared" si="1818"/>
        <v>0</v>
      </c>
      <c r="AP503" s="132">
        <f t="shared" si="1819"/>
        <v>0</v>
      </c>
      <c r="AQ503" s="132">
        <f t="shared" si="1820"/>
        <v>0</v>
      </c>
      <c r="AR503" s="132">
        <f t="shared" si="1821"/>
        <v>0</v>
      </c>
      <c r="AS503" s="235"/>
    </row>
    <row r="504" spans="1:45" s="20" customFormat="1">
      <c r="A504" s="20" t="s">
        <v>68</v>
      </c>
      <c r="B504" s="20" t="s">
        <v>23</v>
      </c>
      <c r="C504" s="165">
        <v>1</v>
      </c>
      <c r="D504" s="96" t="s">
        <v>24</v>
      </c>
      <c r="E504" s="166">
        <v>150</v>
      </c>
      <c r="F504" s="167">
        <f t="shared" ref="F504:F507" si="1822">E504*C504</f>
        <v>150</v>
      </c>
      <c r="G504" s="168">
        <v>0</v>
      </c>
      <c r="H504" s="168">
        <v>5</v>
      </c>
      <c r="I504" s="168">
        <v>0</v>
      </c>
      <c r="J504" s="168">
        <v>0</v>
      </c>
      <c r="K504" s="169">
        <v>0</v>
      </c>
      <c r="L504" s="96" t="s">
        <v>8</v>
      </c>
      <c r="M504" s="166">
        <f t="shared" si="1805"/>
        <v>473.85</v>
      </c>
      <c r="N504" s="92">
        <v>1</v>
      </c>
      <c r="O504" s="170">
        <f t="shared" si="1806"/>
        <v>623.85</v>
      </c>
      <c r="P504" s="267"/>
      <c r="Q504" s="52" t="s">
        <v>47</v>
      </c>
      <c r="R504" s="71" t="s">
        <v>77</v>
      </c>
      <c r="S504" s="137" t="str">
        <f t="shared" si="1807"/>
        <v>BPD2013</v>
      </c>
      <c r="T504" s="137" t="str">
        <f t="shared" si="1808"/>
        <v>B1.5.1.22013</v>
      </c>
      <c r="U504" s="137" t="s">
        <v>208</v>
      </c>
      <c r="V504" s="137" t="str">
        <f t="shared" si="1809"/>
        <v>Middle Support Cylinder (MSC)</v>
      </c>
      <c r="AB504" s="33">
        <v>2013</v>
      </c>
      <c r="AC504" s="132">
        <f t="shared" si="1810"/>
        <v>0</v>
      </c>
      <c r="AD504" s="132">
        <f t="shared" si="1811"/>
        <v>5</v>
      </c>
      <c r="AE504" s="132">
        <f t="shared" si="1812"/>
        <v>0</v>
      </c>
      <c r="AF504" s="132">
        <f t="shared" si="1813"/>
        <v>0</v>
      </c>
      <c r="AG504" s="132">
        <f t="shared" si="1814"/>
        <v>0</v>
      </c>
      <c r="AH504" s="234">
        <f t="shared" si="1815"/>
        <v>150</v>
      </c>
      <c r="AI504" s="235"/>
      <c r="AJ504" s="132"/>
      <c r="AK504" s="132"/>
      <c r="AL504" s="166"/>
      <c r="AM504" s="131">
        <f t="shared" si="1816"/>
        <v>0</v>
      </c>
      <c r="AN504" s="132">
        <f t="shared" si="1817"/>
        <v>0</v>
      </c>
      <c r="AO504" s="132">
        <f t="shared" si="1818"/>
        <v>0</v>
      </c>
      <c r="AP504" s="132">
        <f t="shared" si="1819"/>
        <v>0</v>
      </c>
      <c r="AQ504" s="132">
        <f t="shared" si="1820"/>
        <v>0</v>
      </c>
      <c r="AR504" s="132">
        <f t="shared" si="1821"/>
        <v>0</v>
      </c>
      <c r="AS504" s="235"/>
    </row>
    <row r="505" spans="1:45" s="20" customFormat="1">
      <c r="A505" s="20" t="s">
        <v>67</v>
      </c>
      <c r="B505" s="20" t="s">
        <v>27</v>
      </c>
      <c r="C505" s="165">
        <v>1</v>
      </c>
      <c r="D505" s="96" t="s">
        <v>28</v>
      </c>
      <c r="E505" s="166">
        <v>50</v>
      </c>
      <c r="F505" s="167">
        <f t="shared" si="1822"/>
        <v>50</v>
      </c>
      <c r="G505" s="168">
        <v>4</v>
      </c>
      <c r="H505" s="168">
        <v>0</v>
      </c>
      <c r="I505" s="168">
        <v>0</v>
      </c>
      <c r="J505" s="168">
        <v>0</v>
      </c>
      <c r="K505" s="169">
        <v>0</v>
      </c>
      <c r="L505" s="96" t="s">
        <v>8</v>
      </c>
      <c r="M505" s="166">
        <f t="shared" si="1805"/>
        <v>408.24</v>
      </c>
      <c r="N505" s="92">
        <v>1</v>
      </c>
      <c r="O505" s="170">
        <f t="shared" si="1806"/>
        <v>458.24</v>
      </c>
      <c r="P505" s="267"/>
      <c r="Q505" s="52" t="s">
        <v>47</v>
      </c>
      <c r="R505" s="71" t="s">
        <v>77</v>
      </c>
      <c r="S505" s="137" t="str">
        <f t="shared" si="1807"/>
        <v>BPD2013</v>
      </c>
      <c r="T505" s="137" t="str">
        <f t="shared" si="1808"/>
        <v>B1.5.1.22013</v>
      </c>
      <c r="U505" s="137" t="s">
        <v>208</v>
      </c>
      <c r="V505" s="137" t="str">
        <f t="shared" si="1809"/>
        <v>Middle Support Cylinder (MSC)</v>
      </c>
      <c r="AB505" s="33">
        <v>2013</v>
      </c>
      <c r="AC505" s="132">
        <f t="shared" si="1810"/>
        <v>4</v>
      </c>
      <c r="AD505" s="132">
        <f t="shared" si="1811"/>
        <v>0</v>
      </c>
      <c r="AE505" s="132">
        <f t="shared" si="1812"/>
        <v>0</v>
      </c>
      <c r="AF505" s="132">
        <f t="shared" si="1813"/>
        <v>0</v>
      </c>
      <c r="AG505" s="132">
        <f t="shared" si="1814"/>
        <v>0</v>
      </c>
      <c r="AH505" s="234">
        <f t="shared" si="1815"/>
        <v>50</v>
      </c>
      <c r="AI505" s="235"/>
      <c r="AJ505" s="92"/>
      <c r="AK505" s="92"/>
      <c r="AL505" s="166"/>
      <c r="AM505" s="131">
        <f t="shared" si="1816"/>
        <v>0</v>
      </c>
      <c r="AN505" s="132">
        <f t="shared" si="1817"/>
        <v>0</v>
      </c>
      <c r="AO505" s="132">
        <f t="shared" si="1818"/>
        <v>0</v>
      </c>
      <c r="AP505" s="132">
        <f t="shared" si="1819"/>
        <v>0</v>
      </c>
      <c r="AQ505" s="132">
        <f t="shared" si="1820"/>
        <v>0</v>
      </c>
      <c r="AR505" s="132">
        <f t="shared" si="1821"/>
        <v>0</v>
      </c>
      <c r="AS505" s="235"/>
    </row>
    <row r="506" spans="1:45" s="20" customFormat="1">
      <c r="A506" s="20" t="s">
        <v>20</v>
      </c>
      <c r="B506" s="20" t="s">
        <v>34</v>
      </c>
      <c r="C506" s="165"/>
      <c r="D506" s="96"/>
      <c r="E506" s="166">
        <v>0</v>
      </c>
      <c r="F506" s="167">
        <f t="shared" si="1822"/>
        <v>0</v>
      </c>
      <c r="G506" s="168">
        <v>0</v>
      </c>
      <c r="H506" s="168">
        <v>8</v>
      </c>
      <c r="I506" s="168">
        <v>0</v>
      </c>
      <c r="J506" s="168">
        <v>0</v>
      </c>
      <c r="K506" s="169">
        <v>0</v>
      </c>
      <c r="L506" s="96" t="s">
        <v>8</v>
      </c>
      <c r="M506" s="166">
        <f t="shared" si="1805"/>
        <v>758.16000000000008</v>
      </c>
      <c r="N506" s="92">
        <v>1</v>
      </c>
      <c r="O506" s="170">
        <f t="shared" si="1806"/>
        <v>758.16000000000008</v>
      </c>
      <c r="P506" s="267"/>
      <c r="Q506" s="52" t="s">
        <v>47</v>
      </c>
      <c r="R506" s="71" t="s">
        <v>77</v>
      </c>
      <c r="S506" s="137" t="str">
        <f t="shared" si="1807"/>
        <v>BPD2013</v>
      </c>
      <c r="T506" s="137" t="str">
        <f t="shared" si="1808"/>
        <v>B1.5.1.22013</v>
      </c>
      <c r="U506" s="137" t="s">
        <v>208</v>
      </c>
      <c r="V506" s="137" t="str">
        <f t="shared" si="1809"/>
        <v>Middle Support Cylinder (MSC)</v>
      </c>
      <c r="AB506" s="33">
        <v>2013</v>
      </c>
      <c r="AC506" s="132">
        <f t="shared" si="1810"/>
        <v>0</v>
      </c>
      <c r="AD506" s="132">
        <f t="shared" si="1811"/>
        <v>8</v>
      </c>
      <c r="AE506" s="132">
        <f t="shared" si="1812"/>
        <v>0</v>
      </c>
      <c r="AF506" s="132">
        <f t="shared" si="1813"/>
        <v>0</v>
      </c>
      <c r="AG506" s="132">
        <f t="shared" si="1814"/>
        <v>0</v>
      </c>
      <c r="AH506" s="234">
        <f t="shared" si="1815"/>
        <v>0</v>
      </c>
      <c r="AI506" s="235"/>
      <c r="AJ506" s="132"/>
      <c r="AK506" s="132"/>
      <c r="AL506" s="166"/>
      <c r="AM506" s="131">
        <f t="shared" si="1816"/>
        <v>0</v>
      </c>
      <c r="AN506" s="132">
        <f t="shared" si="1817"/>
        <v>0</v>
      </c>
      <c r="AO506" s="132">
        <f t="shared" si="1818"/>
        <v>0</v>
      </c>
      <c r="AP506" s="132">
        <f t="shared" si="1819"/>
        <v>0</v>
      </c>
      <c r="AQ506" s="132">
        <f t="shared" si="1820"/>
        <v>0</v>
      </c>
      <c r="AR506" s="132">
        <f t="shared" si="1821"/>
        <v>0</v>
      </c>
      <c r="AS506" s="235"/>
    </row>
    <row r="507" spans="1:45" s="20" customFormat="1">
      <c r="A507" s="20" t="s">
        <v>21</v>
      </c>
      <c r="B507" s="20" t="s">
        <v>33</v>
      </c>
      <c r="C507" s="165">
        <v>1</v>
      </c>
      <c r="D507" s="96"/>
      <c r="E507" s="166">
        <v>1500</v>
      </c>
      <c r="F507" s="167">
        <f t="shared" si="1822"/>
        <v>1500</v>
      </c>
      <c r="G507" s="168">
        <v>0</v>
      </c>
      <c r="H507" s="168">
        <v>0</v>
      </c>
      <c r="I507" s="168">
        <v>0</v>
      </c>
      <c r="J507" s="168">
        <v>0</v>
      </c>
      <c r="K507" s="169">
        <v>0</v>
      </c>
      <c r="L507" s="96" t="s">
        <v>8</v>
      </c>
      <c r="M507" s="166">
        <f t="shared" si="1805"/>
        <v>0</v>
      </c>
      <c r="N507" s="92">
        <v>1</v>
      </c>
      <c r="O507" s="170">
        <f t="shared" si="1806"/>
        <v>1500</v>
      </c>
      <c r="P507" s="267"/>
      <c r="Q507" s="52" t="s">
        <v>47</v>
      </c>
      <c r="R507" s="71" t="s">
        <v>77</v>
      </c>
      <c r="S507" s="137" t="str">
        <f t="shared" si="1807"/>
        <v>BPD2013</v>
      </c>
      <c r="T507" s="137" t="str">
        <f t="shared" si="1808"/>
        <v>B1.5.1.22013</v>
      </c>
      <c r="U507" s="137" t="s">
        <v>208</v>
      </c>
      <c r="V507" s="137" t="str">
        <f t="shared" si="1809"/>
        <v>Middle Support Cylinder (MSC)</v>
      </c>
      <c r="AB507" s="33">
        <v>2013</v>
      </c>
      <c r="AC507" s="132">
        <f t="shared" si="1810"/>
        <v>0</v>
      </c>
      <c r="AD507" s="132">
        <f t="shared" si="1811"/>
        <v>0</v>
      </c>
      <c r="AE507" s="132">
        <f t="shared" si="1812"/>
        <v>0</v>
      </c>
      <c r="AF507" s="132">
        <f t="shared" si="1813"/>
        <v>0</v>
      </c>
      <c r="AG507" s="132">
        <f t="shared" si="1814"/>
        <v>0</v>
      </c>
      <c r="AH507" s="234">
        <f t="shared" si="1815"/>
        <v>1500</v>
      </c>
      <c r="AI507" s="271"/>
      <c r="AJ507" s="92"/>
      <c r="AK507" s="92"/>
      <c r="AL507" s="166"/>
      <c r="AM507" s="272">
        <f t="shared" si="1816"/>
        <v>0</v>
      </c>
      <c r="AN507" s="273">
        <f t="shared" si="1817"/>
        <v>0</v>
      </c>
      <c r="AO507" s="273">
        <f t="shared" si="1818"/>
        <v>0</v>
      </c>
      <c r="AP507" s="273">
        <f t="shared" si="1819"/>
        <v>0</v>
      </c>
      <c r="AQ507" s="273">
        <f t="shared" si="1820"/>
        <v>0</v>
      </c>
      <c r="AR507" s="273">
        <f t="shared" si="1821"/>
        <v>0</v>
      </c>
      <c r="AS507" s="271"/>
    </row>
    <row r="508" spans="1:45" s="20" customFormat="1">
      <c r="A508" s="20" t="s">
        <v>498</v>
      </c>
      <c r="C508" s="165"/>
      <c r="D508" s="96"/>
      <c r="E508" s="166"/>
      <c r="F508" s="167"/>
      <c r="G508" s="168"/>
      <c r="H508" s="168"/>
      <c r="I508" s="168"/>
      <c r="J508" s="168"/>
      <c r="K508" s="169"/>
      <c r="L508" s="96"/>
      <c r="M508" s="177">
        <f>SUMIF(Q501:Q507,"B",M501:M507)</f>
        <v>1640.25</v>
      </c>
      <c r="N508" s="92" t="s">
        <v>279</v>
      </c>
      <c r="O508" s="267"/>
      <c r="P508" s="267"/>
      <c r="Q508" s="52"/>
      <c r="R508" s="71"/>
      <c r="S508" s="137"/>
      <c r="T508" s="137"/>
      <c r="U508" s="137"/>
      <c r="V508" s="137"/>
      <c r="AB508" s="33"/>
      <c r="AC508" s="132"/>
      <c r="AD508" s="132"/>
      <c r="AE508" s="132"/>
      <c r="AF508" s="132"/>
      <c r="AG508" s="132"/>
      <c r="AH508" s="234"/>
      <c r="AI508" s="235"/>
      <c r="AJ508" s="132"/>
      <c r="AK508" s="132"/>
      <c r="AL508" s="166"/>
      <c r="AM508" s="131"/>
      <c r="AN508" s="132"/>
      <c r="AO508" s="132"/>
      <c r="AP508" s="132"/>
      <c r="AQ508" s="132"/>
      <c r="AR508" s="132"/>
      <c r="AS508" s="235"/>
    </row>
    <row r="509" spans="1:45" s="20" customFormat="1">
      <c r="A509" s="20" t="s">
        <v>17</v>
      </c>
      <c r="B509" s="20" t="s">
        <v>22</v>
      </c>
      <c r="C509" s="165">
        <v>4</v>
      </c>
      <c r="D509" s="96" t="s">
        <v>13</v>
      </c>
      <c r="E509" s="166">
        <v>10</v>
      </c>
      <c r="F509" s="167">
        <f t="shared" ref="F509:F510" si="1823">E509*C509</f>
        <v>40</v>
      </c>
      <c r="G509" s="168">
        <v>0</v>
      </c>
      <c r="H509" s="168">
        <v>0</v>
      </c>
      <c r="I509" s="168">
        <v>0</v>
      </c>
      <c r="J509" s="168">
        <v>0</v>
      </c>
      <c r="K509" s="169">
        <v>0</v>
      </c>
      <c r="L509" s="96" t="s">
        <v>8</v>
      </c>
      <c r="M509" s="166">
        <f t="shared" ref="M509:M515" si="1824">IF(R509="PD",((Shop*G509)+(M_Tech*H509)+(CMM*I509)+(ENG*J509)+(DES*K509))*N509,((Shop_RD*G509)+(MTECH_RD*H509)+(CMM_RD*I509)+(ENG_RD*J509)+(DES_RD*K509))*N509)</f>
        <v>0</v>
      </c>
      <c r="N509" s="92">
        <v>1</v>
      </c>
      <c r="O509" s="170">
        <f t="shared" ref="O509:O515" si="1825">M509+(F509*N509)</f>
        <v>40</v>
      </c>
      <c r="P509" s="267"/>
      <c r="Q509" s="52" t="s">
        <v>47</v>
      </c>
      <c r="R509" s="71" t="s">
        <v>77</v>
      </c>
      <c r="S509" s="137" t="str">
        <f t="shared" ref="S509:S515" si="1826">CONCATENATE(Q509,R509,AB509)</f>
        <v>BPD2012</v>
      </c>
      <c r="T509" s="137" t="str">
        <f t="shared" ref="T509:T515" si="1827">CONCATENATE(Q509,U509,AB509)</f>
        <v>B1.5.1.1.22012</v>
      </c>
      <c r="U509" s="137" t="s">
        <v>202</v>
      </c>
      <c r="V509" s="137" t="str">
        <f t="shared" ref="V509:V515" si="1828">LOOKUP(U509,$B$539:$B$574,$A$539:$A$574)</f>
        <v>East Support Cylinder (ESC)</v>
      </c>
      <c r="AB509" s="33">
        <v>2012</v>
      </c>
      <c r="AC509" s="132">
        <f t="shared" ref="AC509:AC515" si="1829">IF($Q509="B", (G509*$N509),0)</f>
        <v>0</v>
      </c>
      <c r="AD509" s="132">
        <f t="shared" ref="AD509:AD515" si="1830">IF($Q509="B", (H509*$N509),0)</f>
        <v>0</v>
      </c>
      <c r="AE509" s="132">
        <f t="shared" ref="AE509:AE515" si="1831">IF($Q509="B", (I509*$N509),0)</f>
        <v>0</v>
      </c>
      <c r="AF509" s="132">
        <f t="shared" ref="AF509:AF515" si="1832">IF($Q509="B", (J509*$N509),0)</f>
        <v>0</v>
      </c>
      <c r="AG509" s="132">
        <f t="shared" ref="AG509:AG515" si="1833">IF($Q509="B", (K509*$N509),0)</f>
        <v>0</v>
      </c>
      <c r="AH509" s="234">
        <f t="shared" ref="AH509:AH515" si="1834">IF($Q509="B", (F509*$N509),0)</f>
        <v>40</v>
      </c>
      <c r="AI509" s="235"/>
      <c r="AJ509" s="132"/>
      <c r="AK509" s="132"/>
      <c r="AL509" s="166"/>
      <c r="AM509" s="131">
        <f t="shared" ref="AM509:AM515" si="1835">IF($Q509="C", (G509*$N509),0)</f>
        <v>0</v>
      </c>
      <c r="AN509" s="132">
        <f t="shared" ref="AN509:AN515" si="1836">IF($Q509="C", (H509*$N509),0)</f>
        <v>0</v>
      </c>
      <c r="AO509" s="132">
        <f t="shared" ref="AO509:AO515" si="1837">IF($Q509="C", (I509*$N509),0)</f>
        <v>0</v>
      </c>
      <c r="AP509" s="132">
        <f t="shared" ref="AP509:AP515" si="1838">IF($Q509="C", (J509*$N509),0)</f>
        <v>0</v>
      </c>
      <c r="AQ509" s="132">
        <f t="shared" ref="AQ509:AQ515" si="1839">IF($Q509="C", (K509*$N509),0)</f>
        <v>0</v>
      </c>
      <c r="AR509" s="132">
        <f t="shared" ref="AR509:AR515" si="1840">IF($Q509="C", (F509*$N509),0)</f>
        <v>0</v>
      </c>
      <c r="AS509" s="235"/>
    </row>
    <row r="510" spans="1:45" s="20" customFormat="1">
      <c r="A510" s="20" t="s">
        <v>18</v>
      </c>
      <c r="B510" s="20" t="s">
        <v>23</v>
      </c>
      <c r="C510" s="165">
        <v>1</v>
      </c>
      <c r="D510" s="96" t="s">
        <v>24</v>
      </c>
      <c r="E510" s="166">
        <v>100</v>
      </c>
      <c r="F510" s="167">
        <f t="shared" si="1823"/>
        <v>100</v>
      </c>
      <c r="G510" s="168">
        <v>0</v>
      </c>
      <c r="H510" s="168">
        <v>0</v>
      </c>
      <c r="I510" s="168">
        <v>0</v>
      </c>
      <c r="J510" s="168">
        <v>0</v>
      </c>
      <c r="K510" s="169">
        <v>0</v>
      </c>
      <c r="L510" s="96" t="s">
        <v>8</v>
      </c>
      <c r="M510" s="166">
        <f t="shared" si="1824"/>
        <v>0</v>
      </c>
      <c r="N510" s="92">
        <v>1</v>
      </c>
      <c r="O510" s="170">
        <f t="shared" si="1825"/>
        <v>100</v>
      </c>
      <c r="P510" s="267"/>
      <c r="Q510" s="52" t="s">
        <v>47</v>
      </c>
      <c r="R510" s="71" t="s">
        <v>77</v>
      </c>
      <c r="S510" s="137" t="str">
        <f t="shared" si="1826"/>
        <v>BPD2012</v>
      </c>
      <c r="T510" s="137" t="str">
        <f t="shared" si="1827"/>
        <v>B1.5.1.1.22012</v>
      </c>
      <c r="U510" s="137" t="s">
        <v>202</v>
      </c>
      <c r="V510" s="137" t="str">
        <f t="shared" si="1828"/>
        <v>East Support Cylinder (ESC)</v>
      </c>
      <c r="AB510" s="33">
        <v>2012</v>
      </c>
      <c r="AC510" s="132">
        <f t="shared" si="1829"/>
        <v>0</v>
      </c>
      <c r="AD510" s="132">
        <f t="shared" si="1830"/>
        <v>0</v>
      </c>
      <c r="AE510" s="132">
        <f t="shared" si="1831"/>
        <v>0</v>
      </c>
      <c r="AF510" s="132">
        <f t="shared" si="1832"/>
        <v>0</v>
      </c>
      <c r="AG510" s="132">
        <f t="shared" si="1833"/>
        <v>0</v>
      </c>
      <c r="AH510" s="234">
        <f t="shared" si="1834"/>
        <v>100</v>
      </c>
      <c r="AI510" s="235"/>
      <c r="AJ510" s="92"/>
      <c r="AK510" s="92"/>
      <c r="AL510" s="166"/>
      <c r="AM510" s="131">
        <f t="shared" si="1835"/>
        <v>0</v>
      </c>
      <c r="AN510" s="132">
        <f t="shared" si="1836"/>
        <v>0</v>
      </c>
      <c r="AO510" s="132">
        <f t="shared" si="1837"/>
        <v>0</v>
      </c>
      <c r="AP510" s="132">
        <f t="shared" si="1838"/>
        <v>0</v>
      </c>
      <c r="AQ510" s="132">
        <f t="shared" si="1839"/>
        <v>0</v>
      </c>
      <c r="AR510" s="132">
        <f t="shared" si="1840"/>
        <v>0</v>
      </c>
      <c r="AS510" s="235"/>
    </row>
    <row r="511" spans="1:45" s="20" customFormat="1">
      <c r="A511" s="20" t="s">
        <v>19</v>
      </c>
      <c r="B511" s="20" t="s">
        <v>25</v>
      </c>
      <c r="C511" s="165">
        <v>5</v>
      </c>
      <c r="D511" s="96" t="s">
        <v>26</v>
      </c>
      <c r="E511" s="166">
        <v>3</v>
      </c>
      <c r="F511" s="167">
        <f>E511*C511</f>
        <v>15</v>
      </c>
      <c r="G511" s="168">
        <v>0</v>
      </c>
      <c r="H511" s="168">
        <v>0</v>
      </c>
      <c r="I511" s="168">
        <v>0</v>
      </c>
      <c r="J511" s="168">
        <v>0</v>
      </c>
      <c r="K511" s="169">
        <v>0</v>
      </c>
      <c r="L511" s="96" t="s">
        <v>8</v>
      </c>
      <c r="M511" s="166">
        <f t="shared" si="1824"/>
        <v>0</v>
      </c>
      <c r="N511" s="92">
        <v>1</v>
      </c>
      <c r="O511" s="170">
        <f t="shared" si="1825"/>
        <v>15</v>
      </c>
      <c r="P511" s="267"/>
      <c r="Q511" s="52" t="s">
        <v>47</v>
      </c>
      <c r="R511" s="71" t="s">
        <v>77</v>
      </c>
      <c r="S511" s="137" t="str">
        <f t="shared" si="1826"/>
        <v>BPD2012</v>
      </c>
      <c r="T511" s="137" t="str">
        <f t="shared" si="1827"/>
        <v>B1.5.1.1.22012</v>
      </c>
      <c r="U511" s="137" t="s">
        <v>202</v>
      </c>
      <c r="V511" s="137" t="str">
        <f t="shared" si="1828"/>
        <v>East Support Cylinder (ESC)</v>
      </c>
      <c r="AB511" s="33">
        <v>2012</v>
      </c>
      <c r="AC511" s="132">
        <f t="shared" si="1829"/>
        <v>0</v>
      </c>
      <c r="AD511" s="132">
        <f t="shared" si="1830"/>
        <v>0</v>
      </c>
      <c r="AE511" s="132">
        <f t="shared" si="1831"/>
        <v>0</v>
      </c>
      <c r="AF511" s="132">
        <f t="shared" si="1832"/>
        <v>0</v>
      </c>
      <c r="AG511" s="132">
        <f t="shared" si="1833"/>
        <v>0</v>
      </c>
      <c r="AH511" s="234">
        <f t="shared" si="1834"/>
        <v>15</v>
      </c>
      <c r="AI511" s="235"/>
      <c r="AJ511" s="92"/>
      <c r="AK511" s="92"/>
      <c r="AL511" s="166"/>
      <c r="AM511" s="131">
        <f t="shared" si="1835"/>
        <v>0</v>
      </c>
      <c r="AN511" s="132">
        <f t="shared" si="1836"/>
        <v>0</v>
      </c>
      <c r="AO511" s="132">
        <f t="shared" si="1837"/>
        <v>0</v>
      </c>
      <c r="AP511" s="132">
        <f t="shared" si="1838"/>
        <v>0</v>
      </c>
      <c r="AQ511" s="132">
        <f t="shared" si="1839"/>
        <v>0</v>
      </c>
      <c r="AR511" s="132">
        <f t="shared" si="1840"/>
        <v>0</v>
      </c>
      <c r="AS511" s="235"/>
    </row>
    <row r="512" spans="1:45" s="20" customFormat="1">
      <c r="A512" s="20" t="s">
        <v>68</v>
      </c>
      <c r="B512" s="20" t="s">
        <v>23</v>
      </c>
      <c r="C512" s="165">
        <v>1</v>
      </c>
      <c r="D512" s="96" t="s">
        <v>24</v>
      </c>
      <c r="E512" s="166">
        <v>150</v>
      </c>
      <c r="F512" s="167">
        <f t="shared" ref="F512:F515" si="1841">E512*C512</f>
        <v>150</v>
      </c>
      <c r="G512" s="168">
        <v>0</v>
      </c>
      <c r="H512" s="168">
        <v>5</v>
      </c>
      <c r="I512" s="168">
        <v>0</v>
      </c>
      <c r="J512" s="168">
        <v>0</v>
      </c>
      <c r="K512" s="169">
        <v>0</v>
      </c>
      <c r="L512" s="96" t="s">
        <v>8</v>
      </c>
      <c r="M512" s="166">
        <f t="shared" si="1824"/>
        <v>473.85</v>
      </c>
      <c r="N512" s="92">
        <v>1</v>
      </c>
      <c r="O512" s="170">
        <f t="shared" si="1825"/>
        <v>623.85</v>
      </c>
      <c r="P512" s="267"/>
      <c r="Q512" s="52" t="s">
        <v>47</v>
      </c>
      <c r="R512" s="71" t="s">
        <v>77</v>
      </c>
      <c r="S512" s="137" t="str">
        <f t="shared" si="1826"/>
        <v>BPD2012</v>
      </c>
      <c r="T512" s="137" t="str">
        <f t="shared" si="1827"/>
        <v>B1.5.1.1.22012</v>
      </c>
      <c r="U512" s="137" t="s">
        <v>202</v>
      </c>
      <c r="V512" s="137" t="str">
        <f t="shared" si="1828"/>
        <v>East Support Cylinder (ESC)</v>
      </c>
      <c r="AB512" s="33">
        <v>2012</v>
      </c>
      <c r="AC512" s="132">
        <f t="shared" si="1829"/>
        <v>0</v>
      </c>
      <c r="AD512" s="132">
        <f t="shared" si="1830"/>
        <v>5</v>
      </c>
      <c r="AE512" s="132">
        <f t="shared" si="1831"/>
        <v>0</v>
      </c>
      <c r="AF512" s="132">
        <f t="shared" si="1832"/>
        <v>0</v>
      </c>
      <c r="AG512" s="132">
        <f t="shared" si="1833"/>
        <v>0</v>
      </c>
      <c r="AH512" s="234">
        <f t="shared" si="1834"/>
        <v>150</v>
      </c>
      <c r="AI512" s="235"/>
      <c r="AJ512" s="132"/>
      <c r="AK512" s="132"/>
      <c r="AL512" s="166"/>
      <c r="AM512" s="131">
        <f t="shared" si="1835"/>
        <v>0</v>
      </c>
      <c r="AN512" s="132">
        <f t="shared" si="1836"/>
        <v>0</v>
      </c>
      <c r="AO512" s="132">
        <f t="shared" si="1837"/>
        <v>0</v>
      </c>
      <c r="AP512" s="132">
        <f t="shared" si="1838"/>
        <v>0</v>
      </c>
      <c r="AQ512" s="132">
        <f t="shared" si="1839"/>
        <v>0</v>
      </c>
      <c r="AR512" s="132">
        <f t="shared" si="1840"/>
        <v>0</v>
      </c>
      <c r="AS512" s="235"/>
    </row>
    <row r="513" spans="1:45" s="20" customFormat="1">
      <c r="A513" s="20" t="s">
        <v>67</v>
      </c>
      <c r="B513" s="20" t="s">
        <v>27</v>
      </c>
      <c r="C513" s="165">
        <v>1</v>
      </c>
      <c r="D513" s="96" t="s">
        <v>28</v>
      </c>
      <c r="E513" s="166">
        <v>50</v>
      </c>
      <c r="F513" s="167">
        <f t="shared" si="1841"/>
        <v>50</v>
      </c>
      <c r="G513" s="168">
        <v>4</v>
      </c>
      <c r="H513" s="168">
        <v>0</v>
      </c>
      <c r="I513" s="168">
        <v>0</v>
      </c>
      <c r="J513" s="168">
        <v>0</v>
      </c>
      <c r="K513" s="169">
        <v>0</v>
      </c>
      <c r="L513" s="96" t="s">
        <v>8</v>
      </c>
      <c r="M513" s="166">
        <f t="shared" si="1824"/>
        <v>408.24</v>
      </c>
      <c r="N513" s="92">
        <v>1</v>
      </c>
      <c r="O513" s="170">
        <f t="shared" si="1825"/>
        <v>458.24</v>
      </c>
      <c r="P513" s="267"/>
      <c r="Q513" s="52" t="s">
        <v>47</v>
      </c>
      <c r="R513" s="71" t="s">
        <v>77</v>
      </c>
      <c r="S513" s="137" t="str">
        <f t="shared" si="1826"/>
        <v>BPD2012</v>
      </c>
      <c r="T513" s="137" t="str">
        <f t="shared" si="1827"/>
        <v>B1.5.1.1.22012</v>
      </c>
      <c r="U513" s="137" t="s">
        <v>202</v>
      </c>
      <c r="V513" s="137" t="str">
        <f t="shared" si="1828"/>
        <v>East Support Cylinder (ESC)</v>
      </c>
      <c r="AB513" s="33">
        <v>2012</v>
      </c>
      <c r="AC513" s="132">
        <f t="shared" si="1829"/>
        <v>4</v>
      </c>
      <c r="AD513" s="132">
        <f t="shared" si="1830"/>
        <v>0</v>
      </c>
      <c r="AE513" s="132">
        <f t="shared" si="1831"/>
        <v>0</v>
      </c>
      <c r="AF513" s="132">
        <f t="shared" si="1832"/>
        <v>0</v>
      </c>
      <c r="AG513" s="132">
        <f t="shared" si="1833"/>
        <v>0</v>
      </c>
      <c r="AH513" s="234">
        <f t="shared" si="1834"/>
        <v>50</v>
      </c>
      <c r="AI513" s="235"/>
      <c r="AJ513" s="92"/>
      <c r="AK513" s="92"/>
      <c r="AL513" s="166"/>
      <c r="AM513" s="131">
        <f t="shared" si="1835"/>
        <v>0</v>
      </c>
      <c r="AN513" s="132">
        <f t="shared" si="1836"/>
        <v>0</v>
      </c>
      <c r="AO513" s="132">
        <f t="shared" si="1837"/>
        <v>0</v>
      </c>
      <c r="AP513" s="132">
        <f t="shared" si="1838"/>
        <v>0</v>
      </c>
      <c r="AQ513" s="132">
        <f t="shared" si="1839"/>
        <v>0</v>
      </c>
      <c r="AR513" s="132">
        <f t="shared" si="1840"/>
        <v>0</v>
      </c>
      <c r="AS513" s="235"/>
    </row>
    <row r="514" spans="1:45" s="20" customFormat="1">
      <c r="A514" s="20" t="s">
        <v>20</v>
      </c>
      <c r="B514" s="20" t="s">
        <v>34</v>
      </c>
      <c r="C514" s="165"/>
      <c r="D514" s="96"/>
      <c r="E514" s="166">
        <v>0</v>
      </c>
      <c r="F514" s="167">
        <f t="shared" si="1841"/>
        <v>0</v>
      </c>
      <c r="G514" s="168">
        <v>0</v>
      </c>
      <c r="H514" s="168">
        <v>8</v>
      </c>
      <c r="I514" s="168">
        <v>0</v>
      </c>
      <c r="J514" s="168">
        <v>0</v>
      </c>
      <c r="K514" s="169">
        <v>0</v>
      </c>
      <c r="L514" s="96" t="s">
        <v>8</v>
      </c>
      <c r="M514" s="166">
        <f t="shared" si="1824"/>
        <v>758.16000000000008</v>
      </c>
      <c r="N514" s="92">
        <v>1</v>
      </c>
      <c r="O514" s="170">
        <f t="shared" si="1825"/>
        <v>758.16000000000008</v>
      </c>
      <c r="P514" s="267"/>
      <c r="Q514" s="52" t="s">
        <v>47</v>
      </c>
      <c r="R514" s="71" t="s">
        <v>77</v>
      </c>
      <c r="S514" s="137" t="str">
        <f t="shared" si="1826"/>
        <v>BPD2012</v>
      </c>
      <c r="T514" s="137" t="str">
        <f t="shared" si="1827"/>
        <v>B1.5.1.1.22012</v>
      </c>
      <c r="U514" s="137" t="s">
        <v>202</v>
      </c>
      <c r="V514" s="137" t="str">
        <f t="shared" si="1828"/>
        <v>East Support Cylinder (ESC)</v>
      </c>
      <c r="AB514" s="33">
        <v>2012</v>
      </c>
      <c r="AC514" s="132">
        <f t="shared" si="1829"/>
        <v>0</v>
      </c>
      <c r="AD514" s="132">
        <f t="shared" si="1830"/>
        <v>8</v>
      </c>
      <c r="AE514" s="132">
        <f t="shared" si="1831"/>
        <v>0</v>
      </c>
      <c r="AF514" s="132">
        <f t="shared" si="1832"/>
        <v>0</v>
      </c>
      <c r="AG514" s="132">
        <f t="shared" si="1833"/>
        <v>0</v>
      </c>
      <c r="AH514" s="234">
        <f t="shared" si="1834"/>
        <v>0</v>
      </c>
      <c r="AI514" s="235"/>
      <c r="AJ514" s="132"/>
      <c r="AK514" s="132"/>
      <c r="AL514" s="166"/>
      <c r="AM514" s="131">
        <f t="shared" si="1835"/>
        <v>0</v>
      </c>
      <c r="AN514" s="132">
        <f t="shared" si="1836"/>
        <v>0</v>
      </c>
      <c r="AO514" s="132">
        <f t="shared" si="1837"/>
        <v>0</v>
      </c>
      <c r="AP514" s="132">
        <f t="shared" si="1838"/>
        <v>0</v>
      </c>
      <c r="AQ514" s="132">
        <f t="shared" si="1839"/>
        <v>0</v>
      </c>
      <c r="AR514" s="132">
        <f t="shared" si="1840"/>
        <v>0</v>
      </c>
      <c r="AS514" s="235"/>
    </row>
    <row r="515" spans="1:45" s="20" customFormat="1">
      <c r="A515" s="20" t="s">
        <v>21</v>
      </c>
      <c r="B515" s="20" t="s">
        <v>33</v>
      </c>
      <c r="C515" s="165">
        <v>1</v>
      </c>
      <c r="D515" s="96"/>
      <c r="E515" s="166">
        <v>1500</v>
      </c>
      <c r="F515" s="167">
        <f t="shared" si="1841"/>
        <v>1500</v>
      </c>
      <c r="G515" s="168">
        <v>0</v>
      </c>
      <c r="H515" s="168">
        <v>0</v>
      </c>
      <c r="I515" s="168">
        <v>0</v>
      </c>
      <c r="J515" s="168">
        <v>0</v>
      </c>
      <c r="K515" s="169">
        <v>0</v>
      </c>
      <c r="L515" s="96" t="s">
        <v>8</v>
      </c>
      <c r="M515" s="166">
        <f t="shared" si="1824"/>
        <v>0</v>
      </c>
      <c r="N515" s="92">
        <v>1</v>
      </c>
      <c r="O515" s="170">
        <f t="shared" si="1825"/>
        <v>1500</v>
      </c>
      <c r="P515" s="267"/>
      <c r="Q515" s="52" t="s">
        <v>47</v>
      </c>
      <c r="R515" s="71" t="s">
        <v>77</v>
      </c>
      <c r="S515" s="137" t="str">
        <f t="shared" si="1826"/>
        <v>BPD2012</v>
      </c>
      <c r="T515" s="137" t="str">
        <f t="shared" si="1827"/>
        <v>B1.5.1.1.22012</v>
      </c>
      <c r="U515" s="137" t="s">
        <v>202</v>
      </c>
      <c r="V515" s="137" t="str">
        <f t="shared" si="1828"/>
        <v>East Support Cylinder (ESC)</v>
      </c>
      <c r="AB515" s="33">
        <v>2012</v>
      </c>
      <c r="AC515" s="132">
        <f t="shared" si="1829"/>
        <v>0</v>
      </c>
      <c r="AD515" s="132">
        <f t="shared" si="1830"/>
        <v>0</v>
      </c>
      <c r="AE515" s="132">
        <f t="shared" si="1831"/>
        <v>0</v>
      </c>
      <c r="AF515" s="132">
        <f t="shared" si="1832"/>
        <v>0</v>
      </c>
      <c r="AG515" s="132">
        <f t="shared" si="1833"/>
        <v>0</v>
      </c>
      <c r="AH515" s="234">
        <f t="shared" si="1834"/>
        <v>1500</v>
      </c>
      <c r="AI515" s="271"/>
      <c r="AJ515" s="92"/>
      <c r="AK515" s="92"/>
      <c r="AL515" s="166"/>
      <c r="AM515" s="272">
        <f t="shared" si="1835"/>
        <v>0</v>
      </c>
      <c r="AN515" s="273">
        <f t="shared" si="1836"/>
        <v>0</v>
      </c>
      <c r="AO515" s="273">
        <f t="shared" si="1837"/>
        <v>0</v>
      </c>
      <c r="AP515" s="273">
        <f t="shared" si="1838"/>
        <v>0</v>
      </c>
      <c r="AQ515" s="273">
        <f t="shared" si="1839"/>
        <v>0</v>
      </c>
      <c r="AR515" s="273">
        <f t="shared" si="1840"/>
        <v>0</v>
      </c>
      <c r="AS515" s="271"/>
    </row>
    <row r="516" spans="1:45" s="20" customFormat="1">
      <c r="A516" s="20" t="s">
        <v>499</v>
      </c>
      <c r="C516" s="165"/>
      <c r="D516" s="96"/>
      <c r="E516" s="166"/>
      <c r="F516" s="167"/>
      <c r="G516" s="168"/>
      <c r="H516" s="168"/>
      <c r="I516" s="168"/>
      <c r="J516" s="168"/>
      <c r="K516" s="169"/>
      <c r="L516" s="96"/>
      <c r="M516" s="177">
        <f>SUMIF(Q509:Q515,"B",M509:M515)</f>
        <v>1640.25</v>
      </c>
      <c r="N516" s="92" t="s">
        <v>279</v>
      </c>
      <c r="O516" s="267"/>
      <c r="P516" s="267"/>
      <c r="Q516" s="52"/>
      <c r="R516" s="71"/>
      <c r="S516" s="137"/>
      <c r="T516" s="137"/>
      <c r="U516" s="137"/>
      <c r="V516" s="137"/>
      <c r="AB516" s="33"/>
      <c r="AC516" s="132"/>
      <c r="AD516" s="132"/>
      <c r="AE516" s="132"/>
      <c r="AF516" s="132"/>
      <c r="AG516" s="132"/>
      <c r="AH516" s="234"/>
      <c r="AI516" s="235"/>
      <c r="AJ516" s="132"/>
      <c r="AK516" s="132"/>
      <c r="AL516" s="166"/>
      <c r="AM516" s="131"/>
      <c r="AN516" s="132"/>
      <c r="AO516" s="132"/>
      <c r="AP516" s="132"/>
      <c r="AQ516" s="132"/>
      <c r="AR516" s="132"/>
      <c r="AS516" s="235"/>
    </row>
    <row r="517" spans="1:45" s="20" customFormat="1">
      <c r="A517" s="20" t="s">
        <v>17</v>
      </c>
      <c r="B517" s="20" t="s">
        <v>22</v>
      </c>
      <c r="C517" s="165">
        <v>4</v>
      </c>
      <c r="D517" s="96" t="s">
        <v>13</v>
      </c>
      <c r="E517" s="166">
        <v>10</v>
      </c>
      <c r="F517" s="167">
        <f t="shared" ref="F517:F518" si="1842">E517*C517</f>
        <v>40</v>
      </c>
      <c r="G517" s="168">
        <v>0</v>
      </c>
      <c r="H517" s="168">
        <v>0</v>
      </c>
      <c r="I517" s="168">
        <v>0</v>
      </c>
      <c r="J517" s="168">
        <v>0</v>
      </c>
      <c r="K517" s="169">
        <v>0</v>
      </c>
      <c r="L517" s="96" t="s">
        <v>8</v>
      </c>
      <c r="M517" s="166">
        <f t="shared" ref="M517:M523" si="1843">IF(R517="PD",((Shop*G517)+(M_Tech*H517)+(CMM*I517)+(ENG*J517)+(DES*K517))*N517,((Shop_RD*G517)+(MTECH_RD*H517)+(CMM_RD*I517)+(ENG_RD*J517)+(DES_RD*K517))*N517)</f>
        <v>0</v>
      </c>
      <c r="N517" s="92">
        <v>3</v>
      </c>
      <c r="O517" s="170">
        <f t="shared" ref="O517:O523" si="1844">M517+(F517*N517)</f>
        <v>120</v>
      </c>
      <c r="P517" s="267"/>
      <c r="Q517" s="52" t="s">
        <v>47</v>
      </c>
      <c r="R517" s="71" t="s">
        <v>77</v>
      </c>
      <c r="S517" s="137" t="str">
        <f t="shared" ref="S517:S523" si="1845">CONCATENATE(Q517,R517,AB517)</f>
        <v>BPD2012</v>
      </c>
      <c r="T517" s="137" t="str">
        <f t="shared" ref="T517:T523" si="1846">CONCATENATE(Q517,U517,AB517)</f>
        <v>B1.5.3.22012</v>
      </c>
      <c r="U517" s="137" t="s">
        <v>230</v>
      </c>
      <c r="V517" s="137" t="str">
        <f t="shared" ref="V517:V523" si="1847">LOOKUP(U517,$B$539:$B$574,$A$539:$A$574)</f>
        <v>IDS Assembly</v>
      </c>
      <c r="AB517" s="33">
        <v>2012</v>
      </c>
      <c r="AC517" s="132">
        <f t="shared" ref="AC517:AC523" si="1848">IF($Q517="B", (G517*$N517),0)</f>
        <v>0</v>
      </c>
      <c r="AD517" s="132">
        <f t="shared" ref="AD517:AD523" si="1849">IF($Q517="B", (H517*$N517),0)</f>
        <v>0</v>
      </c>
      <c r="AE517" s="132">
        <f t="shared" ref="AE517:AE523" si="1850">IF($Q517="B", (I517*$N517),0)</f>
        <v>0</v>
      </c>
      <c r="AF517" s="132">
        <f t="shared" ref="AF517:AF523" si="1851">IF($Q517="B", (J517*$N517),0)</f>
        <v>0</v>
      </c>
      <c r="AG517" s="132">
        <f t="shared" ref="AG517:AG523" si="1852">IF($Q517="B", (K517*$N517),0)</f>
        <v>0</v>
      </c>
      <c r="AH517" s="234">
        <f t="shared" ref="AH517:AH523" si="1853">IF($Q517="B", (F517*$N517),0)</f>
        <v>120</v>
      </c>
      <c r="AI517" s="235"/>
      <c r="AJ517" s="132"/>
      <c r="AK517" s="132"/>
      <c r="AL517" s="166"/>
      <c r="AM517" s="131">
        <f t="shared" ref="AM517:AM523" si="1854">IF($Q517="C", (G517*$N517),0)</f>
        <v>0</v>
      </c>
      <c r="AN517" s="132">
        <f t="shared" ref="AN517:AN523" si="1855">IF($Q517="C", (H517*$N517),0)</f>
        <v>0</v>
      </c>
      <c r="AO517" s="132">
        <f t="shared" ref="AO517:AO523" si="1856">IF($Q517="C", (I517*$N517),0)</f>
        <v>0</v>
      </c>
      <c r="AP517" s="132">
        <f t="shared" ref="AP517:AP523" si="1857">IF($Q517="C", (J517*$N517),0)</f>
        <v>0</v>
      </c>
      <c r="AQ517" s="132">
        <f t="shared" ref="AQ517:AQ523" si="1858">IF($Q517="C", (K517*$N517),0)</f>
        <v>0</v>
      </c>
      <c r="AR517" s="132">
        <f t="shared" ref="AR517:AR523" si="1859">IF($Q517="C", (F517*$N517),0)</f>
        <v>0</v>
      </c>
      <c r="AS517" s="235"/>
    </row>
    <row r="518" spans="1:45" s="20" customFormat="1">
      <c r="A518" s="20" t="s">
        <v>18</v>
      </c>
      <c r="B518" s="20" t="s">
        <v>23</v>
      </c>
      <c r="C518" s="165">
        <v>1</v>
      </c>
      <c r="D518" s="96" t="s">
        <v>24</v>
      </c>
      <c r="E518" s="166">
        <v>100</v>
      </c>
      <c r="F518" s="167">
        <f t="shared" si="1842"/>
        <v>100</v>
      </c>
      <c r="G518" s="168">
        <v>0</v>
      </c>
      <c r="H518" s="168">
        <v>0</v>
      </c>
      <c r="I518" s="168">
        <v>0</v>
      </c>
      <c r="J518" s="168">
        <v>0</v>
      </c>
      <c r="K518" s="169">
        <v>0</v>
      </c>
      <c r="L518" s="96" t="s">
        <v>8</v>
      </c>
      <c r="M518" s="166">
        <f t="shared" si="1843"/>
        <v>0</v>
      </c>
      <c r="N518" s="92">
        <v>3</v>
      </c>
      <c r="O518" s="170">
        <f t="shared" si="1844"/>
        <v>300</v>
      </c>
      <c r="P518" s="267"/>
      <c r="Q518" s="52" t="s">
        <v>47</v>
      </c>
      <c r="R518" s="71" t="s">
        <v>77</v>
      </c>
      <c r="S518" s="137" t="str">
        <f t="shared" si="1845"/>
        <v>BPD2012</v>
      </c>
      <c r="T518" s="137" t="str">
        <f t="shared" si="1846"/>
        <v>B1.5.3.22012</v>
      </c>
      <c r="U518" s="137" t="s">
        <v>230</v>
      </c>
      <c r="V518" s="137" t="str">
        <f t="shared" si="1847"/>
        <v>IDS Assembly</v>
      </c>
      <c r="AB518" s="33">
        <v>2012</v>
      </c>
      <c r="AC518" s="132">
        <f t="shared" si="1848"/>
        <v>0</v>
      </c>
      <c r="AD518" s="132">
        <f t="shared" si="1849"/>
        <v>0</v>
      </c>
      <c r="AE518" s="132">
        <f t="shared" si="1850"/>
        <v>0</v>
      </c>
      <c r="AF518" s="132">
        <f t="shared" si="1851"/>
        <v>0</v>
      </c>
      <c r="AG518" s="132">
        <f t="shared" si="1852"/>
        <v>0</v>
      </c>
      <c r="AH518" s="234">
        <f t="shared" si="1853"/>
        <v>300</v>
      </c>
      <c r="AI518" s="235"/>
      <c r="AJ518" s="92"/>
      <c r="AK518" s="92"/>
      <c r="AL518" s="166"/>
      <c r="AM518" s="131">
        <f t="shared" si="1854"/>
        <v>0</v>
      </c>
      <c r="AN518" s="132">
        <f t="shared" si="1855"/>
        <v>0</v>
      </c>
      <c r="AO518" s="132">
        <f t="shared" si="1856"/>
        <v>0</v>
      </c>
      <c r="AP518" s="132">
        <f t="shared" si="1857"/>
        <v>0</v>
      </c>
      <c r="AQ518" s="132">
        <f t="shared" si="1858"/>
        <v>0</v>
      </c>
      <c r="AR518" s="132">
        <f t="shared" si="1859"/>
        <v>0</v>
      </c>
      <c r="AS518" s="235"/>
    </row>
    <row r="519" spans="1:45" s="20" customFormat="1">
      <c r="A519" s="20" t="s">
        <v>19</v>
      </c>
      <c r="B519" s="20" t="s">
        <v>25</v>
      </c>
      <c r="C519" s="165">
        <v>5</v>
      </c>
      <c r="D519" s="96" t="s">
        <v>26</v>
      </c>
      <c r="E519" s="166">
        <v>3</v>
      </c>
      <c r="F519" s="167">
        <f>E519*C519</f>
        <v>15</v>
      </c>
      <c r="G519" s="168">
        <v>0</v>
      </c>
      <c r="H519" s="168">
        <v>0</v>
      </c>
      <c r="I519" s="168">
        <v>0</v>
      </c>
      <c r="J519" s="168">
        <v>0</v>
      </c>
      <c r="K519" s="169">
        <v>0</v>
      </c>
      <c r="L519" s="96" t="s">
        <v>8</v>
      </c>
      <c r="M519" s="166">
        <f t="shared" si="1843"/>
        <v>0</v>
      </c>
      <c r="N519" s="92">
        <v>3</v>
      </c>
      <c r="O519" s="170">
        <f t="shared" si="1844"/>
        <v>45</v>
      </c>
      <c r="P519" s="267"/>
      <c r="Q519" s="52" t="s">
        <v>47</v>
      </c>
      <c r="R519" s="71" t="s">
        <v>77</v>
      </c>
      <c r="S519" s="137" t="str">
        <f t="shared" si="1845"/>
        <v>BPD2012</v>
      </c>
      <c r="T519" s="137" t="str">
        <f t="shared" si="1846"/>
        <v>B1.5.3.22012</v>
      </c>
      <c r="U519" s="137" t="s">
        <v>230</v>
      </c>
      <c r="V519" s="137" t="str">
        <f t="shared" si="1847"/>
        <v>IDS Assembly</v>
      </c>
      <c r="AB519" s="33">
        <v>2012</v>
      </c>
      <c r="AC519" s="132">
        <f t="shared" si="1848"/>
        <v>0</v>
      </c>
      <c r="AD519" s="132">
        <f t="shared" si="1849"/>
        <v>0</v>
      </c>
      <c r="AE519" s="132">
        <f t="shared" si="1850"/>
        <v>0</v>
      </c>
      <c r="AF519" s="132">
        <f t="shared" si="1851"/>
        <v>0</v>
      </c>
      <c r="AG519" s="132">
        <f t="shared" si="1852"/>
        <v>0</v>
      </c>
      <c r="AH519" s="234">
        <f t="shared" si="1853"/>
        <v>45</v>
      </c>
      <c r="AI519" s="235"/>
      <c r="AJ519" s="92"/>
      <c r="AK519" s="92"/>
      <c r="AL519" s="166"/>
      <c r="AM519" s="131">
        <f t="shared" si="1854"/>
        <v>0</v>
      </c>
      <c r="AN519" s="132">
        <f t="shared" si="1855"/>
        <v>0</v>
      </c>
      <c r="AO519" s="132">
        <f t="shared" si="1856"/>
        <v>0</v>
      </c>
      <c r="AP519" s="132">
        <f t="shared" si="1857"/>
        <v>0</v>
      </c>
      <c r="AQ519" s="132">
        <f t="shared" si="1858"/>
        <v>0</v>
      </c>
      <c r="AR519" s="132">
        <f t="shared" si="1859"/>
        <v>0</v>
      </c>
      <c r="AS519" s="235"/>
    </row>
    <row r="520" spans="1:45" s="20" customFormat="1">
      <c r="A520" s="20" t="s">
        <v>68</v>
      </c>
      <c r="B520" s="20" t="s">
        <v>23</v>
      </c>
      <c r="C520" s="165">
        <v>1</v>
      </c>
      <c r="D520" s="96" t="s">
        <v>24</v>
      </c>
      <c r="E520" s="166">
        <v>150</v>
      </c>
      <c r="F520" s="167">
        <f t="shared" ref="F520:F523" si="1860">E520*C520</f>
        <v>150</v>
      </c>
      <c r="G520" s="168">
        <v>0</v>
      </c>
      <c r="H520" s="168">
        <v>5</v>
      </c>
      <c r="I520" s="168">
        <v>0</v>
      </c>
      <c r="J520" s="168">
        <v>0</v>
      </c>
      <c r="K520" s="169">
        <v>0</v>
      </c>
      <c r="L520" s="96" t="s">
        <v>8</v>
      </c>
      <c r="M520" s="166">
        <f t="shared" si="1843"/>
        <v>1421.5500000000002</v>
      </c>
      <c r="N520" s="92">
        <v>3</v>
      </c>
      <c r="O520" s="170">
        <f t="shared" si="1844"/>
        <v>1871.5500000000002</v>
      </c>
      <c r="P520" s="267"/>
      <c r="Q520" s="52" t="s">
        <v>47</v>
      </c>
      <c r="R520" s="71" t="s">
        <v>77</v>
      </c>
      <c r="S520" s="137" t="str">
        <f t="shared" si="1845"/>
        <v>BPD2012</v>
      </c>
      <c r="T520" s="137" t="str">
        <f t="shared" si="1846"/>
        <v>B1.5.3.22012</v>
      </c>
      <c r="U520" s="137" t="s">
        <v>230</v>
      </c>
      <c r="V520" s="137" t="str">
        <f t="shared" si="1847"/>
        <v>IDS Assembly</v>
      </c>
      <c r="AB520" s="33">
        <v>2012</v>
      </c>
      <c r="AC520" s="132">
        <f t="shared" si="1848"/>
        <v>0</v>
      </c>
      <c r="AD520" s="132">
        <f t="shared" si="1849"/>
        <v>15</v>
      </c>
      <c r="AE520" s="132">
        <f t="shared" si="1850"/>
        <v>0</v>
      </c>
      <c r="AF520" s="132">
        <f t="shared" si="1851"/>
        <v>0</v>
      </c>
      <c r="AG520" s="132">
        <f t="shared" si="1852"/>
        <v>0</v>
      </c>
      <c r="AH520" s="234">
        <f t="shared" si="1853"/>
        <v>450</v>
      </c>
      <c r="AI520" s="235"/>
      <c r="AJ520" s="132"/>
      <c r="AK520" s="132"/>
      <c r="AL520" s="166"/>
      <c r="AM520" s="131">
        <f t="shared" si="1854"/>
        <v>0</v>
      </c>
      <c r="AN520" s="132">
        <f t="shared" si="1855"/>
        <v>0</v>
      </c>
      <c r="AO520" s="132">
        <f t="shared" si="1856"/>
        <v>0</v>
      </c>
      <c r="AP520" s="132">
        <f t="shared" si="1857"/>
        <v>0</v>
      </c>
      <c r="AQ520" s="132">
        <f t="shared" si="1858"/>
        <v>0</v>
      </c>
      <c r="AR520" s="132">
        <f t="shared" si="1859"/>
        <v>0</v>
      </c>
      <c r="AS520" s="235"/>
    </row>
    <row r="521" spans="1:45" s="20" customFormat="1">
      <c r="A521" s="20" t="s">
        <v>67</v>
      </c>
      <c r="B521" s="20" t="s">
        <v>27</v>
      </c>
      <c r="C521" s="165">
        <v>1</v>
      </c>
      <c r="D521" s="96" t="s">
        <v>28</v>
      </c>
      <c r="E521" s="166">
        <v>50</v>
      </c>
      <c r="F521" s="167">
        <f t="shared" si="1860"/>
        <v>50</v>
      </c>
      <c r="G521" s="168">
        <v>4</v>
      </c>
      <c r="H521" s="168">
        <v>0</v>
      </c>
      <c r="I521" s="168">
        <v>0</v>
      </c>
      <c r="J521" s="168">
        <v>0</v>
      </c>
      <c r="K521" s="169">
        <v>0</v>
      </c>
      <c r="L521" s="96" t="s">
        <v>8</v>
      </c>
      <c r="M521" s="166">
        <f t="shared" si="1843"/>
        <v>1224.72</v>
      </c>
      <c r="N521" s="92">
        <v>3</v>
      </c>
      <c r="O521" s="170">
        <f t="shared" si="1844"/>
        <v>1374.72</v>
      </c>
      <c r="P521" s="267"/>
      <c r="Q521" s="52" t="s">
        <v>47</v>
      </c>
      <c r="R521" s="71" t="s">
        <v>77</v>
      </c>
      <c r="S521" s="137" t="str">
        <f t="shared" si="1845"/>
        <v>BPD2012</v>
      </c>
      <c r="T521" s="137" t="str">
        <f t="shared" si="1846"/>
        <v>B1.5.3.22012</v>
      </c>
      <c r="U521" s="137" t="s">
        <v>230</v>
      </c>
      <c r="V521" s="137" t="str">
        <f t="shared" si="1847"/>
        <v>IDS Assembly</v>
      </c>
      <c r="AB521" s="33">
        <v>2012</v>
      </c>
      <c r="AC521" s="132">
        <f t="shared" si="1848"/>
        <v>12</v>
      </c>
      <c r="AD521" s="132">
        <f t="shared" si="1849"/>
        <v>0</v>
      </c>
      <c r="AE521" s="132">
        <f t="shared" si="1850"/>
        <v>0</v>
      </c>
      <c r="AF521" s="132">
        <f t="shared" si="1851"/>
        <v>0</v>
      </c>
      <c r="AG521" s="132">
        <f t="shared" si="1852"/>
        <v>0</v>
      </c>
      <c r="AH521" s="234">
        <f t="shared" si="1853"/>
        <v>150</v>
      </c>
      <c r="AI521" s="235"/>
      <c r="AJ521" s="92"/>
      <c r="AK521" s="92"/>
      <c r="AL521" s="166"/>
      <c r="AM521" s="131">
        <f t="shared" si="1854"/>
        <v>0</v>
      </c>
      <c r="AN521" s="132">
        <f t="shared" si="1855"/>
        <v>0</v>
      </c>
      <c r="AO521" s="132">
        <f t="shared" si="1856"/>
        <v>0</v>
      </c>
      <c r="AP521" s="132">
        <f t="shared" si="1857"/>
        <v>0</v>
      </c>
      <c r="AQ521" s="132">
        <f t="shared" si="1858"/>
        <v>0</v>
      </c>
      <c r="AR521" s="132">
        <f t="shared" si="1859"/>
        <v>0</v>
      </c>
      <c r="AS521" s="235"/>
    </row>
    <row r="522" spans="1:45" s="20" customFormat="1">
      <c r="A522" s="20" t="s">
        <v>20</v>
      </c>
      <c r="B522" s="20" t="s">
        <v>34</v>
      </c>
      <c r="C522" s="165"/>
      <c r="D522" s="96"/>
      <c r="E522" s="166">
        <v>0</v>
      </c>
      <c r="F522" s="167">
        <f t="shared" si="1860"/>
        <v>0</v>
      </c>
      <c r="G522" s="168">
        <v>0</v>
      </c>
      <c r="H522" s="168">
        <v>8</v>
      </c>
      <c r="I522" s="168">
        <v>0</v>
      </c>
      <c r="J522" s="168">
        <v>0</v>
      </c>
      <c r="K522" s="169">
        <v>0</v>
      </c>
      <c r="L522" s="96" t="s">
        <v>8</v>
      </c>
      <c r="M522" s="166">
        <f t="shared" si="1843"/>
        <v>2274.4800000000005</v>
      </c>
      <c r="N522" s="92">
        <v>3</v>
      </c>
      <c r="O522" s="170">
        <f t="shared" si="1844"/>
        <v>2274.4800000000005</v>
      </c>
      <c r="P522" s="267"/>
      <c r="Q522" s="52" t="s">
        <v>47</v>
      </c>
      <c r="R522" s="71" t="s">
        <v>77</v>
      </c>
      <c r="S522" s="137" t="str">
        <f t="shared" si="1845"/>
        <v>BPD2012</v>
      </c>
      <c r="T522" s="137" t="str">
        <f t="shared" si="1846"/>
        <v>B1.5.3.22012</v>
      </c>
      <c r="U522" s="137" t="s">
        <v>230</v>
      </c>
      <c r="V522" s="137" t="str">
        <f t="shared" si="1847"/>
        <v>IDS Assembly</v>
      </c>
      <c r="AB522" s="33">
        <v>2012</v>
      </c>
      <c r="AC522" s="132">
        <f t="shared" si="1848"/>
        <v>0</v>
      </c>
      <c r="AD522" s="132">
        <f t="shared" si="1849"/>
        <v>24</v>
      </c>
      <c r="AE522" s="132">
        <f t="shared" si="1850"/>
        <v>0</v>
      </c>
      <c r="AF522" s="132">
        <f t="shared" si="1851"/>
        <v>0</v>
      </c>
      <c r="AG522" s="132">
        <f t="shared" si="1852"/>
        <v>0</v>
      </c>
      <c r="AH522" s="234">
        <f t="shared" si="1853"/>
        <v>0</v>
      </c>
      <c r="AI522" s="235"/>
      <c r="AJ522" s="132"/>
      <c r="AK522" s="132"/>
      <c r="AL522" s="166"/>
      <c r="AM522" s="131">
        <f t="shared" si="1854"/>
        <v>0</v>
      </c>
      <c r="AN522" s="132">
        <f t="shared" si="1855"/>
        <v>0</v>
      </c>
      <c r="AO522" s="132">
        <f t="shared" si="1856"/>
        <v>0</v>
      </c>
      <c r="AP522" s="132">
        <f t="shared" si="1857"/>
        <v>0</v>
      </c>
      <c r="AQ522" s="132">
        <f t="shared" si="1858"/>
        <v>0</v>
      </c>
      <c r="AR522" s="132">
        <f t="shared" si="1859"/>
        <v>0</v>
      </c>
      <c r="AS522" s="235"/>
    </row>
    <row r="523" spans="1:45" s="20" customFormat="1">
      <c r="A523" s="20" t="s">
        <v>21</v>
      </c>
      <c r="B523" s="20" t="s">
        <v>33</v>
      </c>
      <c r="C523" s="165">
        <v>1</v>
      </c>
      <c r="D523" s="96"/>
      <c r="E523" s="166">
        <v>1500</v>
      </c>
      <c r="F523" s="167">
        <f t="shared" si="1860"/>
        <v>1500</v>
      </c>
      <c r="G523" s="168">
        <v>0</v>
      </c>
      <c r="H523" s="168">
        <v>0</v>
      </c>
      <c r="I523" s="168">
        <v>0</v>
      </c>
      <c r="J523" s="168">
        <v>0</v>
      </c>
      <c r="K523" s="169">
        <v>0</v>
      </c>
      <c r="L523" s="96" t="s">
        <v>8</v>
      </c>
      <c r="M523" s="166">
        <f t="shared" si="1843"/>
        <v>0</v>
      </c>
      <c r="N523" s="92">
        <v>3</v>
      </c>
      <c r="O523" s="170">
        <f t="shared" si="1844"/>
        <v>4500</v>
      </c>
      <c r="P523" s="267"/>
      <c r="Q523" s="52" t="s">
        <v>47</v>
      </c>
      <c r="R523" s="71" t="s">
        <v>77</v>
      </c>
      <c r="S523" s="137" t="str">
        <f t="shared" si="1845"/>
        <v>BPD2012</v>
      </c>
      <c r="T523" s="137" t="str">
        <f t="shared" si="1846"/>
        <v>B1.5.3.22012</v>
      </c>
      <c r="U523" s="137" t="s">
        <v>230</v>
      </c>
      <c r="V523" s="137" t="str">
        <f t="shared" si="1847"/>
        <v>IDS Assembly</v>
      </c>
      <c r="AB523" s="33">
        <v>2012</v>
      </c>
      <c r="AC523" s="132">
        <f t="shared" si="1848"/>
        <v>0</v>
      </c>
      <c r="AD523" s="132">
        <f t="shared" si="1849"/>
        <v>0</v>
      </c>
      <c r="AE523" s="132">
        <f t="shared" si="1850"/>
        <v>0</v>
      </c>
      <c r="AF523" s="132">
        <f t="shared" si="1851"/>
        <v>0</v>
      </c>
      <c r="AG523" s="132">
        <f t="shared" si="1852"/>
        <v>0</v>
      </c>
      <c r="AH523" s="234">
        <f t="shared" si="1853"/>
        <v>4500</v>
      </c>
      <c r="AI523" s="271"/>
      <c r="AJ523" s="92"/>
      <c r="AK523" s="92"/>
      <c r="AL523" s="166"/>
      <c r="AM523" s="272">
        <f t="shared" si="1854"/>
        <v>0</v>
      </c>
      <c r="AN523" s="273">
        <f t="shared" si="1855"/>
        <v>0</v>
      </c>
      <c r="AO523" s="273">
        <f t="shared" si="1856"/>
        <v>0</v>
      </c>
      <c r="AP523" s="273">
        <f t="shared" si="1857"/>
        <v>0</v>
      </c>
      <c r="AQ523" s="273">
        <f t="shared" si="1858"/>
        <v>0</v>
      </c>
      <c r="AR523" s="273">
        <f t="shared" si="1859"/>
        <v>0</v>
      </c>
      <c r="AS523" s="271"/>
    </row>
    <row r="524" spans="1:45" s="20" customFormat="1">
      <c r="A524" s="20" t="s">
        <v>190</v>
      </c>
      <c r="C524" s="165"/>
      <c r="D524" s="96"/>
      <c r="E524" s="166"/>
      <c r="F524" s="167"/>
      <c r="G524" s="168"/>
      <c r="H524" s="168"/>
      <c r="I524" s="168"/>
      <c r="J524" s="168"/>
      <c r="K524" s="169"/>
      <c r="L524" s="217" t="s">
        <v>66</v>
      </c>
      <c r="M524" s="177">
        <f>SUMIF(Q517:Q523,"B",M517:M523)</f>
        <v>4920.7500000000009</v>
      </c>
      <c r="N524" s="65" t="s">
        <v>66</v>
      </c>
      <c r="O524" s="267"/>
      <c r="P524" s="267"/>
      <c r="Q524" s="52"/>
      <c r="R524" s="71"/>
      <c r="S524" s="137"/>
      <c r="T524" s="137"/>
      <c r="U524" s="137"/>
      <c r="V524" s="137"/>
      <c r="AB524" s="33"/>
      <c r="AC524" s="132"/>
      <c r="AD524" s="132"/>
      <c r="AE524" s="132"/>
      <c r="AF524" s="132"/>
      <c r="AG524" s="132"/>
      <c r="AH524" s="234"/>
      <c r="AI524" s="235"/>
      <c r="AJ524" s="132"/>
      <c r="AK524" s="132"/>
      <c r="AL524" s="166"/>
      <c r="AM524" s="131"/>
      <c r="AN524" s="132"/>
      <c r="AO524" s="132"/>
      <c r="AP524" s="132"/>
      <c r="AQ524" s="132"/>
      <c r="AR524" s="132"/>
      <c r="AS524" s="235"/>
    </row>
    <row r="525" spans="1:45" s="20" customFormat="1">
      <c r="A525" s="20" t="s">
        <v>17</v>
      </c>
      <c r="B525" s="20" t="s">
        <v>22</v>
      </c>
      <c r="C525" s="165">
        <v>4</v>
      </c>
      <c r="D525" s="96" t="s">
        <v>13</v>
      </c>
      <c r="E525" s="166">
        <v>10</v>
      </c>
      <c r="F525" s="167">
        <f t="shared" ref="F525:F531" si="1861">E525*C525</f>
        <v>40</v>
      </c>
      <c r="G525" s="168">
        <v>0</v>
      </c>
      <c r="H525" s="168">
        <v>0</v>
      </c>
      <c r="I525" s="168">
        <v>0</v>
      </c>
      <c r="J525" s="168">
        <v>0</v>
      </c>
      <c r="K525" s="169">
        <v>0</v>
      </c>
      <c r="L525" s="96" t="s">
        <v>8</v>
      </c>
      <c r="M525" s="166">
        <f t="shared" ref="M525:M531" si="1862">IF(R525="PD",((Shop*G525)+(M_Tech*H525)+(CMM*I525)+(ENG*J525)+(DES*K525))*N525,((Shop_RD*G525)+(MTECH_RD*H525)+(CMM_RD*I525)+(ENG_RD*J525)+(DES_RD*K525))*N525)</f>
        <v>0</v>
      </c>
      <c r="N525" s="92">
        <v>4</v>
      </c>
      <c r="O525" s="170">
        <f t="shared" ref="O525:O531" si="1863">M525+(F525*N525)</f>
        <v>160</v>
      </c>
      <c r="P525" s="267"/>
      <c r="Q525" s="52" t="s">
        <v>47</v>
      </c>
      <c r="R525" s="71" t="s">
        <v>77</v>
      </c>
      <c r="S525" s="137" t="str">
        <f t="shared" ref="S525:S531" si="1864">CONCATENATE(Q525,R525,AB525)</f>
        <v>BPD2009</v>
      </c>
      <c r="T525" s="137" t="str">
        <f t="shared" ref="T525:T531" si="1865">CONCATENATE(Q525,U525,AB525)</f>
        <v>B1.52009</v>
      </c>
      <c r="U525" s="137">
        <v>1.5</v>
      </c>
      <c r="V525" s="137" t="str">
        <f t="shared" ref="V525:V531" si="1866">LOOKUP(U525,$B$539:$B$574,$A$539:$A$574)</f>
        <v>Integration and Global Supports</v>
      </c>
      <c r="AB525" s="33">
        <v>2009</v>
      </c>
      <c r="AC525" s="132">
        <f t="shared" ref="AC525:AC531" si="1867">IF($Q525="B", (G525*$N525),0)</f>
        <v>0</v>
      </c>
      <c r="AD525" s="132">
        <f t="shared" ref="AD525:AD531" si="1868">IF($Q525="B", (H525*$N525),0)</f>
        <v>0</v>
      </c>
      <c r="AE525" s="132">
        <f t="shared" ref="AE525:AE531" si="1869">IF($Q525="B", (I525*$N525),0)</f>
        <v>0</v>
      </c>
      <c r="AF525" s="132">
        <f t="shared" ref="AF525:AF531" si="1870">IF($Q525="B", (J525*$N525),0)</f>
        <v>0</v>
      </c>
      <c r="AG525" s="132">
        <f t="shared" ref="AG525:AG531" si="1871">IF($Q525="B", (K525*$N525),0)</f>
        <v>0</v>
      </c>
      <c r="AH525" s="234">
        <f t="shared" ref="AH525:AH531" si="1872">IF($Q525="B", (F525*$N525),0)</f>
        <v>160</v>
      </c>
      <c r="AI525" s="235"/>
      <c r="AJ525" s="132"/>
      <c r="AK525" s="132"/>
      <c r="AL525" s="166"/>
      <c r="AM525" s="131">
        <f t="shared" ref="AM525:AM531" si="1873">IF($Q525="C", (G525*$N525),0)</f>
        <v>0</v>
      </c>
      <c r="AN525" s="132">
        <f t="shared" ref="AN525:AN531" si="1874">IF($Q525="C", (H525*$N525),0)</f>
        <v>0</v>
      </c>
      <c r="AO525" s="132">
        <f t="shared" ref="AO525:AO531" si="1875">IF($Q525="C", (I525*$N525),0)</f>
        <v>0</v>
      </c>
      <c r="AP525" s="132">
        <f t="shared" ref="AP525:AP531" si="1876">IF($Q525="C", (J525*$N525),0)</f>
        <v>0</v>
      </c>
      <c r="AQ525" s="132">
        <f t="shared" ref="AQ525:AQ531" si="1877">IF($Q525="C", (K525*$N525),0)</f>
        <v>0</v>
      </c>
      <c r="AR525" s="132">
        <f t="shared" ref="AR525:AR531" si="1878">IF($Q525="C", (F525*$N525),0)</f>
        <v>0</v>
      </c>
      <c r="AS525" s="235"/>
    </row>
    <row r="526" spans="1:45" s="20" customFormat="1">
      <c r="A526" s="20" t="s">
        <v>18</v>
      </c>
      <c r="B526" s="20" t="s">
        <v>23</v>
      </c>
      <c r="C526" s="165">
        <v>1</v>
      </c>
      <c r="D526" s="96" t="s">
        <v>24</v>
      </c>
      <c r="E526" s="166">
        <v>100</v>
      </c>
      <c r="F526" s="167">
        <f t="shared" si="1861"/>
        <v>100</v>
      </c>
      <c r="G526" s="168">
        <v>0</v>
      </c>
      <c r="H526" s="168">
        <v>0</v>
      </c>
      <c r="I526" s="168">
        <v>0</v>
      </c>
      <c r="J526" s="168">
        <v>0</v>
      </c>
      <c r="K526" s="169">
        <v>0</v>
      </c>
      <c r="L526" s="96" t="s">
        <v>8</v>
      </c>
      <c r="M526" s="166">
        <f t="shared" si="1862"/>
        <v>0</v>
      </c>
      <c r="N526" s="92">
        <v>4</v>
      </c>
      <c r="O526" s="170">
        <f t="shared" si="1863"/>
        <v>400</v>
      </c>
      <c r="P526" s="267"/>
      <c r="Q526" s="52" t="s">
        <v>47</v>
      </c>
      <c r="R526" s="71" t="s">
        <v>77</v>
      </c>
      <c r="S526" s="137" t="str">
        <f t="shared" si="1864"/>
        <v>BPD2009</v>
      </c>
      <c r="T526" s="137" t="str">
        <f t="shared" si="1865"/>
        <v>B1.52009</v>
      </c>
      <c r="U526" s="137">
        <v>1.5</v>
      </c>
      <c r="V526" s="137" t="str">
        <f t="shared" si="1866"/>
        <v>Integration and Global Supports</v>
      </c>
      <c r="AB526" s="33">
        <v>2009</v>
      </c>
      <c r="AC526" s="132">
        <f t="shared" si="1867"/>
        <v>0</v>
      </c>
      <c r="AD526" s="132">
        <f t="shared" si="1868"/>
        <v>0</v>
      </c>
      <c r="AE526" s="132">
        <f t="shared" si="1869"/>
        <v>0</v>
      </c>
      <c r="AF526" s="132">
        <f t="shared" si="1870"/>
        <v>0</v>
      </c>
      <c r="AG526" s="132">
        <f t="shared" si="1871"/>
        <v>0</v>
      </c>
      <c r="AH526" s="234">
        <f t="shared" si="1872"/>
        <v>400</v>
      </c>
      <c r="AI526" s="235"/>
      <c r="AJ526" s="92"/>
      <c r="AK526" s="92"/>
      <c r="AL526" s="166"/>
      <c r="AM526" s="131">
        <f t="shared" si="1873"/>
        <v>0</v>
      </c>
      <c r="AN526" s="132">
        <f t="shared" si="1874"/>
        <v>0</v>
      </c>
      <c r="AO526" s="132">
        <f t="shared" si="1875"/>
        <v>0</v>
      </c>
      <c r="AP526" s="132">
        <f t="shared" si="1876"/>
        <v>0</v>
      </c>
      <c r="AQ526" s="132">
        <f t="shared" si="1877"/>
        <v>0</v>
      </c>
      <c r="AR526" s="132">
        <f t="shared" si="1878"/>
        <v>0</v>
      </c>
      <c r="AS526" s="235"/>
    </row>
    <row r="527" spans="1:45" s="20" customFormat="1">
      <c r="A527" s="20" t="s">
        <v>19</v>
      </c>
      <c r="B527" s="20" t="s">
        <v>25</v>
      </c>
      <c r="C527" s="165">
        <v>5</v>
      </c>
      <c r="D527" s="96" t="s">
        <v>26</v>
      </c>
      <c r="E527" s="166">
        <v>3</v>
      </c>
      <c r="F527" s="167">
        <f t="shared" si="1861"/>
        <v>15</v>
      </c>
      <c r="G527" s="168">
        <v>0</v>
      </c>
      <c r="H527" s="168">
        <v>0</v>
      </c>
      <c r="I527" s="168">
        <v>0</v>
      </c>
      <c r="J527" s="168">
        <v>0</v>
      </c>
      <c r="K527" s="169">
        <v>0</v>
      </c>
      <c r="L527" s="96" t="s">
        <v>8</v>
      </c>
      <c r="M527" s="166">
        <f t="shared" si="1862"/>
        <v>0</v>
      </c>
      <c r="N527" s="92">
        <v>4</v>
      </c>
      <c r="O527" s="170">
        <f t="shared" si="1863"/>
        <v>60</v>
      </c>
      <c r="P527" s="267"/>
      <c r="Q527" s="52" t="s">
        <v>47</v>
      </c>
      <c r="R527" s="71" t="s">
        <v>77</v>
      </c>
      <c r="S527" s="137" t="str">
        <f t="shared" si="1864"/>
        <v>BPD2009</v>
      </c>
      <c r="T527" s="137" t="str">
        <f t="shared" si="1865"/>
        <v>B1.52009</v>
      </c>
      <c r="U527" s="137">
        <v>1.5</v>
      </c>
      <c r="V527" s="137" t="str">
        <f t="shared" si="1866"/>
        <v>Integration and Global Supports</v>
      </c>
      <c r="AB527" s="33">
        <v>2009</v>
      </c>
      <c r="AC527" s="132">
        <f t="shared" si="1867"/>
        <v>0</v>
      </c>
      <c r="AD527" s="132">
        <f t="shared" si="1868"/>
        <v>0</v>
      </c>
      <c r="AE527" s="132">
        <f t="shared" si="1869"/>
        <v>0</v>
      </c>
      <c r="AF527" s="132">
        <f t="shared" si="1870"/>
        <v>0</v>
      </c>
      <c r="AG527" s="132">
        <f t="shared" si="1871"/>
        <v>0</v>
      </c>
      <c r="AH527" s="234">
        <f t="shared" si="1872"/>
        <v>60</v>
      </c>
      <c r="AI527" s="235"/>
      <c r="AJ527" s="92"/>
      <c r="AK527" s="92"/>
      <c r="AL527" s="166"/>
      <c r="AM527" s="131">
        <f t="shared" si="1873"/>
        <v>0</v>
      </c>
      <c r="AN527" s="132">
        <f t="shared" si="1874"/>
        <v>0</v>
      </c>
      <c r="AO527" s="132">
        <f t="shared" si="1875"/>
        <v>0</v>
      </c>
      <c r="AP527" s="132">
        <f t="shared" si="1876"/>
        <v>0</v>
      </c>
      <c r="AQ527" s="132">
        <f t="shared" si="1877"/>
        <v>0</v>
      </c>
      <c r="AR527" s="132">
        <f t="shared" si="1878"/>
        <v>0</v>
      </c>
      <c r="AS527" s="235"/>
    </row>
    <row r="528" spans="1:45" s="20" customFormat="1">
      <c r="A528" s="20" t="s">
        <v>68</v>
      </c>
      <c r="B528" s="20" t="s">
        <v>23</v>
      </c>
      <c r="C528" s="165">
        <v>1</v>
      </c>
      <c r="D528" s="96" t="s">
        <v>24</v>
      </c>
      <c r="E528" s="166">
        <v>150</v>
      </c>
      <c r="F528" s="167">
        <f t="shared" si="1861"/>
        <v>150</v>
      </c>
      <c r="G528" s="168">
        <v>0</v>
      </c>
      <c r="H528" s="168">
        <v>5</v>
      </c>
      <c r="I528" s="168">
        <v>0</v>
      </c>
      <c r="J528" s="168">
        <v>0</v>
      </c>
      <c r="K528" s="169">
        <v>0</v>
      </c>
      <c r="L528" s="96" t="s">
        <v>8</v>
      </c>
      <c r="M528" s="166">
        <f t="shared" si="1862"/>
        <v>1895.4</v>
      </c>
      <c r="N528" s="92">
        <v>4</v>
      </c>
      <c r="O528" s="170">
        <f t="shared" si="1863"/>
        <v>2495.4</v>
      </c>
      <c r="P528" s="267"/>
      <c r="Q528" s="52" t="s">
        <v>47</v>
      </c>
      <c r="R528" s="71" t="s">
        <v>77</v>
      </c>
      <c r="S528" s="137" t="str">
        <f t="shared" si="1864"/>
        <v>BPD2009</v>
      </c>
      <c r="T528" s="137" t="str">
        <f t="shared" si="1865"/>
        <v>B1.52009</v>
      </c>
      <c r="U528" s="137">
        <v>1.5</v>
      </c>
      <c r="V528" s="137" t="str">
        <f t="shared" si="1866"/>
        <v>Integration and Global Supports</v>
      </c>
      <c r="AB528" s="33">
        <v>2009</v>
      </c>
      <c r="AC528" s="132">
        <f t="shared" si="1867"/>
        <v>0</v>
      </c>
      <c r="AD528" s="132">
        <f t="shared" si="1868"/>
        <v>20</v>
      </c>
      <c r="AE528" s="132">
        <f t="shared" si="1869"/>
        <v>0</v>
      </c>
      <c r="AF528" s="132">
        <f t="shared" si="1870"/>
        <v>0</v>
      </c>
      <c r="AG528" s="132">
        <f t="shared" si="1871"/>
        <v>0</v>
      </c>
      <c r="AH528" s="234">
        <f t="shared" si="1872"/>
        <v>600</v>
      </c>
      <c r="AI528" s="235"/>
      <c r="AJ528" s="132"/>
      <c r="AK528" s="132"/>
      <c r="AL528" s="166"/>
      <c r="AM528" s="131">
        <f t="shared" si="1873"/>
        <v>0</v>
      </c>
      <c r="AN528" s="132">
        <f t="shared" si="1874"/>
        <v>0</v>
      </c>
      <c r="AO528" s="132">
        <f t="shared" si="1875"/>
        <v>0</v>
      </c>
      <c r="AP528" s="132">
        <f t="shared" si="1876"/>
        <v>0</v>
      </c>
      <c r="AQ528" s="132">
        <f t="shared" si="1877"/>
        <v>0</v>
      </c>
      <c r="AR528" s="132">
        <f t="shared" si="1878"/>
        <v>0</v>
      </c>
      <c r="AS528" s="235"/>
    </row>
    <row r="529" spans="1:46" s="20" customFormat="1">
      <c r="A529" s="20" t="s">
        <v>67</v>
      </c>
      <c r="B529" s="20" t="s">
        <v>27</v>
      </c>
      <c r="C529" s="165">
        <v>1</v>
      </c>
      <c r="D529" s="96" t="s">
        <v>28</v>
      </c>
      <c r="E529" s="166">
        <v>50</v>
      </c>
      <c r="F529" s="167">
        <f t="shared" si="1861"/>
        <v>50</v>
      </c>
      <c r="G529" s="168">
        <v>4</v>
      </c>
      <c r="H529" s="168">
        <v>0</v>
      </c>
      <c r="I529" s="168">
        <v>0</v>
      </c>
      <c r="J529" s="168">
        <v>0</v>
      </c>
      <c r="K529" s="169">
        <v>0</v>
      </c>
      <c r="L529" s="96" t="s">
        <v>8</v>
      </c>
      <c r="M529" s="166">
        <f t="shared" si="1862"/>
        <v>1632.96</v>
      </c>
      <c r="N529" s="92">
        <v>4</v>
      </c>
      <c r="O529" s="170">
        <f t="shared" si="1863"/>
        <v>1832.96</v>
      </c>
      <c r="P529" s="267"/>
      <c r="Q529" s="52" t="s">
        <v>47</v>
      </c>
      <c r="R529" s="71" t="s">
        <v>77</v>
      </c>
      <c r="S529" s="137" t="str">
        <f t="shared" si="1864"/>
        <v>BPD2009</v>
      </c>
      <c r="T529" s="137" t="str">
        <f t="shared" si="1865"/>
        <v>B1.52009</v>
      </c>
      <c r="U529" s="137">
        <v>1.5</v>
      </c>
      <c r="V529" s="137" t="str">
        <f t="shared" si="1866"/>
        <v>Integration and Global Supports</v>
      </c>
      <c r="AB529" s="33">
        <v>2009</v>
      </c>
      <c r="AC529" s="132">
        <f t="shared" si="1867"/>
        <v>16</v>
      </c>
      <c r="AD529" s="132">
        <f t="shared" si="1868"/>
        <v>0</v>
      </c>
      <c r="AE529" s="132">
        <f t="shared" si="1869"/>
        <v>0</v>
      </c>
      <c r="AF529" s="132">
        <f t="shared" si="1870"/>
        <v>0</v>
      </c>
      <c r="AG529" s="132">
        <f t="shared" si="1871"/>
        <v>0</v>
      </c>
      <c r="AH529" s="234">
        <f t="shared" si="1872"/>
        <v>200</v>
      </c>
      <c r="AI529" s="235"/>
      <c r="AJ529" s="92"/>
      <c r="AK529" s="92"/>
      <c r="AL529" s="166"/>
      <c r="AM529" s="131">
        <f t="shared" si="1873"/>
        <v>0</v>
      </c>
      <c r="AN529" s="132">
        <f t="shared" si="1874"/>
        <v>0</v>
      </c>
      <c r="AO529" s="132">
        <f t="shared" si="1875"/>
        <v>0</v>
      </c>
      <c r="AP529" s="132">
        <f t="shared" si="1876"/>
        <v>0</v>
      </c>
      <c r="AQ529" s="132">
        <f t="shared" si="1877"/>
        <v>0</v>
      </c>
      <c r="AR529" s="132">
        <f t="shared" si="1878"/>
        <v>0</v>
      </c>
      <c r="AS529" s="235"/>
    </row>
    <row r="530" spans="1:46" s="20" customFormat="1">
      <c r="A530" s="20" t="s">
        <v>20</v>
      </c>
      <c r="B530" s="20" t="s">
        <v>34</v>
      </c>
      <c r="C530" s="165"/>
      <c r="D530" s="96"/>
      <c r="E530" s="166">
        <v>0</v>
      </c>
      <c r="F530" s="167">
        <f t="shared" si="1861"/>
        <v>0</v>
      </c>
      <c r="G530" s="168">
        <v>0</v>
      </c>
      <c r="H530" s="168">
        <v>8</v>
      </c>
      <c r="I530" s="168">
        <v>0</v>
      </c>
      <c r="J530" s="168">
        <v>0</v>
      </c>
      <c r="K530" s="169">
        <v>0</v>
      </c>
      <c r="L530" s="96" t="s">
        <v>8</v>
      </c>
      <c r="M530" s="166">
        <f t="shared" si="1862"/>
        <v>3032.6400000000003</v>
      </c>
      <c r="N530" s="92">
        <v>4</v>
      </c>
      <c r="O530" s="170">
        <f t="shared" si="1863"/>
        <v>3032.6400000000003</v>
      </c>
      <c r="P530" s="267"/>
      <c r="Q530" s="52" t="s">
        <v>47</v>
      </c>
      <c r="R530" s="71" t="s">
        <v>77</v>
      </c>
      <c r="S530" s="137" t="str">
        <f t="shared" si="1864"/>
        <v>BPD2009</v>
      </c>
      <c r="T530" s="137" t="str">
        <f t="shared" si="1865"/>
        <v>B1.52009</v>
      </c>
      <c r="U530" s="137">
        <v>1.5</v>
      </c>
      <c r="V530" s="137" t="str">
        <f t="shared" si="1866"/>
        <v>Integration and Global Supports</v>
      </c>
      <c r="AB530" s="33">
        <v>2009</v>
      </c>
      <c r="AC530" s="132">
        <f t="shared" si="1867"/>
        <v>0</v>
      </c>
      <c r="AD530" s="132">
        <f t="shared" si="1868"/>
        <v>32</v>
      </c>
      <c r="AE530" s="132">
        <f t="shared" si="1869"/>
        <v>0</v>
      </c>
      <c r="AF530" s="132">
        <f t="shared" si="1870"/>
        <v>0</v>
      </c>
      <c r="AG530" s="132">
        <f t="shared" si="1871"/>
        <v>0</v>
      </c>
      <c r="AH530" s="234">
        <f t="shared" si="1872"/>
        <v>0</v>
      </c>
      <c r="AI530" s="235"/>
      <c r="AJ530" s="132"/>
      <c r="AK530" s="132"/>
      <c r="AL530" s="166"/>
      <c r="AM530" s="131">
        <f t="shared" si="1873"/>
        <v>0</v>
      </c>
      <c r="AN530" s="132">
        <f t="shared" si="1874"/>
        <v>0</v>
      </c>
      <c r="AO530" s="132">
        <f t="shared" si="1875"/>
        <v>0</v>
      </c>
      <c r="AP530" s="132">
        <f t="shared" si="1876"/>
        <v>0</v>
      </c>
      <c r="AQ530" s="132">
        <f t="shared" si="1877"/>
        <v>0</v>
      </c>
      <c r="AR530" s="132">
        <f t="shared" si="1878"/>
        <v>0</v>
      </c>
      <c r="AS530" s="235"/>
    </row>
    <row r="531" spans="1:46" s="20" customFormat="1">
      <c r="A531" s="20" t="s">
        <v>21</v>
      </c>
      <c r="B531" s="20" t="s">
        <v>33</v>
      </c>
      <c r="C531" s="165">
        <v>1</v>
      </c>
      <c r="D531" s="96"/>
      <c r="E531" s="166">
        <v>1500</v>
      </c>
      <c r="F531" s="268">
        <f t="shared" si="1861"/>
        <v>1500</v>
      </c>
      <c r="G531" s="269">
        <v>0</v>
      </c>
      <c r="H531" s="269">
        <v>0</v>
      </c>
      <c r="I531" s="269">
        <v>0</v>
      </c>
      <c r="J531" s="269">
        <v>0</v>
      </c>
      <c r="K531" s="270">
        <v>0</v>
      </c>
      <c r="L531" s="96" t="s">
        <v>8</v>
      </c>
      <c r="M531" s="166">
        <f t="shared" si="1862"/>
        <v>0</v>
      </c>
      <c r="N531" s="92">
        <v>4</v>
      </c>
      <c r="O531" s="170">
        <f t="shared" si="1863"/>
        <v>6000</v>
      </c>
      <c r="P531" s="267"/>
      <c r="Q531" s="52" t="s">
        <v>47</v>
      </c>
      <c r="R531" s="71" t="s">
        <v>77</v>
      </c>
      <c r="S531" s="137" t="str">
        <f t="shared" si="1864"/>
        <v>BPD2009</v>
      </c>
      <c r="T531" s="137" t="str">
        <f t="shared" si="1865"/>
        <v>B1.52009</v>
      </c>
      <c r="U531" s="137">
        <v>1.5</v>
      </c>
      <c r="V531" s="137" t="str">
        <f t="shared" si="1866"/>
        <v>Integration and Global Supports</v>
      </c>
      <c r="AB531" s="33">
        <v>2009</v>
      </c>
      <c r="AC531" s="132">
        <f t="shared" si="1867"/>
        <v>0</v>
      </c>
      <c r="AD531" s="132">
        <f t="shared" si="1868"/>
        <v>0</v>
      </c>
      <c r="AE531" s="132">
        <f t="shared" si="1869"/>
        <v>0</v>
      </c>
      <c r="AF531" s="132">
        <f t="shared" si="1870"/>
        <v>0</v>
      </c>
      <c r="AG531" s="132">
        <f t="shared" si="1871"/>
        <v>0</v>
      </c>
      <c r="AH531" s="234">
        <f t="shared" si="1872"/>
        <v>6000</v>
      </c>
      <c r="AI531" s="271"/>
      <c r="AJ531" s="92" t="s">
        <v>70</v>
      </c>
      <c r="AK531" s="92"/>
      <c r="AL531" s="166" t="s">
        <v>71</v>
      </c>
      <c r="AM531" s="272">
        <f t="shared" si="1873"/>
        <v>0</v>
      </c>
      <c r="AN531" s="273">
        <f t="shared" si="1874"/>
        <v>0</v>
      </c>
      <c r="AO531" s="273">
        <f t="shared" si="1875"/>
        <v>0</v>
      </c>
      <c r="AP531" s="273">
        <f t="shared" si="1876"/>
        <v>0</v>
      </c>
      <c r="AQ531" s="273">
        <f t="shared" si="1877"/>
        <v>0</v>
      </c>
      <c r="AR531" s="273">
        <f t="shared" si="1878"/>
        <v>0</v>
      </c>
      <c r="AS531" s="271"/>
    </row>
    <row r="532" spans="1:46" ht="13.5" thickBot="1">
      <c r="A532" s="21" t="s">
        <v>69</v>
      </c>
      <c r="B532" s="3"/>
      <c r="C532" s="171"/>
      <c r="D532" s="15"/>
      <c r="E532" s="172"/>
      <c r="F532" s="172"/>
      <c r="G532" s="171"/>
      <c r="H532" s="171"/>
      <c r="I532" s="171"/>
      <c r="J532" s="171"/>
      <c r="K532" s="171"/>
      <c r="L532" s="15"/>
      <c r="M532" s="172">
        <f>SUM(M461:M531)</f>
        <v>41006.25</v>
      </c>
      <c r="N532" s="456" t="s">
        <v>65</v>
      </c>
      <c r="O532" s="457"/>
      <c r="P532" s="458"/>
      <c r="Q532" s="53"/>
      <c r="R532" s="74"/>
      <c r="S532" s="138"/>
      <c r="T532" s="138"/>
      <c r="U532" s="138"/>
      <c r="V532" s="138"/>
      <c r="W532" s="15"/>
      <c r="X532" s="12"/>
      <c r="Y532" s="12"/>
      <c r="Z532" s="12"/>
      <c r="AA532" s="12"/>
      <c r="AB532" s="34"/>
      <c r="AC532" s="231">
        <f>SUM(AC461:AC531)</f>
        <v>56</v>
      </c>
      <c r="AD532" s="231">
        <f>SUM(AD461:AD531)</f>
        <v>182</v>
      </c>
      <c r="AE532" s="231">
        <f>SUM(AE461:AE531)</f>
        <v>0</v>
      </c>
      <c r="AF532" s="231">
        <f>SUM(AF461:AF531)</f>
        <v>0</v>
      </c>
      <c r="AG532" s="231">
        <f>SUM(AG461:AG531)</f>
        <v>0</v>
      </c>
      <c r="AH532" s="231"/>
      <c r="AI532" s="275">
        <f>SUM(AH461:AH531)</f>
        <v>25970</v>
      </c>
      <c r="AJ532" s="243">
        <f>(Shop*AC532)+M_Tech*AD532+CMM*AE532+ENG*AF532+DES*AG532+AI532</f>
        <v>48933.5</v>
      </c>
      <c r="AK532" s="172"/>
      <c r="AL532" s="173">
        <f>Shop*AM532+M_Tech*AN532+CMM*AO532+ENG*AP532+DES*AQ532+AS532</f>
        <v>1855</v>
      </c>
      <c r="AM532" s="231">
        <f>SUM(AM461:AM467)</f>
        <v>0</v>
      </c>
      <c r="AN532" s="231">
        <f>SUM(AN461:AN467)</f>
        <v>0</v>
      </c>
      <c r="AO532" s="231">
        <f>AC532*SUM(AO461:AO467)</f>
        <v>0</v>
      </c>
      <c r="AP532" s="231">
        <f>SUM(AP461:AP467)</f>
        <v>0</v>
      </c>
      <c r="AQ532" s="231">
        <f>SUM(AQ461:AQ467)</f>
        <v>0</v>
      </c>
      <c r="AR532" s="231"/>
      <c r="AS532" s="275">
        <f>SUM(AR461:AR531)</f>
        <v>1855</v>
      </c>
    </row>
    <row r="533" spans="1:46" ht="13.5" thickBot="1">
      <c r="J533" s="151"/>
      <c r="K533" s="151"/>
      <c r="N533" s="7"/>
      <c r="O533" s="190"/>
      <c r="P533" s="55"/>
      <c r="Q533" s="38"/>
      <c r="R533" s="38"/>
      <c r="S533" s="140"/>
      <c r="T533" s="140"/>
      <c r="U533" s="140"/>
      <c r="V533" s="140"/>
      <c r="W533" s="39"/>
      <c r="X533" s="40"/>
      <c r="Y533" s="40"/>
      <c r="Z533" s="40"/>
      <c r="AA533" s="40">
        <f>SUM(AA5:AA532)</f>
        <v>0</v>
      </c>
      <c r="AB533" s="41"/>
      <c r="AC533" s="247">
        <f>SUMIF($Q5:$Q531,"B",AC5:AC531)</f>
        <v>996</v>
      </c>
      <c r="AD533" s="244">
        <f>SUMIF($Q5:$Q531,"B",AD5:AD531)</f>
        <v>5391</v>
      </c>
      <c r="AE533" s="244">
        <f>SUMIF($Q5:$Q531,"B",AE5:AE531)</f>
        <v>136</v>
      </c>
      <c r="AF533" s="244">
        <f>SUMIF($Q5:$Q531,"B",AF5:AF531)</f>
        <v>3518</v>
      </c>
      <c r="AG533" s="244">
        <f>SUMIF($Q5:$Q531,"B",AG5:AG531)</f>
        <v>0</v>
      </c>
      <c r="AH533" s="244"/>
      <c r="AI533" s="246">
        <f>SUM(AI4:AI532)</f>
        <v>339865</v>
      </c>
      <c r="AJ533" s="39"/>
      <c r="AK533" s="39"/>
      <c r="AM533" s="247">
        <f>SUMIF($Q5:$Q531,"C",AM5:AM531)</f>
        <v>496</v>
      </c>
      <c r="AN533" s="244">
        <f>SUMIF($Q5:$Q531,"C",AN5:AN531)</f>
        <v>2071</v>
      </c>
      <c r="AO533" s="244">
        <f>SUMIF($Q5:$Q531,"C",AO5:AO531)</f>
        <v>48</v>
      </c>
      <c r="AP533" s="244">
        <f>SUMIF($Q5:$Q531,"C",AP5:AP531)</f>
        <v>836</v>
      </c>
      <c r="AQ533" s="244">
        <f>SUMIF($Q5:$Q531,"C",AQ5:AQ531)</f>
        <v>0</v>
      </c>
      <c r="AR533" s="276"/>
      <c r="AS533" s="246">
        <f>SUM(AS4:AS532)</f>
        <v>152615</v>
      </c>
    </row>
    <row r="534" spans="1:46" ht="13.5" thickBot="1">
      <c r="A534" s="17"/>
      <c r="B534" s="17"/>
      <c r="C534" s="191"/>
      <c r="D534" s="221"/>
      <c r="E534" s="192"/>
      <c r="F534" s="192"/>
      <c r="G534" s="191"/>
      <c r="H534" s="193"/>
      <c r="I534" s="193"/>
      <c r="J534" s="194"/>
      <c r="K534" s="194"/>
      <c r="L534" s="215"/>
      <c r="M534" s="6"/>
      <c r="N534" s="195"/>
      <c r="O534" s="6"/>
      <c r="P534" s="6"/>
      <c r="W534" s="6"/>
      <c r="X534" s="11"/>
      <c r="Y534" s="11"/>
      <c r="Z534" s="11"/>
      <c r="AA534" s="11"/>
      <c r="AB534" s="23"/>
      <c r="AC534" s="6" t="s">
        <v>11</v>
      </c>
      <c r="AD534" s="6" t="s">
        <v>10</v>
      </c>
      <c r="AE534" s="6" t="s">
        <v>38</v>
      </c>
      <c r="AF534" s="6" t="s">
        <v>31</v>
      </c>
      <c r="AG534" s="6" t="s">
        <v>32</v>
      </c>
      <c r="AH534" s="6"/>
      <c r="AI534" s="6" t="s">
        <v>16</v>
      </c>
      <c r="AJ534" s="6"/>
      <c r="AK534" s="6"/>
      <c r="AM534" s="6" t="s">
        <v>11</v>
      </c>
      <c r="AN534" s="6" t="s">
        <v>10</v>
      </c>
      <c r="AO534" s="6" t="s">
        <v>38</v>
      </c>
      <c r="AP534" s="6" t="s">
        <v>31</v>
      </c>
      <c r="AQ534" s="6" t="s">
        <v>32</v>
      </c>
      <c r="AR534" s="6"/>
      <c r="AS534" s="6" t="s">
        <v>16</v>
      </c>
    </row>
    <row r="535" spans="1:46" s="20" customFormat="1" ht="13.5" thickBot="1">
      <c r="A535" s="18"/>
      <c r="B535" s="18"/>
      <c r="C535" s="196"/>
      <c r="D535" s="222"/>
      <c r="E535" s="197"/>
      <c r="F535" s="197"/>
      <c r="G535" s="196"/>
      <c r="H535" s="198"/>
      <c r="I535" s="198"/>
      <c r="J535" s="199"/>
      <c r="K535" s="199"/>
      <c r="L535" s="218"/>
      <c r="M535" s="144"/>
      <c r="N535" s="200"/>
      <c r="O535" s="144"/>
      <c r="P535" s="144"/>
      <c r="Q535" s="76"/>
      <c r="R535" s="76"/>
      <c r="S535" s="96"/>
      <c r="T535" s="96"/>
      <c r="U535" s="96"/>
      <c r="V535" s="96"/>
      <c r="W535" s="144"/>
      <c r="X535" s="145"/>
      <c r="Y535" s="145"/>
      <c r="Z535" s="145"/>
      <c r="AA535" s="145"/>
      <c r="AB535" s="146" t="s">
        <v>189</v>
      </c>
      <c r="AC535" s="247">
        <f>AC532+AC458+AC440+AC405+AC327+AC266+AC188+AC113+AC71</f>
        <v>996</v>
      </c>
      <c r="AD535" s="244">
        <f t="shared" ref="AD535:AG535" si="1879">AD532+AD458+AD440+AD405+AD327+AD266+AD188+AD113+AD71</f>
        <v>5391</v>
      </c>
      <c r="AE535" s="244">
        <f t="shared" si="1879"/>
        <v>136</v>
      </c>
      <c r="AF535" s="244">
        <f t="shared" si="1879"/>
        <v>3518</v>
      </c>
      <c r="AG535" s="244">
        <f t="shared" si="1879"/>
        <v>0</v>
      </c>
      <c r="AH535" s="245"/>
      <c r="AI535" s="405">
        <f>AI532+AI458+AI440+AI405+AI327+AI266+AI188+AI113+AI71</f>
        <v>339865</v>
      </c>
      <c r="AJ535" s="144"/>
      <c r="AK535" s="144"/>
      <c r="AL535" s="166"/>
      <c r="AM535" s="247">
        <f>AM532+AM458+AM440+AM405+AM327+AM266+AM188+AM113+AM71</f>
        <v>492</v>
      </c>
      <c r="AN535" s="244">
        <f t="shared" ref="AN535:AS535" si="1880">AN532+AN458+AN440+AN405+AN327+AN266+AN188+AN113+AN71</f>
        <v>2058</v>
      </c>
      <c r="AO535" s="244">
        <f t="shared" si="1880"/>
        <v>48</v>
      </c>
      <c r="AP535" s="244">
        <f t="shared" si="1880"/>
        <v>836</v>
      </c>
      <c r="AQ535" s="244">
        <f t="shared" si="1880"/>
        <v>0</v>
      </c>
      <c r="AR535" s="245"/>
      <c r="AS535" s="405">
        <f t="shared" si="1880"/>
        <v>152615</v>
      </c>
      <c r="AT535" s="147" t="s">
        <v>189</v>
      </c>
    </row>
    <row r="536" spans="1:46" ht="13.5" thickBot="1">
      <c r="A536" s="16"/>
      <c r="B536" s="17"/>
      <c r="C536" s="191"/>
      <c r="D536" s="221"/>
      <c r="E536" s="192"/>
      <c r="F536" s="192"/>
      <c r="G536" s="191"/>
      <c r="H536" s="193"/>
      <c r="I536" s="193"/>
      <c r="J536" s="194"/>
      <c r="K536" s="194"/>
      <c r="L536" s="215"/>
      <c r="M536" s="201"/>
      <c r="N536" s="195"/>
      <c r="O536" s="202"/>
      <c r="P536" s="202"/>
      <c r="W536" s="6"/>
      <c r="X536" s="11"/>
      <c r="Y536" s="11"/>
      <c r="Z536" s="11"/>
      <c r="AA536" s="11"/>
      <c r="AB536" s="23"/>
      <c r="AC536" s="6"/>
      <c r="AD536" s="6"/>
      <c r="AE536" s="6"/>
      <c r="AF536" s="6"/>
      <c r="AG536" s="6"/>
    </row>
    <row r="537" spans="1:46" ht="13.5" thickBot="1">
      <c r="A537" s="16"/>
      <c r="B537" s="9"/>
      <c r="C537" s="203"/>
      <c r="D537" s="223"/>
      <c r="E537" s="204"/>
      <c r="F537" s="204"/>
      <c r="G537" s="203"/>
      <c r="AH537" s="6" t="s">
        <v>72</v>
      </c>
      <c r="AI537" s="248">
        <f>(AC533*Shop)+(AD533*M_Tech)+(AE533*CMM)+(AF533*ENG)+(AG533*DES)+AI533+(Shop*AM535)+(M_Tech*AN535)+(CMM*AO535)+(ENG*AP535)+(DES*AQ535)+AS535</f>
        <v>1898077.0500000003</v>
      </c>
      <c r="AJ537" s="249">
        <f>AI557+AS557</f>
        <v>1685715.93</v>
      </c>
      <c r="AK537" s="249"/>
      <c r="AL537" s="150" t="s">
        <v>163</v>
      </c>
    </row>
    <row r="538" spans="1:46" ht="13.5" thickBot="1">
      <c r="A538" s="16" t="str">
        <f>'WBS in Estimate'!E7</f>
        <v>Description</v>
      </c>
      <c r="B538" s="9" t="str">
        <f>'WBS in Estimate'!D7</f>
        <v>WBS</v>
      </c>
      <c r="C538" s="203"/>
      <c r="D538" s="223"/>
      <c r="E538" s="204"/>
      <c r="F538" s="204"/>
      <c r="G538" s="203"/>
      <c r="O538" s="33">
        <v>2009</v>
      </c>
      <c r="Q538" s="52" t="s">
        <v>47</v>
      </c>
      <c r="U538" s="137">
        <v>1.5</v>
      </c>
      <c r="V538" s="96">
        <f>SUMIF(T4:T531,CONCATENATE(Q538,U538,O538),AC4:AC531)</f>
        <v>16</v>
      </c>
      <c r="W538" s="109">
        <f>SUMIF($T$5:$T$467,CONCATENATE(Q538,#REF!,O538),$O$5:$O$467)</f>
        <v>0</v>
      </c>
      <c r="X538" s="109">
        <f>SUMIF($T$5:$T$467,CONCATENATE(Q538,#REF!,Y538),$O$5:$O$467)</f>
        <v>0</v>
      </c>
      <c r="Y538" s="33">
        <v>2009</v>
      </c>
    </row>
    <row r="539" spans="1:46" ht="15.75" thickTop="1">
      <c r="A539" s="16" t="str">
        <f>'WBS in Estimate'!E8</f>
        <v>Integration and Global Supports</v>
      </c>
      <c r="B539" s="223">
        <f>'WBS in Estimate'!D8</f>
        <v>1.5</v>
      </c>
      <c r="C539" s="453" t="s">
        <v>171</v>
      </c>
      <c r="D539" s="454"/>
      <c r="E539" s="454"/>
      <c r="F539" s="454"/>
      <c r="G539" s="454"/>
      <c r="H539" s="454"/>
      <c r="I539" s="454"/>
      <c r="J539" s="454"/>
      <c r="K539" s="454"/>
      <c r="L539" s="454"/>
      <c r="O539" s="33">
        <v>2009</v>
      </c>
      <c r="Q539" s="52" t="s">
        <v>47</v>
      </c>
      <c r="U539" s="137">
        <v>1.5</v>
      </c>
      <c r="W539" s="109">
        <f>SUMIF($T$5:$T$467,CONCATENATE(Q539,#REF!,O539),$O$5:$O$467)</f>
        <v>0</v>
      </c>
      <c r="X539" s="109">
        <f>SUMIF($T$5:$T$467,CONCATENATE(Q539,#REF!,Y539),$O$5:$O$467)</f>
        <v>0</v>
      </c>
      <c r="Y539" s="33">
        <v>2009</v>
      </c>
      <c r="AC539" s="471" t="s">
        <v>49</v>
      </c>
      <c r="AD539" s="472"/>
      <c r="AE539" s="472"/>
      <c r="AF539" s="472"/>
      <c r="AG539" s="472"/>
      <c r="AH539" s="472"/>
      <c r="AI539" s="473"/>
      <c r="AJ539" s="227"/>
      <c r="AK539" s="227"/>
      <c r="AM539" s="474" t="s">
        <v>50</v>
      </c>
      <c r="AN539" s="475"/>
      <c r="AO539" s="475"/>
      <c r="AP539" s="475"/>
      <c r="AQ539" s="475"/>
      <c r="AR539" s="475"/>
      <c r="AS539" s="476"/>
    </row>
    <row r="540" spans="1:46">
      <c r="A540" s="16" t="str">
        <f>'WBS in Estimate'!E9</f>
        <v>Mechanics</v>
      </c>
      <c r="B540" s="9" t="str">
        <f>'WBS in Estimate'!D9</f>
        <v>1.5.1</v>
      </c>
      <c r="C540" s="205"/>
      <c r="D540" s="223"/>
      <c r="E540" s="204"/>
      <c r="F540" s="204"/>
      <c r="G540" s="205"/>
      <c r="L540" s="219"/>
      <c r="O540" s="33">
        <v>2009</v>
      </c>
      <c r="Q540" s="52" t="s">
        <v>47</v>
      </c>
      <c r="U540" s="137">
        <v>1.5</v>
      </c>
      <c r="W540" s="109">
        <f>SUMIF($T$5:$T$467,CONCATENATE(Q540,#REF!,O540),$O$5:$O$467)</f>
        <v>0</v>
      </c>
      <c r="X540" s="109">
        <f>SUMIF($T$5:$T$467,CONCATENATE(Q540,#REF!,Y540),$O$5:$O$467)</f>
        <v>0</v>
      </c>
      <c r="Y540" s="33">
        <v>2009</v>
      </c>
      <c r="AB540" s="24"/>
      <c r="AC540" s="25" t="s">
        <v>11</v>
      </c>
      <c r="AD540" s="14" t="s">
        <v>10</v>
      </c>
      <c r="AE540" s="14" t="s">
        <v>38</v>
      </c>
      <c r="AF540" s="14" t="s">
        <v>31</v>
      </c>
      <c r="AG540" s="14" t="s">
        <v>32</v>
      </c>
      <c r="AH540" s="14" t="s">
        <v>16</v>
      </c>
      <c r="AI540" s="250"/>
      <c r="AL540" s="78"/>
      <c r="AM540" s="28" t="s">
        <v>11</v>
      </c>
      <c r="AN540" s="14" t="s">
        <v>10</v>
      </c>
      <c r="AO540" s="14" t="s">
        <v>38</v>
      </c>
      <c r="AP540" s="14" t="s">
        <v>31</v>
      </c>
      <c r="AQ540" s="14" t="s">
        <v>32</v>
      </c>
      <c r="AR540" s="14" t="s">
        <v>16</v>
      </c>
      <c r="AS540" s="251"/>
    </row>
    <row r="541" spans="1:46">
      <c r="A541" s="16" t="str">
        <f>'WBS in Estimate'!E10</f>
        <v>Inner Detector Support (IDS)</v>
      </c>
      <c r="B541" s="9" t="str">
        <f>'WBS in Estimate'!D10</f>
        <v>1.5.1.1</v>
      </c>
      <c r="C541" s="205"/>
      <c r="D541" s="223"/>
      <c r="E541" s="204"/>
      <c r="F541" s="204"/>
      <c r="G541" s="205"/>
      <c r="L541" s="219"/>
      <c r="O541" s="33">
        <v>2009</v>
      </c>
      <c r="Q541" s="52" t="s">
        <v>47</v>
      </c>
      <c r="U541" s="137">
        <v>1.5</v>
      </c>
      <c r="W541" s="109">
        <f>SUMIF($T$5:$T$467,CONCATENATE(Q541,#REF!,O541),$O$5:$O$467)</f>
        <v>0</v>
      </c>
      <c r="X541" s="109">
        <f>SUMIF($T$5:$T$467,CONCATENATE(Q541,#REF!,Y541),$O$5:$O$467)</f>
        <v>0</v>
      </c>
      <c r="Y541" s="33">
        <v>2009</v>
      </c>
      <c r="AB541" s="22">
        <v>2009</v>
      </c>
      <c r="AC541" s="252">
        <f>SUMIF($AB$5:$AB532,$AB541,AC$5:AC532)</f>
        <v>16</v>
      </c>
      <c r="AD541" s="253">
        <f>SUMIF($AB$5:$AB532,$AB541,AD$5:AD532)</f>
        <v>52</v>
      </c>
      <c r="AE541" s="253">
        <f>SUMIF($AB$5:$AB532,$AB541,AE$5:AE532)</f>
        <v>0</v>
      </c>
      <c r="AF541" s="253">
        <f>SUMIF($AB$5:$AB532,$AB541,AF$5:AF532)</f>
        <v>0</v>
      </c>
      <c r="AG541" s="253">
        <f>SUMIF($AB$5:$AB532,$AB541,AG$5:AG532)</f>
        <v>0</v>
      </c>
      <c r="AH541" s="254">
        <f>SUMIF($AB$5:$AB532,$AB541,AH$5:AH532)</f>
        <v>7420</v>
      </c>
      <c r="AI541" s="250"/>
      <c r="AL541" s="78">
        <f>AB541</f>
        <v>2009</v>
      </c>
      <c r="AM541" s="255">
        <f>SUMIF($AB$5:$AB532,$AB541,AM$5:AM532)</f>
        <v>0</v>
      </c>
      <c r="AN541" s="253">
        <f>SUMIF($AB$5:$AB532,$AB541,AN$5:AN532)</f>
        <v>0</v>
      </c>
      <c r="AO541" s="253">
        <f>SUMIF($AB$5:$AB532,$AB541,AO$5:AO532)</f>
        <v>0</v>
      </c>
      <c r="AP541" s="253">
        <f>SUMIF($AB$5:$AB532,$AB541,AP$5:AP532)</f>
        <v>0</v>
      </c>
      <c r="AQ541" s="253">
        <f>SUMIF($AB$5:$AB532,$AB541,AQ$5:AQ532)</f>
        <v>0</v>
      </c>
      <c r="AR541" s="254">
        <f>SUMIF($AB$5:$AB532,$AB541,AR$5:AR532)</f>
        <v>0</v>
      </c>
      <c r="AS541" s="251"/>
    </row>
    <row r="542" spans="1:46">
      <c r="A542" s="16" t="str">
        <f>'WBS in Estimate'!E11</f>
        <v>West Support Cylinder Interface</v>
      </c>
      <c r="B542" s="9" t="str">
        <f>'WBS in Estimate'!D11</f>
        <v>1.5.1.1.1</v>
      </c>
      <c r="C542" s="206"/>
      <c r="D542" s="224"/>
      <c r="E542" s="207"/>
      <c r="F542" s="207"/>
      <c r="G542" s="206"/>
      <c r="L542" s="219"/>
      <c r="O542" s="33">
        <v>2009</v>
      </c>
      <c r="Q542" s="52" t="s">
        <v>47</v>
      </c>
      <c r="U542" s="137">
        <v>1.5</v>
      </c>
      <c r="W542" s="109">
        <f>SUMIF($T$5:$T$467,CONCATENATE(Q542,#REF!,O542),$O$5:$O$467)</f>
        <v>0</v>
      </c>
      <c r="X542" s="109">
        <f>SUMIF($T$5:$T$467,CONCATENATE(Q542,#REF!,Y542),$O$5:$O$467)</f>
        <v>0</v>
      </c>
      <c r="Y542" s="33">
        <v>2009</v>
      </c>
      <c r="AB542" s="22">
        <v>2010</v>
      </c>
      <c r="AC542" s="252">
        <f>SUMIF($AB$5:$AB533,$AB542,AC$5:AC535)</f>
        <v>82</v>
      </c>
      <c r="AD542" s="253">
        <f>SUMIF($AB$5:$AB533,$AB542,AD$5:AD535)</f>
        <v>271</v>
      </c>
      <c r="AE542" s="253">
        <f>SUMIF($AB$5:$AB533,$AB542,AE$5:AE535)</f>
        <v>0</v>
      </c>
      <c r="AF542" s="253">
        <f>SUMIF($AB$5:$AB467,$AB542,AF$5:AF467)</f>
        <v>758</v>
      </c>
      <c r="AG542" s="253">
        <f>SUMIF($AB$5:$AB533,$AB542,AG$5:AG535)</f>
        <v>0</v>
      </c>
      <c r="AH542" s="254">
        <f>SUMIF($AB$5:$AB533,$AB542,AH$5:AH535)</f>
        <v>42895</v>
      </c>
      <c r="AI542" s="250"/>
      <c r="AL542" s="78">
        <f t="shared" ref="AL542:AL548" si="1881">AB542</f>
        <v>2010</v>
      </c>
      <c r="AM542" s="255">
        <f>SUMIF($AB$5:$AB533,$AB542,AM$5:AM535)</f>
        <v>0</v>
      </c>
      <c r="AN542" s="253">
        <f>SUMIF($AB$5:$AB533,$AB542,AN$5:AN535)</f>
        <v>0</v>
      </c>
      <c r="AO542" s="253">
        <f>SUMIF($AB$5:$AB533,$AB542,AO$5:AO535)</f>
        <v>0</v>
      </c>
      <c r="AP542" s="253">
        <f>SUMIF($AB$5:$AB533,$AB542,AP$5:AP535)</f>
        <v>0</v>
      </c>
      <c r="AQ542" s="253">
        <f>SUMIF($AB$5:$AB533,$AB542,AQ$5:AQ535)</f>
        <v>0</v>
      </c>
      <c r="AR542" s="254">
        <f>SUMIF($AB$5:$AB533,$AB542,AR$5:AR535)</f>
        <v>0</v>
      </c>
      <c r="AS542" s="251"/>
    </row>
    <row r="543" spans="1:46">
      <c r="A543" s="16" t="str">
        <f>'WBS in Estimate'!E12</f>
        <v>East Support Cylinder (ESC)</v>
      </c>
      <c r="B543" s="9" t="str">
        <f>'WBS in Estimate'!D12</f>
        <v>1.5.1.1.2</v>
      </c>
      <c r="C543" s="206"/>
      <c r="D543" s="224"/>
      <c r="E543" s="207"/>
      <c r="F543" s="207"/>
      <c r="G543" s="206"/>
      <c r="L543" s="219"/>
      <c r="O543" s="33">
        <v>2009</v>
      </c>
      <c r="Q543" s="52" t="s">
        <v>47</v>
      </c>
      <c r="U543" s="137">
        <v>1.5</v>
      </c>
      <c r="W543" s="109">
        <f>SUMIF($T$5:$T$467,CONCATENATE(Q543,#REF!,O543),$O$5:$O$467)</f>
        <v>0</v>
      </c>
      <c r="X543" s="109">
        <f>SUMIF($T$5:$T$467,CONCATENATE(Q543,#REF!,Y543),$O$5:$O$467)</f>
        <v>0</v>
      </c>
      <c r="Y543" s="33">
        <v>2009</v>
      </c>
      <c r="AB543" s="22">
        <v>2011</v>
      </c>
      <c r="AC543" s="252">
        <f>SUMIF($AB$5:$AB534,$AB543,AC$5:AC534)</f>
        <v>552</v>
      </c>
      <c r="AD543" s="253">
        <f>SUMIF($AB$5:$AB534,$AB543,AD$5:AD534)</f>
        <v>1627</v>
      </c>
      <c r="AE543" s="253">
        <f>SUMIF($AB$5:$AB534,$AB543,AE$5:AE534)</f>
        <v>40</v>
      </c>
      <c r="AF543" s="253">
        <f>SUMIF($AB$5:$AB534,$AB543,AF$5:AF534)</f>
        <v>1452</v>
      </c>
      <c r="AG543" s="253">
        <f>SUMIF($AB$5:$AB534,$AB543,AG$5:AG534)</f>
        <v>0</v>
      </c>
      <c r="AH543" s="254">
        <f>SUMIF($AB$5:$AB534,$AB543,AH$5:AH534)</f>
        <v>150275</v>
      </c>
      <c r="AI543" s="250"/>
      <c r="AL543" s="78">
        <f t="shared" si="1881"/>
        <v>2011</v>
      </c>
      <c r="AM543" s="255">
        <f>SUMIF($AB$5:$AB534,$AB543,AM$5:AM534)</f>
        <v>220</v>
      </c>
      <c r="AN543" s="253">
        <f>SUMIF($AB$5:$AB534,$AB543,AN$5:AN534)</f>
        <v>762</v>
      </c>
      <c r="AO543" s="253">
        <f>SUMIF($AB$5:$AB534,$AB543,AO$5:AO534)</f>
        <v>8</v>
      </c>
      <c r="AP543" s="253">
        <f>SUMIF($AB$5:$AB534,$AB543,AP$5:AP534)</f>
        <v>408</v>
      </c>
      <c r="AQ543" s="253">
        <f>SUMIF($AB$5:$AB534,$AB543,AQ$5:AQ534)</f>
        <v>0</v>
      </c>
      <c r="AR543" s="254">
        <f>SUMIF($AB$5:$AB534,$AB543,AR$5:AR534)</f>
        <v>14800</v>
      </c>
      <c r="AS543" s="251"/>
    </row>
    <row r="544" spans="1:46">
      <c r="A544" s="16" t="str">
        <f>'WBS in Estimate'!E13</f>
        <v>Outer Support Cylinder (OSC)</v>
      </c>
      <c r="B544" s="9" t="str">
        <f>'WBS in Estimate'!D13</f>
        <v>1.5.1.1.3</v>
      </c>
      <c r="C544" s="206"/>
      <c r="D544" s="224"/>
      <c r="E544" s="207"/>
      <c r="F544" s="207"/>
      <c r="G544" s="206"/>
      <c r="L544" s="219"/>
      <c r="O544" s="33">
        <v>2009</v>
      </c>
      <c r="Q544" s="52" t="s">
        <v>47</v>
      </c>
      <c r="U544" s="137">
        <v>1.5</v>
      </c>
      <c r="W544" s="109">
        <f>SUM(W538:W543)</f>
        <v>0</v>
      </c>
      <c r="X544" s="109">
        <f>SUM(X538:X543)</f>
        <v>0</v>
      </c>
      <c r="Y544" s="33">
        <v>2009</v>
      </c>
      <c r="AB544" s="24">
        <v>2012</v>
      </c>
      <c r="AC544" s="252">
        <f>SUMIF($AB$5:$AB536,$AB544,AC$5:AC536)</f>
        <v>328</v>
      </c>
      <c r="AD544" s="253">
        <f>SUMIF($AB$5:$AB536,$AB544,AD$5:AD536)</f>
        <v>1815</v>
      </c>
      <c r="AE544" s="253">
        <f>SUMIF($AB$5:$AB536,$AB544,AE$5:AE536)</f>
        <v>40</v>
      </c>
      <c r="AF544" s="253">
        <f>SUMIF($AB$5:$AB536,$AB544,AF$5:AF536)</f>
        <v>568</v>
      </c>
      <c r="AG544" s="253">
        <f>SUMIF($AB$5:$AB536,$AB544,AG$5:AG536)</f>
        <v>0</v>
      </c>
      <c r="AH544" s="254">
        <f>SUMIF($AB$5:$AB536,$AB544,AH$5:AH536)</f>
        <v>132765</v>
      </c>
      <c r="AI544" s="250"/>
      <c r="AL544" s="78">
        <f t="shared" si="1881"/>
        <v>2012</v>
      </c>
      <c r="AM544" s="255">
        <f>SUMIF($AB$5:$AB536,$AB544,AM$5:AM536)</f>
        <v>268</v>
      </c>
      <c r="AN544" s="253">
        <f>SUMIF($AB$5:$AB536,$AB544,AN$5:AN536)</f>
        <v>612</v>
      </c>
      <c r="AO544" s="253">
        <f>SUMIF($AB$5:$AB536,$AB544,AO$5:AO536)</f>
        <v>8</v>
      </c>
      <c r="AP544" s="253">
        <f>SUMIF($AB$5:$AB536,$AB544,AP$5:AP536)</f>
        <v>256</v>
      </c>
      <c r="AQ544" s="253">
        <f>SUMIF($AB$5:$AB536,$AB544,AQ$5:AQ536)</f>
        <v>0</v>
      </c>
      <c r="AR544" s="254">
        <f>SUMIF($AB$5:$AB536,$AB544,AR$5:AR536)</f>
        <v>131330</v>
      </c>
      <c r="AS544" s="251"/>
    </row>
    <row r="545" spans="1:46">
      <c r="A545" s="16" t="str">
        <f>'WBS in Estimate'!E14</f>
        <v>E-Field Shroud (EFS)</v>
      </c>
      <c r="B545" s="9" t="str">
        <f>'WBS in Estimate'!D14</f>
        <v>1.5.1.1.4</v>
      </c>
      <c r="C545" s="206"/>
      <c r="D545" s="224"/>
      <c r="E545" s="207"/>
      <c r="F545" s="207"/>
      <c r="G545" s="206"/>
      <c r="L545" s="219"/>
      <c r="O545" s="33">
        <v>2009</v>
      </c>
      <c r="Q545" s="52" t="s">
        <v>47</v>
      </c>
      <c r="U545" s="137">
        <v>1.5</v>
      </c>
      <c r="W545" s="109"/>
      <c r="X545" s="109"/>
      <c r="Y545" s="33">
        <v>2009</v>
      </c>
      <c r="AB545" s="24">
        <v>2013</v>
      </c>
      <c r="AC545" s="252">
        <f>SUMIF($AB$5:$AB537,$AB545,AC$5:AC537)</f>
        <v>18</v>
      </c>
      <c r="AD545" s="253">
        <f>SUMIF($AB$5:$AB537,$AB545,AD$5:AD537)</f>
        <v>750</v>
      </c>
      <c r="AE545" s="253">
        <f>SUMIF($AB$5:$AB537,$AB545,AE$5:AE537)</f>
        <v>56</v>
      </c>
      <c r="AF545" s="253">
        <f>SUMIF($AB$5:$AB537,$AB545,AF$5:AF537)</f>
        <v>168</v>
      </c>
      <c r="AG545" s="253">
        <f>SUMIF($AB$5:$AB537,$AB545,AG$5:AG537)</f>
        <v>0</v>
      </c>
      <c r="AH545" s="254">
        <f>SUMIF($AB$5:$AB537,$AB545,AH$5:AH537)</f>
        <v>9870</v>
      </c>
      <c r="AI545" s="250"/>
      <c r="AL545" s="78">
        <f t="shared" si="1881"/>
        <v>2013</v>
      </c>
      <c r="AM545" s="255">
        <f>SUMIF($AB$5:$AB537,$AB545,AM$5:AM537)</f>
        <v>8</v>
      </c>
      <c r="AN545" s="253">
        <f>SUMIF($AB$5:$AB537,$AB545,AN$5:AN537)</f>
        <v>697</v>
      </c>
      <c r="AO545" s="253">
        <f>SUMIF($AB$5:$AB537,$AB545,AO$5:AO537)</f>
        <v>32</v>
      </c>
      <c r="AP545" s="253">
        <f>SUMIF($AB$5:$AB537,$AB545,AP$5:AP537)</f>
        <v>140</v>
      </c>
      <c r="AQ545" s="253">
        <f>SUMIF($AB$5:$AB537,$AB545,AQ$5:AQ537)</f>
        <v>0</v>
      </c>
      <c r="AR545" s="254">
        <f>SUMIF($AB$5:$AB537,$AB545,AR$5:AR537)</f>
        <v>9205</v>
      </c>
      <c r="AS545" s="251"/>
    </row>
    <row r="546" spans="1:46" s="421" customFormat="1">
      <c r="A546" s="16"/>
      <c r="B546" s="9"/>
      <c r="C546" s="206"/>
      <c r="D546" s="224"/>
      <c r="E546" s="207"/>
      <c r="F546" s="207"/>
      <c r="G546" s="206"/>
      <c r="H546" s="151"/>
      <c r="I546" s="151"/>
      <c r="J546" s="152"/>
      <c r="K546" s="152"/>
      <c r="L546" s="219"/>
      <c r="M546" s="7"/>
      <c r="N546" s="153"/>
      <c r="O546" s="33"/>
      <c r="P546" s="7"/>
      <c r="Q546" s="52"/>
      <c r="R546" s="54"/>
      <c r="S546" s="96"/>
      <c r="T546" s="96"/>
      <c r="U546" s="137"/>
      <c r="V546" s="96"/>
      <c r="W546" s="109"/>
      <c r="X546" s="109"/>
      <c r="Y546" s="33"/>
      <c r="Z546" s="10"/>
      <c r="AA546" s="10"/>
      <c r="AB546" s="24">
        <v>2014</v>
      </c>
      <c r="AC546" s="252">
        <f>SUMIF($AB$5:$AB538,$AB546,AC$5:AC538)</f>
        <v>0</v>
      </c>
      <c r="AD546" s="253">
        <f>SUMIF($AB$5:$AB538,$AB546,AD$5:AD538)</f>
        <v>192</v>
      </c>
      <c r="AE546" s="253">
        <f>SUMIF($AB$5:$AB538,$AB546,AE$5:AE538)</f>
        <v>0</v>
      </c>
      <c r="AF546" s="253">
        <f>SUMIF($AB$5:$AB538,$AB546,AF$5:AF538)</f>
        <v>76</v>
      </c>
      <c r="AG546" s="253">
        <f>SUMIF($AB$5:$AB538,$AB546,AG$5:AG538)</f>
        <v>0</v>
      </c>
      <c r="AH546" s="254">
        <f>SUMIF($AB$5:$AB538,$AB546,AH$5:AH538)</f>
        <v>0</v>
      </c>
      <c r="AI546" s="250"/>
      <c r="AJ546" s="7"/>
      <c r="AK546" s="7"/>
      <c r="AL546" s="78">
        <f t="shared" ref="AL546" si="1882">AB546</f>
        <v>2014</v>
      </c>
      <c r="AM546" s="255">
        <f>SUMIF($AB$5:$AB538,$AB546,AM$5:AM538)</f>
        <v>0</v>
      </c>
      <c r="AN546" s="253">
        <f>SUMIF($AB$5:$AB538,$AB546,AN$5:AN538)</f>
        <v>0</v>
      </c>
      <c r="AO546" s="253">
        <f>SUMIF($AB$5:$AB538,$AB546,AO$5:AO538)</f>
        <v>0</v>
      </c>
      <c r="AP546" s="253">
        <f>SUMIF($AB$5:$AB538,$AB546,AP$5:AP538)</f>
        <v>0</v>
      </c>
      <c r="AQ546" s="253">
        <f>SUMIF($AB$5:$AB538,$AB546,AQ$5:AQ538)</f>
        <v>0</v>
      </c>
      <c r="AR546" s="254">
        <f>SUMIF($AB$5:$AB538,$AB546,AR$5:AR538)</f>
        <v>0</v>
      </c>
      <c r="AS546" s="251"/>
    </row>
    <row r="547" spans="1:46">
      <c r="A547" s="16" t="str">
        <f>'WBS in Estimate'!E15</f>
        <v>Middle Support Cylinder (MSC)</v>
      </c>
      <c r="B547" s="9" t="str">
        <f>'WBS in Estimate'!D15</f>
        <v>1.5.1.2</v>
      </c>
      <c r="C547" s="206"/>
      <c r="D547" s="224"/>
      <c r="E547" s="207"/>
      <c r="F547" s="207"/>
      <c r="G547" s="206"/>
      <c r="L547" s="219"/>
      <c r="O547" s="33">
        <v>2009</v>
      </c>
      <c r="Q547" s="52" t="s">
        <v>47</v>
      </c>
      <c r="U547" s="137">
        <v>1.5</v>
      </c>
      <c r="W547" s="109"/>
      <c r="X547" s="109"/>
      <c r="Y547" s="33">
        <v>2009</v>
      </c>
      <c r="AB547" s="24" t="s">
        <v>166</v>
      </c>
      <c r="AC547" s="252">
        <f>SUMIF($AB$5:$AB538,$AB547,AC$5:AC538)</f>
        <v>0</v>
      </c>
      <c r="AD547" s="253">
        <f>SUMIF($AB$5:$AB538,$AB547,AD$5:AD538)</f>
        <v>0</v>
      </c>
      <c r="AE547" s="253">
        <f>SUMIF($AB$5:$AB538,$AB547,AE$5:AE538)</f>
        <v>0</v>
      </c>
      <c r="AF547" s="253">
        <f>SUMIF($AB$5:$AB538,$AB547,AF$5:AF538)</f>
        <v>0</v>
      </c>
      <c r="AG547" s="253">
        <f>SUMIF($AB$5:$AB538,$AB547,AG$5:AG538)</f>
        <v>0</v>
      </c>
      <c r="AH547" s="254">
        <f>SUMIF($AB$5:$AB538,$AB547,AH$5:AH538)</f>
        <v>0</v>
      </c>
      <c r="AI547" s="250"/>
      <c r="AL547" s="78" t="str">
        <f t="shared" si="1881"/>
        <v>CONT</v>
      </c>
      <c r="AM547" s="255">
        <f>SUMIF($AB$5:$AB538,$AB547,AM$5:AM538)</f>
        <v>0</v>
      </c>
      <c r="AN547" s="253">
        <f>SUMIF($AB$5:$AB538,$AB547,AN$5:AN538)</f>
        <v>0</v>
      </c>
      <c r="AO547" s="253">
        <f>SUMIF($AB$5:$AB538,$AB547,AO$5:AO538)</f>
        <v>0</v>
      </c>
      <c r="AP547" s="253">
        <f>SUMIF($AB$5:$AB538,$AB547,AP$5:AP538)</f>
        <v>0</v>
      </c>
      <c r="AQ547" s="253">
        <f>SUMIF($AB$5:$AB538,$AB547,AQ$5:AQ538)</f>
        <v>0</v>
      </c>
      <c r="AR547" s="254">
        <f>SUMIF($AB$5:$AB538,$AB547,AR$5:AR538)</f>
        <v>0</v>
      </c>
      <c r="AS547" s="251"/>
    </row>
    <row r="548" spans="1:46">
      <c r="A548" s="16" t="str">
        <f>'WBS in Estimate'!E16</f>
        <v>Pixel Insertion Tube</v>
      </c>
      <c r="B548" s="9" t="str">
        <f>'WBS in Estimate'!D16</f>
        <v>1.5.1.2.1</v>
      </c>
      <c r="C548" s="208"/>
      <c r="D548" s="222"/>
      <c r="E548" s="197"/>
      <c r="F548" s="204"/>
      <c r="G548" s="208"/>
      <c r="L548" s="219"/>
      <c r="O548" s="33">
        <v>2009</v>
      </c>
      <c r="Q548" s="52" t="s">
        <v>47</v>
      </c>
      <c r="U548" s="137">
        <v>1.5</v>
      </c>
      <c r="W548" s="109">
        <f>SUMIF($T$5:$T$467,CONCATENATE(Q548,#REF!,O548),$O$5:$O$467)</f>
        <v>0</v>
      </c>
      <c r="X548" s="109">
        <f>SUMIF($T$5:$T$467,CONCATENATE(Q548,#REF!,Y548),$O$5:$O$467)</f>
        <v>0</v>
      </c>
      <c r="Y548" s="33">
        <v>2009</v>
      </c>
      <c r="AB548" s="24" t="s">
        <v>162</v>
      </c>
      <c r="AC548" s="252">
        <f>SUMIF($AB$5:$AB534,$AB548,AC$5:AC534)</f>
        <v>0</v>
      </c>
      <c r="AD548" s="253">
        <f>SUMIF($AB$5:$AB534,$AB548,AD$5:AD534)</f>
        <v>684</v>
      </c>
      <c r="AE548" s="253">
        <f>SUMIF($AB$5:$AB534,$AB548,AE$5:AE534)</f>
        <v>0</v>
      </c>
      <c r="AF548" s="253">
        <f>SUMIF($AB$5:$AB534,$AB548,AF$5:AF534)</f>
        <v>496</v>
      </c>
      <c r="AG548" s="253">
        <f>SUMIF($AB$5:$AB534,$AB548,AG$5:AG534)</f>
        <v>0</v>
      </c>
      <c r="AH548" s="254">
        <f>SUMIF($AB$5:$AB534,$AB548,AH$5:AH534)</f>
        <v>0</v>
      </c>
      <c r="AI548" s="250"/>
      <c r="AL548" s="78" t="str">
        <f t="shared" si="1881"/>
        <v>STAR</v>
      </c>
      <c r="AM548" s="255">
        <f>SUMIF($AB$5:$AB534,$AB548,AM$5:AM534)</f>
        <v>0</v>
      </c>
      <c r="AN548" s="253">
        <f>SUMIF($AB$5:$AB534,$AB548,AN$5:AN534)</f>
        <v>0</v>
      </c>
      <c r="AO548" s="253">
        <f>SUMIF($AB$5:$AB534,$AB548,AO$5:AO534)</f>
        <v>0</v>
      </c>
      <c r="AP548" s="253">
        <f>SUMIF($AB$5:$AB534,$AB548,AP$5:AP534)</f>
        <v>32</v>
      </c>
      <c r="AQ548" s="253">
        <f>SUMIF($AB$5:$AB534,$AB548,AQ$5:AQ534)</f>
        <v>0</v>
      </c>
      <c r="AR548" s="254">
        <f>SUMIF($AB$5:$AB534,$AB548,AR$5:AR534)</f>
        <v>0</v>
      </c>
      <c r="AS548" s="251"/>
    </row>
    <row r="549" spans="1:46" ht="15.75">
      <c r="A549" s="16" t="str">
        <f>'WBS in Estimate'!E17</f>
        <v>Bulkhead Extension</v>
      </c>
      <c r="B549" s="9" t="str">
        <f>'WBS in Estimate'!D17</f>
        <v>1.5.1.2.2</v>
      </c>
      <c r="C549" s="205"/>
      <c r="D549" s="223"/>
      <c r="E549" s="204"/>
      <c r="F549" s="204"/>
      <c r="G549" s="209"/>
      <c r="L549" s="219"/>
      <c r="O549" s="33">
        <v>2009</v>
      </c>
      <c r="Q549" s="52" t="s">
        <v>47</v>
      </c>
      <c r="U549" s="137">
        <v>1.5</v>
      </c>
      <c r="W549" s="109">
        <f>SUMIF($T$5:$T$467,CONCATENATE(Q549,#REF!,O549),$O$5:$O$467)</f>
        <v>0</v>
      </c>
      <c r="X549" s="109">
        <f>SUMIF($T$5:$T$467,CONCATENATE(Q549,#REF!,Y549),$O$5:$O$467)</f>
        <v>0</v>
      </c>
      <c r="Y549" s="33">
        <v>2009</v>
      </c>
      <c r="AC549" s="460" t="s">
        <v>164</v>
      </c>
      <c r="AD549" s="461"/>
      <c r="AE549" s="461"/>
      <c r="AF549" s="461"/>
      <c r="AG549" s="461"/>
      <c r="AH549" s="461"/>
      <c r="AI549" s="462"/>
      <c r="AL549" s="78"/>
      <c r="AM549" s="463" t="s">
        <v>165</v>
      </c>
      <c r="AN549" s="461"/>
      <c r="AO549" s="461"/>
      <c r="AP549" s="461"/>
      <c r="AQ549" s="461"/>
      <c r="AR549" s="461"/>
      <c r="AS549" s="464"/>
    </row>
    <row r="550" spans="1:46">
      <c r="A550" s="16" t="str">
        <f>'WBS in Estimate'!E18</f>
        <v>Transition Plate</v>
      </c>
      <c r="B550" s="9" t="str">
        <f>'WBS in Estimate'!D18</f>
        <v>1.5.1.2.3</v>
      </c>
      <c r="C550" s="205"/>
      <c r="D550" s="223"/>
      <c r="E550" s="204"/>
      <c r="F550" s="204"/>
      <c r="G550" s="209"/>
      <c r="L550" s="219"/>
      <c r="O550" s="33">
        <v>2009</v>
      </c>
      <c r="Q550" s="52" t="s">
        <v>47</v>
      </c>
      <c r="U550" s="137">
        <v>1.5</v>
      </c>
      <c r="W550" s="109">
        <f>SUMIF($T$5:$T$467,CONCATENATE(Q550,#REF!,O550),$O$5:$O$467)</f>
        <v>0</v>
      </c>
      <c r="X550" s="109">
        <f>SUMIF($T$5:$T$467,CONCATENATE(Q550,#REF!,Y550),$O$5:$O$467)</f>
        <v>0</v>
      </c>
      <c r="Y550" s="33">
        <v>2009</v>
      </c>
      <c r="AC550" s="25" t="s">
        <v>51</v>
      </c>
      <c r="AD550" s="14" t="s">
        <v>52</v>
      </c>
      <c r="AE550" s="14" t="s">
        <v>38</v>
      </c>
      <c r="AF550" s="14" t="s">
        <v>31</v>
      </c>
      <c r="AG550" s="14" t="s">
        <v>32</v>
      </c>
      <c r="AH550" s="14" t="s">
        <v>16</v>
      </c>
      <c r="AI550" s="27" t="s">
        <v>53</v>
      </c>
      <c r="AL550" s="78"/>
      <c r="AM550" s="28" t="s">
        <v>51</v>
      </c>
      <c r="AN550" s="14" t="s">
        <v>52</v>
      </c>
      <c r="AO550" s="14" t="s">
        <v>38</v>
      </c>
      <c r="AP550" s="14" t="s">
        <v>31</v>
      </c>
      <c r="AQ550" s="14" t="s">
        <v>32</v>
      </c>
      <c r="AR550" s="14" t="s">
        <v>16</v>
      </c>
      <c r="AS550" s="29" t="s">
        <v>53</v>
      </c>
    </row>
    <row r="551" spans="1:46">
      <c r="A551" s="16" t="str">
        <f>'WBS in Estimate'!E19</f>
        <v>Pixel Support Tube</v>
      </c>
      <c r="B551" s="9" t="str">
        <f>'WBS in Estimate'!D19</f>
        <v>1.5.1.2.4</v>
      </c>
      <c r="C551" s="205"/>
      <c r="D551" s="223"/>
      <c r="E551" s="204"/>
      <c r="F551" s="204"/>
      <c r="G551" s="205"/>
      <c r="L551" s="219"/>
      <c r="O551" s="33">
        <v>2009</v>
      </c>
      <c r="Q551" s="52" t="s">
        <v>47</v>
      </c>
      <c r="U551" s="137">
        <v>1.5</v>
      </c>
      <c r="W551" s="109">
        <f>SUMIF($T$5:$T$467,CONCATENATE(Q551,#REF!,O551),$O$5:$O$467)</f>
        <v>0</v>
      </c>
      <c r="X551" s="109">
        <f>SUMIF($T$5:$T$467,CONCATENATE(Q551,#REF!,Y551),$O$5:$O$467)</f>
        <v>0</v>
      </c>
      <c r="Y551" s="33">
        <v>2009</v>
      </c>
      <c r="AB551" s="22">
        <f>AB541</f>
        <v>2009</v>
      </c>
      <c r="AC551" s="256">
        <f>AC573+AC594</f>
        <v>0</v>
      </c>
      <c r="AD551" s="254">
        <f t="shared" ref="AD551:AI551" si="1883">AD573+AD594</f>
        <v>0</v>
      </c>
      <c r="AE551" s="254">
        <f t="shared" si="1883"/>
        <v>0</v>
      </c>
      <c r="AF551" s="254">
        <f t="shared" si="1883"/>
        <v>0</v>
      </c>
      <c r="AG551" s="254">
        <f t="shared" si="1883"/>
        <v>0</v>
      </c>
      <c r="AH551" s="254">
        <f t="shared" si="1883"/>
        <v>0</v>
      </c>
      <c r="AI551" s="257">
        <f t="shared" si="1883"/>
        <v>0</v>
      </c>
      <c r="AL551" s="78">
        <f>AL541</f>
        <v>2009</v>
      </c>
      <c r="AM551" s="258">
        <f t="shared" ref="AM551:AS551" si="1884">AM573+AM594</f>
        <v>0</v>
      </c>
      <c r="AN551" s="254">
        <f t="shared" si="1884"/>
        <v>0</v>
      </c>
      <c r="AO551" s="254">
        <f t="shared" si="1884"/>
        <v>0</v>
      </c>
      <c r="AP551" s="254">
        <f t="shared" si="1884"/>
        <v>0</v>
      </c>
      <c r="AQ551" s="254">
        <f t="shared" si="1884"/>
        <v>0</v>
      </c>
      <c r="AR551" s="254">
        <f t="shared" si="1884"/>
        <v>0</v>
      </c>
      <c r="AS551" s="259">
        <f t="shared" si="1884"/>
        <v>0</v>
      </c>
    </row>
    <row r="552" spans="1:46">
      <c r="A552" s="16" t="str">
        <f>'WBS in Estimate'!E20</f>
        <v>Beam Pipe Mechanics</v>
      </c>
      <c r="B552" s="9" t="str">
        <f>'WBS in Estimate'!D20</f>
        <v>1.5.1.3</v>
      </c>
      <c r="C552" s="205"/>
      <c r="D552" s="223"/>
      <c r="E552" s="204"/>
      <c r="F552" s="204"/>
      <c r="G552" s="205"/>
      <c r="L552" s="219"/>
      <c r="O552" s="33">
        <v>2009</v>
      </c>
      <c r="Q552" s="52" t="s">
        <v>47</v>
      </c>
      <c r="U552" s="137">
        <v>1.5</v>
      </c>
      <c r="W552" s="109"/>
      <c r="X552" s="109"/>
      <c r="Y552" s="33">
        <v>2009</v>
      </c>
      <c r="AB552" s="22">
        <v>2010</v>
      </c>
      <c r="AC552" s="256">
        <f t="shared" ref="AC552:AI552" si="1885">AC574+AC595</f>
        <v>10332</v>
      </c>
      <c r="AD552" s="254">
        <f t="shared" si="1885"/>
        <v>31707</v>
      </c>
      <c r="AE552" s="254">
        <f t="shared" si="1885"/>
        <v>0</v>
      </c>
      <c r="AF552" s="254">
        <f t="shared" si="1885"/>
        <v>108570</v>
      </c>
      <c r="AG552" s="254">
        <f t="shared" si="1885"/>
        <v>0</v>
      </c>
      <c r="AH552" s="254">
        <f t="shared" si="1885"/>
        <v>42895</v>
      </c>
      <c r="AI552" s="257">
        <f t="shared" si="1885"/>
        <v>193504</v>
      </c>
      <c r="AL552" s="78">
        <f>AL542</f>
        <v>2010</v>
      </c>
      <c r="AM552" s="258">
        <f t="shared" ref="AM552:AS552" si="1886">AM574+AM595</f>
        <v>0</v>
      </c>
      <c r="AN552" s="254">
        <f t="shared" si="1886"/>
        <v>0</v>
      </c>
      <c r="AO552" s="254">
        <f t="shared" si="1886"/>
        <v>0</v>
      </c>
      <c r="AP552" s="254">
        <f t="shared" si="1886"/>
        <v>0</v>
      </c>
      <c r="AQ552" s="254">
        <f t="shared" si="1886"/>
        <v>0</v>
      </c>
      <c r="AR552" s="254">
        <f t="shared" si="1886"/>
        <v>0</v>
      </c>
      <c r="AS552" s="259">
        <f t="shared" si="1886"/>
        <v>0</v>
      </c>
    </row>
    <row r="553" spans="1:46">
      <c r="A553" s="16" t="str">
        <f>'WBS in Estimate'!E21</f>
        <v>Beam Pipe Model</v>
      </c>
      <c r="B553" s="9" t="str">
        <f>'WBS in Estimate'!D21</f>
        <v>1.5.1.3.1</v>
      </c>
      <c r="C553" s="205"/>
      <c r="D553" s="223"/>
      <c r="E553" s="204"/>
      <c r="F553" s="204"/>
      <c r="G553" s="205"/>
      <c r="L553" s="219"/>
      <c r="O553" s="33">
        <v>2009</v>
      </c>
      <c r="Q553" s="52" t="s">
        <v>47</v>
      </c>
      <c r="U553" s="137">
        <v>1.5</v>
      </c>
      <c r="W553" s="109"/>
      <c r="X553" s="109"/>
      <c r="Y553" s="33">
        <v>2009</v>
      </c>
      <c r="AB553" s="22">
        <v>2011</v>
      </c>
      <c r="AC553" s="256">
        <f t="shared" ref="AC553:AI553" si="1887">AC575+AC596</f>
        <v>56337.120000000003</v>
      </c>
      <c r="AD553" s="254">
        <f t="shared" si="1887"/>
        <v>151537.23000000001</v>
      </c>
      <c r="AE553" s="254">
        <f t="shared" si="1887"/>
        <v>4082.4</v>
      </c>
      <c r="AF553" s="254">
        <f t="shared" si="1887"/>
        <v>174231.00000000003</v>
      </c>
      <c r="AG553" s="254">
        <f t="shared" si="1887"/>
        <v>0</v>
      </c>
      <c r="AH553" s="254">
        <f t="shared" si="1887"/>
        <v>64360</v>
      </c>
      <c r="AI553" s="257">
        <f t="shared" si="1887"/>
        <v>450547.75</v>
      </c>
      <c r="AL553" s="78">
        <f>AL543</f>
        <v>2011</v>
      </c>
      <c r="AM553" s="258">
        <f t="shared" ref="AM553:AS553" si="1888">AM575+AM596</f>
        <v>22453.200000000001</v>
      </c>
      <c r="AN553" s="254">
        <f t="shared" si="1888"/>
        <v>72214.740000000005</v>
      </c>
      <c r="AO553" s="254">
        <f t="shared" si="1888"/>
        <v>816.48</v>
      </c>
      <c r="AP553" s="254">
        <f t="shared" si="1888"/>
        <v>49572.000000000007</v>
      </c>
      <c r="AQ553" s="254">
        <f t="shared" si="1888"/>
        <v>0</v>
      </c>
      <c r="AR553" s="254">
        <f t="shared" si="1888"/>
        <v>14800</v>
      </c>
      <c r="AS553" s="259">
        <f t="shared" si="1888"/>
        <v>159856.42000000001</v>
      </c>
    </row>
    <row r="554" spans="1:46">
      <c r="A554" s="16" t="str">
        <f>'WBS in Estimate'!E22</f>
        <v>Internal Support (Low Mass)</v>
      </c>
      <c r="B554" s="9" t="str">
        <f>'WBS in Estimate'!D22</f>
        <v>1.5.1.3.2</v>
      </c>
      <c r="C554" s="205"/>
      <c r="D554" s="223"/>
      <c r="E554" s="204"/>
      <c r="F554" s="204"/>
      <c r="G554" s="205"/>
      <c r="L554" s="219"/>
      <c r="O554" s="33">
        <v>2009</v>
      </c>
      <c r="Q554" s="52" t="s">
        <v>47</v>
      </c>
      <c r="U554" s="137">
        <v>1.5</v>
      </c>
      <c r="W554" s="109">
        <f>SUMIF($T$5:$T$467,CONCATENATE(Q554,#REF!,O554),$O$5:$O$467)</f>
        <v>0</v>
      </c>
      <c r="X554" s="109">
        <f>SUMIF($T$5:$T$467,CONCATENATE(Q554,#REF!,Y554),$O$5:$O$467)</f>
        <v>0</v>
      </c>
      <c r="Y554" s="33">
        <v>2009</v>
      </c>
      <c r="AB554" s="22">
        <f>AB544</f>
        <v>2012</v>
      </c>
      <c r="AC554" s="256">
        <f>AC576+AC597</f>
        <v>33475.68</v>
      </c>
      <c r="AD554" s="254">
        <f t="shared" ref="AD554:AI555" si="1889">AD576+AD597</f>
        <v>172007.55000000002</v>
      </c>
      <c r="AE554" s="254">
        <f t="shared" si="1889"/>
        <v>4082.4</v>
      </c>
      <c r="AF554" s="254">
        <f t="shared" si="1889"/>
        <v>69012.000000000015</v>
      </c>
      <c r="AG554" s="254">
        <f t="shared" si="1889"/>
        <v>0</v>
      </c>
      <c r="AH554" s="254">
        <f t="shared" si="1889"/>
        <v>132765</v>
      </c>
      <c r="AI554" s="257">
        <f t="shared" si="1889"/>
        <v>411342.63</v>
      </c>
      <c r="AL554" s="78">
        <f>AL544</f>
        <v>2012</v>
      </c>
      <c r="AM554" s="258">
        <f t="shared" ref="AM554:AS555" si="1890">AM576+AM597</f>
        <v>27352.080000000002</v>
      </c>
      <c r="AN554" s="254">
        <f t="shared" si="1890"/>
        <v>56672.460000000006</v>
      </c>
      <c r="AO554" s="254">
        <f t="shared" si="1890"/>
        <v>816.48</v>
      </c>
      <c r="AP554" s="254">
        <f t="shared" si="1890"/>
        <v>30010.500000000004</v>
      </c>
      <c r="AQ554" s="254">
        <f t="shared" si="1890"/>
        <v>0</v>
      </c>
      <c r="AR554" s="254">
        <f t="shared" si="1890"/>
        <v>122997.5</v>
      </c>
      <c r="AS554" s="259">
        <f t="shared" si="1890"/>
        <v>237849.02000000002</v>
      </c>
    </row>
    <row r="555" spans="1:46" s="421" customFormat="1">
      <c r="A555" s="16"/>
      <c r="B555" s="9"/>
      <c r="C555" s="205"/>
      <c r="D555" s="223"/>
      <c r="E555" s="204"/>
      <c r="F555" s="204"/>
      <c r="G555" s="205"/>
      <c r="H555" s="151"/>
      <c r="I555" s="151"/>
      <c r="J555" s="152"/>
      <c r="K555" s="152"/>
      <c r="L555" s="219"/>
      <c r="M555" s="7"/>
      <c r="N555" s="153"/>
      <c r="O555" s="33"/>
      <c r="P555" s="7"/>
      <c r="Q555" s="52"/>
      <c r="R555" s="54"/>
      <c r="S555" s="96"/>
      <c r="T555" s="96"/>
      <c r="U555" s="137"/>
      <c r="V555" s="96"/>
      <c r="W555" s="109"/>
      <c r="X555" s="109"/>
      <c r="Y555" s="33"/>
      <c r="Z555" s="10"/>
      <c r="AA555" s="10"/>
      <c r="AB555" s="22">
        <f>AB545</f>
        <v>2013</v>
      </c>
      <c r="AC555" s="256">
        <f>AC577+AC598</f>
        <v>1837.08</v>
      </c>
      <c r="AD555" s="254">
        <f t="shared" si="1889"/>
        <v>71077.500000000015</v>
      </c>
      <c r="AE555" s="254">
        <f t="shared" si="1889"/>
        <v>5715.3600000000006</v>
      </c>
      <c r="AF555" s="254">
        <f t="shared" si="1889"/>
        <v>20412.000000000004</v>
      </c>
      <c r="AG555" s="254">
        <f t="shared" si="1889"/>
        <v>0</v>
      </c>
      <c r="AH555" s="254">
        <f t="shared" si="1889"/>
        <v>9870</v>
      </c>
      <c r="AI555" s="257">
        <f t="shared" si="1889"/>
        <v>108911.94000000002</v>
      </c>
      <c r="AJ555" s="7"/>
      <c r="AK555" s="7"/>
      <c r="AL555" s="78">
        <f>AL545</f>
        <v>2013</v>
      </c>
      <c r="AM555" s="258">
        <f t="shared" si="1890"/>
        <v>816.48</v>
      </c>
      <c r="AN555" s="254">
        <f t="shared" si="1890"/>
        <v>66054.69</v>
      </c>
      <c r="AO555" s="254">
        <f t="shared" si="1890"/>
        <v>3265.92</v>
      </c>
      <c r="AP555" s="254">
        <f t="shared" si="1890"/>
        <v>17010.000000000004</v>
      </c>
      <c r="AQ555" s="254">
        <f t="shared" si="1890"/>
        <v>0</v>
      </c>
      <c r="AR555" s="254">
        <f t="shared" si="1890"/>
        <v>9205</v>
      </c>
      <c r="AS555" s="259">
        <f t="shared" si="1890"/>
        <v>96352.09</v>
      </c>
    </row>
    <row r="556" spans="1:46" ht="13.5" thickBot="1">
      <c r="A556" s="16" t="str">
        <f>'WBS in Estimate'!E23</f>
        <v>Alternate Beam Pipe Support</v>
      </c>
      <c r="B556" s="9" t="str">
        <f>'WBS in Estimate'!D23</f>
        <v>1.5.1.3.3</v>
      </c>
      <c r="C556" s="205"/>
      <c r="D556" s="223"/>
      <c r="E556" s="204"/>
      <c r="F556" s="204"/>
      <c r="G556" s="205"/>
      <c r="L556" s="219"/>
      <c r="O556" s="33">
        <v>2009</v>
      </c>
      <c r="Q556" s="52" t="s">
        <v>47</v>
      </c>
      <c r="U556" s="137">
        <v>1.5</v>
      </c>
      <c r="W556" s="109">
        <f>SUMIF($T$5:$T$467,CONCATENATE(Q556,#REF!,O556),$O$5:$O$467)</f>
        <v>0</v>
      </c>
      <c r="X556" s="109">
        <f>SUMIF($T$5:$T$467,CONCATENATE(Q556,#REF!,Y556),$O$5:$O$467)</f>
        <v>0</v>
      </c>
      <c r="Y556" s="33">
        <v>2009</v>
      </c>
      <c r="AB556" s="22">
        <v>2014</v>
      </c>
      <c r="AC556" s="260">
        <f t="shared" ref="AC556:AI556" si="1891">AC578+AC599</f>
        <v>0</v>
      </c>
      <c r="AD556" s="261">
        <f t="shared" si="1891"/>
        <v>19595.52</v>
      </c>
      <c r="AE556" s="261">
        <f t="shared" si="1891"/>
        <v>0</v>
      </c>
      <c r="AF556" s="261">
        <f t="shared" si="1891"/>
        <v>7756.56</v>
      </c>
      <c r="AG556" s="261">
        <f t="shared" si="1891"/>
        <v>0</v>
      </c>
      <c r="AH556" s="261">
        <f t="shared" si="1891"/>
        <v>0</v>
      </c>
      <c r="AI556" s="262">
        <f t="shared" si="1891"/>
        <v>27352.080000000002</v>
      </c>
      <c r="AL556" s="78">
        <v>2014</v>
      </c>
      <c r="AM556" s="263">
        <f t="shared" ref="AM556:AS556" si="1892">AM578+AM599</f>
        <v>0</v>
      </c>
      <c r="AN556" s="264">
        <f t="shared" si="1892"/>
        <v>0</v>
      </c>
      <c r="AO556" s="264">
        <f t="shared" si="1892"/>
        <v>0</v>
      </c>
      <c r="AP556" s="264">
        <f t="shared" si="1892"/>
        <v>0</v>
      </c>
      <c r="AQ556" s="264">
        <f t="shared" si="1892"/>
        <v>0</v>
      </c>
      <c r="AR556" s="264">
        <f t="shared" si="1892"/>
        <v>0</v>
      </c>
      <c r="AS556" s="265">
        <f t="shared" si="1892"/>
        <v>0</v>
      </c>
    </row>
    <row r="557" spans="1:46" ht="15.75" thickTop="1">
      <c r="A557" s="16" t="str">
        <f>'WBS in Estimate'!E24</f>
        <v>External Beam Pipe Support</v>
      </c>
      <c r="B557" s="9" t="str">
        <f>'WBS in Estimate'!D24</f>
        <v>1.5.1.3.4</v>
      </c>
      <c r="C557" s="205"/>
      <c r="D557" s="223"/>
      <c r="E557" s="204"/>
      <c r="F557" s="204"/>
      <c r="G557" s="205"/>
      <c r="L557" s="219"/>
      <c r="O557" s="33">
        <v>2009</v>
      </c>
      <c r="Q557" s="52" t="s">
        <v>47</v>
      </c>
      <c r="U557" s="137">
        <v>1.5</v>
      </c>
      <c r="W557" s="109">
        <f>SUM(W548:W556)</f>
        <v>0</v>
      </c>
      <c r="X557" s="109">
        <f>SUM(X548:X556)</f>
        <v>0</v>
      </c>
      <c r="Y557" s="33">
        <v>2009</v>
      </c>
      <c r="AC557" s="109"/>
      <c r="AD557" s="109"/>
      <c r="AE557" s="109"/>
      <c r="AF557" s="109"/>
      <c r="AG557" s="109"/>
      <c r="AH557" s="67" t="s">
        <v>73</v>
      </c>
      <c r="AI557" s="67">
        <f>SUM(AI551:AI556)</f>
        <v>1191658.3999999999</v>
      </c>
      <c r="AM557" s="109"/>
      <c r="AN557" s="109"/>
      <c r="AO557" s="109"/>
      <c r="AP557" s="109"/>
      <c r="AQ557" s="109"/>
      <c r="AR557" s="67" t="s">
        <v>71</v>
      </c>
      <c r="AS557" s="67">
        <f>SUM(AS551:AS556)</f>
        <v>494057.53</v>
      </c>
    </row>
    <row r="558" spans="1:46" ht="15">
      <c r="A558" s="16" t="str">
        <f>'WBS in Estimate'!E25</f>
        <v>Bake Out Equipment</v>
      </c>
      <c r="B558" s="9" t="str">
        <f>'WBS in Estimate'!D25</f>
        <v>1.5.1.3.5</v>
      </c>
      <c r="C558" s="205"/>
      <c r="D558" s="223"/>
      <c r="E558" s="204"/>
      <c r="F558" s="204"/>
      <c r="G558" s="205"/>
      <c r="L558" s="219"/>
      <c r="O558" s="33">
        <v>2009</v>
      </c>
      <c r="Q558" s="52" t="s">
        <v>47</v>
      </c>
      <c r="U558" s="137">
        <v>1.5</v>
      </c>
      <c r="W558" s="109">
        <f>W544+W557</f>
        <v>0</v>
      </c>
      <c r="X558" s="109">
        <f>X544+X557</f>
        <v>0</v>
      </c>
      <c r="Y558" s="33">
        <v>2009</v>
      </c>
      <c r="AC558" s="109"/>
      <c r="AD558" s="109"/>
      <c r="AE558" s="109"/>
      <c r="AF558" s="109"/>
      <c r="AG558" s="109"/>
      <c r="AH558" s="67"/>
      <c r="AM558" s="109"/>
      <c r="AN558" s="109"/>
      <c r="AO558" s="109"/>
      <c r="AP558" s="109"/>
      <c r="AQ558" s="109"/>
      <c r="AR558" s="67" t="s">
        <v>87</v>
      </c>
      <c r="AS558" s="266">
        <f>AS557/AI557</f>
        <v>0.41459660755129157</v>
      </c>
    </row>
    <row r="559" spans="1:46" ht="15">
      <c r="A559" s="16" t="str">
        <f>'WBS in Estimate'!E26</f>
        <v>Electronics</v>
      </c>
      <c r="B559" s="9" t="str">
        <f>'WBS in Estimate'!D26</f>
        <v>1.5.2</v>
      </c>
      <c r="C559" s="205"/>
      <c r="D559" s="223"/>
      <c r="E559" s="204"/>
      <c r="F559" s="204"/>
      <c r="G559" s="205"/>
      <c r="L559" s="219"/>
      <c r="O559" s="274"/>
      <c r="Q559" s="71"/>
      <c r="U559" s="137"/>
      <c r="W559" s="109"/>
      <c r="X559" s="109"/>
      <c r="Y559" s="274"/>
      <c r="AC559" s="109"/>
      <c r="AD559" s="109"/>
      <c r="AE559" s="109"/>
      <c r="AF559" s="109"/>
      <c r="AG559" s="109"/>
      <c r="AH559" s="67"/>
      <c r="AI559" s="109">
        <f>AI579+AI600</f>
        <v>1191658.3999999999</v>
      </c>
      <c r="AJ559" s="92" t="s">
        <v>84</v>
      </c>
      <c r="AM559" s="109"/>
      <c r="AN559" s="109"/>
      <c r="AO559" s="109"/>
      <c r="AP559" s="109"/>
      <c r="AQ559" s="109"/>
      <c r="AR559" s="67"/>
      <c r="AS559" s="109">
        <f>AS579+AS600</f>
        <v>494057.53</v>
      </c>
      <c r="AT559" s="20" t="s">
        <v>84</v>
      </c>
    </row>
    <row r="560" spans="1:46" ht="13.5" thickBot="1">
      <c r="A560" s="16" t="str">
        <f>'WBS in Estimate'!E27</f>
        <v>Detector Grounding/EMI Control</v>
      </c>
      <c r="B560" s="9" t="str">
        <f>'WBS in Estimate'!D27</f>
        <v>1.5.2.1</v>
      </c>
      <c r="C560" s="205"/>
      <c r="D560" s="223"/>
      <c r="E560" s="204"/>
      <c r="F560" s="204"/>
      <c r="G560" s="205"/>
      <c r="L560" s="219"/>
      <c r="V560" s="150"/>
    </row>
    <row r="561" spans="1:47" ht="15.75" thickTop="1">
      <c r="A561" s="16" t="str">
        <f>'WBS in Estimate'!E28</f>
        <v>Environmental Control</v>
      </c>
      <c r="B561" s="9" t="str">
        <f>'WBS in Estimate'!D28</f>
        <v>1.5.2.2</v>
      </c>
      <c r="C561" s="205"/>
      <c r="G561" s="205"/>
      <c r="L561" s="219"/>
      <c r="AC561" s="471" t="s">
        <v>89</v>
      </c>
      <c r="AD561" s="472"/>
      <c r="AE561" s="472"/>
      <c r="AF561" s="472"/>
      <c r="AG561" s="472"/>
      <c r="AH561" s="472"/>
      <c r="AI561" s="473"/>
      <c r="AK561" s="92"/>
      <c r="AL561" s="80"/>
      <c r="AM561" s="471" t="s">
        <v>90</v>
      </c>
      <c r="AN561" s="472"/>
      <c r="AO561" s="472"/>
      <c r="AP561" s="472"/>
      <c r="AQ561" s="472"/>
      <c r="AR561" s="472"/>
      <c r="AS561" s="473"/>
    </row>
    <row r="562" spans="1:47">
      <c r="A562" s="16" t="str">
        <f>'WBS in Estimate'!E29</f>
        <v>Shroud Bias</v>
      </c>
      <c r="B562" s="9" t="str">
        <f>'WBS in Estimate'!D29</f>
        <v>1.5.2.3</v>
      </c>
      <c r="C562" s="205"/>
      <c r="G562" s="205"/>
      <c r="L562" s="219"/>
      <c r="AC562" s="25" t="s">
        <v>11</v>
      </c>
      <c r="AD562" s="14" t="s">
        <v>10</v>
      </c>
      <c r="AE562" s="14" t="s">
        <v>38</v>
      </c>
      <c r="AF562" s="14" t="s">
        <v>31</v>
      </c>
      <c r="AG562" s="14" t="s">
        <v>32</v>
      </c>
      <c r="AH562" s="14" t="s">
        <v>16</v>
      </c>
      <c r="AI562" s="250"/>
      <c r="AK562" s="92"/>
      <c r="AL562" s="80"/>
      <c r="AM562" s="25" t="s">
        <v>11</v>
      </c>
      <c r="AN562" s="14" t="s">
        <v>10</v>
      </c>
      <c r="AO562" s="14" t="s">
        <v>38</v>
      </c>
      <c r="AP562" s="14" t="s">
        <v>31</v>
      </c>
      <c r="AQ562" s="14" t="s">
        <v>32</v>
      </c>
      <c r="AR562" s="14" t="s">
        <v>16</v>
      </c>
      <c r="AS562" s="250"/>
    </row>
    <row r="563" spans="1:47">
      <c r="A563" s="16" t="str">
        <f>'WBS in Estimate'!E30</f>
        <v>Assembly</v>
      </c>
      <c r="B563" s="9" t="str">
        <f>'WBS in Estimate'!D30</f>
        <v>1.5.3</v>
      </c>
      <c r="C563" s="205"/>
      <c r="D563" s="223"/>
      <c r="E563" s="210"/>
      <c r="F563" s="204"/>
      <c r="G563" s="205"/>
      <c r="L563" s="219"/>
      <c r="S563" s="96" t="s">
        <v>81</v>
      </c>
      <c r="AB563" s="22">
        <v>2009</v>
      </c>
      <c r="AC563" s="252">
        <f>SUMIF($S$5:$S467,CONCATENATE($S563,$AB563),AC$5:AC467)</f>
        <v>0</v>
      </c>
      <c r="AD563" s="253">
        <f>SUMIF($S$5:$S467,CONCATENATE($S563,$AB563),AD$5:AD467)</f>
        <v>0</v>
      </c>
      <c r="AE563" s="253">
        <f>SUMIF($S$5:$S467,CONCATENATE($S563,$AB563),AE$5:AE467)</f>
        <v>0</v>
      </c>
      <c r="AF563" s="253">
        <f>SUMIF($S$5:$S467,CONCATENATE($S563,$AB563),AF$5:AF467)</f>
        <v>0</v>
      </c>
      <c r="AG563" s="253">
        <f>SUMIF($S$5:$S467,CONCATENATE($S563,$AB563),AG$5:AG467)</f>
        <v>0</v>
      </c>
      <c r="AH563" s="253">
        <f>SUMIF($S$5:$S467,CONCATENATE($S563,$AB563),AH$5:AH467)</f>
        <v>0</v>
      </c>
      <c r="AI563" s="250"/>
      <c r="AK563" s="92" t="s">
        <v>82</v>
      </c>
      <c r="AL563" s="78">
        <f>AB563</f>
        <v>2009</v>
      </c>
      <c r="AM563" s="252">
        <f>SUMIF($S$5:$S467,CONCATENATE($AK563,$AL563),AM$5:AM467)</f>
        <v>0</v>
      </c>
      <c r="AN563" s="253">
        <f>SUMIF($S$5:$S467,CONCATENATE($AK563,$AL563),AN$5:AN467)</f>
        <v>0</v>
      </c>
      <c r="AO563" s="253">
        <f>SUMIF($S$5:$S467,CONCATENATE($AK563,$AL563),AO$5:AO467)</f>
        <v>0</v>
      </c>
      <c r="AP563" s="253">
        <f>SUMIF($S$5:$S467,CONCATENATE($AK563,$AL563),AP$5:AP467)</f>
        <v>0</v>
      </c>
      <c r="AQ563" s="253">
        <f>SUMIF($S$5:$S467,CONCATENATE($AK563,$AL563),AQ$5:AQ467)</f>
        <v>0</v>
      </c>
      <c r="AR563" s="253">
        <f>SUMIF($S$5:$S467,CONCATENATE($AK563,$AL563),AR$5:AR467)</f>
        <v>0</v>
      </c>
      <c r="AS563" s="250"/>
    </row>
    <row r="564" spans="1:47">
      <c r="A564" s="16" t="str">
        <f>'WBS in Estimate'!E31</f>
        <v>MSC Assembly</v>
      </c>
      <c r="B564" s="9" t="str">
        <f>'WBS in Estimate'!D31</f>
        <v>1.5.3.1</v>
      </c>
      <c r="C564" s="205"/>
      <c r="D564" s="223"/>
      <c r="E564" s="210"/>
      <c r="F564" s="204"/>
      <c r="G564" s="205"/>
      <c r="L564" s="219"/>
      <c r="S564" s="96" t="s">
        <v>81</v>
      </c>
      <c r="AB564" s="22">
        <v>2010</v>
      </c>
      <c r="AC564" s="252">
        <f>SUMIF($S$5:$S532,CONCATENATE($S564,$AB564),AC$5:AC532)</f>
        <v>82</v>
      </c>
      <c r="AD564" s="253">
        <f>SUMIF($S$5:$S532,CONCATENATE($S564,$AB564),AD$5:AD532)</f>
        <v>271</v>
      </c>
      <c r="AE564" s="253">
        <f>SUMIF($S$5:$S532,CONCATENATE($S564,$AB564),AE$5:AE532)</f>
        <v>0</v>
      </c>
      <c r="AF564" s="253">
        <f>SUMIF($S$5:$S532,CONCATENATE($S564,$AB564),AF$5:AF532)</f>
        <v>578</v>
      </c>
      <c r="AG564" s="253">
        <f>SUMIF($S$5:$S532,CONCATENATE($S564,$AB564),AG$5:AG532)</f>
        <v>0</v>
      </c>
      <c r="AH564" s="253">
        <f>SUMIF($S$5:$S532,CONCATENATE($S564,$AB564),AH$5:AH532)</f>
        <v>42895</v>
      </c>
      <c r="AI564" s="250"/>
      <c r="AK564" s="92" t="s">
        <v>82</v>
      </c>
      <c r="AL564" s="78">
        <f t="shared" ref="AL564:AL570" si="1893">AB564</f>
        <v>2010</v>
      </c>
      <c r="AM564" s="252">
        <f>SUMIF($S$5:$S532,CONCATENATE($AK564,$AL564),AM$5:AM532)</f>
        <v>0</v>
      </c>
      <c r="AN564" s="253">
        <f>SUMIF($S$5:$S532,CONCATENATE($AK564,$AL564),AN$5:AN532)</f>
        <v>0</v>
      </c>
      <c r="AO564" s="253">
        <f>SUMIF($S$5:$S532,CONCATENATE($AK564,$AL564),AO$5:AO532)</f>
        <v>0</v>
      </c>
      <c r="AP564" s="253">
        <f>SUMIF($S$5:$S532,CONCATENATE($AK564,$AL564),AP$5:AP532)</f>
        <v>0</v>
      </c>
      <c r="AQ564" s="253">
        <f>SUMIF($S$5:$S532,CONCATENATE($AK564,$AL564),AQ$5:AQ532)</f>
        <v>0</v>
      </c>
      <c r="AR564" s="253">
        <f>SUMIF($S$5:$S532,CONCATENATE($AK564,$AL564),AR$5:AR532)</f>
        <v>0</v>
      </c>
      <c r="AS564" s="250"/>
    </row>
    <row r="565" spans="1:47">
      <c r="A565" s="16" t="str">
        <f>'WBS in Estimate'!E32</f>
        <v>IDS Assembly</v>
      </c>
      <c r="B565" s="9" t="str">
        <f>'WBS in Estimate'!D32</f>
        <v>1.5.3.2</v>
      </c>
      <c r="C565" s="205"/>
      <c r="D565" s="223"/>
      <c r="E565" s="210"/>
      <c r="F565" s="204"/>
      <c r="G565" s="205"/>
      <c r="L565" s="219"/>
      <c r="S565" s="96" t="s">
        <v>81</v>
      </c>
      <c r="AB565" s="22">
        <v>2011</v>
      </c>
      <c r="AC565" s="252">
        <f>SUMIF($S$5:$S533,CONCATENATE($S565,$AB565),AC$5:AC535)</f>
        <v>0</v>
      </c>
      <c r="AD565" s="253">
        <f>SUMIF($S$5:$S533,CONCATENATE($S565,$AB565),AD$5:AD535)</f>
        <v>0</v>
      </c>
      <c r="AE565" s="253">
        <f>SUMIF($S$5:$S533,CONCATENATE($S565,$AB565),AE$5:AE535)</f>
        <v>0</v>
      </c>
      <c r="AF565" s="253">
        <f>SUMIF($S$5:$S533,CONCATENATE($S565,$AB565),AF$5:AF535)</f>
        <v>0</v>
      </c>
      <c r="AG565" s="253">
        <f>SUMIF($S$5:$S533,CONCATENATE($S565,$AB565),AG$5:AG535)</f>
        <v>0</v>
      </c>
      <c r="AH565" s="253">
        <f>SUMIF($S$5:$S533,CONCATENATE($S565,$AB565),AH$5:AH535)</f>
        <v>0</v>
      </c>
      <c r="AI565" s="250"/>
      <c r="AK565" s="92" t="s">
        <v>82</v>
      </c>
      <c r="AL565" s="78">
        <f t="shared" si="1893"/>
        <v>2011</v>
      </c>
      <c r="AM565" s="252">
        <f>SUMIF($S$5:$S533,CONCATENATE($AK565,$AL565),AM$5:AM535)</f>
        <v>0</v>
      </c>
      <c r="AN565" s="253">
        <f>SUMIF($S$5:$S533,CONCATENATE($AK565,$AL565),AN$5:AN535)</f>
        <v>0</v>
      </c>
      <c r="AO565" s="253">
        <f>SUMIF($S$5:$S533,CONCATENATE($AK565,$AL565),AO$5:AO535)</f>
        <v>0</v>
      </c>
      <c r="AP565" s="253">
        <f>SUMIF($S$5:$S533,CONCATENATE($AK565,$AL565),AP$5:AP535)</f>
        <v>0</v>
      </c>
      <c r="AQ565" s="253">
        <f>SUMIF($S$5:$S533,CONCATENATE($AK565,$AL565),AQ$5:AQ535)</f>
        <v>0</v>
      </c>
      <c r="AR565" s="253">
        <f>SUMIF($S$5:$S533,CONCATENATE($AK565,$AL565),AR$5:AR535)</f>
        <v>0</v>
      </c>
      <c r="AS565" s="250"/>
    </row>
    <row r="566" spans="1:47">
      <c r="A566" s="16" t="str">
        <f>'WBS in Estimate'!E33</f>
        <v>Integration Infrastructure</v>
      </c>
      <c r="B566" s="9" t="str">
        <f>'WBS in Estimate'!D33</f>
        <v>1.5.4</v>
      </c>
      <c r="C566" s="205"/>
      <c r="D566" s="223"/>
      <c r="E566" s="204"/>
      <c r="F566" s="204"/>
      <c r="G566" s="205"/>
      <c r="L566" s="219"/>
      <c r="S566" s="96" t="s">
        <v>81</v>
      </c>
      <c r="AB566" s="22">
        <v>2012</v>
      </c>
      <c r="AC566" s="252">
        <f>SUMIF($S$5:$S531,CONCATENATE($S566,$AB566),AC$5:AC531)</f>
        <v>0</v>
      </c>
      <c r="AD566" s="253">
        <f>SUMIF($S$5:$S467,CONCATENATE($S566,$AB566),AD$5:AD467)</f>
        <v>0</v>
      </c>
      <c r="AE566" s="253">
        <f>SUMIF($S$5:$S467,CONCATENATE($S566,$AB566),AE$5:AE467)</f>
        <v>0</v>
      </c>
      <c r="AF566" s="253">
        <f>SUMIF($S$5:$S467,CONCATENATE($S566,$AB566),AF$5:AF467)</f>
        <v>0</v>
      </c>
      <c r="AG566" s="253">
        <f>SUMIF($S$5:$S467,CONCATENATE($S566,$AB566),AG$5:AG467)</f>
        <v>0</v>
      </c>
      <c r="AH566" s="253">
        <f>SUMIF($S$5:$S467,CONCATENATE($S566,$AB566),AH$5:AH467)</f>
        <v>0</v>
      </c>
      <c r="AI566" s="250"/>
      <c r="AK566" s="92" t="s">
        <v>82</v>
      </c>
      <c r="AL566" s="78">
        <f t="shared" si="1893"/>
        <v>2012</v>
      </c>
      <c r="AM566" s="252">
        <f>SUMIF($S$5:$S467,CONCATENATE($AK566,$AL566),AM$5:AM467)</f>
        <v>0</v>
      </c>
      <c r="AN566" s="253">
        <f>SUMIF($S$5:$S467,CONCATENATE($AK566,$AL566),AN$5:AN467)</f>
        <v>0</v>
      </c>
      <c r="AO566" s="253">
        <f>SUMIF($S$5:$S467,CONCATENATE($AK566,$AL566),AO$5:AO467)</f>
        <v>0</v>
      </c>
      <c r="AP566" s="253">
        <f>SUMIF($S$5:$S467,CONCATENATE($AK566,$AL566),AP$5:AP467)</f>
        <v>0</v>
      </c>
      <c r="AQ566" s="253">
        <f>SUMIF($S$5:$S467,CONCATENATE($AK566,$AL566),AQ$5:AQ467)</f>
        <v>0</v>
      </c>
      <c r="AR566" s="253">
        <f>SUMIF($S$5:$S467,CONCATENATE($AK566,$AL566),AR$5:AR467)</f>
        <v>0</v>
      </c>
      <c r="AS566" s="250"/>
    </row>
    <row r="567" spans="1:47">
      <c r="A567" s="16" t="str">
        <f>'WBS in Estimate'!E34</f>
        <v>Cables</v>
      </c>
      <c r="B567" s="9" t="str">
        <f>'WBS in Estimate'!D34</f>
        <v>1.5.4.1</v>
      </c>
      <c r="C567" s="205"/>
      <c r="D567" s="223"/>
      <c r="E567" s="210"/>
      <c r="F567" s="204"/>
      <c r="G567" s="205"/>
      <c r="L567" s="219"/>
      <c r="S567" s="96" t="s">
        <v>81</v>
      </c>
      <c r="AB567" s="22">
        <v>2013</v>
      </c>
      <c r="AC567" s="252">
        <f>SUMIF($S$5:$S467,CONCATENATE($S567,$AB567),AC$5:AC467)</f>
        <v>0</v>
      </c>
      <c r="AD567" s="253">
        <f>SUMIF($S$5:$S467,CONCATENATE($S567,$AB567),AD$5:AD467)</f>
        <v>0</v>
      </c>
      <c r="AE567" s="253">
        <f>SUMIF($S$5:$S467,CONCATENATE($S567,$AB567),AE$5:AE467)</f>
        <v>0</v>
      </c>
      <c r="AF567" s="253">
        <f>SUMIF($S$5:$S467,CONCATENATE($S567,$AB567),AF$5:AF467)</f>
        <v>0</v>
      </c>
      <c r="AG567" s="253">
        <f>SUMIF($S$5:$S467,CONCATENATE($S567,$AB567),AG$5:AG467)</f>
        <v>0</v>
      </c>
      <c r="AH567" s="253">
        <f>SUMIF($S$5:$S467,CONCATENATE($S567,$AB567),AH$5:AH467)</f>
        <v>0</v>
      </c>
      <c r="AI567" s="250"/>
      <c r="AK567" s="92" t="s">
        <v>82</v>
      </c>
      <c r="AL567" s="78">
        <f t="shared" si="1893"/>
        <v>2013</v>
      </c>
      <c r="AM567" s="252">
        <f>SUMIF($S$5:$S467,CONCATENATE($AK567,$AL567),AM$5:AM467)</f>
        <v>0</v>
      </c>
      <c r="AN567" s="253">
        <f>SUMIF($S$5:$S467,CONCATENATE($AK567,$AL567),AN$5:AN467)</f>
        <v>0</v>
      </c>
      <c r="AO567" s="253">
        <f>SUMIF($S$5:$S467,CONCATENATE($AK567,$AL567),AO$5:AO467)</f>
        <v>0</v>
      </c>
      <c r="AP567" s="253">
        <f>SUMIF($S$5:$S467,CONCATENATE($AK567,$AL567),AP$5:AP467)</f>
        <v>0</v>
      </c>
      <c r="AQ567" s="253">
        <f>SUMIF($S$5:$S467,CONCATENATE($AK567,$AL567),AQ$5:AQ467)</f>
        <v>0</v>
      </c>
      <c r="AR567" s="253">
        <f>SUMIF($S$5:$S467,CONCATENATE($AK567,$AL567),AR$5:AR467)</f>
        <v>0</v>
      </c>
      <c r="AS567" s="250"/>
    </row>
    <row r="568" spans="1:47" s="421" customFormat="1">
      <c r="A568" s="16"/>
      <c r="B568" s="9"/>
      <c r="C568" s="205"/>
      <c r="D568" s="223"/>
      <c r="E568" s="210"/>
      <c r="F568" s="204"/>
      <c r="G568" s="205"/>
      <c r="H568" s="151"/>
      <c r="I568" s="151"/>
      <c r="J568" s="152"/>
      <c r="K568" s="152"/>
      <c r="L568" s="219"/>
      <c r="M568" s="7"/>
      <c r="N568" s="153"/>
      <c r="O568" s="7"/>
      <c r="P568" s="7"/>
      <c r="Q568" s="54"/>
      <c r="R568" s="54"/>
      <c r="S568" s="96" t="s">
        <v>81</v>
      </c>
      <c r="T568" s="96"/>
      <c r="U568" s="96"/>
      <c r="V568" s="96"/>
      <c r="W568" s="7"/>
      <c r="X568" s="10"/>
      <c r="Y568" s="10"/>
      <c r="Z568" s="10"/>
      <c r="AA568" s="10"/>
      <c r="AB568" s="22">
        <v>2014</v>
      </c>
      <c r="AC568" s="252">
        <f>SUMIF($S$5:$S468,CONCATENATE($S568,$AB568),AC$5:AC468)</f>
        <v>0</v>
      </c>
      <c r="AD568" s="253">
        <f>SUMIF($S$5:$S468,CONCATENATE($S568,$AB568),AD$5:AD468)</f>
        <v>0</v>
      </c>
      <c r="AE568" s="253">
        <f>SUMIF($S$5:$S468,CONCATENATE($S568,$AB568),AE$5:AE468)</f>
        <v>0</v>
      </c>
      <c r="AF568" s="253">
        <f>SUMIF($S$5:$S468,CONCATENATE($S568,$AB568),AF$5:AF468)</f>
        <v>0</v>
      </c>
      <c r="AG568" s="253">
        <f>SUMIF($S$5:$S468,CONCATENATE($S568,$AB568),AG$5:AG468)</f>
        <v>0</v>
      </c>
      <c r="AH568" s="253">
        <f>SUMIF($S$5:$S468,CONCATENATE($S568,$AB568),AH$5:AH468)</f>
        <v>0</v>
      </c>
      <c r="AI568" s="250"/>
      <c r="AJ568" s="7"/>
      <c r="AK568" s="92" t="s">
        <v>82</v>
      </c>
      <c r="AL568" s="78">
        <f t="shared" ref="AL568" si="1894">AB568</f>
        <v>2014</v>
      </c>
      <c r="AM568" s="252">
        <f>SUMIF($S$5:$S468,CONCATENATE($AK568,$AL568),AM$5:AM468)</f>
        <v>0</v>
      </c>
      <c r="AN568" s="253">
        <f>SUMIF($S$5:$S468,CONCATENATE($AK568,$AL568),AN$5:AN468)</f>
        <v>0</v>
      </c>
      <c r="AO568" s="253">
        <f>SUMIF($S$5:$S468,CONCATENATE($AK568,$AL568),AO$5:AO468)</f>
        <v>0</v>
      </c>
      <c r="AP568" s="253">
        <f>SUMIF($S$5:$S468,CONCATENATE($AK568,$AL568),AP$5:AP468)</f>
        <v>0</v>
      </c>
      <c r="AQ568" s="253">
        <f>SUMIF($S$5:$S468,CONCATENATE($AK568,$AL568),AQ$5:AQ468)</f>
        <v>0</v>
      </c>
      <c r="AR568" s="253">
        <f>SUMIF($S$5:$S468,CONCATENATE($AK568,$AL568),AR$5:AR468)</f>
        <v>0</v>
      </c>
      <c r="AS568" s="250"/>
    </row>
    <row r="569" spans="1:47">
      <c r="A569" s="16" t="str">
        <f>'WBS in Estimate'!E35</f>
        <v>Dry Gas Services</v>
      </c>
      <c r="B569" s="9" t="str">
        <f>'WBS in Estimate'!D35</f>
        <v>1.5.4.2</v>
      </c>
      <c r="C569" s="205"/>
      <c r="D569" s="223"/>
      <c r="E569" s="204"/>
      <c r="F569" s="204"/>
      <c r="G569" s="205"/>
      <c r="L569" s="219"/>
      <c r="S569" s="96" t="s">
        <v>81</v>
      </c>
      <c r="AB569" s="24" t="s">
        <v>166</v>
      </c>
      <c r="AC569" s="252">
        <f>SUMIF($S$5:$S467,CONCATENATE($S569,$AB569),AC$5:AC467)</f>
        <v>0</v>
      </c>
      <c r="AD569" s="253">
        <f>SUMIF($S$5:$S467,CONCATENATE($S569,$AB569),AD$5:AD467)</f>
        <v>0</v>
      </c>
      <c r="AE569" s="253">
        <f>SUMIF($S$5:$S467,CONCATENATE($S569,$AB569),AE$5:AE467)</f>
        <v>0</v>
      </c>
      <c r="AF569" s="253">
        <f>SUMIF($S$5:$S467,CONCATENATE($S569,$AB569),AF$5:AF467)</f>
        <v>0</v>
      </c>
      <c r="AG569" s="253">
        <f>SUMIF($S$5:$S467,CONCATENATE($S569,$AB569),AG$5:AG467)</f>
        <v>0</v>
      </c>
      <c r="AH569" s="253">
        <f>SUMIF($S$5:$S467,CONCATENATE($S569,$AB569),AH$5:AH467)</f>
        <v>0</v>
      </c>
      <c r="AI569" s="250"/>
      <c r="AK569" s="92" t="s">
        <v>82</v>
      </c>
      <c r="AL569" s="78" t="str">
        <f t="shared" si="1893"/>
        <v>CONT</v>
      </c>
      <c r="AM569" s="252">
        <f>SUMIF($S$5:$S467,CONCATENATE($AK569,$AL569),AM$5:AM467)</f>
        <v>0</v>
      </c>
      <c r="AN569" s="253">
        <f>SUMIF($S$5:$S467,CONCATENATE($AK569,$AL569),AN$5:AN467)</f>
        <v>0</v>
      </c>
      <c r="AO569" s="253">
        <f>SUMIF($S$5:$S467,CONCATENATE($AK569,$AL569),AO$5:AO467)</f>
        <v>0</v>
      </c>
      <c r="AP569" s="253">
        <f>SUMIF($S$5:$S467,CONCATENATE($AK569,$AL569),AP$5:AP467)</f>
        <v>0</v>
      </c>
      <c r="AQ569" s="253">
        <f>SUMIF($S$5:$S467,CONCATENATE($AK569,$AL569),AQ$5:AQ467)</f>
        <v>0</v>
      </c>
      <c r="AR569" s="253">
        <f>SUMIF($S$5:$S467,CONCATENATE($AK569,$AL569),AR$5:AR467)</f>
        <v>0</v>
      </c>
      <c r="AS569" s="250"/>
    </row>
    <row r="570" spans="1:47">
      <c r="A570" s="16" t="str">
        <f>'WBS in Estimate'!E36</f>
        <v>Hall Modifications and Safety</v>
      </c>
      <c r="B570" s="9" t="str">
        <f>'WBS in Estimate'!D36</f>
        <v>1.5.4.3</v>
      </c>
      <c r="C570" s="205"/>
      <c r="D570" s="225"/>
      <c r="E570" s="210"/>
      <c r="F570" s="204"/>
      <c r="G570" s="327"/>
      <c r="L570" s="219"/>
      <c r="S570" s="96" t="s">
        <v>81</v>
      </c>
      <c r="AB570" s="24" t="s">
        <v>162</v>
      </c>
      <c r="AC570" s="252">
        <f>SUMIF($S$5:$S467,CONCATENATE($S570,$AB570),AC$5:AC467)</f>
        <v>0</v>
      </c>
      <c r="AD570" s="253">
        <f>SUMIF($S$5:$S467,CONCATENATE($S570,$AB570),AD$5:AD467)</f>
        <v>0</v>
      </c>
      <c r="AE570" s="253">
        <f>SUMIF($S$5:$S467,CONCATENATE($S570,$AB570),AE$5:AE467)</f>
        <v>0</v>
      </c>
      <c r="AF570" s="253">
        <f>SUMIF($S$5:$S467,CONCATENATE($S570,$AB570),AF$5:AF467)</f>
        <v>0</v>
      </c>
      <c r="AG570" s="253">
        <f>SUMIF($S$5:$S467,CONCATENATE($S570,$AB570),AG$5:AG467)</f>
        <v>0</v>
      </c>
      <c r="AH570" s="253">
        <f>SUMIF($S$5:$S467,CONCATENATE($S570,$AB570),AH$5:AH467)</f>
        <v>0</v>
      </c>
      <c r="AI570" s="250"/>
      <c r="AK570" s="92" t="s">
        <v>82</v>
      </c>
      <c r="AL570" s="78" t="str">
        <f t="shared" si="1893"/>
        <v>STAR</v>
      </c>
      <c r="AM570" s="252">
        <f>SUMIF($S$5:$S467,CONCATENATE($AK570,$AL570),AM$5:AM467)</f>
        <v>0</v>
      </c>
      <c r="AN570" s="253">
        <f>SUMIF($S$5:$S467,CONCATENATE($AK570,$AL570),AN$5:AN467)</f>
        <v>0</v>
      </c>
      <c r="AO570" s="253">
        <f>SUMIF($S$5:$S467,CONCATENATE($AK570,$AL570),AO$5:AO467)</f>
        <v>0</v>
      </c>
      <c r="AP570" s="253">
        <f>SUMIF($S$5:$S467,CONCATENATE($AK570,$AL570),AP$5:AP467)</f>
        <v>0</v>
      </c>
      <c r="AQ570" s="253">
        <f>SUMIF($S$5:$S467,CONCATENATE($AK570,$AL570),AQ$5:AQ467)</f>
        <v>0</v>
      </c>
      <c r="AR570" s="253">
        <f>SUMIF($S$5:$S467,CONCATENATE($AK570,$AL570),AR$5:AR467)</f>
        <v>0</v>
      </c>
      <c r="AS570" s="250"/>
    </row>
    <row r="571" spans="1:47" ht="15.75">
      <c r="A571" s="16" t="str">
        <f>'WBS in Estimate'!E37</f>
        <v>Clean Room Modifications</v>
      </c>
      <c r="B571" s="9" t="str">
        <f>'WBS in Estimate'!D37</f>
        <v>1.5.4.3.1</v>
      </c>
      <c r="C571" s="205"/>
      <c r="D571" s="226"/>
      <c r="E571" s="204"/>
      <c r="F571" s="204"/>
      <c r="G571" s="205"/>
      <c r="L571" s="219"/>
      <c r="AC571" s="460" t="s">
        <v>164</v>
      </c>
      <c r="AD571" s="461"/>
      <c r="AE571" s="461"/>
      <c r="AF571" s="461"/>
      <c r="AG571" s="461"/>
      <c r="AH571" s="461"/>
      <c r="AI571" s="462"/>
      <c r="AK571" s="92"/>
      <c r="AL571" s="80"/>
      <c r="AM571" s="460" t="s">
        <v>164</v>
      </c>
      <c r="AN571" s="461"/>
      <c r="AO571" s="461"/>
      <c r="AP571" s="461"/>
      <c r="AQ571" s="461"/>
      <c r="AR571" s="461"/>
      <c r="AS571" s="462"/>
      <c r="AU571" s="26"/>
    </row>
    <row r="572" spans="1:47">
      <c r="A572" s="16" t="str">
        <f>'WBS in Estimate'!E38</f>
        <v>External Clean Tent</v>
      </c>
      <c r="B572" s="9" t="str">
        <f>'WBS in Estimate'!D38</f>
        <v>1.5.4.3.2</v>
      </c>
      <c r="C572" s="205"/>
      <c r="D572" s="226"/>
      <c r="E572" s="211"/>
      <c r="F572" s="212"/>
      <c r="G572" s="205"/>
      <c r="L572" s="219"/>
      <c r="AC572" s="25" t="s">
        <v>51</v>
      </c>
      <c r="AD572" s="14" t="s">
        <v>52</v>
      </c>
      <c r="AE572" s="14" t="s">
        <v>38</v>
      </c>
      <c r="AF572" s="14" t="s">
        <v>31</v>
      </c>
      <c r="AG572" s="14" t="s">
        <v>32</v>
      </c>
      <c r="AH572" s="14" t="s">
        <v>16</v>
      </c>
      <c r="AI572" s="27" t="s">
        <v>53</v>
      </c>
      <c r="AK572" s="92"/>
      <c r="AL572" s="80"/>
      <c r="AM572" s="25" t="s">
        <v>51</v>
      </c>
      <c r="AN572" s="14" t="s">
        <v>52</v>
      </c>
      <c r="AO572" s="14" t="s">
        <v>38</v>
      </c>
      <c r="AP572" s="14" t="s">
        <v>31</v>
      </c>
      <c r="AQ572" s="14" t="s">
        <v>32</v>
      </c>
      <c r="AR572" s="14" t="s">
        <v>16</v>
      </c>
      <c r="AS572" s="27" t="s">
        <v>53</v>
      </c>
    </row>
    <row r="573" spans="1:47">
      <c r="A573" s="16" t="str">
        <f>'WBS in Estimate'!E39</f>
        <v>Shield Wall Pass Thru</v>
      </c>
      <c r="B573" s="9" t="str">
        <f>'WBS in Estimate'!D39</f>
        <v>1.5.4.3.3</v>
      </c>
      <c r="C573" s="455" t="s">
        <v>172</v>
      </c>
      <c r="D573" s="455"/>
      <c r="E573" s="455"/>
      <c r="F573" s="455"/>
      <c r="G573" s="455"/>
      <c r="H573" s="455"/>
      <c r="I573" s="455"/>
      <c r="J573" s="455"/>
      <c r="K573" s="455"/>
      <c r="L573" s="455"/>
      <c r="S573" s="96" t="s">
        <v>81</v>
      </c>
      <c r="AB573" s="22">
        <f>AB563</f>
        <v>2009</v>
      </c>
      <c r="AC573" s="256">
        <f t="shared" ref="AC573:AC578" si="1895">Shop_RD*AC563</f>
        <v>0</v>
      </c>
      <c r="AD573" s="254">
        <f>MTECH_RD*AD563</f>
        <v>0</v>
      </c>
      <c r="AE573" s="254">
        <f>CMM_RD*AE563</f>
        <v>0</v>
      </c>
      <c r="AF573" s="254">
        <f>ENG_RD*AF563</f>
        <v>0</v>
      </c>
      <c r="AG573" s="254">
        <f>DES_RD*AG563</f>
        <v>0</v>
      </c>
      <c r="AH573" s="254">
        <f>AH563</f>
        <v>0</v>
      </c>
      <c r="AI573" s="257">
        <f t="shared" ref="AI573:AI578" si="1896">SUM(AC573:AH573)</f>
        <v>0</v>
      </c>
      <c r="AK573" s="92" t="s">
        <v>82</v>
      </c>
      <c r="AL573" s="78">
        <f t="shared" ref="AL573:AL578" si="1897">AB573</f>
        <v>2009</v>
      </c>
      <c r="AM573" s="256">
        <f t="shared" ref="AM573:AM578" si="1898">Shop_RD*AM563</f>
        <v>0</v>
      </c>
      <c r="AN573" s="254">
        <f>MTECH_RD*AN563</f>
        <v>0</v>
      </c>
      <c r="AO573" s="254">
        <f>CMM_RD*AO563</f>
        <v>0</v>
      </c>
      <c r="AP573" s="254">
        <f>ENG_RD*AP563</f>
        <v>0</v>
      </c>
      <c r="AQ573" s="254">
        <f>DES_RD*AQ563</f>
        <v>0</v>
      </c>
      <c r="AR573" s="254">
        <f>AR563</f>
        <v>0</v>
      </c>
      <c r="AS573" s="257">
        <f t="shared" ref="AS573:AS578" si="1899">SUM(AM573:AR573)</f>
        <v>0</v>
      </c>
    </row>
    <row r="574" spans="1:47">
      <c r="A574" s="16" t="str">
        <f>'WBS in Estimate'!E40</f>
        <v>Installation</v>
      </c>
      <c r="B574" s="9" t="str">
        <f>'WBS in Estimate'!D40</f>
        <v>1.5.5</v>
      </c>
      <c r="C574" s="455"/>
      <c r="D574" s="455"/>
      <c r="E574" s="455"/>
      <c r="F574" s="455"/>
      <c r="G574" s="455"/>
      <c r="H574" s="455"/>
      <c r="I574" s="455"/>
      <c r="J574" s="455"/>
      <c r="K574" s="455"/>
      <c r="L574" s="455"/>
      <c r="S574" s="96" t="s">
        <v>81</v>
      </c>
      <c r="AB574" s="22">
        <v>2010</v>
      </c>
      <c r="AC574" s="256">
        <f t="shared" si="1895"/>
        <v>10332</v>
      </c>
      <c r="AD574" s="254">
        <f>MTECH_RD*AD564</f>
        <v>31707</v>
      </c>
      <c r="AE574" s="254">
        <f>CMM_RD*AE564</f>
        <v>0</v>
      </c>
      <c r="AF574" s="254">
        <f>ENG_RD*AF564</f>
        <v>86700</v>
      </c>
      <c r="AG574" s="254">
        <f>DES_RD*AG564</f>
        <v>0</v>
      </c>
      <c r="AH574" s="254">
        <f>AH564</f>
        <v>42895</v>
      </c>
      <c r="AI574" s="257">
        <f t="shared" si="1896"/>
        <v>171634</v>
      </c>
      <c r="AK574" s="92" t="s">
        <v>82</v>
      </c>
      <c r="AL574" s="78">
        <f t="shared" si="1897"/>
        <v>2010</v>
      </c>
      <c r="AM574" s="256">
        <f t="shared" si="1898"/>
        <v>0</v>
      </c>
      <c r="AN574" s="254">
        <f>MTECH_RD*AN564</f>
        <v>0</v>
      </c>
      <c r="AO574" s="254">
        <f>CMM_RD*AO564</f>
        <v>0</v>
      </c>
      <c r="AP574" s="254">
        <f>ENG_RD*AP564</f>
        <v>0</v>
      </c>
      <c r="AQ574" s="254">
        <f>DES_RD*AQ564</f>
        <v>0</v>
      </c>
      <c r="AR574" s="254">
        <f>AR564</f>
        <v>0</v>
      </c>
      <c r="AS574" s="257">
        <f t="shared" si="1899"/>
        <v>0</v>
      </c>
    </row>
    <row r="575" spans="1:47">
      <c r="A575" s="9"/>
      <c r="B575" s="9"/>
      <c r="C575" s="203"/>
      <c r="D575" s="223"/>
      <c r="E575" s="211"/>
      <c r="F575" s="204"/>
      <c r="G575" s="203"/>
      <c r="S575" s="96" t="s">
        <v>81</v>
      </c>
      <c r="AB575" s="22">
        <v>2011</v>
      </c>
      <c r="AC575" s="256">
        <f t="shared" si="1895"/>
        <v>0</v>
      </c>
      <c r="AD575" s="254">
        <f>MTECH_RD*AD565</f>
        <v>0</v>
      </c>
      <c r="AE575" s="254">
        <f>CMM_RD*AE565</f>
        <v>0</v>
      </c>
      <c r="AF575" s="254">
        <f>ENG_RD*AF565</f>
        <v>0</v>
      </c>
      <c r="AG575" s="254">
        <f>DES_RD*AG565</f>
        <v>0</v>
      </c>
      <c r="AH575" s="254">
        <f>AH565</f>
        <v>0</v>
      </c>
      <c r="AI575" s="257">
        <f t="shared" si="1896"/>
        <v>0</v>
      </c>
      <c r="AK575" s="92" t="s">
        <v>82</v>
      </c>
      <c r="AL575" s="78">
        <f t="shared" si="1897"/>
        <v>2011</v>
      </c>
      <c r="AM575" s="256">
        <f t="shared" si="1898"/>
        <v>0</v>
      </c>
      <c r="AN575" s="254">
        <f>MTECH_RD*AN565</f>
        <v>0</v>
      </c>
      <c r="AO575" s="254">
        <f>CMM_RD*AO565</f>
        <v>0</v>
      </c>
      <c r="AP575" s="254">
        <f>ENG_RD*AP565</f>
        <v>0</v>
      </c>
      <c r="AQ575" s="254">
        <f>DES_RD*AQ565</f>
        <v>0</v>
      </c>
      <c r="AR575" s="254">
        <f>AR565</f>
        <v>0</v>
      </c>
      <c r="AS575" s="257">
        <f t="shared" si="1899"/>
        <v>0</v>
      </c>
    </row>
    <row r="576" spans="1:47">
      <c r="B576" s="9"/>
      <c r="S576" s="96" t="s">
        <v>81</v>
      </c>
      <c r="AB576" s="22">
        <f>AB566</f>
        <v>2012</v>
      </c>
      <c r="AC576" s="256">
        <f t="shared" si="1895"/>
        <v>0</v>
      </c>
      <c r="AD576" s="254">
        <f>MTECH_RD*AD566</f>
        <v>0</v>
      </c>
      <c r="AE576" s="254">
        <f>CMM_RD*AE566</f>
        <v>0</v>
      </c>
      <c r="AF576" s="254">
        <f>ENG_RD*AF566</f>
        <v>0</v>
      </c>
      <c r="AG576" s="254">
        <f>DES_RD*AG566</f>
        <v>0</v>
      </c>
      <c r="AH576" s="254">
        <f>AH566</f>
        <v>0</v>
      </c>
      <c r="AI576" s="257">
        <f t="shared" si="1896"/>
        <v>0</v>
      </c>
      <c r="AK576" s="92" t="s">
        <v>82</v>
      </c>
      <c r="AL576" s="78">
        <f t="shared" si="1897"/>
        <v>2012</v>
      </c>
      <c r="AM576" s="256">
        <f t="shared" si="1898"/>
        <v>0</v>
      </c>
      <c r="AN576" s="254">
        <f>MTECH_RD*AN566</f>
        <v>0</v>
      </c>
      <c r="AO576" s="254">
        <f>CMM_RD*AO566</f>
        <v>0</v>
      </c>
      <c r="AP576" s="254">
        <f>ENG_RD*AP566</f>
        <v>0</v>
      </c>
      <c r="AQ576" s="254">
        <f>DES_RD*AQ566</f>
        <v>0</v>
      </c>
      <c r="AR576" s="254">
        <f>AR566</f>
        <v>0</v>
      </c>
      <c r="AS576" s="257">
        <f t="shared" si="1899"/>
        <v>0</v>
      </c>
    </row>
    <row r="577" spans="2:50" s="421" customFormat="1">
      <c r="B577" s="9"/>
      <c r="C577" s="151"/>
      <c r="D577" s="83"/>
      <c r="E577" s="109"/>
      <c r="F577" s="109"/>
      <c r="G577" s="151"/>
      <c r="H577" s="151"/>
      <c r="I577" s="151"/>
      <c r="J577" s="152"/>
      <c r="K577" s="152"/>
      <c r="L577" s="83"/>
      <c r="M577" s="7"/>
      <c r="N577" s="153"/>
      <c r="O577" s="7"/>
      <c r="P577" s="7"/>
      <c r="Q577" s="54"/>
      <c r="R577" s="54"/>
      <c r="S577" s="96" t="s">
        <v>81</v>
      </c>
      <c r="T577" s="96"/>
      <c r="U577" s="96"/>
      <c r="V577" s="96"/>
      <c r="W577" s="7"/>
      <c r="X577" s="10"/>
      <c r="Y577" s="10"/>
      <c r="Z577" s="10"/>
      <c r="AA577" s="10"/>
      <c r="AB577" s="22">
        <f>AB567</f>
        <v>2013</v>
      </c>
      <c r="AC577" s="256">
        <f t="shared" si="1895"/>
        <v>0</v>
      </c>
      <c r="AD577" s="254">
        <f>MTECH_RD*AD567</f>
        <v>0</v>
      </c>
      <c r="AE577" s="254">
        <f>CMM_RD*AE567</f>
        <v>0</v>
      </c>
      <c r="AF577" s="254">
        <f>ENG_RD*AF567</f>
        <v>0</v>
      </c>
      <c r="AG577" s="254">
        <f>DES_RD*AG567</f>
        <v>0</v>
      </c>
      <c r="AH577" s="254">
        <f>AH567</f>
        <v>0</v>
      </c>
      <c r="AI577" s="257">
        <f t="shared" si="1896"/>
        <v>0</v>
      </c>
      <c r="AJ577" s="7"/>
      <c r="AK577" s="92" t="s">
        <v>82</v>
      </c>
      <c r="AL577" s="78">
        <f t="shared" si="1897"/>
        <v>2013</v>
      </c>
      <c r="AM577" s="256">
        <f t="shared" si="1898"/>
        <v>0</v>
      </c>
      <c r="AN577" s="254">
        <f>MTECH_RD*AN567</f>
        <v>0</v>
      </c>
      <c r="AO577" s="254">
        <f>CMM_RD*AO567</f>
        <v>0</v>
      </c>
      <c r="AP577" s="254">
        <f>ENG_RD*AP567</f>
        <v>0</v>
      </c>
      <c r="AQ577" s="254">
        <f>DES_RD*AQ567</f>
        <v>0</v>
      </c>
      <c r="AR577" s="254">
        <f>AR567</f>
        <v>0</v>
      </c>
      <c r="AS577" s="257">
        <f t="shared" si="1899"/>
        <v>0</v>
      </c>
    </row>
    <row r="578" spans="2:50" ht="13.5" thickBot="1">
      <c r="B578" s="9"/>
      <c r="S578" s="96" t="s">
        <v>81</v>
      </c>
      <c r="AB578" s="22">
        <v>2014</v>
      </c>
      <c r="AC578" s="260">
        <f t="shared" si="1895"/>
        <v>0</v>
      </c>
      <c r="AD578" s="261">
        <f>Shop_RD*AD568</f>
        <v>0</v>
      </c>
      <c r="AE578" s="261">
        <f>Shop_RD*AE568</f>
        <v>0</v>
      </c>
      <c r="AF578" s="261">
        <f>Shop_RD*AF568</f>
        <v>0</v>
      </c>
      <c r="AG578" s="261">
        <f>Shop_RD*AG568</f>
        <v>0</v>
      </c>
      <c r="AH578" s="261">
        <f>Shop_RD*AH568</f>
        <v>0</v>
      </c>
      <c r="AI578" s="262">
        <f t="shared" si="1896"/>
        <v>0</v>
      </c>
      <c r="AK578" s="92" t="s">
        <v>82</v>
      </c>
      <c r="AL578" s="78">
        <f t="shared" si="1897"/>
        <v>2014</v>
      </c>
      <c r="AM578" s="260">
        <f t="shared" si="1898"/>
        <v>0</v>
      </c>
      <c r="AN578" s="261">
        <f>Shop_RD*AN568</f>
        <v>0</v>
      </c>
      <c r="AO578" s="261">
        <f>Shop_RD*AO568</f>
        <v>0</v>
      </c>
      <c r="AP578" s="261">
        <f>Shop_RD*AP568</f>
        <v>0</v>
      </c>
      <c r="AQ578" s="261">
        <f>Shop_RD*AQ568</f>
        <v>0</v>
      </c>
      <c r="AR578" s="261">
        <f>Shop_RD*AR568</f>
        <v>0</v>
      </c>
      <c r="AS578" s="262">
        <f t="shared" si="1899"/>
        <v>0</v>
      </c>
    </row>
    <row r="579" spans="2:50" ht="15.75" thickTop="1">
      <c r="AH579" s="67" t="s">
        <v>73</v>
      </c>
      <c r="AI579" s="67">
        <f>SUM(AI573:AI578)</f>
        <v>171634</v>
      </c>
      <c r="AK579" s="92"/>
      <c r="AL579" s="7"/>
      <c r="AM579" s="143"/>
      <c r="AN579" s="143"/>
      <c r="AO579" s="143"/>
      <c r="AP579" s="143"/>
      <c r="AQ579" s="80"/>
      <c r="AR579" s="67" t="s">
        <v>71</v>
      </c>
      <c r="AS579" s="67">
        <f>SUM(AS573:AS578)</f>
        <v>0</v>
      </c>
      <c r="AW579" s="66"/>
      <c r="AX579" s="66"/>
    </row>
    <row r="580" spans="2:50">
      <c r="AR580" s="79" t="s">
        <v>87</v>
      </c>
      <c r="AS580" s="266">
        <f>AS579/AI579</f>
        <v>0</v>
      </c>
    </row>
    <row r="581" spans="2:50" ht="13.5" thickBot="1"/>
    <row r="582" spans="2:50" ht="15.75" thickTop="1">
      <c r="AC582" s="471" t="s">
        <v>85</v>
      </c>
      <c r="AD582" s="472"/>
      <c r="AE582" s="472"/>
      <c r="AF582" s="472"/>
      <c r="AG582" s="472"/>
      <c r="AH582" s="472"/>
      <c r="AI582" s="473"/>
      <c r="AK582" s="92"/>
      <c r="AL582" s="80"/>
      <c r="AM582" s="471" t="s">
        <v>86</v>
      </c>
      <c r="AN582" s="472"/>
      <c r="AO582" s="472"/>
      <c r="AP582" s="472"/>
      <c r="AQ582" s="472"/>
      <c r="AR582" s="472"/>
      <c r="AS582" s="473"/>
    </row>
    <row r="583" spans="2:50">
      <c r="AC583" s="25" t="s">
        <v>11</v>
      </c>
      <c r="AD583" s="14" t="s">
        <v>10</v>
      </c>
      <c r="AE583" s="14" t="s">
        <v>38</v>
      </c>
      <c r="AF583" s="14" t="s">
        <v>31</v>
      </c>
      <c r="AG583" s="14" t="s">
        <v>32</v>
      </c>
      <c r="AH583" s="14" t="s">
        <v>16</v>
      </c>
      <c r="AI583" s="250"/>
      <c r="AK583" s="92"/>
      <c r="AL583" s="80"/>
      <c r="AM583" s="25" t="s">
        <v>11</v>
      </c>
      <c r="AN583" s="14" t="s">
        <v>10</v>
      </c>
      <c r="AO583" s="14" t="s">
        <v>38</v>
      </c>
      <c r="AP583" s="14" t="s">
        <v>31</v>
      </c>
      <c r="AQ583" s="14" t="s">
        <v>32</v>
      </c>
      <c r="AR583" s="14" t="s">
        <v>16</v>
      </c>
      <c r="AS583" s="250"/>
    </row>
    <row r="584" spans="2:50">
      <c r="S584" s="96" t="s">
        <v>80</v>
      </c>
      <c r="AB584" s="22">
        <v>2009</v>
      </c>
      <c r="AC584" s="252">
        <f>SUMIF($S$5:$S467,CONCATENATE($S584,$AB584),AC$5:AC467)</f>
        <v>0</v>
      </c>
      <c r="AD584" s="253">
        <f>SUMIF($S$5:$S467,CONCATENATE($S584,$AB584),AD$5:AD467)</f>
        <v>0</v>
      </c>
      <c r="AE584" s="253">
        <f>SUMIF($S$5:$S467,CONCATENATE($S584,$AB584),AE$5:AE467)</f>
        <v>0</v>
      </c>
      <c r="AF584" s="253">
        <f>SUMIF($S$5:$S467,CONCATENATE($S584,$AB584),AF$5:AF467)</f>
        <v>0</v>
      </c>
      <c r="AG584" s="253">
        <f>SUMIF($S$5:$S467,CONCATENATE($S584,$AB584),AG$5:AG467)</f>
        <v>0</v>
      </c>
      <c r="AH584" s="253">
        <f>SUMIF($S$5:$S467,CONCATENATE($S584,$AB584),AH$5:AH467)</f>
        <v>0</v>
      </c>
      <c r="AI584" s="250"/>
      <c r="AK584" s="92" t="s">
        <v>83</v>
      </c>
      <c r="AL584" s="78">
        <f>AB584</f>
        <v>2009</v>
      </c>
      <c r="AM584" s="252">
        <f>SUMIF($S$5:$S467,CONCATENATE($AK584,$AL584),AM$5:AM467)</f>
        <v>0</v>
      </c>
      <c r="AN584" s="253">
        <f>SUMIF($S$5:$S467,CONCATENATE($AK584,$AL584),AN$5:AN467)</f>
        <v>0</v>
      </c>
      <c r="AO584" s="253">
        <f>SUMIF($S$5:$S467,CONCATENATE($AK584,$AL584),AO$5:AO467)</f>
        <v>0</v>
      </c>
      <c r="AP584" s="253">
        <f>SUMIF($S$5:$S467,CONCATENATE($AK584,$AL584),AP$5:AP467)</f>
        <v>0</v>
      </c>
      <c r="AQ584" s="253">
        <f>SUMIF($S$5:$S467,CONCATENATE($AK584,$AL584),AQ$5:AQ467)</f>
        <v>0</v>
      </c>
      <c r="AR584" s="253">
        <f>SUMIF($S$5:$S467,CONCATENATE($AK584,$AL584),AR$5:AR467)</f>
        <v>0</v>
      </c>
      <c r="AS584" s="250"/>
    </row>
    <row r="585" spans="2:50">
      <c r="S585" s="96" t="s">
        <v>80</v>
      </c>
      <c r="AB585" s="22">
        <v>2010</v>
      </c>
      <c r="AC585" s="252">
        <f>SUMIF($S$4:$S467,CONCATENATE($S585,$AB585),AC$4:AC467)</f>
        <v>0</v>
      </c>
      <c r="AD585" s="253">
        <f>SUMIF($S$4:$S467,CONCATENATE($S585,$AB585),AD$4:AD467)</f>
        <v>0</v>
      </c>
      <c r="AE585" s="253">
        <f>SUMIF($S$4:$S467,CONCATENATE($S585,$AB585),AE$4:AE467)</f>
        <v>0</v>
      </c>
      <c r="AF585" s="253">
        <f>SUMIF($S$4:$S467,CONCATENATE($S585,$AB585),AF$4:AF467)</f>
        <v>180</v>
      </c>
      <c r="AG585" s="253">
        <f>SUMIF($S$4:$S467,CONCATENATE($S585,$AB585),AG$4:AG467)</f>
        <v>0</v>
      </c>
      <c r="AH585" s="253">
        <f>SUMIF($S$4:$S467,CONCATENATE($S585,$AB585),AH$4:AH467)</f>
        <v>0</v>
      </c>
      <c r="AI585" s="250"/>
      <c r="AK585" s="92" t="s">
        <v>83</v>
      </c>
      <c r="AL585" s="78">
        <f t="shared" ref="AL585:AL591" si="1900">AB585</f>
        <v>2010</v>
      </c>
      <c r="AM585" s="252">
        <f>SUMIF($S$5:$S532,CONCATENATE($AK585,$AL585),AM$5:AM532)</f>
        <v>0</v>
      </c>
      <c r="AN585" s="253">
        <f>SUMIF($S$5:$S532,CONCATENATE($AK585,$AL585),AN$5:AN532)</f>
        <v>0</v>
      </c>
      <c r="AO585" s="253">
        <f>SUMIF($S$5:$S532,CONCATENATE($AK585,$AL585),AO$5:AO532)</f>
        <v>0</v>
      </c>
      <c r="AP585" s="253">
        <f>SUMIF($S$5:$S532,CONCATENATE($AK585,$AL585),AP$5:AP532)</f>
        <v>0</v>
      </c>
      <c r="AQ585" s="253">
        <f>SUMIF($S$5:$S532,CONCATENATE($AK585,$AL585),AQ$5:AQ532)</f>
        <v>0</v>
      </c>
      <c r="AR585" s="253">
        <f>SUMIF($S$5:$S532,CONCATENATE($AK585,$AL585),AR$5:AR532)</f>
        <v>0</v>
      </c>
      <c r="AS585" s="250"/>
    </row>
    <row r="586" spans="2:50">
      <c r="S586" s="96" t="s">
        <v>80</v>
      </c>
      <c r="AB586" s="22">
        <v>2011</v>
      </c>
      <c r="AC586" s="252">
        <f>SUMIF($S$4:$S532,CONCATENATE($S586,$AB586),AC$4:AC532)</f>
        <v>552</v>
      </c>
      <c r="AD586" s="253">
        <f>SUMIF($S$4:$S532,CONCATENATE($S586,$AB586),AD$4:AD532)</f>
        <v>1599</v>
      </c>
      <c r="AE586" s="253">
        <f>SUMIF($S$4:$S532,CONCATENATE($S586,$AB586),AE$4:AE532)</f>
        <v>40</v>
      </c>
      <c r="AF586" s="253">
        <f>SUMIF($S$4:$S532,CONCATENATE($S586,$AB586),AF$4:AF532)</f>
        <v>1434</v>
      </c>
      <c r="AG586" s="253">
        <f>SUMIF($S$4:$S532,CONCATENATE($S586,$AB586),AG$4:AG532)</f>
        <v>0</v>
      </c>
      <c r="AH586" s="253">
        <f>SUMIF($S$4:$S532,CONCATENATE($S586,$AB586),AH$4:AH532)</f>
        <v>64360</v>
      </c>
      <c r="AI586" s="250"/>
      <c r="AK586" s="92" t="s">
        <v>83</v>
      </c>
      <c r="AL586" s="78">
        <f t="shared" si="1900"/>
        <v>2011</v>
      </c>
      <c r="AM586" s="252">
        <f>SUMIF($S$4:$S532,CONCATENATE($AK586,$AL586),AM$4:AM532)</f>
        <v>220</v>
      </c>
      <c r="AN586" s="253">
        <f>SUMIF($S$4:$S532,CONCATENATE($AK586,$AL586),AN$4:AN532)</f>
        <v>762</v>
      </c>
      <c r="AO586" s="253">
        <f>SUMIF($S$4:$S532,CONCATENATE($AK586,$AL586),AO$4:AO532)</f>
        <v>8</v>
      </c>
      <c r="AP586" s="253">
        <f>SUMIF($S$4:$S532,CONCATENATE($AK586,$AL586),AP$4:AP532)</f>
        <v>408</v>
      </c>
      <c r="AQ586" s="253">
        <f>SUMIF($S$4:$S532,CONCATENATE($AK586,$AL586),AQ$4:AQ532)</f>
        <v>0</v>
      </c>
      <c r="AR586" s="253">
        <f>SUMIF($S$4:$S532,CONCATENATE($AK586,$AL586),AR$4:AR532)</f>
        <v>14800</v>
      </c>
      <c r="AS586" s="250"/>
    </row>
    <row r="587" spans="2:50">
      <c r="S587" s="96" t="s">
        <v>80</v>
      </c>
      <c r="AB587" s="22">
        <v>2012</v>
      </c>
      <c r="AC587" s="252">
        <f>SUMIF($S$4:$S533,CONCATENATE($S587,$AB587),AC$4:AC535)</f>
        <v>328</v>
      </c>
      <c r="AD587" s="253">
        <f>SUMIF($S$4:$S533,CONCATENATE($S587,$AB587),AD$4:AD535)</f>
        <v>1815</v>
      </c>
      <c r="AE587" s="253">
        <f>SUMIF($S$4:$S533,CONCATENATE($S587,$AB587),AE$4:AE535)</f>
        <v>40</v>
      </c>
      <c r="AF587" s="253">
        <f>SUMIF($S$4:$S533,CONCATENATE($S587,$AB587),AF$4:AF535)</f>
        <v>568</v>
      </c>
      <c r="AG587" s="253">
        <f>SUMIF($S$4:$S533,CONCATENATE($S587,$AB587),AG$4:AG535)</f>
        <v>0</v>
      </c>
      <c r="AH587" s="253">
        <f>SUMIF($S$4:$S533,CONCATENATE($S587,$AB587),AH$4:AH535)</f>
        <v>132765</v>
      </c>
      <c r="AI587" s="250"/>
      <c r="AK587" s="92" t="s">
        <v>83</v>
      </c>
      <c r="AL587" s="78">
        <f t="shared" si="1900"/>
        <v>2012</v>
      </c>
      <c r="AM587" s="252">
        <f>SUMIF($S$4:$S533,CONCATENATE($AK587,$AL587),AM$4:AM535)</f>
        <v>268</v>
      </c>
      <c r="AN587" s="253">
        <f>SUMIF($S$4:$S533,CONCATENATE($AK587,$AL587),AN$4:AN535)</f>
        <v>598</v>
      </c>
      <c r="AO587" s="253">
        <f>SUMIF($S$4:$S533,CONCATENATE($AK587,$AL587),AO$4:AO535)</f>
        <v>8</v>
      </c>
      <c r="AP587" s="253">
        <f>SUMIF($S$4:$S533,CONCATENATE($AK587,$AL587),AP$4:AP535)</f>
        <v>247</v>
      </c>
      <c r="AQ587" s="253">
        <f>SUMIF($S$4:$S533,CONCATENATE($AK587,$AL587),AQ$4:AQ535)</f>
        <v>0</v>
      </c>
      <c r="AR587" s="253">
        <f>SUMIF($S$4:$S533,CONCATENATE($AK587,$AL587),AR$4:AR535)</f>
        <v>122997.5</v>
      </c>
      <c r="AS587" s="250"/>
    </row>
    <row r="588" spans="2:50">
      <c r="S588" s="96" t="s">
        <v>80</v>
      </c>
      <c r="AB588" s="22">
        <v>2013</v>
      </c>
      <c r="AC588" s="252">
        <f>SUMIF($S$4:$S534,CONCATENATE($S588,$AB588),AC$4:AC534)</f>
        <v>18</v>
      </c>
      <c r="AD588" s="253">
        <f>SUMIF($S$4:$S534,CONCATENATE($S588,$AB588),AD$4:AD534)</f>
        <v>750</v>
      </c>
      <c r="AE588" s="253">
        <f>SUMIF($S$4:$S534,CONCATENATE($S588,$AB588),AE$4:AE534)</f>
        <v>56</v>
      </c>
      <c r="AF588" s="253">
        <f>SUMIF($S$4:$S534,CONCATENATE($S588,$AB588),AF$4:AF534)</f>
        <v>168</v>
      </c>
      <c r="AG588" s="253">
        <f>SUMIF($S$4:$S534,CONCATENATE($S588,$AB588),AG$4:AG534)</f>
        <v>0</v>
      </c>
      <c r="AH588" s="253">
        <f>SUMIF($S$4:$S534,CONCATENATE($S588,$AB588),AH$4:AH534)</f>
        <v>9870</v>
      </c>
      <c r="AI588" s="250"/>
      <c r="AK588" s="92" t="s">
        <v>83</v>
      </c>
      <c r="AL588" s="78">
        <f t="shared" si="1900"/>
        <v>2013</v>
      </c>
      <c r="AM588" s="252">
        <f>SUMIF($S$4:$S534,CONCATENATE($AK588,$AL588),AM$4:AM534)</f>
        <v>8</v>
      </c>
      <c r="AN588" s="253">
        <f>SUMIF($S$4:$S534,CONCATENATE($AK588,$AL588),AN$4:AN534)</f>
        <v>697</v>
      </c>
      <c r="AO588" s="253">
        <f>SUMIF($S$4:$S534,CONCATENATE($AK588,$AL588),AO$4:AO534)</f>
        <v>32</v>
      </c>
      <c r="AP588" s="253">
        <f>SUMIF($S$4:$S534,CONCATENATE($AK588,$AL588),AP$4:AP534)</f>
        <v>140</v>
      </c>
      <c r="AQ588" s="253">
        <f>SUMIF($S$4:$S534,CONCATENATE($AK588,$AL588),AQ$4:AQ534)</f>
        <v>0</v>
      </c>
      <c r="AR588" s="253">
        <f>SUMIF($S$4:$S534,CONCATENATE($AK588,$AL588),AR$4:AR534)</f>
        <v>9205</v>
      </c>
      <c r="AS588" s="250"/>
    </row>
    <row r="589" spans="2:50" s="421" customFormat="1">
      <c r="C589" s="151"/>
      <c r="D589" s="83"/>
      <c r="E589" s="109"/>
      <c r="F589" s="109"/>
      <c r="G589" s="151"/>
      <c r="H589" s="151"/>
      <c r="I589" s="151"/>
      <c r="J589" s="152"/>
      <c r="K589" s="152"/>
      <c r="L589" s="83"/>
      <c r="M589" s="7"/>
      <c r="N589" s="153"/>
      <c r="O589" s="7"/>
      <c r="P589" s="7"/>
      <c r="Q589" s="54"/>
      <c r="R589" s="54"/>
      <c r="S589" s="96" t="s">
        <v>80</v>
      </c>
      <c r="T589" s="96"/>
      <c r="U589" s="96"/>
      <c r="V589" s="96"/>
      <c r="W589" s="7"/>
      <c r="X589" s="10"/>
      <c r="Y589" s="10"/>
      <c r="Z589" s="10"/>
      <c r="AA589" s="10"/>
      <c r="AB589" s="22">
        <v>2014</v>
      </c>
      <c r="AC589" s="252">
        <f>SUMIF($S$4:$S535,CONCATENATE($S589,$AB589),AC$4:AC535)</f>
        <v>0</v>
      </c>
      <c r="AD589" s="253">
        <f>SUMIF($S$4:$S535,CONCATENATE($S589,$AB589),AD$4:AD535)</f>
        <v>192</v>
      </c>
      <c r="AE589" s="253">
        <f>SUMIF($S$4:$S535,CONCATENATE($S589,$AB589),AE$4:AE535)</f>
        <v>0</v>
      </c>
      <c r="AF589" s="253">
        <f>SUMIF($S$4:$S535,CONCATENATE($S589,$AB589),AF$4:AF535)</f>
        <v>76</v>
      </c>
      <c r="AG589" s="253">
        <f>SUMIF($S$4:$S535,CONCATENATE($S589,$AB589),AG$4:AG535)</f>
        <v>0</v>
      </c>
      <c r="AH589" s="253">
        <f>SUMIF($S$4:$S535,CONCATENATE($S589,$AB589),AH$4:AH535)</f>
        <v>0</v>
      </c>
      <c r="AI589" s="250"/>
      <c r="AJ589" s="7"/>
      <c r="AK589" s="92" t="s">
        <v>83</v>
      </c>
      <c r="AL589" s="78">
        <f t="shared" ref="AL589" si="1901">AB589</f>
        <v>2014</v>
      </c>
      <c r="AM589" s="252">
        <f>SUMIF($S$4:$S535,CONCATENATE($AK589,$AL589),AM$4:AM535)</f>
        <v>0</v>
      </c>
      <c r="AN589" s="253">
        <f>SUMIF($S$4:$S535,CONCATENATE($AK589,$AL589),AN$4:AN535)</f>
        <v>0</v>
      </c>
      <c r="AO589" s="253">
        <f>SUMIF($S$4:$S535,CONCATENATE($AK589,$AL589),AO$4:AO535)</f>
        <v>0</v>
      </c>
      <c r="AP589" s="253">
        <f>SUMIF($S$4:$S535,CONCATENATE($AK589,$AL589),AP$4:AP535)</f>
        <v>0</v>
      </c>
      <c r="AQ589" s="253">
        <f>SUMIF($S$4:$S535,CONCATENATE($AK589,$AL589),AQ$4:AQ535)</f>
        <v>0</v>
      </c>
      <c r="AR589" s="253">
        <f>SUMIF($S$4:$S535,CONCATENATE($AK589,$AL589),AR$4:AR535)</f>
        <v>0</v>
      </c>
      <c r="AS589" s="250"/>
    </row>
    <row r="590" spans="2:50">
      <c r="S590" s="96" t="s">
        <v>80</v>
      </c>
      <c r="AB590" s="24" t="s">
        <v>166</v>
      </c>
      <c r="AC590" s="252">
        <f>SUMIF($S$4:$S467,CONCATENATE($S590,$AB590),AC$4:AC467)</f>
        <v>0</v>
      </c>
      <c r="AD590" s="253">
        <f>SUMIF($S$4:$S467,CONCATENATE($S590,$AB590),AD$4:AD467)</f>
        <v>0</v>
      </c>
      <c r="AE590" s="253">
        <f>SUMIF($S$4:$S467,CONCATENATE($S590,$AB590),AE$4:AE467)</f>
        <v>0</v>
      </c>
      <c r="AF590" s="253">
        <f>SUMIF($S$4:$S467,CONCATENATE($S590,$AB590),AF$4:AF467)</f>
        <v>0</v>
      </c>
      <c r="AG590" s="253">
        <f>SUMIF($S$4:$S467,CONCATENATE($S590,$AB590),AG$4:AG467)</f>
        <v>0</v>
      </c>
      <c r="AH590" s="253">
        <f>SUMIF($S$4:$S467,CONCATENATE($S590,$AB590),AH$4:AH467)</f>
        <v>0</v>
      </c>
      <c r="AI590" s="250"/>
      <c r="AK590" s="92" t="s">
        <v>83</v>
      </c>
      <c r="AL590" s="78" t="str">
        <f t="shared" si="1900"/>
        <v>CONT</v>
      </c>
      <c r="AM590" s="252">
        <f>SUMIF($S$4:$S467,CONCATENATE($AK590,$AL590),AM$4:AM467)</f>
        <v>0</v>
      </c>
      <c r="AN590" s="253">
        <f>SUMIF($S$4:$S467,CONCATENATE($AK590,$AL590),AN$4:AN467)</f>
        <v>0</v>
      </c>
      <c r="AO590" s="253">
        <f>SUMIF($S$4:$S467,CONCATENATE($AK590,$AL590),AO$4:AO467)</f>
        <v>0</v>
      </c>
      <c r="AP590" s="253">
        <f>SUMIF($S$4:$S467,CONCATENATE($AK590,$AL590),AP$4:AP467)</f>
        <v>0</v>
      </c>
      <c r="AQ590" s="253">
        <f>SUMIF($S$4:$S467,CONCATENATE($AK590,$AL590),AQ$4:AQ467)</f>
        <v>0</v>
      </c>
      <c r="AR590" s="253">
        <f>SUMIF($S$4:$S467,CONCATENATE($AK590,$AL590),AR$4:AR467)</f>
        <v>0</v>
      </c>
      <c r="AS590" s="250"/>
    </row>
    <row r="591" spans="2:50">
      <c r="S591" s="96" t="s">
        <v>80</v>
      </c>
      <c r="AB591" s="24" t="s">
        <v>162</v>
      </c>
      <c r="AC591" s="252">
        <f>SUMIF($S$4:$S532,CONCATENATE($S591,$AB591),AC$4:AC532)</f>
        <v>0</v>
      </c>
      <c r="AD591" s="253">
        <f>SUMIF($S$4:$S532,CONCATENATE($S591,$AB591),AD$4:AD532)</f>
        <v>684</v>
      </c>
      <c r="AE591" s="253">
        <f>SUMIF($S$4:$S532,CONCATENATE($S591,$AB591),AE$4:AE532)</f>
        <v>0</v>
      </c>
      <c r="AF591" s="253">
        <f>SUMIF($S$4:$S532,CONCATENATE($S591,$AB591),AF$4:AF532)</f>
        <v>496</v>
      </c>
      <c r="AG591" s="253">
        <f>SUMIF($S$4:$S532,CONCATENATE($S591,$AB591),AG$4:AG532)</f>
        <v>0</v>
      </c>
      <c r="AH591" s="253">
        <f>SUMIF($S$4:$S532,CONCATENATE($S591,$AB591),AH$4:AH532)</f>
        <v>0</v>
      </c>
      <c r="AI591" s="250"/>
      <c r="AK591" s="92" t="s">
        <v>83</v>
      </c>
      <c r="AL591" s="78" t="str">
        <f t="shared" si="1900"/>
        <v>STAR</v>
      </c>
      <c r="AM591" s="252">
        <f>SUMIF($S$4:$S532,CONCATENATE($AK591,$AL591),AM$4:AM532)</f>
        <v>0</v>
      </c>
      <c r="AN591" s="253">
        <f>SUMIF($S$4:$S532,CONCATENATE($AK591,$AL591),AN$4:AN532)</f>
        <v>0</v>
      </c>
      <c r="AO591" s="253">
        <f>SUMIF($S$4:$S532,CONCATENATE($AK591,$AL591),AO$4:AO532)</f>
        <v>0</v>
      </c>
      <c r="AP591" s="253">
        <f>SUMIF($S$4:$S532,CONCATENATE($AK591,$AL591),AP$4:AP532)</f>
        <v>32</v>
      </c>
      <c r="AQ591" s="253">
        <f>SUMIF($S$4:$S532,CONCATENATE($AK591,$AL591),AQ$4:AQ532)</f>
        <v>0</v>
      </c>
      <c r="AR591" s="253">
        <f>SUMIF($S$4:$S532,CONCATENATE($AK591,$AL591),AR$4:AR532)</f>
        <v>0</v>
      </c>
      <c r="AS591" s="250"/>
    </row>
    <row r="592" spans="2:50" ht="15.75">
      <c r="AC592" s="460" t="s">
        <v>164</v>
      </c>
      <c r="AD592" s="461"/>
      <c r="AE592" s="461"/>
      <c r="AF592" s="461"/>
      <c r="AG592" s="461"/>
      <c r="AH592" s="461"/>
      <c r="AI592" s="462"/>
      <c r="AK592" s="92"/>
      <c r="AL592" s="80"/>
      <c r="AM592" s="460" t="s">
        <v>164</v>
      </c>
      <c r="AN592" s="461"/>
      <c r="AO592" s="461"/>
      <c r="AP592" s="461"/>
      <c r="AQ592" s="461"/>
      <c r="AR592" s="461"/>
      <c r="AS592" s="462"/>
    </row>
    <row r="593" spans="3:45">
      <c r="AC593" s="25" t="s">
        <v>51</v>
      </c>
      <c r="AD593" s="14" t="s">
        <v>52</v>
      </c>
      <c r="AE593" s="14" t="s">
        <v>38</v>
      </c>
      <c r="AF593" s="14" t="s">
        <v>31</v>
      </c>
      <c r="AG593" s="14" t="s">
        <v>32</v>
      </c>
      <c r="AH593" s="14" t="s">
        <v>16</v>
      </c>
      <c r="AI593" s="27" t="s">
        <v>53</v>
      </c>
      <c r="AK593" s="92"/>
      <c r="AL593" s="80"/>
      <c r="AM593" s="25" t="s">
        <v>51</v>
      </c>
      <c r="AN593" s="14" t="s">
        <v>52</v>
      </c>
      <c r="AO593" s="14" t="s">
        <v>38</v>
      </c>
      <c r="AP593" s="14" t="s">
        <v>31</v>
      </c>
      <c r="AQ593" s="14" t="s">
        <v>32</v>
      </c>
      <c r="AR593" s="14" t="s">
        <v>16</v>
      </c>
      <c r="AS593" s="27" t="s">
        <v>53</v>
      </c>
    </row>
    <row r="594" spans="3:45">
      <c r="S594" s="96" t="s">
        <v>80</v>
      </c>
      <c r="AB594" s="22">
        <f>AB584</f>
        <v>2009</v>
      </c>
      <c r="AC594" s="256">
        <f t="shared" ref="AC594:AC599" si="1902">Shop*AC584</f>
        <v>0</v>
      </c>
      <c r="AD594" s="254">
        <f>M_Tech*AD584</f>
        <v>0</v>
      </c>
      <c r="AE594" s="254">
        <f>CMM*AE584</f>
        <v>0</v>
      </c>
      <c r="AF594" s="254">
        <f>ENG*AF584</f>
        <v>0</v>
      </c>
      <c r="AG594" s="254">
        <f>DES*AG584</f>
        <v>0</v>
      </c>
      <c r="AH594" s="254">
        <f>AH584</f>
        <v>0</v>
      </c>
      <c r="AI594" s="257">
        <f t="shared" ref="AI594:AI599" si="1903">SUM(AC594:AH594)</f>
        <v>0</v>
      </c>
      <c r="AK594" s="92" t="s">
        <v>83</v>
      </c>
      <c r="AL594" s="78">
        <f t="shared" ref="AL594:AL599" si="1904">AB594</f>
        <v>2009</v>
      </c>
      <c r="AM594" s="256">
        <f t="shared" ref="AM594:AM599" si="1905">Shop*AM584</f>
        <v>0</v>
      </c>
      <c r="AN594" s="254">
        <f>M_Tech*AN584</f>
        <v>0</v>
      </c>
      <c r="AO594" s="254">
        <f>CMM*AO584</f>
        <v>0</v>
      </c>
      <c r="AP594" s="254">
        <f>ENG*AP584</f>
        <v>0</v>
      </c>
      <c r="AQ594" s="254">
        <f>DES*AQ584</f>
        <v>0</v>
      </c>
      <c r="AR594" s="254">
        <f>AR584</f>
        <v>0</v>
      </c>
      <c r="AS594" s="257">
        <f t="shared" ref="AS594:AS599" si="1906">SUM(AM594:AR594)</f>
        <v>0</v>
      </c>
    </row>
    <row r="595" spans="3:45">
      <c r="S595" s="96" t="s">
        <v>80</v>
      </c>
      <c r="AB595" s="22">
        <v>2010</v>
      </c>
      <c r="AC595" s="256">
        <f t="shared" si="1902"/>
        <v>0</v>
      </c>
      <c r="AD595" s="254">
        <f>M_Tech*AD585</f>
        <v>0</v>
      </c>
      <c r="AE595" s="254">
        <f>CMM*AE585</f>
        <v>0</v>
      </c>
      <c r="AF595" s="254">
        <f>ENG*AF585</f>
        <v>21870.000000000004</v>
      </c>
      <c r="AG595" s="254">
        <f>DES*AG585</f>
        <v>0</v>
      </c>
      <c r="AH595" s="254">
        <f>AH585</f>
        <v>0</v>
      </c>
      <c r="AI595" s="257">
        <f t="shared" si="1903"/>
        <v>21870.000000000004</v>
      </c>
      <c r="AK595" s="92" t="s">
        <v>83</v>
      </c>
      <c r="AL595" s="78">
        <f t="shared" si="1904"/>
        <v>2010</v>
      </c>
      <c r="AM595" s="256">
        <f t="shared" si="1905"/>
        <v>0</v>
      </c>
      <c r="AN595" s="254">
        <f>M_Tech*AN585</f>
        <v>0</v>
      </c>
      <c r="AO595" s="254">
        <f>CMM*AO585</f>
        <v>0</v>
      </c>
      <c r="AP595" s="254">
        <f>ENG*AP585</f>
        <v>0</v>
      </c>
      <c r="AQ595" s="254">
        <f>DES*AQ585</f>
        <v>0</v>
      </c>
      <c r="AR595" s="254">
        <f>AR585</f>
        <v>0</v>
      </c>
      <c r="AS595" s="257">
        <f t="shared" si="1906"/>
        <v>0</v>
      </c>
    </row>
    <row r="596" spans="3:45">
      <c r="S596" s="96" t="s">
        <v>80</v>
      </c>
      <c r="AB596" s="22">
        <v>2011</v>
      </c>
      <c r="AC596" s="256">
        <f t="shared" si="1902"/>
        <v>56337.120000000003</v>
      </c>
      <c r="AD596" s="254">
        <f>M_Tech*AD586</f>
        <v>151537.23000000001</v>
      </c>
      <c r="AE596" s="254">
        <f>CMM*AE586</f>
        <v>4082.4</v>
      </c>
      <c r="AF596" s="254">
        <f>ENG*AF586</f>
        <v>174231.00000000003</v>
      </c>
      <c r="AG596" s="254">
        <f>DES*AG586</f>
        <v>0</v>
      </c>
      <c r="AH596" s="254">
        <f>AH586</f>
        <v>64360</v>
      </c>
      <c r="AI596" s="257">
        <f t="shared" si="1903"/>
        <v>450547.75</v>
      </c>
      <c r="AK596" s="92" t="s">
        <v>83</v>
      </c>
      <c r="AL596" s="78">
        <f t="shared" si="1904"/>
        <v>2011</v>
      </c>
      <c r="AM596" s="256">
        <f t="shared" si="1905"/>
        <v>22453.200000000001</v>
      </c>
      <c r="AN596" s="254">
        <f>M_Tech*AN586</f>
        <v>72214.740000000005</v>
      </c>
      <c r="AO596" s="254">
        <f>CMM*AO586</f>
        <v>816.48</v>
      </c>
      <c r="AP596" s="254">
        <f>ENG*AP586</f>
        <v>49572.000000000007</v>
      </c>
      <c r="AQ596" s="254">
        <f>DES*AQ586</f>
        <v>0</v>
      </c>
      <c r="AR596" s="254">
        <f>AR586</f>
        <v>14800</v>
      </c>
      <c r="AS596" s="257">
        <f t="shared" si="1906"/>
        <v>159856.42000000001</v>
      </c>
    </row>
    <row r="597" spans="3:45">
      <c r="S597" s="96" t="s">
        <v>80</v>
      </c>
      <c r="AB597" s="22">
        <f>AB587</f>
        <v>2012</v>
      </c>
      <c r="AC597" s="256">
        <f t="shared" si="1902"/>
        <v>33475.68</v>
      </c>
      <c r="AD597" s="254">
        <f>M_Tech*AD587</f>
        <v>172007.55000000002</v>
      </c>
      <c r="AE597" s="254">
        <f>CMM*AE587</f>
        <v>4082.4</v>
      </c>
      <c r="AF597" s="254">
        <f>ENG*AF587</f>
        <v>69012.000000000015</v>
      </c>
      <c r="AG597" s="254">
        <f>DES*AG587</f>
        <v>0</v>
      </c>
      <c r="AH597" s="254">
        <f>AH587</f>
        <v>132765</v>
      </c>
      <c r="AI597" s="257">
        <f t="shared" si="1903"/>
        <v>411342.63</v>
      </c>
      <c r="AK597" s="92" t="s">
        <v>83</v>
      </c>
      <c r="AL597" s="78">
        <f t="shared" si="1904"/>
        <v>2012</v>
      </c>
      <c r="AM597" s="256">
        <f t="shared" si="1905"/>
        <v>27352.080000000002</v>
      </c>
      <c r="AN597" s="254">
        <f>M_Tech*AN587</f>
        <v>56672.460000000006</v>
      </c>
      <c r="AO597" s="254">
        <f>CMM*AO587</f>
        <v>816.48</v>
      </c>
      <c r="AP597" s="254">
        <f>ENG*AP587</f>
        <v>30010.500000000004</v>
      </c>
      <c r="AQ597" s="254">
        <f>DES*AQ587</f>
        <v>0</v>
      </c>
      <c r="AR597" s="254">
        <f>AR587</f>
        <v>122997.5</v>
      </c>
      <c r="AS597" s="257">
        <f t="shared" si="1906"/>
        <v>237849.02000000002</v>
      </c>
    </row>
    <row r="598" spans="3:45" s="421" customFormat="1">
      <c r="C598" s="151"/>
      <c r="D598" s="83"/>
      <c r="E598" s="109"/>
      <c r="F598" s="109"/>
      <c r="G598" s="151"/>
      <c r="H598" s="151"/>
      <c r="I598" s="151"/>
      <c r="J598" s="152"/>
      <c r="K598" s="152"/>
      <c r="L598" s="83"/>
      <c r="M598" s="7"/>
      <c r="N598" s="153"/>
      <c r="O598" s="7"/>
      <c r="P598" s="7"/>
      <c r="Q598" s="54"/>
      <c r="R598" s="54"/>
      <c r="S598" s="96" t="s">
        <v>80</v>
      </c>
      <c r="T598" s="96"/>
      <c r="U598" s="96"/>
      <c r="V598" s="96"/>
      <c r="W598" s="7"/>
      <c r="X598" s="10"/>
      <c r="Y598" s="10"/>
      <c r="Z598" s="10"/>
      <c r="AA598" s="10"/>
      <c r="AB598" s="22">
        <f>AB588</f>
        <v>2013</v>
      </c>
      <c r="AC598" s="256">
        <f t="shared" si="1902"/>
        <v>1837.08</v>
      </c>
      <c r="AD598" s="254">
        <f>M_Tech*AD588</f>
        <v>71077.500000000015</v>
      </c>
      <c r="AE598" s="254">
        <f>CMM*AE588</f>
        <v>5715.3600000000006</v>
      </c>
      <c r="AF598" s="254">
        <f>ENG*AF588</f>
        <v>20412.000000000004</v>
      </c>
      <c r="AG598" s="254">
        <f>DES*AG588</f>
        <v>0</v>
      </c>
      <c r="AH598" s="254">
        <f>AH588</f>
        <v>9870</v>
      </c>
      <c r="AI598" s="257">
        <f t="shared" si="1903"/>
        <v>108911.94000000002</v>
      </c>
      <c r="AJ598" s="7"/>
      <c r="AK598" s="92" t="s">
        <v>83</v>
      </c>
      <c r="AL598" s="78">
        <f t="shared" si="1904"/>
        <v>2013</v>
      </c>
      <c r="AM598" s="256">
        <f t="shared" si="1905"/>
        <v>816.48</v>
      </c>
      <c r="AN598" s="254">
        <f>M_Tech*AN588</f>
        <v>66054.69</v>
      </c>
      <c r="AO598" s="254">
        <f>CMM*AO588</f>
        <v>3265.92</v>
      </c>
      <c r="AP598" s="254">
        <f>ENG*AP588</f>
        <v>17010.000000000004</v>
      </c>
      <c r="AQ598" s="254">
        <f>DES*AQ588</f>
        <v>0</v>
      </c>
      <c r="AR598" s="254">
        <f>AR588</f>
        <v>9205</v>
      </c>
      <c r="AS598" s="257">
        <f t="shared" si="1906"/>
        <v>96352.09</v>
      </c>
    </row>
    <row r="599" spans="3:45" ht="13.5" thickBot="1">
      <c r="S599" s="96" t="s">
        <v>80</v>
      </c>
      <c r="AB599" s="22">
        <v>2014</v>
      </c>
      <c r="AC599" s="260">
        <f t="shared" si="1902"/>
        <v>0</v>
      </c>
      <c r="AD599" s="261">
        <f>Shop*AD589</f>
        <v>19595.52</v>
      </c>
      <c r="AE599" s="261">
        <f>Shop*AE589</f>
        <v>0</v>
      </c>
      <c r="AF599" s="261">
        <f>Shop*AF589</f>
        <v>7756.56</v>
      </c>
      <c r="AG599" s="261">
        <f>Shop*AG589</f>
        <v>0</v>
      </c>
      <c r="AH599" s="261">
        <f>Shop*AH589</f>
        <v>0</v>
      </c>
      <c r="AI599" s="262">
        <f t="shared" si="1903"/>
        <v>27352.080000000002</v>
      </c>
      <c r="AK599" s="92" t="s">
        <v>83</v>
      </c>
      <c r="AL599" s="78">
        <f t="shared" si="1904"/>
        <v>2014</v>
      </c>
      <c r="AM599" s="260">
        <f t="shared" si="1905"/>
        <v>0</v>
      </c>
      <c r="AN599" s="261">
        <f>Shop*AN589</f>
        <v>0</v>
      </c>
      <c r="AO599" s="261">
        <f>Shop*AO589</f>
        <v>0</v>
      </c>
      <c r="AP599" s="261">
        <f>Shop*AP589</f>
        <v>0</v>
      </c>
      <c r="AQ599" s="261">
        <f>Shop*AQ589</f>
        <v>0</v>
      </c>
      <c r="AR599" s="261">
        <f>Shop*AR589</f>
        <v>0</v>
      </c>
      <c r="AS599" s="262">
        <f t="shared" si="1906"/>
        <v>0</v>
      </c>
    </row>
    <row r="600" spans="3:45" ht="15.75" thickTop="1">
      <c r="AH600" s="67" t="s">
        <v>73</v>
      </c>
      <c r="AI600" s="67">
        <f>SUM(AI594:AI599)</f>
        <v>1020024.4</v>
      </c>
      <c r="AK600" s="92"/>
      <c r="AL600" s="7"/>
      <c r="AM600" s="143"/>
      <c r="AN600" s="143"/>
      <c r="AO600" s="143"/>
      <c r="AP600" s="143"/>
      <c r="AQ600" s="80"/>
      <c r="AR600" s="67" t="s">
        <v>71</v>
      </c>
      <c r="AS600" s="67">
        <f>SUM(AS594:AS599)</f>
        <v>494057.53</v>
      </c>
    </row>
    <row r="601" spans="3:45">
      <c r="AR601" s="79" t="s">
        <v>87</v>
      </c>
      <c r="AS601" s="266">
        <f>AS600/AI600</f>
        <v>0.48435854083490554</v>
      </c>
    </row>
  </sheetData>
  <mergeCells count="27">
    <mergeCell ref="AC592:AI592"/>
    <mergeCell ref="AM582:AS582"/>
    <mergeCell ref="AM592:AS592"/>
    <mergeCell ref="AC561:AI561"/>
    <mergeCell ref="AC571:AI571"/>
    <mergeCell ref="AM561:AS561"/>
    <mergeCell ref="AM571:AS571"/>
    <mergeCell ref="AC582:AI582"/>
    <mergeCell ref="AC549:AI549"/>
    <mergeCell ref="AM549:AS549"/>
    <mergeCell ref="Q2:AB2"/>
    <mergeCell ref="AC2:AI2"/>
    <mergeCell ref="AM2:AS2"/>
    <mergeCell ref="AC539:AI539"/>
    <mergeCell ref="AM539:AS539"/>
    <mergeCell ref="S1:T1"/>
    <mergeCell ref="W1:AA1"/>
    <mergeCell ref="C539:L539"/>
    <mergeCell ref="C573:L574"/>
    <mergeCell ref="N532:P532"/>
    <mergeCell ref="N71:P71"/>
    <mergeCell ref="N113:P113"/>
    <mergeCell ref="N266:P266"/>
    <mergeCell ref="N327:P327"/>
    <mergeCell ref="N405:P405"/>
    <mergeCell ref="N440:P440"/>
    <mergeCell ref="N458:P458"/>
  </mergeCells>
  <phoneticPr fontId="0" type="noConversion"/>
  <conditionalFormatting sqref="A461:M533 N533 P65:Q66 AC65:XFD66 W65:AA66 A525:N531 L524:N524 AC68:XFD69 P68:Q69 W68:AA69 A5:N70 A72:O73 A70:M71 L95:N96 A74:N94 N95:N97 A95:E97 A96:N112 A115:O135 A189:O209 A267:O267 A329:O329 A333:O333 A335:O335 A338:O339 A343:O366 A370:O370 A383:O384 A379:O381 A377:O377 A374:O374 A386:O400 A402:O402 A404:O404 L328:O422 A469:N475 M461:N531 A477:N523 A136:N168 A113:M242 L114:N242 A170:N187 A406:O458 A189:N459">
    <cfRule type="expression" dxfId="1" priority="67">
      <formula>IF($N5=0,TRUE,FALSE)</formula>
    </cfRule>
  </conditionalFormatting>
  <conditionalFormatting sqref="M461:M531">
    <cfRule type="expression" dxfId="0" priority="63">
      <formula>IF($N461=0,TRUE,FALSE)</formula>
    </cfRule>
  </conditionalFormatting>
  <dataValidations count="7">
    <dataValidation type="list" allowBlank="1" showInputMessage="1" showErrorMessage="1" sqref="Y538:Y559 O538:O559">
      <formula1>"2009, 2010, 2011, 2012, 2013, 2014, STAR, LBNL,"</formula1>
    </dataValidation>
    <dataValidation type="list" allowBlank="1" showInputMessage="1" showErrorMessage="1" sqref="AB525:AB531 AB454:AB457 AB361:AB366 AB408:AB422 AB321:AB326 AB368:AB371 AB338:AB342 AB344:AB359 AB291:AB296 AB314:AB319 AB298:AB301 AB279:AB282 AB303 AB284:AB289 AB274:AB277 AB262:AB265 AB257:AB260 AB269:AB272 AB305:AB308 AB252:AB255 AB225:AB228 AB509:AB515 AB137:AB139 AB192:AB197 AB215:AB218 AB220:AB223 AB310:AB312 AB211:AB213 AB199:AB203 AB399:AB404 AB178:AB187 AB244:AB245 AB230:AB235 AB237:AB242 AB205:AB209 AB477:AB483 AB331:AB336 AB373:AB384 AB443:AB452 AB461:AB467 AB424:AB439 AB501:AB507 AB485:AB491 AB469:AB475 AB517:AB523 AB493:AB499 AB170:AB171 AB173:AB176 AB151:AB154 AB163:AB168 AB247:AB250 AB87:AB94 AB75:AB78 AB80:AB85 AB105:AB112 AB99:AB103 AB96:AB97 AB118:AB123 AB125:AB129 AB5:AB70 AB156:AB161 AB146:AB149 AB141:AB144 AB131:AB135 AB386:AB397">
      <formula1>"2009, 2010, 2011, 2012, 2013, 2014, STAR, CONT,"</formula1>
    </dataValidation>
    <dataValidation type="list" allowBlank="1" showInputMessage="1" showErrorMessage="1" sqref="Q525:Q531 R453:U453 Q538:Q559 R423:U423 R398:U398 R407:U407 Q330:Q404 R367:U367 R343:U343 R360:U360 R330:U330 R320:U320 R313:U313 Q274:Q326 R309:U309 R302:U302 R297:U297 R283:U283 R290:U290 R278:U278 Q273:U273 Q269:Q272 Q268:U268 R304:U304 R256:U256 Q220:Q265 R261:U261 Q214:U214 Q211:Q213 Q210:U210 Q215:Q218 Q219:U219 R224:U224 R236:U236 R229:U229 Q205:Q209 Q192:Q197 Q190:U190 Q199:Q203 R246:U246 R243:U243 R251:U251 R337:U337 R372:U372 R385:U385 Q407:Q439 R442:U442 Q442:Q457 Q469:Q475 Q461:Q467 Q477:Q483 Q485:Q491 Q493:Q499 Q501:Q507 Q509:Q515 Q517:Q523 R169:U169 R172:U172 R177:U177 Q125:Q129 R98:U98 Q74:U74 R79:U79 Q5:Q70 R86:U86 R95:U95 Q75:Q112 R104:U104 Q116:U116 Q118:Q123 Q131:Q135 R155:U155 R162:U162 R150:U150 Q145:U145 Q141:Q144 Q136:U136 Q137:Q139 Q140:U140 Q146:Q187">
      <formula1>"B,C"</formula1>
    </dataValidation>
    <dataValidation type="list" allowBlank="1" showInputMessage="1" showErrorMessage="1" sqref="R525:R531 R454:R457 R344:R359 R408:R422 R399:R404 R373:R384 R338:R342 R361:R366 R321:R326 R314:R319 R310:R312 R178:R187 R303 R298:R301 R284:R289 R291:R296 R274:R277 R269:R272 R305:R308 R257:R260 R252:R255 R225:R228 R192:R197 R215:R218 R220:R223 R237:R242 R230:R235 R205:R209 R199:R203 R211:R213 R262:R265 R244:R245 R247:R250 R331:R336 R368:R371 R386:R397 R424:R439 R443:R452 R469:R475 R461:R467 R477:R483 R485:R491 R493:R499 R501:R507 R509:R515 R517:R523 R170:R171 R173:R176 R151:R154 R125:R129 R87:R94 R75:R78 R80:R85 R5:R70 R105:R112 R99:R103 R96:R97 R118:R123 R131:R135 R156:R161 R163:R168 R146:R149 R141:R144 R137:R139 R279:R282">
      <formula1>"PD, PT"</formula1>
    </dataValidation>
    <dataValidation type="list" allowBlank="1" showInputMessage="1" showErrorMessage="1" sqref="U559">
      <formula1>$B$539:$B$554</formula1>
    </dataValidation>
    <dataValidation type="list" allowBlank="1" showInputMessage="1" showErrorMessage="1" sqref="U538:U558 U178:U187 U493:U499 U477:U483 U424:U439 U386:U397 U338:U342 U331:U336 U310:U312 U298:U301 U215:U218 U230:U235 U244:U245 U321:U326 U205:U209 U237:U242 U211:U213 U225:U228 U220:U223 U199:U203 U192:U197 U118:U123 U146:U149 U163:U168 U170:U171 S18:T34 U5:U70 U96:U97 U75:U78 U87:U94 U443:U452 U525:U531 U80:U85 U99:U103 U173:U176 U105:U112 U137:U139 U517:U523 U141:U144 U156:U161 U151:U154 U131:U135 U125:U129 U284:U289 U279:U282 U257:U260 U303 U291:U296 U262:U265 U274:U277 U269:U272 U247:U250 U252:U255 U305:U308 U368:U371 U361:U366 U344:U359 U314:U319 U373:U384 U399:U404 U408:U422 U454:U457 U461:U467 U485:U491 U501:U507 U509:U515 U469:U475">
      <formula1>$B$539:$B$574</formula1>
    </dataValidation>
    <dataValidation type="list" allowBlank="1" showInputMessage="1" showErrorMessage="1" sqref="AB453 AB398 AB423 AB385 AB407 AB343 AB360 AB337 AB330 AB304 AB309 AB302 AB297 AB283 AB290 AB273 AB268 AB278 AB256 AB224 AB214 AB210 AB219 AB236 AB229 AB190 AB246 AB243 AB261 AB251 AB320 AB313 AB367 AB372 AB442 AB177 AB169 AB172 AB116 AB104 AB98 AB79 AB74 AB86 AB95 AB155 AB162 AB145 AB136 AB140 AB150">
      <formula1>"2007, 2008, 2009, 2010, Hytec, LANL"</formula1>
    </dataValidation>
  </dataValidations>
  <pageMargins left="0.12" right="0.13" top="0.33" bottom="0.25" header="0.18" footer="0.12"/>
  <pageSetup scale="50" fitToHeight="6" orientation="landscape" r:id="rId1"/>
  <headerFooter alignWithMargins="0">
    <oddHeader xml:space="preserve">&amp;LPHENIX&amp;CFull Project Estimate&amp;R25-October 2007 </oddHeader>
    <oddFooter>&amp;RE Anderssen, LBNL</oddFooter>
  </headerFooter>
</worksheet>
</file>

<file path=xl/worksheets/sheet6.xml><?xml version="1.0" encoding="utf-8"?>
<worksheet xmlns="http://schemas.openxmlformats.org/spreadsheetml/2006/main" xmlns:r="http://schemas.openxmlformats.org/officeDocument/2006/relationships">
  <dimension ref="B2:M24"/>
  <sheetViews>
    <sheetView workbookViewId="0">
      <selection activeCell="J15" sqref="J15"/>
    </sheetView>
  </sheetViews>
  <sheetFormatPr defaultRowHeight="12.75"/>
  <cols>
    <col min="2" max="2" width="11.140625" customWidth="1"/>
    <col min="3" max="3" width="11.42578125" bestFit="1" customWidth="1"/>
    <col min="7" max="7" width="14.28515625" bestFit="1" customWidth="1"/>
    <col min="13" max="13" width="10.28515625" customWidth="1"/>
  </cols>
  <sheetData>
    <row r="2" spans="2:13">
      <c r="G2" s="477" t="s">
        <v>175</v>
      </c>
      <c r="H2" s="477"/>
      <c r="I2" s="477"/>
      <c r="J2" s="477"/>
      <c r="K2" s="477"/>
      <c r="L2" s="477"/>
      <c r="M2" s="477"/>
    </row>
    <row r="3" spans="2:13">
      <c r="C3" s="20" t="s">
        <v>176</v>
      </c>
      <c r="D3" s="76" t="s">
        <v>174</v>
      </c>
      <c r="H3" s="20" t="s">
        <v>136</v>
      </c>
      <c r="I3" s="20" t="s">
        <v>137</v>
      </c>
      <c r="J3" s="20" t="s">
        <v>138</v>
      </c>
      <c r="L3" s="106" t="s">
        <v>137</v>
      </c>
    </row>
    <row r="4" spans="2:13" ht="15">
      <c r="B4" s="20" t="s">
        <v>42</v>
      </c>
      <c r="C4" s="128">
        <f>D4*$C$14</f>
        <v>102.06</v>
      </c>
      <c r="D4" s="127">
        <v>126</v>
      </c>
      <c r="G4" s="20" t="s">
        <v>6</v>
      </c>
      <c r="H4" s="20" t="s">
        <v>139</v>
      </c>
      <c r="I4" s="20" t="s">
        <v>140</v>
      </c>
      <c r="J4" s="20" t="s">
        <v>141</v>
      </c>
      <c r="K4" s="20" t="s">
        <v>33</v>
      </c>
      <c r="L4" s="106" t="s">
        <v>141</v>
      </c>
      <c r="M4" s="20" t="s">
        <v>33</v>
      </c>
    </row>
    <row r="5" spans="2:13" ht="15">
      <c r="B5" s="20" t="s">
        <v>38</v>
      </c>
      <c r="C5" s="128">
        <f>D5*$C$14</f>
        <v>102.06</v>
      </c>
      <c r="D5" s="127">
        <v>126</v>
      </c>
      <c r="G5" s="20" t="s">
        <v>7</v>
      </c>
      <c r="H5" s="20">
        <v>9.8000000000000004E-2</v>
      </c>
      <c r="I5" s="107">
        <f t="shared" ref="I5:I22" si="0">H5*454/(2.54^3)</f>
        <v>2.7150684222628292</v>
      </c>
      <c r="J5">
        <v>8</v>
      </c>
      <c r="K5" s="20" t="s">
        <v>142</v>
      </c>
      <c r="L5" s="108">
        <f t="shared" ref="L5:L16" si="1">J5/484</f>
        <v>1.6528925619834711E-2</v>
      </c>
      <c r="M5" s="20" t="s">
        <v>143</v>
      </c>
    </row>
    <row r="6" spans="2:13" ht="15">
      <c r="B6" s="20" t="s">
        <v>43</v>
      </c>
      <c r="C6" s="128">
        <f>D6*$C$14</f>
        <v>94.77000000000001</v>
      </c>
      <c r="D6" s="127">
        <v>117</v>
      </c>
      <c r="G6" s="20" t="s">
        <v>144</v>
      </c>
      <c r="H6" s="20">
        <v>9.8000000000000004E-2</v>
      </c>
      <c r="I6" s="107">
        <f t="shared" si="0"/>
        <v>2.7150684222628292</v>
      </c>
      <c r="J6">
        <v>10</v>
      </c>
      <c r="K6" s="20" t="s">
        <v>142</v>
      </c>
      <c r="L6" s="108">
        <f t="shared" si="1"/>
        <v>2.0661157024793389E-2</v>
      </c>
      <c r="M6" s="20" t="s">
        <v>143</v>
      </c>
    </row>
    <row r="7" spans="2:13" ht="15">
      <c r="B7" s="20" t="s">
        <v>44</v>
      </c>
      <c r="C7" s="128">
        <f>D7*$C$14</f>
        <v>121.50000000000001</v>
      </c>
      <c r="D7" s="127">
        <v>150</v>
      </c>
      <c r="G7" s="20" t="s">
        <v>134</v>
      </c>
      <c r="H7" s="20">
        <v>9.8000000000000004E-2</v>
      </c>
      <c r="I7" s="107">
        <f t="shared" si="0"/>
        <v>2.7150684222628292</v>
      </c>
      <c r="J7">
        <v>8</v>
      </c>
      <c r="K7" s="20" t="s">
        <v>142</v>
      </c>
      <c r="L7" s="108">
        <f t="shared" si="1"/>
        <v>1.6528925619834711E-2</v>
      </c>
      <c r="M7" s="20" t="s">
        <v>143</v>
      </c>
    </row>
    <row r="8" spans="2:13" ht="15">
      <c r="B8" s="20" t="s">
        <v>45</v>
      </c>
      <c r="C8" s="128">
        <f>D8*$C$14</f>
        <v>101.25</v>
      </c>
      <c r="D8" s="127">
        <v>125</v>
      </c>
      <c r="G8" s="20" t="s">
        <v>145</v>
      </c>
      <c r="H8" s="20">
        <v>9.8000000000000004E-2</v>
      </c>
      <c r="I8" s="107">
        <f t="shared" si="0"/>
        <v>2.7150684222628292</v>
      </c>
      <c r="J8">
        <v>10</v>
      </c>
      <c r="K8" s="20" t="s">
        <v>142</v>
      </c>
      <c r="L8" s="108">
        <f t="shared" si="1"/>
        <v>2.0661157024793389E-2</v>
      </c>
      <c r="M8" s="20" t="s">
        <v>143</v>
      </c>
    </row>
    <row r="9" spans="2:13">
      <c r="G9" s="20" t="s">
        <v>146</v>
      </c>
      <c r="H9">
        <v>0.19800000000000001</v>
      </c>
      <c r="I9" s="107">
        <f t="shared" si="0"/>
        <v>5.4855464041636752</v>
      </c>
      <c r="J9">
        <v>15</v>
      </c>
      <c r="K9" s="20" t="s">
        <v>142</v>
      </c>
      <c r="L9" s="108">
        <f t="shared" si="1"/>
        <v>3.0991735537190084E-2</v>
      </c>
      <c r="M9" s="20" t="s">
        <v>143</v>
      </c>
    </row>
    <row r="10" spans="2:13">
      <c r="B10" s="431" t="s">
        <v>179</v>
      </c>
      <c r="C10" s="478"/>
      <c r="D10" s="478"/>
      <c r="G10" s="20" t="s">
        <v>147</v>
      </c>
      <c r="H10">
        <v>0.19800000000000001</v>
      </c>
      <c r="I10" s="107">
        <f t="shared" si="0"/>
        <v>5.4855464041636752</v>
      </c>
      <c r="J10">
        <v>20</v>
      </c>
      <c r="K10" s="20" t="s">
        <v>142</v>
      </c>
      <c r="L10" s="108">
        <f t="shared" si="1"/>
        <v>4.1322314049586778E-2</v>
      </c>
      <c r="M10" s="20" t="s">
        <v>143</v>
      </c>
    </row>
    <row r="11" spans="2:13">
      <c r="B11" s="478"/>
      <c r="C11" s="478"/>
      <c r="D11" s="478"/>
      <c r="G11" s="20" t="s">
        <v>94</v>
      </c>
      <c r="H11">
        <v>0.29799999999999999</v>
      </c>
      <c r="I11" s="107">
        <f t="shared" si="0"/>
        <v>8.2560243860645208</v>
      </c>
      <c r="J11">
        <v>3</v>
      </c>
      <c r="K11" s="20" t="s">
        <v>142</v>
      </c>
      <c r="L11" s="108">
        <f t="shared" si="1"/>
        <v>6.1983471074380167E-3</v>
      </c>
      <c r="M11" s="20" t="s">
        <v>143</v>
      </c>
    </row>
    <row r="12" spans="2:13">
      <c r="B12" s="478"/>
      <c r="C12" s="478"/>
      <c r="D12" s="478"/>
      <c r="G12" s="20" t="s">
        <v>148</v>
      </c>
      <c r="H12">
        <v>0.29799999999999999</v>
      </c>
      <c r="I12" s="107">
        <f t="shared" si="0"/>
        <v>8.2560243860645208</v>
      </c>
      <c r="J12">
        <v>15</v>
      </c>
      <c r="K12" s="20" t="s">
        <v>142</v>
      </c>
      <c r="L12" s="108">
        <f t="shared" si="1"/>
        <v>3.0991735537190084E-2</v>
      </c>
      <c r="M12" s="20" t="s">
        <v>143</v>
      </c>
    </row>
    <row r="13" spans="2:13">
      <c r="G13" s="20" t="s">
        <v>149</v>
      </c>
      <c r="H13">
        <v>6.5000000000000002E-2</v>
      </c>
      <c r="I13" s="107">
        <f t="shared" si="0"/>
        <v>1.8008106882355499</v>
      </c>
      <c r="J13">
        <v>100</v>
      </c>
      <c r="K13" s="20" t="s">
        <v>142</v>
      </c>
      <c r="L13" s="108">
        <f t="shared" si="1"/>
        <v>0.20661157024793389</v>
      </c>
      <c r="M13" s="20" t="s">
        <v>143</v>
      </c>
    </row>
    <row r="14" spans="2:13" ht="15">
      <c r="B14" s="20" t="s">
        <v>177</v>
      </c>
      <c r="C14" s="129">
        <v>0.81</v>
      </c>
      <c r="G14" s="20" t="s">
        <v>150</v>
      </c>
      <c r="H14">
        <v>6.5000000000000002E-2</v>
      </c>
      <c r="I14" s="107">
        <f t="shared" si="0"/>
        <v>1.8008106882355499</v>
      </c>
      <c r="J14">
        <v>800</v>
      </c>
      <c r="K14" s="20" t="s">
        <v>142</v>
      </c>
      <c r="L14" s="108">
        <f t="shared" si="1"/>
        <v>1.6528925619834711</v>
      </c>
      <c r="M14" s="20" t="s">
        <v>143</v>
      </c>
    </row>
    <row r="15" spans="2:13" ht="15">
      <c r="B15" s="479" t="s">
        <v>178</v>
      </c>
      <c r="C15" s="479"/>
      <c r="D15" s="479"/>
      <c r="G15" s="20" t="s">
        <v>151</v>
      </c>
      <c r="H15">
        <v>6.5000000000000002E-2</v>
      </c>
      <c r="I15" s="107">
        <f t="shared" si="0"/>
        <v>1.8008106882355499</v>
      </c>
      <c r="J15">
        <v>300</v>
      </c>
      <c r="K15" s="20" t="s">
        <v>142</v>
      </c>
      <c r="L15" s="108">
        <f t="shared" si="1"/>
        <v>0.6198347107438017</v>
      </c>
      <c r="M15" s="20" t="s">
        <v>143</v>
      </c>
    </row>
    <row r="16" spans="2:13">
      <c r="B16" s="20"/>
      <c r="G16" s="20" t="s">
        <v>152</v>
      </c>
      <c r="H16">
        <v>6.5000000000000002E-2</v>
      </c>
      <c r="I16" s="107">
        <f t="shared" si="0"/>
        <v>1.8008106882355499</v>
      </c>
      <c r="J16">
        <v>1000</v>
      </c>
      <c r="K16" s="20" t="s">
        <v>142</v>
      </c>
      <c r="L16" s="108">
        <f t="shared" si="1"/>
        <v>2.0661157024793386</v>
      </c>
      <c r="M16" s="20" t="s">
        <v>143</v>
      </c>
    </row>
    <row r="17" spans="7:13">
      <c r="G17" s="20" t="s">
        <v>131</v>
      </c>
      <c r="H17">
        <v>5.5E-2</v>
      </c>
      <c r="I17" s="107">
        <f>H17*454/(2.54^3)</f>
        <v>1.5237628900454652</v>
      </c>
      <c r="J17">
        <v>400</v>
      </c>
      <c r="K17" s="20" t="s">
        <v>153</v>
      </c>
      <c r="L17" s="108">
        <f>J17/946</f>
        <v>0.42283298097251587</v>
      </c>
      <c r="M17" s="20" t="s">
        <v>154</v>
      </c>
    </row>
    <row r="18" spans="7:13">
      <c r="G18" s="20" t="s">
        <v>130</v>
      </c>
      <c r="H18">
        <v>5.5E-2</v>
      </c>
      <c r="I18" s="107">
        <f t="shared" si="0"/>
        <v>1.5237628900454652</v>
      </c>
      <c r="J18">
        <v>350</v>
      </c>
      <c r="K18" s="20" t="s">
        <v>153</v>
      </c>
      <c r="L18" s="108">
        <f>J18/946</f>
        <v>0.3699788583509514</v>
      </c>
      <c r="M18" s="20" t="s">
        <v>154</v>
      </c>
    </row>
    <row r="19" spans="7:13">
      <c r="G19" s="20" t="s">
        <v>155</v>
      </c>
      <c r="H19">
        <v>7.4999999999999997E-2</v>
      </c>
      <c r="I19" s="107">
        <f t="shared" si="0"/>
        <v>2.0778584864256344</v>
      </c>
      <c r="J19">
        <v>450</v>
      </c>
      <c r="K19" s="20" t="s">
        <v>153</v>
      </c>
      <c r="L19" s="108">
        <f>J19/946</f>
        <v>0.47568710359408034</v>
      </c>
      <c r="M19" s="20" t="s">
        <v>154</v>
      </c>
    </row>
    <row r="20" spans="7:13">
      <c r="G20" s="20" t="s">
        <v>133</v>
      </c>
      <c r="H20">
        <f>3/12^3</f>
        <v>1.736111111111111E-3</v>
      </c>
      <c r="I20" s="107">
        <f t="shared" si="0"/>
        <v>4.8098576074667464E-2</v>
      </c>
      <c r="J20">
        <v>600</v>
      </c>
      <c r="K20" s="20" t="s">
        <v>156</v>
      </c>
      <c r="L20" s="108">
        <f>J20/2360</f>
        <v>0.25423728813559321</v>
      </c>
      <c r="M20" s="20" t="s">
        <v>154</v>
      </c>
    </row>
    <row r="21" spans="7:13">
      <c r="G21" s="20" t="s">
        <v>157</v>
      </c>
      <c r="H21">
        <f>3/12^3</f>
        <v>1.736111111111111E-3</v>
      </c>
      <c r="I21" s="107">
        <f t="shared" si="0"/>
        <v>4.8098576074667464E-2</v>
      </c>
      <c r="J21">
        <v>75</v>
      </c>
      <c r="K21" s="20" t="s">
        <v>156</v>
      </c>
      <c r="L21" s="108">
        <f>J21/2360</f>
        <v>3.1779661016949151E-2</v>
      </c>
      <c r="M21" s="20" t="s">
        <v>154</v>
      </c>
    </row>
    <row r="22" spans="7:13">
      <c r="G22" s="20" t="s">
        <v>158</v>
      </c>
      <c r="H22">
        <f>4/12^3</f>
        <v>2.3148148148148147E-3</v>
      </c>
      <c r="I22" s="107">
        <f t="shared" si="0"/>
        <v>6.413143476622328E-2</v>
      </c>
      <c r="J22">
        <v>100</v>
      </c>
      <c r="K22" s="20" t="s">
        <v>156</v>
      </c>
      <c r="L22" s="108">
        <f>J22/2360</f>
        <v>4.2372881355932202E-2</v>
      </c>
      <c r="M22" s="20" t="s">
        <v>154</v>
      </c>
    </row>
    <row r="23" spans="7:13">
      <c r="G23" s="20" t="s">
        <v>159</v>
      </c>
      <c r="H23">
        <v>5.5E-2</v>
      </c>
      <c r="I23" s="107">
        <f>H23*454/(2.54^3)</f>
        <v>1.5237628900454652</v>
      </c>
      <c r="J23">
        <v>400</v>
      </c>
      <c r="K23" s="20" t="s">
        <v>142</v>
      </c>
      <c r="L23" s="108">
        <f>J23/484</f>
        <v>0.82644628099173556</v>
      </c>
      <c r="M23" s="20" t="s">
        <v>143</v>
      </c>
    </row>
    <row r="24" spans="7:13">
      <c r="G24" s="20" t="s">
        <v>93</v>
      </c>
      <c r="H24">
        <v>5.5E-2</v>
      </c>
      <c r="I24" s="107">
        <f>H24*454/(2.54^3)</f>
        <v>1.5237628900454652</v>
      </c>
      <c r="J24">
        <v>600</v>
      </c>
      <c r="K24" s="20" t="s">
        <v>142</v>
      </c>
      <c r="L24" s="108">
        <f>J24/484</f>
        <v>1.2396694214876034</v>
      </c>
      <c r="M24" s="20" t="s">
        <v>143</v>
      </c>
    </row>
  </sheetData>
  <mergeCells count="3">
    <mergeCell ref="G2:M2"/>
    <mergeCell ref="B10:D12"/>
    <mergeCell ref="B15:D15"/>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AF91"/>
  <sheetViews>
    <sheetView workbookViewId="0">
      <pane ySplit="2520" topLeftCell="A49" activePane="bottomLeft"/>
      <selection activeCell="Q2" sqref="Q1:Q1048576"/>
      <selection pane="bottomLeft" activeCell="V68" sqref="V68"/>
    </sheetView>
  </sheetViews>
  <sheetFormatPr defaultRowHeight="12.75"/>
  <cols>
    <col min="1" max="1" width="30" bestFit="1" customWidth="1"/>
    <col min="2" max="2" width="14.28515625" bestFit="1" customWidth="1"/>
    <col min="3" max="3" width="11" bestFit="1" customWidth="1"/>
    <col min="4" max="4" width="8" style="98" bestFit="1" customWidth="1"/>
    <col min="5" max="5" width="8.7109375" style="98" bestFit="1" customWidth="1"/>
    <col min="6" max="6" width="7.28515625" style="7" bestFit="1" customWidth="1"/>
    <col min="7" max="7" width="8" bestFit="1" customWidth="1"/>
    <col min="8" max="8" width="8.7109375" style="91" bestFit="1" customWidth="1"/>
    <col min="9" max="9" width="7.5703125" style="149" bestFit="1" customWidth="1"/>
    <col min="10" max="10" width="5.5703125" style="149" bestFit="1" customWidth="1"/>
    <col min="11" max="11" width="5.140625" style="149" bestFit="1" customWidth="1"/>
    <col min="12" max="12" width="11.28515625" style="101" bestFit="1" customWidth="1"/>
    <col min="13" max="13" width="9" style="101" bestFit="1" customWidth="1"/>
    <col min="14" max="14" width="10.42578125" style="102" bestFit="1" customWidth="1"/>
    <col min="15" max="15" width="8.28515625" style="103" bestFit="1" customWidth="1"/>
    <col min="16" max="16" width="7.5703125" style="91" bestFit="1" customWidth="1"/>
    <col min="17" max="17" width="12.28515625" style="91" bestFit="1" customWidth="1"/>
    <col min="18" max="18" width="9" style="81" bestFit="1" customWidth="1"/>
    <col min="19" max="19" width="9" style="82" bestFit="1" customWidth="1"/>
    <col min="20" max="20" width="10.85546875" style="81" bestFit="1" customWidth="1"/>
    <col min="21" max="21" width="12.5703125" customWidth="1"/>
    <col min="22" max="22" width="4.85546875" style="83" bestFit="1" customWidth="1"/>
    <col min="23" max="23" width="6.28515625" style="83" bestFit="1" customWidth="1"/>
    <col min="24" max="24" width="2" style="83" bestFit="1" customWidth="1"/>
  </cols>
  <sheetData>
    <row r="1" spans="1:32" ht="18">
      <c r="A1" s="485" t="s">
        <v>101</v>
      </c>
      <c r="B1" s="432"/>
      <c r="C1" s="432"/>
      <c r="D1" s="486" t="s">
        <v>102</v>
      </c>
      <c r="E1" s="432"/>
      <c r="F1" s="432"/>
      <c r="G1" s="432"/>
      <c r="H1" s="432"/>
      <c r="I1" s="432"/>
      <c r="J1" s="432"/>
      <c r="K1" s="432"/>
      <c r="L1" s="432"/>
      <c r="M1" s="432"/>
      <c r="N1" s="432"/>
      <c r="O1" s="432"/>
      <c r="P1" s="432"/>
      <c r="Q1" s="432"/>
    </row>
    <row r="2" spans="1:32" ht="96.75">
      <c r="A2" s="20" t="s">
        <v>0</v>
      </c>
      <c r="B2" s="20" t="s">
        <v>6</v>
      </c>
      <c r="C2" s="20" t="s">
        <v>103</v>
      </c>
      <c r="D2" s="76" t="s">
        <v>104</v>
      </c>
      <c r="E2" s="84" t="s">
        <v>105</v>
      </c>
      <c r="F2" s="84" t="s">
        <v>106</v>
      </c>
      <c r="G2" s="84" t="s">
        <v>107</v>
      </c>
      <c r="H2" s="84" t="s">
        <v>108</v>
      </c>
      <c r="I2" s="148" t="s">
        <v>109</v>
      </c>
      <c r="J2" s="148" t="s">
        <v>110</v>
      </c>
      <c r="K2" s="148" t="s">
        <v>111</v>
      </c>
      <c r="L2" s="85" t="s">
        <v>112</v>
      </c>
      <c r="M2" s="85" t="s">
        <v>113</v>
      </c>
      <c r="N2" s="86" t="s">
        <v>114</v>
      </c>
      <c r="O2" s="87" t="s">
        <v>115</v>
      </c>
      <c r="P2" s="84" t="s">
        <v>116</v>
      </c>
      <c r="Q2" s="88" t="s">
        <v>117</v>
      </c>
      <c r="R2" s="89" t="s">
        <v>118</v>
      </c>
      <c r="S2" s="90" t="s">
        <v>119</v>
      </c>
      <c r="T2" s="89" t="s">
        <v>135</v>
      </c>
      <c r="U2" s="88"/>
      <c r="Y2" s="91"/>
      <c r="Z2" s="91"/>
      <c r="AA2" s="91"/>
      <c r="AB2" s="91"/>
      <c r="AC2" s="91"/>
      <c r="AD2" s="91"/>
      <c r="AE2" s="91"/>
      <c r="AF2" s="91"/>
    </row>
    <row r="3" spans="1:32" ht="15.75">
      <c r="A3" s="49" t="s">
        <v>261</v>
      </c>
      <c r="B3" s="20"/>
      <c r="C3" s="20"/>
      <c r="D3" s="76"/>
      <c r="E3" s="76"/>
      <c r="F3" s="92"/>
      <c r="G3" s="84"/>
      <c r="H3" s="88"/>
      <c r="I3" s="148"/>
      <c r="J3" s="148"/>
      <c r="K3" s="148"/>
      <c r="L3" s="93"/>
      <c r="M3" s="93"/>
      <c r="N3" s="94"/>
      <c r="O3" s="95"/>
      <c r="P3" s="88"/>
      <c r="Q3" s="88"/>
      <c r="U3" s="91"/>
      <c r="V3" s="96" t="s">
        <v>120</v>
      </c>
      <c r="W3" s="96" t="s">
        <v>121</v>
      </c>
      <c r="X3" s="83">
        <v>1</v>
      </c>
      <c r="Y3" s="91"/>
      <c r="Z3" s="91"/>
      <c r="AA3" s="91"/>
      <c r="AB3" s="91"/>
      <c r="AC3" s="91"/>
      <c r="AD3" s="91"/>
      <c r="AE3" s="91"/>
      <c r="AF3" s="91"/>
    </row>
    <row r="4" spans="1:32" ht="15">
      <c r="A4" s="97" t="s">
        <v>262</v>
      </c>
      <c r="B4" s="20"/>
      <c r="C4" s="20"/>
      <c r="D4" s="76"/>
      <c r="E4" s="76"/>
      <c r="F4" s="92"/>
      <c r="G4" s="84"/>
      <c r="H4" s="88"/>
      <c r="I4" s="148"/>
      <c r="J4" s="148"/>
      <c r="K4" s="148"/>
      <c r="L4" s="93"/>
      <c r="M4" s="93"/>
      <c r="N4" s="94"/>
      <c r="O4" s="95"/>
      <c r="P4" s="88"/>
      <c r="Q4" s="88"/>
      <c r="U4" s="91"/>
      <c r="V4" s="96" t="s">
        <v>122</v>
      </c>
      <c r="W4" s="96" t="s">
        <v>123</v>
      </c>
      <c r="X4" s="83">
        <v>2</v>
      </c>
      <c r="Y4" s="91"/>
      <c r="Z4" s="91"/>
      <c r="AA4" s="91"/>
      <c r="AB4" s="91"/>
      <c r="AC4" s="91"/>
      <c r="AD4" s="91"/>
      <c r="AE4" s="91"/>
      <c r="AF4" s="91"/>
    </row>
    <row r="5" spans="1:32">
      <c r="A5" s="47" t="s">
        <v>127</v>
      </c>
      <c r="B5" s="20"/>
      <c r="C5" s="20"/>
      <c r="D5" s="76"/>
      <c r="E5" s="76"/>
      <c r="F5" s="92"/>
      <c r="G5" s="84"/>
      <c r="H5" s="328"/>
      <c r="I5" s="332"/>
      <c r="J5" s="332"/>
      <c r="K5" s="332"/>
      <c r="L5" s="93"/>
      <c r="M5" s="93"/>
      <c r="N5" s="94"/>
      <c r="O5" s="95"/>
      <c r="P5" s="328"/>
      <c r="Q5" s="328"/>
      <c r="U5" s="91"/>
      <c r="V5" s="96" t="s">
        <v>124</v>
      </c>
      <c r="W5" s="96" t="s">
        <v>125</v>
      </c>
      <c r="X5" s="83">
        <v>3</v>
      </c>
      <c r="Y5" s="91"/>
      <c r="Z5" s="91"/>
      <c r="AA5" s="91"/>
      <c r="AB5" s="91"/>
      <c r="AC5" s="91"/>
      <c r="AD5" s="91"/>
      <c r="AE5" s="91"/>
      <c r="AF5" s="91"/>
    </row>
    <row r="6" spans="1:32" s="99" customFormat="1">
      <c r="A6" s="46" t="s">
        <v>263</v>
      </c>
      <c r="B6" s="20" t="s">
        <v>128</v>
      </c>
      <c r="C6" s="331" t="s">
        <v>129</v>
      </c>
      <c r="D6" s="98">
        <v>1</v>
      </c>
      <c r="E6" s="98">
        <v>330</v>
      </c>
      <c r="F6" s="7">
        <v>1.8</v>
      </c>
      <c r="G6" s="99" t="s">
        <v>127</v>
      </c>
      <c r="H6" s="100">
        <v>0.3</v>
      </c>
      <c r="I6" s="98">
        <v>5</v>
      </c>
      <c r="J6" s="98">
        <v>75</v>
      </c>
      <c r="K6" s="98">
        <v>0.15</v>
      </c>
      <c r="L6" s="101">
        <f>CHOOSE(LOOKUP(G6,$W$3:$X$6), "Enter Value", I6*D6*J6*K6*(1+H6), (PI()/4)*D6*I6*(1+H6)*J6^2, PI()*(1+H6)*D6*I6*J6*K6)</f>
        <v>229.72896279375362</v>
      </c>
      <c r="M6" s="101">
        <f>L6*F6</f>
        <v>413.51213302875652</v>
      </c>
      <c r="N6" s="102">
        <f>L6/E6</f>
        <v>0.69614837210228375</v>
      </c>
      <c r="O6" s="103">
        <v>0.62</v>
      </c>
      <c r="P6" s="329" t="s">
        <v>122</v>
      </c>
      <c r="Q6" s="104">
        <f>CHOOSE(LOOKUP(P6,$V$3:$V$5,$X$3:$X$5), O6*L6, O6*M6, O6*N6)</f>
        <v>256.37752247782902</v>
      </c>
      <c r="R6" s="105">
        <f t="shared" ref="R6:R24" si="0">IF(C6="Test", M6, 0)</f>
        <v>0</v>
      </c>
      <c r="S6" s="105">
        <f t="shared" ref="S6:S24" si="1">IF(C6="Test", N6, 0)</f>
        <v>0</v>
      </c>
      <c r="T6" s="81">
        <f t="shared" ref="T6:T24" si="2">IF(C6="Test", Q6, 0)</f>
        <v>0</v>
      </c>
      <c r="V6" s="83"/>
      <c r="W6" s="96" t="s">
        <v>127</v>
      </c>
      <c r="X6" s="83">
        <v>4</v>
      </c>
    </row>
    <row r="7" spans="1:32">
      <c r="A7" s="46" t="s">
        <v>264</v>
      </c>
      <c r="B7" s="20" t="s">
        <v>128</v>
      </c>
      <c r="C7" s="331" t="s">
        <v>129</v>
      </c>
      <c r="D7" s="98">
        <v>1</v>
      </c>
      <c r="E7" s="98">
        <v>330</v>
      </c>
      <c r="F7" s="7">
        <v>1.8</v>
      </c>
      <c r="G7" s="99" t="s">
        <v>127</v>
      </c>
      <c r="H7" s="100">
        <v>0.3</v>
      </c>
      <c r="I7" s="98">
        <v>0.6</v>
      </c>
      <c r="J7" s="98">
        <v>80</v>
      </c>
      <c r="K7" s="98">
        <v>3</v>
      </c>
      <c r="L7" s="101">
        <f>CHOOSE(LOOKUP(G7,$W$3:$X$6), "Enter Value", I7*D7*J7*K7*(1+H7), (PI()/4)*D7*I7*(1+H7)*J7^2, PI()*(1+H7)*D7*I7*J7*K7)</f>
        <v>588.1061447520093</v>
      </c>
      <c r="M7" s="101">
        <f>L7*F7</f>
        <v>1058.5910605536167</v>
      </c>
      <c r="N7" s="102">
        <f>L7/E7</f>
        <v>1.7821398325818463</v>
      </c>
      <c r="O7" s="103">
        <v>0.62</v>
      </c>
      <c r="P7" s="329" t="s">
        <v>122</v>
      </c>
      <c r="Q7" s="104">
        <f>CHOOSE(LOOKUP(P7,$V$3:$V$5,$X$3:$X$5), O7*L7, O7*M7, O7*N7)</f>
        <v>656.32645754324233</v>
      </c>
      <c r="R7" s="105">
        <f t="shared" si="0"/>
        <v>0</v>
      </c>
      <c r="S7" s="105">
        <f t="shared" si="1"/>
        <v>0</v>
      </c>
      <c r="T7" s="81">
        <f t="shared" si="2"/>
        <v>0</v>
      </c>
    </row>
    <row r="8" spans="1:32" s="330" customFormat="1">
      <c r="A8" s="46" t="s">
        <v>265</v>
      </c>
      <c r="B8" s="20" t="s">
        <v>276</v>
      </c>
      <c r="C8" s="331" t="s">
        <v>129</v>
      </c>
      <c r="D8" s="98">
        <v>1</v>
      </c>
      <c r="E8" s="98">
        <v>75</v>
      </c>
      <c r="F8" s="7">
        <v>1.8</v>
      </c>
      <c r="G8" s="99" t="s">
        <v>127</v>
      </c>
      <c r="H8" s="100">
        <v>0.3</v>
      </c>
      <c r="I8" s="98">
        <v>180</v>
      </c>
      <c r="J8" s="98">
        <v>80</v>
      </c>
      <c r="K8" s="98">
        <v>0.06</v>
      </c>
      <c r="L8" s="101">
        <f>CHOOSE(LOOKUP(G8,$W$3:$X$6), "Enter Value", I8*D8*J8*K8*(1+H8), (PI()/4)*D8*I8*(1+H8)*J8^2, PI()*(1+H8)*D8*I8*J8*K8)</f>
        <v>3528.6368685120556</v>
      </c>
      <c r="M8" s="101">
        <f>L8*F8</f>
        <v>6351.5463633217005</v>
      </c>
      <c r="N8" s="102">
        <f>L8/E8</f>
        <v>47.048491580160743</v>
      </c>
      <c r="O8" s="103">
        <v>2.0659999999999998</v>
      </c>
      <c r="P8" s="329" t="s">
        <v>122</v>
      </c>
      <c r="Q8" s="104">
        <f>CHOOSE(LOOKUP(P8,$V$3:$V$5,$X$3:$X$5), O8*L8, O8*M8, O8*N8)</f>
        <v>13122.294786622631</v>
      </c>
      <c r="R8" s="105">
        <f t="shared" si="0"/>
        <v>0</v>
      </c>
      <c r="S8" s="105">
        <f t="shared" si="1"/>
        <v>0</v>
      </c>
      <c r="T8" s="81">
        <f t="shared" si="2"/>
        <v>0</v>
      </c>
      <c r="V8" s="83"/>
      <c r="W8" s="83"/>
      <c r="X8" s="83"/>
    </row>
    <row r="9" spans="1:32" s="330" customFormat="1">
      <c r="A9" s="47" t="s">
        <v>257</v>
      </c>
      <c r="D9" s="98"/>
      <c r="E9" s="98"/>
      <c r="F9" s="7"/>
      <c r="H9" s="329"/>
      <c r="I9" s="98"/>
      <c r="J9" s="98"/>
      <c r="K9" s="98"/>
      <c r="L9" s="101"/>
      <c r="M9" s="101"/>
      <c r="N9" s="102"/>
      <c r="O9" s="103"/>
      <c r="P9" s="329"/>
      <c r="Q9" s="329"/>
      <c r="R9" s="105">
        <f t="shared" si="0"/>
        <v>0</v>
      </c>
      <c r="S9" s="105">
        <f t="shared" si="1"/>
        <v>0</v>
      </c>
      <c r="T9" s="81">
        <f t="shared" si="2"/>
        <v>0</v>
      </c>
      <c r="V9" s="83"/>
      <c r="W9" s="83"/>
      <c r="X9" s="83"/>
    </row>
    <row r="10" spans="1:32" s="330" customFormat="1">
      <c r="A10" s="46" t="s">
        <v>266</v>
      </c>
      <c r="B10" s="20" t="s">
        <v>130</v>
      </c>
      <c r="C10" s="331" t="s">
        <v>131</v>
      </c>
      <c r="D10" s="98">
        <v>1</v>
      </c>
      <c r="E10" s="76" t="s">
        <v>126</v>
      </c>
      <c r="F10" s="7">
        <v>1.52</v>
      </c>
      <c r="G10" s="126" t="s">
        <v>127</v>
      </c>
      <c r="H10" s="100">
        <v>4</v>
      </c>
      <c r="I10" s="98">
        <v>3</v>
      </c>
      <c r="J10" s="98">
        <v>75</v>
      </c>
      <c r="K10" s="98">
        <v>0.01</v>
      </c>
      <c r="L10" s="101">
        <f>CHOOSE(LOOKUP(G10,$W$3:$X$6), "Enter Value", I10*D10*J10*K10*(1+H10), (PI()/4)*D10*I10*(1+H10)*J10^2, PI()*(1+H10)*D10*I10*J10*K10)</f>
        <v>35.342917352885173</v>
      </c>
      <c r="M10" s="101">
        <f>L10*F10</f>
        <v>53.721234376385468</v>
      </c>
      <c r="N10" s="102" t="e">
        <f>L10/E10</f>
        <v>#VALUE!</v>
      </c>
      <c r="O10" s="103">
        <v>0.37</v>
      </c>
      <c r="P10" s="329" t="s">
        <v>120</v>
      </c>
      <c r="Q10" s="104">
        <f>CHOOSE(LOOKUP(P10,$V$3:$V$5,$X$3:$X$5), O10*L10, O10*M10, O10*N10)</f>
        <v>13.076879420567513</v>
      </c>
      <c r="R10" s="105">
        <f t="shared" si="0"/>
        <v>0</v>
      </c>
      <c r="S10" s="105">
        <f t="shared" si="1"/>
        <v>0</v>
      </c>
      <c r="T10" s="81">
        <f t="shared" si="2"/>
        <v>0</v>
      </c>
      <c r="V10" s="83"/>
      <c r="W10" s="83"/>
      <c r="X10" s="83"/>
    </row>
    <row r="11" spans="1:32">
      <c r="A11" s="46" t="s">
        <v>267</v>
      </c>
      <c r="B11" s="20" t="s">
        <v>130</v>
      </c>
      <c r="C11" s="331" t="s">
        <v>131</v>
      </c>
      <c r="D11" s="98">
        <v>1</v>
      </c>
      <c r="E11" s="76" t="s">
        <v>126</v>
      </c>
      <c r="F11" s="7">
        <v>1.52</v>
      </c>
      <c r="G11" s="126" t="s">
        <v>127</v>
      </c>
      <c r="H11" s="100">
        <v>4</v>
      </c>
      <c r="I11" s="98">
        <v>3</v>
      </c>
      <c r="J11" s="98">
        <v>75</v>
      </c>
      <c r="K11" s="98">
        <v>0.01</v>
      </c>
      <c r="L11" s="101">
        <f>CHOOSE(LOOKUP(G11,$W$3:$X$6), "Enter Value", I11*D11*J11*K11*(1+H11), (PI()/4)*D11*I11*(1+H11)*J11^2, PI()*(1+H11)*D11*I11*J11*K11)</f>
        <v>35.342917352885173</v>
      </c>
      <c r="M11" s="101">
        <f>L11*F11</f>
        <v>53.721234376385468</v>
      </c>
      <c r="N11" s="102" t="e">
        <f>L11/E11</f>
        <v>#VALUE!</v>
      </c>
      <c r="O11" s="103">
        <v>0.37</v>
      </c>
      <c r="P11" s="329" t="s">
        <v>120</v>
      </c>
      <c r="Q11" s="104">
        <f>CHOOSE(LOOKUP(P11,$V$3:$V$5,$X$3:$X$5), O11*L11, O11*M11, O11*N11)</f>
        <v>13.076879420567513</v>
      </c>
      <c r="R11" s="105">
        <f t="shared" si="0"/>
        <v>0</v>
      </c>
      <c r="S11" s="105">
        <f t="shared" si="1"/>
        <v>0</v>
      </c>
      <c r="T11" s="81">
        <f t="shared" si="2"/>
        <v>0</v>
      </c>
    </row>
    <row r="12" spans="1:32" ht="15">
      <c r="A12" s="97" t="s">
        <v>277</v>
      </c>
      <c r="B12" s="20"/>
      <c r="C12" s="20"/>
      <c r="D12" s="76"/>
      <c r="E12" s="76"/>
      <c r="F12" s="92"/>
      <c r="G12" s="84"/>
      <c r="H12" s="328"/>
      <c r="I12" s="332"/>
      <c r="J12" s="332"/>
      <c r="K12" s="332"/>
      <c r="L12" s="93"/>
      <c r="M12" s="93"/>
      <c r="N12" s="94"/>
      <c r="O12" s="95"/>
      <c r="P12" s="328"/>
      <c r="Q12" s="328"/>
      <c r="R12" s="105">
        <f t="shared" si="0"/>
        <v>0</v>
      </c>
      <c r="S12" s="105">
        <f t="shared" si="1"/>
        <v>0</v>
      </c>
      <c r="T12" s="81">
        <f t="shared" si="2"/>
        <v>0</v>
      </c>
    </row>
    <row r="13" spans="1:32">
      <c r="A13" s="47" t="s">
        <v>64</v>
      </c>
      <c r="B13" s="20"/>
      <c r="C13" s="20"/>
      <c r="D13" s="76"/>
      <c r="E13" s="76"/>
      <c r="F13" s="92"/>
      <c r="G13" s="84"/>
      <c r="H13" s="328"/>
      <c r="I13" s="332"/>
      <c r="J13" s="332"/>
      <c r="K13" s="332"/>
      <c r="L13" s="93"/>
      <c r="M13" s="93"/>
      <c r="N13" s="94"/>
      <c r="O13" s="95"/>
      <c r="P13" s="328"/>
      <c r="Q13" s="328"/>
      <c r="R13" s="105">
        <f t="shared" si="0"/>
        <v>0</v>
      </c>
      <c r="S13" s="105">
        <f t="shared" si="1"/>
        <v>0</v>
      </c>
      <c r="T13" s="81">
        <f t="shared" si="2"/>
        <v>0</v>
      </c>
    </row>
    <row r="14" spans="1:32">
      <c r="A14" s="46" t="s">
        <v>275</v>
      </c>
      <c r="B14" s="331" t="s">
        <v>7</v>
      </c>
      <c r="C14" s="331" t="s">
        <v>123</v>
      </c>
      <c r="D14" s="98">
        <v>1</v>
      </c>
      <c r="E14" s="76" t="s">
        <v>126</v>
      </c>
      <c r="F14" s="7">
        <v>2.7</v>
      </c>
      <c r="G14" s="99" t="s">
        <v>123</v>
      </c>
      <c r="H14" s="100">
        <v>0</v>
      </c>
      <c r="I14" s="98">
        <v>95</v>
      </c>
      <c r="J14" s="98">
        <v>95</v>
      </c>
      <c r="K14" s="98">
        <v>5</v>
      </c>
      <c r="L14" s="101">
        <f>CHOOSE(LOOKUP(G14,$W$3:$X$6), "Enter Value", I14*D14*J14*K14*(1+H14), (PI()/4)*D14*I14*(1+H14)*J14^2, PI()*(1+H14)*D14*I14*J14*K14)</f>
        <v>45125</v>
      </c>
      <c r="M14" s="101">
        <f>L14*F14</f>
        <v>121837.50000000001</v>
      </c>
      <c r="N14" s="102" t="e">
        <f>L14/E14</f>
        <v>#VALUE!</v>
      </c>
      <c r="O14" s="103">
        <v>1.7000000000000001E-2</v>
      </c>
      <c r="P14" s="329" t="s">
        <v>122</v>
      </c>
      <c r="Q14" s="104">
        <f>CHOOSE(LOOKUP(P14,$V$3:$V$5,$X$3:$X$5), O14*L14, O14*M14, O14*N14)</f>
        <v>2071.2375000000002</v>
      </c>
      <c r="R14" s="105">
        <f t="shared" si="0"/>
        <v>0</v>
      </c>
      <c r="S14" s="105">
        <f t="shared" si="1"/>
        <v>0</v>
      </c>
      <c r="T14" s="81">
        <f t="shared" si="2"/>
        <v>0</v>
      </c>
    </row>
    <row r="15" spans="1:32">
      <c r="A15" s="46" t="s">
        <v>269</v>
      </c>
      <c r="B15" s="331" t="s">
        <v>7</v>
      </c>
      <c r="C15" s="331" t="s">
        <v>123</v>
      </c>
      <c r="D15" s="98">
        <v>1</v>
      </c>
      <c r="E15" s="76" t="s">
        <v>126</v>
      </c>
      <c r="F15" s="7">
        <v>2.7</v>
      </c>
      <c r="G15" s="99" t="s">
        <v>123</v>
      </c>
      <c r="H15" s="100">
        <v>0</v>
      </c>
      <c r="I15" s="98">
        <v>95</v>
      </c>
      <c r="J15" s="98">
        <v>95</v>
      </c>
      <c r="K15" s="98">
        <v>2</v>
      </c>
      <c r="L15" s="101">
        <f>CHOOSE(LOOKUP(G15,$W$3:$X$6), "Enter Value", I15*D15*J15*K15*(1+H15), (PI()/4)*D15*I15*(1+H15)*J15^2, PI()*(1+H15)*D15*I15*J15*K15)</f>
        <v>18050</v>
      </c>
      <c r="M15" s="101">
        <f>L15*F15</f>
        <v>48735</v>
      </c>
      <c r="N15" s="102" t="e">
        <f>L15/E15</f>
        <v>#VALUE!</v>
      </c>
      <c r="O15" s="103">
        <v>1.7000000000000001E-2</v>
      </c>
      <c r="P15" s="329" t="s">
        <v>122</v>
      </c>
      <c r="Q15" s="104">
        <f>CHOOSE(LOOKUP(P15,$V$3:$V$5,$X$3:$X$5), O15*L15, O15*M15, O15*N15)</f>
        <v>828.495</v>
      </c>
      <c r="R15" s="105">
        <f t="shared" si="0"/>
        <v>0</v>
      </c>
      <c r="S15" s="105">
        <f t="shared" si="1"/>
        <v>0</v>
      </c>
      <c r="T15" s="81">
        <f t="shared" si="2"/>
        <v>0</v>
      </c>
    </row>
    <row r="16" spans="1:32">
      <c r="A16" s="46" t="s">
        <v>257</v>
      </c>
      <c r="B16" s="331" t="s">
        <v>7</v>
      </c>
      <c r="C16" s="331" t="s">
        <v>123</v>
      </c>
      <c r="D16" s="98">
        <v>2</v>
      </c>
      <c r="E16" s="76" t="s">
        <v>126</v>
      </c>
      <c r="F16" s="7">
        <v>2.7</v>
      </c>
      <c r="G16" s="99" t="s">
        <v>123</v>
      </c>
      <c r="H16" s="100">
        <v>0</v>
      </c>
      <c r="I16" s="98">
        <v>95</v>
      </c>
      <c r="J16" s="98">
        <v>95</v>
      </c>
      <c r="K16" s="98">
        <v>2.5</v>
      </c>
      <c r="L16" s="101">
        <f>CHOOSE(LOOKUP(G16,$W$3:$X$6), "Enter Value", I16*D16*J16*K16*(1+H16), (PI()/4)*D16*I16*(1+H16)*J16^2, PI()*(1+H16)*D16*I16*J16*K16)</f>
        <v>45125</v>
      </c>
      <c r="M16" s="101">
        <f>L16*F16</f>
        <v>121837.50000000001</v>
      </c>
      <c r="N16" s="102" t="e">
        <f>L16/E16</f>
        <v>#VALUE!</v>
      </c>
      <c r="O16" s="103">
        <v>1.7000000000000001E-2</v>
      </c>
      <c r="P16" s="329" t="s">
        <v>122</v>
      </c>
      <c r="Q16" s="104">
        <f>CHOOSE(LOOKUP(P16,$V$3:$V$5,$X$3:$X$5), O16*L16, O16*M16, O16*N16)</f>
        <v>2071.2375000000002</v>
      </c>
      <c r="R16" s="105">
        <f t="shared" si="0"/>
        <v>0</v>
      </c>
      <c r="S16" s="105">
        <f t="shared" si="1"/>
        <v>0</v>
      </c>
      <c r="T16" s="81">
        <f t="shared" si="2"/>
        <v>0</v>
      </c>
    </row>
    <row r="17" spans="1:24">
      <c r="A17" s="47" t="s">
        <v>132</v>
      </c>
      <c r="B17" s="330"/>
      <c r="C17" s="330"/>
      <c r="G17" s="330"/>
      <c r="H17" s="329"/>
      <c r="I17" s="98"/>
      <c r="J17" s="98"/>
      <c r="K17" s="98"/>
      <c r="P17" s="329"/>
      <c r="Q17" s="329"/>
      <c r="R17" s="105">
        <f t="shared" si="0"/>
        <v>0</v>
      </c>
      <c r="S17" s="105">
        <f t="shared" si="1"/>
        <v>0</v>
      </c>
      <c r="T17" s="81">
        <f t="shared" si="2"/>
        <v>0</v>
      </c>
    </row>
    <row r="18" spans="1:24">
      <c r="A18" s="46" t="s">
        <v>268</v>
      </c>
      <c r="B18" s="20" t="s">
        <v>128</v>
      </c>
      <c r="C18" s="331" t="s">
        <v>129</v>
      </c>
      <c r="D18" s="98">
        <v>1</v>
      </c>
      <c r="E18" s="98">
        <v>330</v>
      </c>
      <c r="F18" s="7">
        <v>1.8</v>
      </c>
      <c r="G18" s="99" t="s">
        <v>125</v>
      </c>
      <c r="H18" s="100">
        <v>0.6</v>
      </c>
      <c r="I18" s="98">
        <v>0.4</v>
      </c>
      <c r="J18" s="98">
        <v>80</v>
      </c>
      <c r="K18" s="98">
        <v>0</v>
      </c>
      <c r="L18" s="101">
        <f>CHOOSE(LOOKUP(G18,$W$3:$X$6), "Enter Value", I18*D18*J18*K18*(1+H18), (PI()/4)*D18*I18*(1+H18)*J18^2, PI()*(1+H18)*D18*I18*J18*K18)</f>
        <v>3216.9908772759486</v>
      </c>
      <c r="M18" s="101">
        <f>L18*F18</f>
        <v>5790.5835790967076</v>
      </c>
      <c r="N18" s="102">
        <f>L18/E18</f>
        <v>9.7484572038665114</v>
      </c>
      <c r="O18" s="103">
        <v>0.62</v>
      </c>
      <c r="P18" s="329" t="s">
        <v>122</v>
      </c>
      <c r="Q18" s="104">
        <f>CHOOSE(LOOKUP(P18,$V$3:$V$5,$X$3:$X$5), O18*L18, O18*M18, O18*N18)</f>
        <v>3590.1618190399586</v>
      </c>
      <c r="R18" s="105">
        <f t="shared" si="0"/>
        <v>0</v>
      </c>
      <c r="S18" s="105">
        <f t="shared" si="1"/>
        <v>0</v>
      </c>
      <c r="T18" s="81">
        <f t="shared" si="2"/>
        <v>0</v>
      </c>
    </row>
    <row r="19" spans="1:24">
      <c r="A19" s="46" t="s">
        <v>271</v>
      </c>
      <c r="B19" s="20" t="s">
        <v>128</v>
      </c>
      <c r="C19" s="331" t="s">
        <v>129</v>
      </c>
      <c r="D19" s="98">
        <v>1</v>
      </c>
      <c r="E19" s="98">
        <v>330</v>
      </c>
      <c r="F19" s="7">
        <v>1.8</v>
      </c>
      <c r="G19" s="99" t="s">
        <v>127</v>
      </c>
      <c r="H19" s="100">
        <v>0.3</v>
      </c>
      <c r="I19" s="98">
        <v>0.6</v>
      </c>
      <c r="J19" s="98">
        <v>80</v>
      </c>
      <c r="K19" s="98">
        <v>3</v>
      </c>
      <c r="L19" s="101">
        <f>CHOOSE(LOOKUP(G19,$W$3:$X$6), "Enter Value", I19*D19*J19*K19*(1+H19), (PI()/4)*D19*I19*(1+H19)*J19^2, PI()*(1+H19)*D19*I19*J19*K19)</f>
        <v>588.1061447520093</v>
      </c>
      <c r="M19" s="101">
        <f>L19*F19</f>
        <v>1058.5910605536167</v>
      </c>
      <c r="N19" s="102">
        <f>L19/E19</f>
        <v>1.7821398325818463</v>
      </c>
      <c r="O19" s="103">
        <v>0.62</v>
      </c>
      <c r="P19" s="329" t="s">
        <v>122</v>
      </c>
      <c r="Q19" s="104">
        <f>CHOOSE(LOOKUP(P19,$V$3:$V$5,$X$3:$X$5), O19*L19, O19*M19, O19*N19)</f>
        <v>656.32645754324233</v>
      </c>
      <c r="R19" s="105">
        <f t="shared" si="0"/>
        <v>0</v>
      </c>
      <c r="S19" s="105">
        <f t="shared" si="1"/>
        <v>0</v>
      </c>
      <c r="T19" s="81">
        <f t="shared" si="2"/>
        <v>0</v>
      </c>
    </row>
    <row r="20" spans="1:24">
      <c r="A20" s="46" t="s">
        <v>270</v>
      </c>
      <c r="B20" s="20" t="s">
        <v>128</v>
      </c>
      <c r="C20" s="331" t="s">
        <v>129</v>
      </c>
      <c r="D20" s="98">
        <v>1</v>
      </c>
      <c r="E20" s="98">
        <v>330</v>
      </c>
      <c r="F20" s="7">
        <v>1.8</v>
      </c>
      <c r="G20" s="99" t="s">
        <v>127</v>
      </c>
      <c r="H20" s="100">
        <v>0.3</v>
      </c>
      <c r="I20" s="98">
        <v>0.6</v>
      </c>
      <c r="J20" s="98">
        <v>40</v>
      </c>
      <c r="K20" s="98">
        <v>3</v>
      </c>
      <c r="L20" s="101">
        <f>CHOOSE(LOOKUP(G20,$W$3:$X$6), "Enter Value", I20*D20*J20*K20*(1+H20), (PI()/4)*D20*I20*(1+H20)*J20^2, PI()*(1+H20)*D20*I20*J20*K20)</f>
        <v>294.05307237600465</v>
      </c>
      <c r="M20" s="101">
        <f>L20*F20</f>
        <v>529.29553027680834</v>
      </c>
      <c r="N20" s="102">
        <f>L20/E20</f>
        <v>0.89106991629092314</v>
      </c>
      <c r="O20" s="103">
        <v>0.62</v>
      </c>
      <c r="P20" s="329" t="s">
        <v>122</v>
      </c>
      <c r="Q20" s="104">
        <f>CHOOSE(LOOKUP(P20,$V$3:$V$5,$X$3:$X$5), O20*L20, O20*M20, O20*N20)</f>
        <v>328.16322877162116</v>
      </c>
      <c r="R20" s="105">
        <f t="shared" si="0"/>
        <v>0</v>
      </c>
      <c r="S20" s="105">
        <f t="shared" si="1"/>
        <v>0</v>
      </c>
      <c r="T20" s="81">
        <f t="shared" si="2"/>
        <v>0</v>
      </c>
    </row>
    <row r="21" spans="1:24">
      <c r="A21" s="47" t="s">
        <v>257</v>
      </c>
      <c r="B21" s="330"/>
      <c r="C21" s="330"/>
      <c r="G21" s="330"/>
      <c r="H21" s="329"/>
      <c r="I21" s="98"/>
      <c r="J21" s="98"/>
      <c r="K21" s="98"/>
      <c r="P21" s="329"/>
      <c r="Q21" s="329"/>
      <c r="R21" s="105">
        <f t="shared" si="0"/>
        <v>0</v>
      </c>
      <c r="S21" s="105">
        <f t="shared" si="1"/>
        <v>0</v>
      </c>
      <c r="T21" s="81">
        <f t="shared" si="2"/>
        <v>0</v>
      </c>
    </row>
    <row r="22" spans="1:24">
      <c r="A22" s="46" t="s">
        <v>272</v>
      </c>
      <c r="B22" s="20" t="s">
        <v>130</v>
      </c>
      <c r="C22" s="331" t="s">
        <v>131</v>
      </c>
      <c r="D22" s="98">
        <v>1</v>
      </c>
      <c r="E22" s="76" t="s">
        <v>126</v>
      </c>
      <c r="F22" s="7">
        <v>1.52</v>
      </c>
      <c r="G22" s="126" t="s">
        <v>123</v>
      </c>
      <c r="H22" s="100">
        <v>2</v>
      </c>
      <c r="I22" s="98">
        <v>75</v>
      </c>
      <c r="J22" s="98">
        <v>75</v>
      </c>
      <c r="K22" s="98">
        <v>0.01</v>
      </c>
      <c r="L22" s="101">
        <f>CHOOSE(LOOKUP(G22,$W$3:$X$6), "Enter Value", I22*D22*J22*K22*(1+H22), (PI()/4)*D22*I22*(1+H22)*J22^2, PI()*(1+H22)*D22*I22*J22*K22)</f>
        <v>168.75</v>
      </c>
      <c r="M22" s="101">
        <f>L22*F22</f>
        <v>256.5</v>
      </c>
      <c r="N22" s="102" t="e">
        <f>L22/E22</f>
        <v>#VALUE!</v>
      </c>
      <c r="O22" s="103">
        <v>0.37</v>
      </c>
      <c r="P22" s="329" t="s">
        <v>120</v>
      </c>
      <c r="Q22" s="104">
        <f>CHOOSE(LOOKUP(P22,$V$3:$V$5,$X$3:$X$5), O22*L22, O22*M22, O22*N22)</f>
        <v>62.4375</v>
      </c>
      <c r="R22" s="105">
        <f t="shared" si="0"/>
        <v>0</v>
      </c>
      <c r="S22" s="105">
        <f t="shared" si="1"/>
        <v>0</v>
      </c>
      <c r="T22" s="81">
        <f t="shared" si="2"/>
        <v>0</v>
      </c>
    </row>
    <row r="23" spans="1:24">
      <c r="A23" s="46" t="s">
        <v>273</v>
      </c>
      <c r="B23" s="20" t="s">
        <v>130</v>
      </c>
      <c r="C23" s="331" t="s">
        <v>131</v>
      </c>
      <c r="D23" s="98">
        <v>1</v>
      </c>
      <c r="E23" s="76" t="s">
        <v>126</v>
      </c>
      <c r="F23" s="7">
        <v>1.52</v>
      </c>
      <c r="G23" s="126" t="s">
        <v>123</v>
      </c>
      <c r="H23" s="100">
        <v>2</v>
      </c>
      <c r="I23" s="98">
        <v>75</v>
      </c>
      <c r="J23" s="98">
        <v>75</v>
      </c>
      <c r="K23" s="98">
        <v>0.01</v>
      </c>
      <c r="L23" s="101">
        <f>CHOOSE(LOOKUP(G23,$W$3:$X$6), "Enter Value", I23*D23*J23*K23*(1+H23), (PI()/4)*D23*I23*(1+H23)*J23^2, PI()*(1+H23)*D23*I23*J23*K23)</f>
        <v>168.75</v>
      </c>
      <c r="M23" s="101">
        <f>L23*F23</f>
        <v>256.5</v>
      </c>
      <c r="N23" s="102" t="e">
        <f>L23/E23</f>
        <v>#VALUE!</v>
      </c>
      <c r="O23" s="103">
        <v>0.37</v>
      </c>
      <c r="P23" s="329" t="s">
        <v>120</v>
      </c>
      <c r="Q23" s="104">
        <f>CHOOSE(LOOKUP(P23,$V$3:$V$5,$X$3:$X$5), O23*L23, O23*M23, O23*N23)</f>
        <v>62.4375</v>
      </c>
      <c r="R23" s="105">
        <f t="shared" si="0"/>
        <v>0</v>
      </c>
      <c r="S23" s="105">
        <f t="shared" si="1"/>
        <v>0</v>
      </c>
      <c r="T23" s="81">
        <f t="shared" si="2"/>
        <v>0</v>
      </c>
    </row>
    <row r="24" spans="1:24">
      <c r="A24" s="46" t="s">
        <v>274</v>
      </c>
      <c r="B24" s="20" t="s">
        <v>130</v>
      </c>
      <c r="C24" s="331" t="s">
        <v>131</v>
      </c>
      <c r="D24" s="98">
        <v>1</v>
      </c>
      <c r="E24" s="76" t="s">
        <v>126</v>
      </c>
      <c r="F24" s="7">
        <v>1.52</v>
      </c>
      <c r="G24" s="126" t="s">
        <v>123</v>
      </c>
      <c r="H24" s="100">
        <v>2</v>
      </c>
      <c r="I24" s="98">
        <v>75</v>
      </c>
      <c r="J24" s="98">
        <v>75</v>
      </c>
      <c r="K24" s="98">
        <v>0.01</v>
      </c>
      <c r="L24" s="101">
        <f>CHOOSE(LOOKUP(G24,$W$3:$X$6), "Enter Value", I24*D24*J24*K24*(1+H24), (PI()/4)*D24*I24*(1+H24)*J24^2, PI()*(1+H24)*D24*I24*J24*K24)</f>
        <v>168.75</v>
      </c>
      <c r="M24" s="101">
        <f>L24*F24</f>
        <v>256.5</v>
      </c>
      <c r="N24" s="102" t="e">
        <f>L24/E24</f>
        <v>#VALUE!</v>
      </c>
      <c r="O24" s="103">
        <v>0.37</v>
      </c>
      <c r="P24" s="329" t="s">
        <v>120</v>
      </c>
      <c r="Q24" s="104">
        <f>CHOOSE(LOOKUP(P24,$V$3:$V$5,$X$3:$X$5), O24*L24, O24*M24, O24*N24)</f>
        <v>62.4375</v>
      </c>
      <c r="R24" s="105">
        <f t="shared" si="0"/>
        <v>0</v>
      </c>
      <c r="S24" s="105">
        <f t="shared" si="1"/>
        <v>0</v>
      </c>
      <c r="T24" s="81">
        <f t="shared" si="2"/>
        <v>0</v>
      </c>
    </row>
    <row r="25" spans="1:24" ht="15.75">
      <c r="A25" s="49" t="s">
        <v>280</v>
      </c>
      <c r="B25" s="20"/>
      <c r="C25" s="20"/>
      <c r="D25" s="76"/>
      <c r="E25" s="76"/>
      <c r="F25" s="92"/>
      <c r="G25" s="84"/>
      <c r="H25" s="333"/>
      <c r="I25" s="148"/>
      <c r="J25" s="148"/>
      <c r="K25" s="148"/>
      <c r="L25" s="93"/>
      <c r="M25" s="93"/>
      <c r="N25" s="94"/>
      <c r="O25" s="95"/>
      <c r="P25" s="333"/>
      <c r="Q25" s="333"/>
    </row>
    <row r="26" spans="1:24" ht="15">
      <c r="A26" s="97" t="s">
        <v>262</v>
      </c>
      <c r="B26" s="20"/>
      <c r="C26" s="20"/>
      <c r="D26" s="76"/>
      <c r="E26" s="76"/>
      <c r="F26" s="92"/>
      <c r="G26" s="84"/>
      <c r="H26" s="333"/>
      <c r="I26" s="148"/>
      <c r="J26" s="148"/>
      <c r="K26" s="148"/>
      <c r="L26" s="93"/>
      <c r="M26" s="93"/>
      <c r="N26" s="94"/>
      <c r="O26" s="95"/>
      <c r="P26" s="333"/>
      <c r="Q26" s="333"/>
    </row>
    <row r="27" spans="1:24">
      <c r="A27" s="47" t="s">
        <v>127</v>
      </c>
      <c r="B27" s="20"/>
      <c r="C27" s="20"/>
      <c r="D27" s="76"/>
      <c r="E27" s="76"/>
      <c r="F27" s="92"/>
      <c r="G27" s="84"/>
      <c r="H27" s="333"/>
      <c r="I27" s="332"/>
      <c r="J27" s="332"/>
      <c r="K27" s="332"/>
      <c r="L27" s="93"/>
      <c r="M27" s="93"/>
      <c r="N27" s="94"/>
      <c r="O27" s="95"/>
      <c r="P27" s="333"/>
      <c r="Q27" s="333"/>
    </row>
    <row r="28" spans="1:24">
      <c r="A28" s="46" t="s">
        <v>263</v>
      </c>
      <c r="B28" s="20" t="s">
        <v>128</v>
      </c>
      <c r="C28" s="337" t="s">
        <v>129</v>
      </c>
      <c r="D28" s="98">
        <v>2</v>
      </c>
      <c r="E28" s="98">
        <v>330</v>
      </c>
      <c r="F28" s="7">
        <v>1.8</v>
      </c>
      <c r="G28" s="99" t="s">
        <v>127</v>
      </c>
      <c r="H28" s="100">
        <v>0.3</v>
      </c>
      <c r="I28" s="98">
        <v>5</v>
      </c>
      <c r="J28" s="98">
        <v>43</v>
      </c>
      <c r="K28" s="98">
        <v>0.15</v>
      </c>
      <c r="L28" s="101">
        <f t="shared" ref="L28:L33" si="3">CHOOSE(LOOKUP(G28,$W$3:$X$6), "Enter Value", I28*D28*J28*K28*(1+H28), (PI()/4)*D28*I28*(1+H28)*J28^2, PI()*(1+H28)*D28*I28*J28*K28)</f>
        <v>263.42254400350413</v>
      </c>
      <c r="M28" s="101">
        <f t="shared" ref="M28:M33" si="4">L28*F28</f>
        <v>474.16057920630743</v>
      </c>
      <c r="N28" s="102">
        <f t="shared" ref="N28:N33" si="5">L28/E28</f>
        <v>0.7982501333439519</v>
      </c>
      <c r="O28" s="103">
        <v>0.62</v>
      </c>
      <c r="P28" s="334" t="s">
        <v>122</v>
      </c>
      <c r="Q28" s="104">
        <f t="shared" ref="Q28:Q33" si="6">CHOOSE(LOOKUP(P28,$V$3:$V$5,$X$3:$X$5), O28*L28, O28*M28, O28*N28)</f>
        <v>293.97955910791063</v>
      </c>
      <c r="R28" s="105">
        <f t="shared" ref="R28:R38" si="7">IF(C28="Test", M28, 0)</f>
        <v>0</v>
      </c>
      <c r="S28" s="105">
        <f t="shared" ref="S28:S38" si="8">IF(C28="Test", N28, 0)</f>
        <v>0</v>
      </c>
      <c r="T28" s="81">
        <f t="shared" ref="T28:T38" si="9">IF(C28="Test", Q28, 0)</f>
        <v>0</v>
      </c>
    </row>
    <row r="29" spans="1:24">
      <c r="A29" s="46" t="s">
        <v>264</v>
      </c>
      <c r="B29" s="20" t="s">
        <v>128</v>
      </c>
      <c r="C29" s="337" t="s">
        <v>129</v>
      </c>
      <c r="D29" s="98">
        <v>2</v>
      </c>
      <c r="E29" s="98">
        <v>330</v>
      </c>
      <c r="F29" s="7">
        <v>1.8</v>
      </c>
      <c r="G29" s="99" t="s">
        <v>127</v>
      </c>
      <c r="H29" s="100">
        <v>0.3</v>
      </c>
      <c r="I29" s="98">
        <v>0.6</v>
      </c>
      <c r="J29" s="98">
        <v>43</v>
      </c>
      <c r="K29" s="98">
        <v>3</v>
      </c>
      <c r="L29" s="101">
        <f t="shared" si="3"/>
        <v>632.21410560840991</v>
      </c>
      <c r="M29" s="101">
        <f t="shared" si="4"/>
        <v>1137.985390095138</v>
      </c>
      <c r="N29" s="102">
        <f t="shared" si="5"/>
        <v>1.9158003200254845</v>
      </c>
      <c r="O29" s="103">
        <v>0.62</v>
      </c>
      <c r="P29" s="334" t="s">
        <v>122</v>
      </c>
      <c r="Q29" s="104">
        <f t="shared" si="6"/>
        <v>705.55094185898554</v>
      </c>
      <c r="R29" s="105">
        <f t="shared" si="7"/>
        <v>0</v>
      </c>
      <c r="S29" s="105">
        <f t="shared" si="8"/>
        <v>0</v>
      </c>
      <c r="T29" s="81">
        <f t="shared" si="9"/>
        <v>0</v>
      </c>
    </row>
    <row r="30" spans="1:24" s="335" customFormat="1">
      <c r="A30" s="46" t="s">
        <v>263</v>
      </c>
      <c r="B30" s="20" t="s">
        <v>128</v>
      </c>
      <c r="C30" s="337" t="s">
        <v>56</v>
      </c>
      <c r="D30" s="98">
        <v>2</v>
      </c>
      <c r="E30" s="98">
        <v>330</v>
      </c>
      <c r="F30" s="7">
        <v>1.8</v>
      </c>
      <c r="G30" s="99" t="s">
        <v>127</v>
      </c>
      <c r="H30" s="100">
        <v>0.3</v>
      </c>
      <c r="I30" s="98">
        <v>5</v>
      </c>
      <c r="J30" s="98">
        <v>43</v>
      </c>
      <c r="K30" s="98">
        <v>0.15</v>
      </c>
      <c r="L30" s="101">
        <f t="shared" si="3"/>
        <v>263.42254400350413</v>
      </c>
      <c r="M30" s="101">
        <f t="shared" si="4"/>
        <v>474.16057920630743</v>
      </c>
      <c r="N30" s="102">
        <f t="shared" si="5"/>
        <v>0.7982501333439519</v>
      </c>
      <c r="O30" s="103">
        <v>0.62</v>
      </c>
      <c r="P30" s="334" t="s">
        <v>122</v>
      </c>
      <c r="Q30" s="104">
        <f t="shared" si="6"/>
        <v>293.97955910791063</v>
      </c>
      <c r="R30" s="105">
        <f t="shared" si="7"/>
        <v>474.16057920630743</v>
      </c>
      <c r="S30" s="105">
        <f t="shared" si="8"/>
        <v>0.7982501333439519</v>
      </c>
      <c r="T30" s="81">
        <f t="shared" si="9"/>
        <v>293.97955910791063</v>
      </c>
      <c r="V30" s="83"/>
      <c r="W30" s="83"/>
      <c r="X30" s="83"/>
    </row>
    <row r="31" spans="1:24" s="335" customFormat="1">
      <c r="A31" s="46" t="s">
        <v>264</v>
      </c>
      <c r="B31" s="20" t="s">
        <v>128</v>
      </c>
      <c r="C31" s="337" t="s">
        <v>56</v>
      </c>
      <c r="D31" s="98">
        <v>2</v>
      </c>
      <c r="E31" s="98">
        <v>330</v>
      </c>
      <c r="F31" s="7">
        <v>1.8</v>
      </c>
      <c r="G31" s="99" t="s">
        <v>127</v>
      </c>
      <c r="H31" s="100">
        <v>0.3</v>
      </c>
      <c r="I31" s="98">
        <v>0.6</v>
      </c>
      <c r="J31" s="98">
        <v>43</v>
      </c>
      <c r="K31" s="98">
        <v>3</v>
      </c>
      <c r="L31" s="101">
        <f t="shared" si="3"/>
        <v>632.21410560840991</v>
      </c>
      <c r="M31" s="101">
        <f t="shared" si="4"/>
        <v>1137.985390095138</v>
      </c>
      <c r="N31" s="102">
        <f t="shared" si="5"/>
        <v>1.9158003200254845</v>
      </c>
      <c r="O31" s="103">
        <v>0.62</v>
      </c>
      <c r="P31" s="334" t="s">
        <v>122</v>
      </c>
      <c r="Q31" s="104">
        <f t="shared" si="6"/>
        <v>705.55094185898554</v>
      </c>
      <c r="R31" s="105">
        <f t="shared" si="7"/>
        <v>1137.985390095138</v>
      </c>
      <c r="S31" s="105">
        <f t="shared" si="8"/>
        <v>1.9158003200254845</v>
      </c>
      <c r="T31" s="81">
        <f t="shared" si="9"/>
        <v>705.55094185898554</v>
      </c>
      <c r="V31" s="83"/>
      <c r="W31" s="83"/>
      <c r="X31" s="83"/>
    </row>
    <row r="32" spans="1:24" s="335" customFormat="1">
      <c r="A32" s="46" t="s">
        <v>281</v>
      </c>
      <c r="B32" s="20" t="s">
        <v>276</v>
      </c>
      <c r="C32" s="337" t="s">
        <v>56</v>
      </c>
      <c r="D32" s="98">
        <v>3</v>
      </c>
      <c r="E32" s="98">
        <v>75</v>
      </c>
      <c r="F32" s="7">
        <v>1.8</v>
      </c>
      <c r="G32" s="99" t="s">
        <v>127</v>
      </c>
      <c r="H32" s="100">
        <v>0.3</v>
      </c>
      <c r="I32" s="98">
        <v>40</v>
      </c>
      <c r="J32" s="98">
        <v>43</v>
      </c>
      <c r="K32" s="98">
        <v>0.06</v>
      </c>
      <c r="L32" s="101">
        <f t="shared" si="3"/>
        <v>1264.42821121682</v>
      </c>
      <c r="M32" s="101">
        <f t="shared" si="4"/>
        <v>2275.9707801902759</v>
      </c>
      <c r="N32" s="102">
        <f t="shared" si="5"/>
        <v>16.859042816224267</v>
      </c>
      <c r="O32" s="103">
        <v>2.0659999999999998</v>
      </c>
      <c r="P32" s="334" t="s">
        <v>122</v>
      </c>
      <c r="Q32" s="104">
        <f t="shared" si="6"/>
        <v>4702.15563187311</v>
      </c>
      <c r="R32" s="105">
        <f t="shared" si="7"/>
        <v>2275.9707801902759</v>
      </c>
      <c r="S32" s="105">
        <f t="shared" si="8"/>
        <v>16.859042816224267</v>
      </c>
      <c r="T32" s="81">
        <f t="shared" si="9"/>
        <v>4702.15563187311</v>
      </c>
      <c r="V32" s="83"/>
      <c r="W32" s="83"/>
      <c r="X32" s="83"/>
    </row>
    <row r="33" spans="1:24">
      <c r="A33" s="46" t="s">
        <v>265</v>
      </c>
      <c r="B33" s="20" t="s">
        <v>276</v>
      </c>
      <c r="C33" s="337" t="s">
        <v>129</v>
      </c>
      <c r="D33" s="98">
        <v>1</v>
      </c>
      <c r="E33" s="98">
        <v>75</v>
      </c>
      <c r="F33" s="7">
        <v>1.8</v>
      </c>
      <c r="G33" s="99" t="s">
        <v>127</v>
      </c>
      <c r="H33" s="100">
        <v>0.3</v>
      </c>
      <c r="I33" s="98">
        <v>120</v>
      </c>
      <c r="J33" s="98">
        <v>43</v>
      </c>
      <c r="K33" s="98">
        <v>0.06</v>
      </c>
      <c r="L33" s="101">
        <f t="shared" si="3"/>
        <v>1264.42821121682</v>
      </c>
      <c r="M33" s="101">
        <f t="shared" si="4"/>
        <v>2275.9707801902759</v>
      </c>
      <c r="N33" s="102">
        <f t="shared" si="5"/>
        <v>16.859042816224267</v>
      </c>
      <c r="O33" s="103">
        <v>2.0659999999999998</v>
      </c>
      <c r="P33" s="334" t="s">
        <v>122</v>
      </c>
      <c r="Q33" s="104">
        <f t="shared" si="6"/>
        <v>4702.15563187311</v>
      </c>
      <c r="R33" s="105">
        <f t="shared" si="7"/>
        <v>0</v>
      </c>
      <c r="S33" s="105">
        <f t="shared" si="8"/>
        <v>0</v>
      </c>
      <c r="T33" s="81">
        <f t="shared" si="9"/>
        <v>0</v>
      </c>
    </row>
    <row r="34" spans="1:24">
      <c r="A34" s="47" t="s">
        <v>257</v>
      </c>
      <c r="B34" s="335"/>
      <c r="C34" s="335"/>
      <c r="G34" s="335"/>
      <c r="H34" s="334"/>
      <c r="I34" s="98"/>
      <c r="J34" s="98"/>
      <c r="K34" s="98"/>
      <c r="P34" s="334"/>
      <c r="Q34" s="334"/>
      <c r="R34" s="105">
        <f t="shared" si="7"/>
        <v>0</v>
      </c>
      <c r="S34" s="105">
        <f t="shared" si="8"/>
        <v>0</v>
      </c>
      <c r="T34" s="81">
        <f t="shared" si="9"/>
        <v>0</v>
      </c>
    </row>
    <row r="35" spans="1:24" s="335" customFormat="1">
      <c r="A35" s="46" t="s">
        <v>266</v>
      </c>
      <c r="B35" s="20" t="s">
        <v>130</v>
      </c>
      <c r="C35" s="337" t="s">
        <v>56</v>
      </c>
      <c r="D35" s="98">
        <v>2</v>
      </c>
      <c r="E35" s="76" t="s">
        <v>126</v>
      </c>
      <c r="F35" s="7">
        <v>1.52</v>
      </c>
      <c r="G35" s="126" t="s">
        <v>127</v>
      </c>
      <c r="H35" s="100">
        <v>4</v>
      </c>
      <c r="I35" s="98">
        <v>3</v>
      </c>
      <c r="J35" s="98">
        <v>43</v>
      </c>
      <c r="K35" s="98">
        <v>0.01</v>
      </c>
      <c r="L35" s="101">
        <f>CHOOSE(LOOKUP(G35,$W$3:$X$6), "Enter Value", I35*D35*J35*K35*(1+H35), (PI()/4)*D35*I35*(1+H35)*J35^2, PI()*(1+H35)*D35*I35*J35*K35)</f>
        <v>40.526545231308326</v>
      </c>
      <c r="M35" s="101">
        <f>L35*F35</f>
        <v>61.600348751588655</v>
      </c>
      <c r="N35" s="102" t="e">
        <f>L35/E35</f>
        <v>#VALUE!</v>
      </c>
      <c r="O35" s="103">
        <v>0.37</v>
      </c>
      <c r="P35" s="334" t="s">
        <v>120</v>
      </c>
      <c r="Q35" s="104">
        <f>CHOOSE(LOOKUP(P35,$V$3:$V$5,$X$3:$X$5), O35*L35, O35*M35, O35*N35)</f>
        <v>14.994821735584081</v>
      </c>
      <c r="R35" s="105">
        <f t="shared" si="7"/>
        <v>61.600348751588655</v>
      </c>
      <c r="S35" s="105" t="e">
        <f t="shared" si="8"/>
        <v>#VALUE!</v>
      </c>
      <c r="T35" s="81">
        <f t="shared" si="9"/>
        <v>14.994821735584081</v>
      </c>
      <c r="V35" s="83"/>
      <c r="W35" s="83"/>
      <c r="X35" s="83"/>
    </row>
    <row r="36" spans="1:24" s="335" customFormat="1">
      <c r="A36" s="46" t="s">
        <v>267</v>
      </c>
      <c r="B36" s="20" t="s">
        <v>130</v>
      </c>
      <c r="C36" s="337" t="s">
        <v>56</v>
      </c>
      <c r="D36" s="98">
        <v>2</v>
      </c>
      <c r="E36" s="76" t="s">
        <v>126</v>
      </c>
      <c r="F36" s="7">
        <v>1.52</v>
      </c>
      <c r="G36" s="126" t="s">
        <v>127</v>
      </c>
      <c r="H36" s="100">
        <v>4</v>
      </c>
      <c r="I36" s="98">
        <v>3</v>
      </c>
      <c r="J36" s="98">
        <v>43</v>
      </c>
      <c r="K36" s="98">
        <v>0.01</v>
      </c>
      <c r="L36" s="101">
        <f>CHOOSE(LOOKUP(G36,$W$3:$X$6), "Enter Value", I36*D36*J36*K36*(1+H36), (PI()/4)*D36*I36*(1+H36)*J36^2, PI()*(1+H36)*D36*I36*J36*K36)</f>
        <v>40.526545231308326</v>
      </c>
      <c r="M36" s="101">
        <f>L36*F36</f>
        <v>61.600348751588655</v>
      </c>
      <c r="N36" s="102" t="e">
        <f>L36/E36</f>
        <v>#VALUE!</v>
      </c>
      <c r="O36" s="103">
        <v>0.37</v>
      </c>
      <c r="P36" s="334" t="s">
        <v>120</v>
      </c>
      <c r="Q36" s="104">
        <f>CHOOSE(LOOKUP(P36,$V$3:$V$5,$X$3:$X$5), O36*L36, O36*M36, O36*N36)</f>
        <v>14.994821735584081</v>
      </c>
      <c r="R36" s="105">
        <f t="shared" si="7"/>
        <v>61.600348751588655</v>
      </c>
      <c r="S36" s="105" t="e">
        <f t="shared" si="8"/>
        <v>#VALUE!</v>
      </c>
      <c r="T36" s="81">
        <f t="shared" si="9"/>
        <v>14.994821735584081</v>
      </c>
      <c r="V36" s="83"/>
      <c r="W36" s="83"/>
      <c r="X36" s="83"/>
    </row>
    <row r="37" spans="1:24">
      <c r="A37" s="46" t="s">
        <v>266</v>
      </c>
      <c r="B37" s="20" t="s">
        <v>130</v>
      </c>
      <c r="C37" s="337" t="s">
        <v>131</v>
      </c>
      <c r="D37" s="98">
        <v>2</v>
      </c>
      <c r="E37" s="76" t="s">
        <v>126</v>
      </c>
      <c r="F37" s="7">
        <v>1.52</v>
      </c>
      <c r="G37" s="126" t="s">
        <v>127</v>
      </c>
      <c r="H37" s="100">
        <v>4</v>
      </c>
      <c r="I37" s="98">
        <v>3</v>
      </c>
      <c r="J37" s="98">
        <v>43</v>
      </c>
      <c r="K37" s="98">
        <v>0.01</v>
      </c>
      <c r="L37" s="101">
        <f>CHOOSE(LOOKUP(G37,$W$3:$X$6), "Enter Value", I37*D37*J37*K37*(1+H37), (PI()/4)*D37*I37*(1+H37)*J37^2, PI()*(1+H37)*D37*I37*J37*K37)</f>
        <v>40.526545231308326</v>
      </c>
      <c r="M37" s="101">
        <f>L37*F37</f>
        <v>61.600348751588655</v>
      </c>
      <c r="N37" s="102" t="e">
        <f>L37/E37</f>
        <v>#VALUE!</v>
      </c>
      <c r="O37" s="103">
        <v>0.37</v>
      </c>
      <c r="P37" s="334" t="s">
        <v>120</v>
      </c>
      <c r="Q37" s="104">
        <f>CHOOSE(LOOKUP(P37,$V$3:$V$5,$X$3:$X$5), O37*L37, O37*M37, O37*N37)</f>
        <v>14.994821735584081</v>
      </c>
      <c r="R37" s="105">
        <f t="shared" si="7"/>
        <v>0</v>
      </c>
      <c r="S37" s="105">
        <f t="shared" si="8"/>
        <v>0</v>
      </c>
      <c r="T37" s="81">
        <f t="shared" si="9"/>
        <v>0</v>
      </c>
    </row>
    <row r="38" spans="1:24">
      <c r="A38" s="46" t="s">
        <v>267</v>
      </c>
      <c r="B38" s="20" t="s">
        <v>130</v>
      </c>
      <c r="C38" s="337" t="s">
        <v>131</v>
      </c>
      <c r="D38" s="98">
        <v>2</v>
      </c>
      <c r="E38" s="76" t="s">
        <v>126</v>
      </c>
      <c r="F38" s="7">
        <v>1.52</v>
      </c>
      <c r="G38" s="126" t="s">
        <v>127</v>
      </c>
      <c r="H38" s="100">
        <v>4</v>
      </c>
      <c r="I38" s="98">
        <v>3</v>
      </c>
      <c r="J38" s="98">
        <v>43</v>
      </c>
      <c r="K38" s="98">
        <v>0.01</v>
      </c>
      <c r="L38" s="101">
        <f>CHOOSE(LOOKUP(G38,$W$3:$X$6), "Enter Value", I38*D38*J38*K38*(1+H38), (PI()/4)*D38*I38*(1+H38)*J38^2, PI()*(1+H38)*D38*I38*J38*K38)</f>
        <v>40.526545231308326</v>
      </c>
      <c r="M38" s="101">
        <f>L38*F38</f>
        <v>61.600348751588655</v>
      </c>
      <c r="N38" s="102" t="e">
        <f>L38/E38</f>
        <v>#VALUE!</v>
      </c>
      <c r="O38" s="103">
        <v>0.37</v>
      </c>
      <c r="P38" s="334" t="s">
        <v>120</v>
      </c>
      <c r="Q38" s="104">
        <f>CHOOSE(LOOKUP(P38,$V$3:$V$5,$X$3:$X$5), O38*L38, O38*M38, O38*N38)</f>
        <v>14.994821735584081</v>
      </c>
      <c r="R38" s="105">
        <f t="shared" si="7"/>
        <v>0</v>
      </c>
      <c r="S38" s="105">
        <f t="shared" si="8"/>
        <v>0</v>
      </c>
      <c r="T38" s="81">
        <f t="shared" si="9"/>
        <v>0</v>
      </c>
    </row>
    <row r="39" spans="1:24" s="335" customFormat="1" ht="15.75">
      <c r="A39" s="49" t="s">
        <v>282</v>
      </c>
      <c r="B39" s="20"/>
      <c r="C39" s="20"/>
      <c r="D39" s="76"/>
      <c r="E39" s="76"/>
      <c r="F39" s="92"/>
      <c r="G39" s="84"/>
      <c r="H39" s="333"/>
      <c r="I39" s="148"/>
      <c r="J39" s="148"/>
      <c r="K39" s="148"/>
      <c r="L39" s="93"/>
      <c r="M39" s="93"/>
      <c r="N39" s="94"/>
      <c r="O39" s="95"/>
      <c r="P39" s="333"/>
      <c r="Q39" s="333"/>
      <c r="R39" s="81"/>
      <c r="S39" s="82"/>
      <c r="T39" s="81"/>
      <c r="V39" s="83"/>
      <c r="W39" s="83"/>
      <c r="X39" s="83"/>
    </row>
    <row r="40" spans="1:24" s="335" customFormat="1" ht="15">
      <c r="A40" s="97" t="s">
        <v>262</v>
      </c>
      <c r="B40" s="20"/>
      <c r="C40" s="20"/>
      <c r="D40" s="76"/>
      <c r="E40" s="76"/>
      <c r="F40" s="92"/>
      <c r="G40" s="84"/>
      <c r="H40" s="333"/>
      <c r="I40" s="148"/>
      <c r="J40" s="148"/>
      <c r="K40" s="148"/>
      <c r="L40" s="93"/>
      <c r="M40" s="93"/>
      <c r="N40" s="94"/>
      <c r="O40" s="95"/>
      <c r="P40" s="333"/>
      <c r="Q40" s="333"/>
      <c r="R40" s="81"/>
      <c r="S40" s="82"/>
      <c r="T40" s="81"/>
      <c r="V40" s="83"/>
      <c r="W40" s="83"/>
      <c r="X40" s="83"/>
    </row>
    <row r="41" spans="1:24" s="335" customFormat="1">
      <c r="A41" s="47" t="s">
        <v>127</v>
      </c>
      <c r="B41" s="20"/>
      <c r="C41" s="20"/>
      <c r="D41" s="76"/>
      <c r="E41" s="76"/>
      <c r="F41" s="92"/>
      <c r="G41" s="84"/>
      <c r="H41" s="333"/>
      <c r="I41" s="332"/>
      <c r="J41" s="332"/>
      <c r="K41" s="332"/>
      <c r="L41" s="93"/>
      <c r="M41" s="93"/>
      <c r="N41" s="94"/>
      <c r="O41" s="95"/>
      <c r="P41" s="333"/>
      <c r="Q41" s="333"/>
      <c r="R41" s="81"/>
      <c r="S41" s="82"/>
      <c r="T41" s="81"/>
      <c r="V41" s="83"/>
      <c r="W41" s="83"/>
      <c r="X41" s="83"/>
    </row>
    <row r="42" spans="1:24" s="335" customFormat="1">
      <c r="A42" s="46" t="s">
        <v>263</v>
      </c>
      <c r="B42" s="20" t="s">
        <v>128</v>
      </c>
      <c r="C42" s="337" t="s">
        <v>129</v>
      </c>
      <c r="D42" s="98">
        <v>2</v>
      </c>
      <c r="E42" s="98">
        <v>330</v>
      </c>
      <c r="F42" s="7">
        <v>1.8</v>
      </c>
      <c r="G42" s="99" t="s">
        <v>127</v>
      </c>
      <c r="H42" s="100">
        <v>0.3</v>
      </c>
      <c r="I42" s="98">
        <v>5</v>
      </c>
      <c r="J42" s="98">
        <v>43</v>
      </c>
      <c r="K42" s="98">
        <v>0.15</v>
      </c>
      <c r="L42" s="101">
        <f>CHOOSE(LOOKUP(G42,$W$3:$X$6), "Enter Value", I42*D42*J42*K42*(1+H42), (PI()/4)*D42*I42*(1+H42)*J42^2, PI()*(1+H42)*D42*I42*J42*K42)</f>
        <v>263.42254400350413</v>
      </c>
      <c r="M42" s="101">
        <f>L42*F42</f>
        <v>474.16057920630743</v>
      </c>
      <c r="N42" s="102">
        <f>L42/E42</f>
        <v>0.7982501333439519</v>
      </c>
      <c r="O42" s="103">
        <v>0.62</v>
      </c>
      <c r="P42" s="334" t="s">
        <v>122</v>
      </c>
      <c r="Q42" s="104">
        <f>CHOOSE(LOOKUP(P42,$V$3:$V$5,$X$3:$X$5), O42*L42, O42*M42, O42*N42)</f>
        <v>293.97955910791063</v>
      </c>
      <c r="R42" s="105">
        <f t="shared" ref="R42:R47" si="10">IF(C42="Test", M42, 0)</f>
        <v>0</v>
      </c>
      <c r="S42" s="105">
        <f t="shared" ref="S42:S47" si="11">IF(C42="Test", N42, 0)</f>
        <v>0</v>
      </c>
      <c r="T42" s="81">
        <f t="shared" ref="T42:T47" si="12">IF(C42="Test", Q42, 0)</f>
        <v>0</v>
      </c>
      <c r="V42" s="83"/>
      <c r="W42" s="83"/>
      <c r="X42" s="83"/>
    </row>
    <row r="43" spans="1:24" s="335" customFormat="1">
      <c r="A43" s="46" t="s">
        <v>264</v>
      </c>
      <c r="B43" s="20" t="s">
        <v>128</v>
      </c>
      <c r="C43" s="337" t="s">
        <v>129</v>
      </c>
      <c r="D43" s="98">
        <v>2</v>
      </c>
      <c r="E43" s="98">
        <v>330</v>
      </c>
      <c r="F43" s="7">
        <v>1.8</v>
      </c>
      <c r="G43" s="99" t="s">
        <v>127</v>
      </c>
      <c r="H43" s="100">
        <v>0.3</v>
      </c>
      <c r="I43" s="98">
        <v>0.6</v>
      </c>
      <c r="J43" s="98">
        <v>43</v>
      </c>
      <c r="K43" s="98">
        <v>3</v>
      </c>
      <c r="L43" s="101">
        <f>CHOOSE(LOOKUP(G43,$W$3:$X$6), "Enter Value", I43*D43*J43*K43*(1+H43), (PI()/4)*D43*I43*(1+H43)*J43^2, PI()*(1+H43)*D43*I43*J43*K43)</f>
        <v>632.21410560840991</v>
      </c>
      <c r="M43" s="101">
        <f>L43*F43</f>
        <v>1137.985390095138</v>
      </c>
      <c r="N43" s="102">
        <f>L43/E43</f>
        <v>1.9158003200254845</v>
      </c>
      <c r="O43" s="103">
        <v>0.62</v>
      </c>
      <c r="P43" s="334" t="s">
        <v>122</v>
      </c>
      <c r="Q43" s="104">
        <f>CHOOSE(LOOKUP(P43,$V$3:$V$5,$X$3:$X$5), O43*L43, O43*M43, O43*N43)</f>
        <v>705.55094185898554</v>
      </c>
      <c r="R43" s="105">
        <f t="shared" si="10"/>
        <v>0</v>
      </c>
      <c r="S43" s="105">
        <f t="shared" si="11"/>
        <v>0</v>
      </c>
      <c r="T43" s="81">
        <f t="shared" si="12"/>
        <v>0</v>
      </c>
      <c r="V43" s="83"/>
      <c r="W43" s="83"/>
      <c r="X43" s="83"/>
    </row>
    <row r="44" spans="1:24" s="335" customFormat="1">
      <c r="A44" s="46" t="s">
        <v>265</v>
      </c>
      <c r="B44" s="20" t="s">
        <v>276</v>
      </c>
      <c r="C44" s="337" t="s">
        <v>129</v>
      </c>
      <c r="D44" s="98">
        <v>1</v>
      </c>
      <c r="E44" s="98">
        <v>75</v>
      </c>
      <c r="F44" s="7">
        <v>1.8</v>
      </c>
      <c r="G44" s="99" t="s">
        <v>127</v>
      </c>
      <c r="H44" s="100">
        <v>0.3</v>
      </c>
      <c r="I44" s="98">
        <v>220</v>
      </c>
      <c r="J44" s="98">
        <v>43</v>
      </c>
      <c r="K44" s="98">
        <v>0.06</v>
      </c>
      <c r="L44" s="101">
        <f>CHOOSE(LOOKUP(G44,$W$3:$X$6), "Enter Value", I44*D44*J44*K44*(1+H44), (PI()/4)*D44*I44*(1+H44)*J44^2, PI()*(1+H44)*D44*I44*J44*K44)</f>
        <v>2318.1183872308366</v>
      </c>
      <c r="M44" s="101">
        <f>L44*F44</f>
        <v>4172.6130970155064</v>
      </c>
      <c r="N44" s="102">
        <f>L44/E44</f>
        <v>30.908245163077822</v>
      </c>
      <c r="O44" s="103">
        <v>2.0659999999999998</v>
      </c>
      <c r="P44" s="334" t="s">
        <v>122</v>
      </c>
      <c r="Q44" s="104">
        <f>CHOOSE(LOOKUP(P44,$V$3:$V$5,$X$3:$X$5), O44*L44, O44*M44, O44*N44)</f>
        <v>8620.6186584340358</v>
      </c>
      <c r="R44" s="105">
        <f t="shared" si="10"/>
        <v>0</v>
      </c>
      <c r="S44" s="105">
        <f t="shared" si="11"/>
        <v>0</v>
      </c>
      <c r="T44" s="81">
        <f t="shared" si="12"/>
        <v>0</v>
      </c>
      <c r="V44" s="83"/>
      <c r="W44" s="83"/>
      <c r="X44" s="83"/>
    </row>
    <row r="45" spans="1:24" s="335" customFormat="1">
      <c r="A45" s="47" t="s">
        <v>257</v>
      </c>
      <c r="D45" s="98"/>
      <c r="E45" s="98"/>
      <c r="F45" s="7"/>
      <c r="H45" s="334"/>
      <c r="I45" s="98"/>
      <c r="J45" s="98"/>
      <c r="K45" s="98"/>
      <c r="L45" s="101"/>
      <c r="M45" s="101"/>
      <c r="N45" s="102"/>
      <c r="O45" s="103"/>
      <c r="P45" s="334"/>
      <c r="Q45" s="334"/>
      <c r="R45" s="105">
        <f t="shared" si="10"/>
        <v>0</v>
      </c>
      <c r="S45" s="105">
        <f t="shared" si="11"/>
        <v>0</v>
      </c>
      <c r="T45" s="81">
        <f t="shared" si="12"/>
        <v>0</v>
      </c>
      <c r="V45" s="83"/>
      <c r="W45" s="83"/>
      <c r="X45" s="83"/>
    </row>
    <row r="46" spans="1:24" s="335" customFormat="1">
      <c r="A46" s="46" t="s">
        <v>266</v>
      </c>
      <c r="B46" s="20" t="s">
        <v>130</v>
      </c>
      <c r="C46" s="337" t="s">
        <v>131</v>
      </c>
      <c r="D46" s="98">
        <v>2</v>
      </c>
      <c r="E46" s="76" t="s">
        <v>126</v>
      </c>
      <c r="F46" s="7">
        <v>1.52</v>
      </c>
      <c r="G46" s="126" t="s">
        <v>127</v>
      </c>
      <c r="H46" s="100">
        <v>4</v>
      </c>
      <c r="I46" s="98">
        <v>3</v>
      </c>
      <c r="J46" s="98">
        <v>43</v>
      </c>
      <c r="K46" s="98">
        <v>0.01</v>
      </c>
      <c r="L46" s="101">
        <f>CHOOSE(LOOKUP(G46,$W$3:$X$6), "Enter Value", I46*D46*J46*K46*(1+H46), (PI()/4)*D46*I46*(1+H46)*J46^2, PI()*(1+H46)*D46*I46*J46*K46)</f>
        <v>40.526545231308326</v>
      </c>
      <c r="M46" s="101">
        <f>L46*F46</f>
        <v>61.600348751588655</v>
      </c>
      <c r="N46" s="102" t="e">
        <f>L46/E46</f>
        <v>#VALUE!</v>
      </c>
      <c r="O46" s="103">
        <v>0.37</v>
      </c>
      <c r="P46" s="334" t="s">
        <v>120</v>
      </c>
      <c r="Q46" s="104">
        <f>CHOOSE(LOOKUP(P46,$V$3:$V$5,$X$3:$X$5), O46*L46, O46*M46, O46*N46)</f>
        <v>14.994821735584081</v>
      </c>
      <c r="R46" s="105">
        <f t="shared" si="10"/>
        <v>0</v>
      </c>
      <c r="S46" s="105">
        <f t="shared" si="11"/>
        <v>0</v>
      </c>
      <c r="T46" s="81">
        <f t="shared" si="12"/>
        <v>0</v>
      </c>
      <c r="V46" s="83"/>
      <c r="W46" s="83"/>
      <c r="X46" s="83"/>
    </row>
    <row r="47" spans="1:24" s="335" customFormat="1">
      <c r="A47" s="46" t="s">
        <v>267</v>
      </c>
      <c r="B47" s="20" t="s">
        <v>130</v>
      </c>
      <c r="C47" s="337" t="s">
        <v>131</v>
      </c>
      <c r="D47" s="98">
        <v>2</v>
      </c>
      <c r="E47" s="76" t="s">
        <v>126</v>
      </c>
      <c r="F47" s="7">
        <v>1.52</v>
      </c>
      <c r="G47" s="126" t="s">
        <v>127</v>
      </c>
      <c r="H47" s="100">
        <v>4</v>
      </c>
      <c r="I47" s="98">
        <v>3</v>
      </c>
      <c r="J47" s="98">
        <v>43</v>
      </c>
      <c r="K47" s="98">
        <v>0.01</v>
      </c>
      <c r="L47" s="101">
        <f>CHOOSE(LOOKUP(G47,$W$3:$X$6), "Enter Value", I47*D47*J47*K47*(1+H47), (PI()/4)*D47*I47*(1+H47)*J47^2, PI()*(1+H47)*D47*I47*J47*K47)</f>
        <v>40.526545231308326</v>
      </c>
      <c r="M47" s="101">
        <f>L47*F47</f>
        <v>61.600348751588655</v>
      </c>
      <c r="N47" s="102" t="e">
        <f>L47/E47</f>
        <v>#VALUE!</v>
      </c>
      <c r="O47" s="103">
        <v>0.37</v>
      </c>
      <c r="P47" s="334" t="s">
        <v>120</v>
      </c>
      <c r="Q47" s="104">
        <f>CHOOSE(LOOKUP(P47,$V$3:$V$5,$X$3:$X$5), O47*L47, O47*M47, O47*N47)</f>
        <v>14.994821735584081</v>
      </c>
      <c r="R47" s="105">
        <f t="shared" si="10"/>
        <v>0</v>
      </c>
      <c r="S47" s="105">
        <f t="shared" si="11"/>
        <v>0</v>
      </c>
      <c r="T47" s="81">
        <f t="shared" si="12"/>
        <v>0</v>
      </c>
      <c r="V47" s="83"/>
      <c r="W47" s="83"/>
      <c r="X47" s="83"/>
    </row>
    <row r="48" spans="1:24" s="335" customFormat="1" ht="15.75">
      <c r="A48" s="49" t="s">
        <v>283</v>
      </c>
      <c r="B48" s="20"/>
      <c r="C48" s="20"/>
      <c r="D48" s="76"/>
      <c r="E48" s="76"/>
      <c r="F48" s="92"/>
      <c r="G48" s="84"/>
      <c r="H48" s="333"/>
      <c r="I48" s="148"/>
      <c r="J48" s="148"/>
      <c r="K48" s="148"/>
      <c r="L48" s="93"/>
      <c r="M48" s="93"/>
      <c r="N48" s="94"/>
      <c r="O48" s="95"/>
      <c r="P48" s="333"/>
      <c r="Q48" s="333"/>
      <c r="R48" s="81"/>
      <c r="S48" s="82"/>
      <c r="T48" s="81"/>
      <c r="V48" s="83"/>
      <c r="W48" s="83"/>
      <c r="X48" s="83"/>
    </row>
    <row r="49" spans="1:24" s="335" customFormat="1" ht="15">
      <c r="A49" s="97" t="s">
        <v>262</v>
      </c>
      <c r="B49" s="20"/>
      <c r="C49" s="20"/>
      <c r="D49" s="76"/>
      <c r="E49" s="76"/>
      <c r="F49" s="92"/>
      <c r="G49" s="84"/>
      <c r="H49" s="333"/>
      <c r="I49" s="148"/>
      <c r="J49" s="148"/>
      <c r="K49" s="148"/>
      <c r="L49" s="93"/>
      <c r="M49" s="93"/>
      <c r="N49" s="94"/>
      <c r="O49" s="95"/>
      <c r="P49" s="333"/>
      <c r="Q49" s="333"/>
      <c r="R49" s="81"/>
      <c r="S49" s="82"/>
      <c r="T49" s="81"/>
      <c r="V49" s="83"/>
      <c r="W49" s="83"/>
      <c r="X49" s="83"/>
    </row>
    <row r="50" spans="1:24" s="335" customFormat="1">
      <c r="A50" s="47" t="s">
        <v>127</v>
      </c>
      <c r="B50" s="20"/>
      <c r="C50" s="20"/>
      <c r="D50" s="76"/>
      <c r="E50" s="76"/>
      <c r="F50" s="92"/>
      <c r="G50" s="84"/>
      <c r="H50" s="333"/>
      <c r="I50" s="332"/>
      <c r="J50" s="332"/>
      <c r="K50" s="332"/>
      <c r="L50" s="93"/>
      <c r="M50" s="93"/>
      <c r="N50" s="94"/>
      <c r="O50" s="95"/>
      <c r="P50" s="333"/>
      <c r="Q50" s="333"/>
      <c r="R50" s="81"/>
      <c r="S50" s="82"/>
      <c r="T50" s="81"/>
      <c r="V50" s="83"/>
      <c r="W50" s="83"/>
      <c r="X50" s="83"/>
    </row>
    <row r="51" spans="1:24" s="335" customFormat="1">
      <c r="A51" s="46" t="s">
        <v>263</v>
      </c>
      <c r="B51" s="20" t="s">
        <v>128</v>
      </c>
      <c r="C51" s="337" t="s">
        <v>56</v>
      </c>
      <c r="D51" s="98">
        <v>2</v>
      </c>
      <c r="E51" s="98">
        <v>330</v>
      </c>
      <c r="F51" s="7">
        <v>1.8</v>
      </c>
      <c r="G51" s="99" t="s">
        <v>127</v>
      </c>
      <c r="H51" s="100">
        <v>0.3</v>
      </c>
      <c r="I51" s="98">
        <v>5</v>
      </c>
      <c r="J51" s="98">
        <v>25</v>
      </c>
      <c r="K51" s="98">
        <v>0.15</v>
      </c>
      <c r="L51" s="101">
        <f t="shared" ref="L51:L56" si="13">CHOOSE(LOOKUP(G51,$W$3:$X$6), "Enter Value", I51*D51*J51*K51*(1+H51), (PI()/4)*D51*I51*(1+H51)*J51^2, PI()*(1+H51)*D51*I51*J51*K51)</f>
        <v>153.15264186250241</v>
      </c>
      <c r="M51" s="101">
        <f t="shared" ref="M51:M56" si="14">L51*F51</f>
        <v>275.67475535250435</v>
      </c>
      <c r="N51" s="102">
        <f t="shared" ref="N51:N56" si="15">L51/E51</f>
        <v>0.46409891473485576</v>
      </c>
      <c r="O51" s="103">
        <v>0.62</v>
      </c>
      <c r="P51" s="334" t="s">
        <v>122</v>
      </c>
      <c r="Q51" s="104">
        <f t="shared" ref="Q51:Q56" si="16">CHOOSE(LOOKUP(P51,$V$3:$V$5,$X$3:$X$5), O51*L51, O51*M51, O51*N51)</f>
        <v>170.91834831855269</v>
      </c>
      <c r="R51" s="105">
        <f t="shared" ref="R51:R61" si="17">IF(C51="Test", M51, 0)</f>
        <v>275.67475535250435</v>
      </c>
      <c r="S51" s="105">
        <f t="shared" ref="S51:S61" si="18">IF(C51="Test", N51, 0)</f>
        <v>0.46409891473485576</v>
      </c>
      <c r="T51" s="81">
        <f t="shared" ref="T51:T61" si="19">IF(C51="Test", Q51, 0)</f>
        <v>170.91834831855269</v>
      </c>
      <c r="V51" s="83"/>
      <c r="W51" s="83"/>
      <c r="X51" s="83"/>
    </row>
    <row r="52" spans="1:24" s="335" customFormat="1">
      <c r="A52" s="46" t="s">
        <v>264</v>
      </c>
      <c r="B52" s="20" t="s">
        <v>128</v>
      </c>
      <c r="C52" s="337" t="s">
        <v>56</v>
      </c>
      <c r="D52" s="98">
        <v>2</v>
      </c>
      <c r="E52" s="98">
        <v>330</v>
      </c>
      <c r="F52" s="7">
        <v>1.8</v>
      </c>
      <c r="G52" s="99" t="s">
        <v>127</v>
      </c>
      <c r="H52" s="100">
        <v>0.3</v>
      </c>
      <c r="I52" s="98">
        <v>0.6</v>
      </c>
      <c r="J52" s="98">
        <v>25</v>
      </c>
      <c r="K52" s="98">
        <v>3</v>
      </c>
      <c r="L52" s="101">
        <f t="shared" si="13"/>
        <v>367.5663404700058</v>
      </c>
      <c r="M52" s="101">
        <f t="shared" si="14"/>
        <v>661.6194128460105</v>
      </c>
      <c r="N52" s="102">
        <f t="shared" si="15"/>
        <v>1.113837395363654</v>
      </c>
      <c r="O52" s="103">
        <v>0.62</v>
      </c>
      <c r="P52" s="334" t="s">
        <v>122</v>
      </c>
      <c r="Q52" s="104">
        <f t="shared" si="16"/>
        <v>410.2040359645265</v>
      </c>
      <c r="R52" s="105">
        <f t="shared" si="17"/>
        <v>661.6194128460105</v>
      </c>
      <c r="S52" s="105">
        <f t="shared" si="18"/>
        <v>1.113837395363654</v>
      </c>
      <c r="T52" s="81">
        <f t="shared" si="19"/>
        <v>410.2040359645265</v>
      </c>
      <c r="V52" s="83"/>
      <c r="W52" s="83"/>
      <c r="X52" s="83"/>
    </row>
    <row r="53" spans="1:24" s="335" customFormat="1">
      <c r="A53" s="46" t="s">
        <v>265</v>
      </c>
      <c r="B53" s="20" t="s">
        <v>276</v>
      </c>
      <c r="C53" s="337" t="s">
        <v>56</v>
      </c>
      <c r="D53" s="98">
        <v>3</v>
      </c>
      <c r="E53" s="98">
        <v>75</v>
      </c>
      <c r="F53" s="7">
        <v>1.8</v>
      </c>
      <c r="G53" s="99" t="s">
        <v>127</v>
      </c>
      <c r="H53" s="100">
        <v>0.3</v>
      </c>
      <c r="I53" s="98">
        <v>40</v>
      </c>
      <c r="J53" s="98">
        <v>25</v>
      </c>
      <c r="K53" s="98">
        <v>0.06</v>
      </c>
      <c r="L53" s="101">
        <f t="shared" si="13"/>
        <v>735.13268094001148</v>
      </c>
      <c r="M53" s="101">
        <f t="shared" si="14"/>
        <v>1323.2388256920208</v>
      </c>
      <c r="N53" s="102">
        <f t="shared" si="15"/>
        <v>9.8017690792001524</v>
      </c>
      <c r="O53" s="103">
        <v>2.0659999999999998</v>
      </c>
      <c r="P53" s="334" t="s">
        <v>122</v>
      </c>
      <c r="Q53" s="104">
        <f t="shared" si="16"/>
        <v>2733.8114138797146</v>
      </c>
      <c r="R53" s="105">
        <f t="shared" si="17"/>
        <v>1323.2388256920208</v>
      </c>
      <c r="S53" s="105">
        <f t="shared" si="18"/>
        <v>9.8017690792001524</v>
      </c>
      <c r="T53" s="81">
        <f t="shared" si="19"/>
        <v>2733.8114138797146</v>
      </c>
      <c r="V53" s="83"/>
      <c r="W53" s="83"/>
      <c r="X53" s="83"/>
    </row>
    <row r="54" spans="1:24" s="335" customFormat="1">
      <c r="A54" s="46" t="s">
        <v>263</v>
      </c>
      <c r="B54" s="20" t="s">
        <v>128</v>
      </c>
      <c r="C54" s="337" t="s">
        <v>129</v>
      </c>
      <c r="D54" s="98">
        <v>2</v>
      </c>
      <c r="E54" s="98">
        <v>330</v>
      </c>
      <c r="F54" s="7">
        <v>1.8</v>
      </c>
      <c r="G54" s="99" t="s">
        <v>127</v>
      </c>
      <c r="H54" s="100">
        <v>0.3</v>
      </c>
      <c r="I54" s="98">
        <v>5</v>
      </c>
      <c r="J54" s="98">
        <v>25</v>
      </c>
      <c r="K54" s="98">
        <v>0.15</v>
      </c>
      <c r="L54" s="101">
        <f t="shared" si="13"/>
        <v>153.15264186250241</v>
      </c>
      <c r="M54" s="101">
        <f t="shared" si="14"/>
        <v>275.67475535250435</v>
      </c>
      <c r="N54" s="102">
        <f t="shared" si="15"/>
        <v>0.46409891473485576</v>
      </c>
      <c r="O54" s="103">
        <v>0.62</v>
      </c>
      <c r="P54" s="334" t="s">
        <v>122</v>
      </c>
      <c r="Q54" s="104">
        <f t="shared" si="16"/>
        <v>170.91834831855269</v>
      </c>
      <c r="R54" s="105">
        <f t="shared" si="17"/>
        <v>0</v>
      </c>
      <c r="S54" s="105">
        <f t="shared" si="18"/>
        <v>0</v>
      </c>
      <c r="T54" s="81">
        <f t="shared" si="19"/>
        <v>0</v>
      </c>
      <c r="V54" s="83"/>
      <c r="W54" s="83"/>
      <c r="X54" s="83"/>
    </row>
    <row r="55" spans="1:24" s="335" customFormat="1">
      <c r="A55" s="46" t="s">
        <v>264</v>
      </c>
      <c r="B55" s="20" t="s">
        <v>128</v>
      </c>
      <c r="C55" s="337" t="s">
        <v>129</v>
      </c>
      <c r="D55" s="98">
        <v>2</v>
      </c>
      <c r="E55" s="98">
        <v>330</v>
      </c>
      <c r="F55" s="7">
        <v>1.8</v>
      </c>
      <c r="G55" s="99" t="s">
        <v>127</v>
      </c>
      <c r="H55" s="100">
        <v>0.3</v>
      </c>
      <c r="I55" s="98">
        <v>0.6</v>
      </c>
      <c r="J55" s="98">
        <v>25</v>
      </c>
      <c r="K55" s="98">
        <v>3</v>
      </c>
      <c r="L55" s="101">
        <f t="shared" si="13"/>
        <v>367.5663404700058</v>
      </c>
      <c r="M55" s="101">
        <f t="shared" si="14"/>
        <v>661.6194128460105</v>
      </c>
      <c r="N55" s="102">
        <f t="shared" si="15"/>
        <v>1.113837395363654</v>
      </c>
      <c r="O55" s="103">
        <v>0.62</v>
      </c>
      <c r="P55" s="334" t="s">
        <v>122</v>
      </c>
      <c r="Q55" s="104">
        <f t="shared" si="16"/>
        <v>410.2040359645265</v>
      </c>
      <c r="R55" s="105">
        <f t="shared" si="17"/>
        <v>0</v>
      </c>
      <c r="S55" s="105">
        <f t="shared" si="18"/>
        <v>0</v>
      </c>
      <c r="T55" s="81">
        <f t="shared" si="19"/>
        <v>0</v>
      </c>
      <c r="V55" s="83"/>
      <c r="W55" s="83"/>
      <c r="X55" s="83"/>
    </row>
    <row r="56" spans="1:24" s="335" customFormat="1">
      <c r="A56" s="46" t="s">
        <v>265</v>
      </c>
      <c r="B56" s="20" t="s">
        <v>276</v>
      </c>
      <c r="C56" s="337" t="s">
        <v>129</v>
      </c>
      <c r="D56" s="98">
        <v>1</v>
      </c>
      <c r="E56" s="98">
        <v>75</v>
      </c>
      <c r="F56" s="7">
        <v>1.8</v>
      </c>
      <c r="G56" s="99" t="s">
        <v>127</v>
      </c>
      <c r="H56" s="100">
        <v>0.3</v>
      </c>
      <c r="I56" s="98">
        <v>120</v>
      </c>
      <c r="J56" s="98">
        <v>25</v>
      </c>
      <c r="K56" s="98">
        <v>0.06</v>
      </c>
      <c r="L56" s="101">
        <f t="shared" si="13"/>
        <v>735.13268094001148</v>
      </c>
      <c r="M56" s="101">
        <f t="shared" si="14"/>
        <v>1323.2388256920208</v>
      </c>
      <c r="N56" s="102">
        <f t="shared" si="15"/>
        <v>9.8017690792001524</v>
      </c>
      <c r="O56" s="103">
        <v>2.0659999999999998</v>
      </c>
      <c r="P56" s="334" t="s">
        <v>122</v>
      </c>
      <c r="Q56" s="104">
        <f t="shared" si="16"/>
        <v>2733.8114138797146</v>
      </c>
      <c r="R56" s="105">
        <f t="shared" si="17"/>
        <v>0</v>
      </c>
      <c r="S56" s="105">
        <f t="shared" si="18"/>
        <v>0</v>
      </c>
      <c r="T56" s="81">
        <f t="shared" si="19"/>
        <v>0</v>
      </c>
      <c r="V56" s="83"/>
      <c r="W56" s="83"/>
      <c r="X56" s="83"/>
    </row>
    <row r="57" spans="1:24" s="335" customFormat="1">
      <c r="A57" s="47" t="s">
        <v>257</v>
      </c>
      <c r="D57" s="98"/>
      <c r="E57" s="98"/>
      <c r="F57" s="7"/>
      <c r="H57" s="334"/>
      <c r="I57" s="98"/>
      <c r="J57" s="98"/>
      <c r="K57" s="98"/>
      <c r="L57" s="101"/>
      <c r="M57" s="101"/>
      <c r="N57" s="102"/>
      <c r="O57" s="103"/>
      <c r="P57" s="334"/>
      <c r="Q57" s="334"/>
      <c r="R57" s="105">
        <f t="shared" si="17"/>
        <v>0</v>
      </c>
      <c r="S57" s="105">
        <f t="shared" si="18"/>
        <v>0</v>
      </c>
      <c r="T57" s="81">
        <f t="shared" si="19"/>
        <v>0</v>
      </c>
      <c r="V57" s="83"/>
      <c r="W57" s="83"/>
      <c r="X57" s="83"/>
    </row>
    <row r="58" spans="1:24" s="335" customFormat="1">
      <c r="A58" s="46" t="s">
        <v>266</v>
      </c>
      <c r="B58" s="20" t="s">
        <v>130</v>
      </c>
      <c r="C58" s="337" t="s">
        <v>56</v>
      </c>
      <c r="D58" s="98">
        <v>2</v>
      </c>
      <c r="E58" s="76" t="s">
        <v>126</v>
      </c>
      <c r="F58" s="7">
        <v>1.52</v>
      </c>
      <c r="G58" s="126" t="s">
        <v>127</v>
      </c>
      <c r="H58" s="100">
        <v>4</v>
      </c>
      <c r="I58" s="98">
        <v>3</v>
      </c>
      <c r="J58" s="98">
        <v>43</v>
      </c>
      <c r="K58" s="98">
        <v>0.01</v>
      </c>
      <c r="L58" s="101">
        <f>CHOOSE(LOOKUP(G58,$W$3:$X$6), "Enter Value", I58*D58*J58*K58*(1+H58), (PI()/4)*D58*I58*(1+H58)*J58^2, PI()*(1+H58)*D58*I58*J58*K58)</f>
        <v>40.526545231308326</v>
      </c>
      <c r="M58" s="101">
        <f>L58*F58</f>
        <v>61.600348751588655</v>
      </c>
      <c r="N58" s="102" t="e">
        <f>L58/E58</f>
        <v>#VALUE!</v>
      </c>
      <c r="O58" s="103">
        <v>0.37</v>
      </c>
      <c r="P58" s="334" t="s">
        <v>120</v>
      </c>
      <c r="Q58" s="104">
        <f>CHOOSE(LOOKUP(P58,$V$3:$V$5,$X$3:$X$5), O58*L58, O58*M58, O58*N58)</f>
        <v>14.994821735584081</v>
      </c>
      <c r="R58" s="105">
        <f t="shared" si="17"/>
        <v>61.600348751588655</v>
      </c>
      <c r="S58" s="105" t="e">
        <f t="shared" si="18"/>
        <v>#VALUE!</v>
      </c>
      <c r="T58" s="81">
        <f t="shared" si="19"/>
        <v>14.994821735584081</v>
      </c>
      <c r="V58" s="83"/>
      <c r="W58" s="83"/>
      <c r="X58" s="83"/>
    </row>
    <row r="59" spans="1:24" s="335" customFormat="1">
      <c r="A59" s="46" t="s">
        <v>267</v>
      </c>
      <c r="B59" s="20" t="s">
        <v>130</v>
      </c>
      <c r="C59" s="337" t="s">
        <v>56</v>
      </c>
      <c r="D59" s="98">
        <v>2</v>
      </c>
      <c r="E59" s="76" t="s">
        <v>126</v>
      </c>
      <c r="F59" s="7">
        <v>1.52</v>
      </c>
      <c r="G59" s="126" t="s">
        <v>127</v>
      </c>
      <c r="H59" s="100">
        <v>4</v>
      </c>
      <c r="I59" s="98">
        <v>3</v>
      </c>
      <c r="J59" s="98">
        <v>43</v>
      </c>
      <c r="K59" s="98">
        <v>0.01</v>
      </c>
      <c r="L59" s="101">
        <f>CHOOSE(LOOKUP(G59,$W$3:$X$6), "Enter Value", I59*D59*J59*K59*(1+H59), (PI()/4)*D59*I59*(1+H59)*J59^2, PI()*(1+H59)*D59*I59*J59*K59)</f>
        <v>40.526545231308326</v>
      </c>
      <c r="M59" s="101">
        <f>L59*F59</f>
        <v>61.600348751588655</v>
      </c>
      <c r="N59" s="102" t="e">
        <f>L59/E59</f>
        <v>#VALUE!</v>
      </c>
      <c r="O59" s="103">
        <v>0.37</v>
      </c>
      <c r="P59" s="334" t="s">
        <v>120</v>
      </c>
      <c r="Q59" s="104">
        <f>CHOOSE(LOOKUP(P59,$V$3:$V$5,$X$3:$X$5), O59*L59, O59*M59, O59*N59)</f>
        <v>14.994821735584081</v>
      </c>
      <c r="R59" s="105">
        <f t="shared" si="17"/>
        <v>61.600348751588655</v>
      </c>
      <c r="S59" s="105" t="e">
        <f t="shared" si="18"/>
        <v>#VALUE!</v>
      </c>
      <c r="T59" s="81">
        <f t="shared" si="19"/>
        <v>14.994821735584081</v>
      </c>
      <c r="V59" s="83"/>
      <c r="W59" s="83"/>
      <c r="X59" s="83"/>
    </row>
    <row r="60" spans="1:24" s="335" customFormat="1">
      <c r="A60" s="46" t="s">
        <v>266</v>
      </c>
      <c r="B60" s="20" t="s">
        <v>130</v>
      </c>
      <c r="C60" s="337" t="s">
        <v>131</v>
      </c>
      <c r="D60" s="98">
        <v>2</v>
      </c>
      <c r="E60" s="76" t="s">
        <v>126</v>
      </c>
      <c r="F60" s="7">
        <v>1.52</v>
      </c>
      <c r="G60" s="126" t="s">
        <v>127</v>
      </c>
      <c r="H60" s="100">
        <v>4</v>
      </c>
      <c r="I60" s="98">
        <v>3</v>
      </c>
      <c r="J60" s="98">
        <v>43</v>
      </c>
      <c r="K60" s="98">
        <v>0.01</v>
      </c>
      <c r="L60" s="101">
        <f>CHOOSE(LOOKUP(G60,$W$3:$X$6), "Enter Value", I60*D60*J60*K60*(1+H60), (PI()/4)*D60*I60*(1+H60)*J60^2, PI()*(1+H60)*D60*I60*J60*K60)</f>
        <v>40.526545231308326</v>
      </c>
      <c r="M60" s="101">
        <f>L60*F60</f>
        <v>61.600348751588655</v>
      </c>
      <c r="N60" s="102" t="e">
        <f>L60/E60</f>
        <v>#VALUE!</v>
      </c>
      <c r="O60" s="103">
        <v>0.37</v>
      </c>
      <c r="P60" s="334" t="s">
        <v>120</v>
      </c>
      <c r="Q60" s="104">
        <f>CHOOSE(LOOKUP(P60,$V$3:$V$5,$X$3:$X$5), O60*L60, O60*M60, O60*N60)</f>
        <v>14.994821735584081</v>
      </c>
      <c r="R60" s="105">
        <f t="shared" si="17"/>
        <v>0</v>
      </c>
      <c r="S60" s="105">
        <f t="shared" si="18"/>
        <v>0</v>
      </c>
      <c r="T60" s="81">
        <f t="shared" si="19"/>
        <v>0</v>
      </c>
      <c r="V60" s="83"/>
      <c r="W60" s="83"/>
      <c r="X60" s="83"/>
    </row>
    <row r="61" spans="1:24" s="335" customFormat="1">
      <c r="A61" s="46" t="s">
        <v>267</v>
      </c>
      <c r="B61" s="20" t="s">
        <v>130</v>
      </c>
      <c r="C61" s="337" t="s">
        <v>131</v>
      </c>
      <c r="D61" s="98">
        <v>2</v>
      </c>
      <c r="E61" s="76" t="s">
        <v>126</v>
      </c>
      <c r="F61" s="7">
        <v>1.52</v>
      </c>
      <c r="G61" s="126" t="s">
        <v>127</v>
      </c>
      <c r="H61" s="100">
        <v>4</v>
      </c>
      <c r="I61" s="98">
        <v>3</v>
      </c>
      <c r="J61" s="98">
        <v>43</v>
      </c>
      <c r="K61" s="98">
        <v>0.01</v>
      </c>
      <c r="L61" s="101">
        <f>CHOOSE(LOOKUP(G61,$W$3:$X$6), "Enter Value", I61*D61*J61*K61*(1+H61), (PI()/4)*D61*I61*(1+H61)*J61^2, PI()*(1+H61)*D61*I61*J61*K61)</f>
        <v>40.526545231308326</v>
      </c>
      <c r="M61" s="101">
        <f>L61*F61</f>
        <v>61.600348751588655</v>
      </c>
      <c r="N61" s="102" t="e">
        <f>L61/E61</f>
        <v>#VALUE!</v>
      </c>
      <c r="O61" s="103">
        <v>0.37</v>
      </c>
      <c r="P61" s="334" t="s">
        <v>120</v>
      </c>
      <c r="Q61" s="104">
        <f>CHOOSE(LOOKUP(P61,$V$3:$V$5,$X$3:$X$5), O61*L61, O61*M61, O61*N61)</f>
        <v>14.994821735584081</v>
      </c>
      <c r="R61" s="105">
        <f t="shared" si="17"/>
        <v>0</v>
      </c>
      <c r="S61" s="105">
        <f t="shared" si="18"/>
        <v>0</v>
      </c>
      <c r="T61" s="81">
        <f t="shared" si="19"/>
        <v>0</v>
      </c>
      <c r="V61" s="83"/>
      <c r="W61" s="83"/>
      <c r="X61" s="83"/>
    </row>
    <row r="64" spans="1:24" ht="13.5" thickBot="1">
      <c r="N64" s="214" t="s">
        <v>294</v>
      </c>
      <c r="O64" s="103" t="s">
        <v>289</v>
      </c>
      <c r="P64" s="355" t="s">
        <v>295</v>
      </c>
      <c r="R64" s="337" t="s">
        <v>6</v>
      </c>
      <c r="S64" s="213" t="s">
        <v>286</v>
      </c>
      <c r="T64" s="356" t="s">
        <v>59</v>
      </c>
      <c r="U64" s="20" t="s">
        <v>117</v>
      </c>
    </row>
    <row r="65" spans="1:25">
      <c r="C65" s="480" t="s">
        <v>288</v>
      </c>
      <c r="D65" s="481"/>
      <c r="E65" s="481"/>
      <c r="F65" s="482"/>
      <c r="G65" s="483" t="s">
        <v>287</v>
      </c>
      <c r="H65" s="481"/>
      <c r="I65" s="481"/>
      <c r="J65" s="484"/>
      <c r="L65" s="357" t="s">
        <v>292</v>
      </c>
      <c r="M65" s="358"/>
      <c r="N65" s="359"/>
      <c r="O65" s="360"/>
      <c r="P65" s="360"/>
      <c r="Q65" s="361"/>
      <c r="R65" s="361"/>
      <c r="S65" s="362"/>
      <c r="T65" s="392"/>
      <c r="U65" s="395"/>
      <c r="V65"/>
      <c r="Y65" s="83"/>
    </row>
    <row r="66" spans="1:25">
      <c r="A66" s="20" t="s">
        <v>284</v>
      </c>
      <c r="B66" s="76"/>
      <c r="C66" s="340" t="s">
        <v>285</v>
      </c>
      <c r="D66" s="341" t="s">
        <v>286</v>
      </c>
      <c r="E66" s="341" t="s">
        <v>117</v>
      </c>
      <c r="F66" s="341" t="s">
        <v>289</v>
      </c>
      <c r="G66" s="341" t="s">
        <v>285</v>
      </c>
      <c r="H66" s="341" t="s">
        <v>286</v>
      </c>
      <c r="I66" s="341" t="s">
        <v>117</v>
      </c>
      <c r="J66" s="342" t="s">
        <v>289</v>
      </c>
      <c r="L66" s="363" t="s">
        <v>293</v>
      </c>
      <c r="M66" s="364" t="s">
        <v>91</v>
      </c>
      <c r="N66" s="365">
        <f ca="1">ROUNDUP(H72,0)</f>
        <v>9</v>
      </c>
      <c r="O66" s="366">
        <f>ROUNDUP(J72,0)</f>
        <v>3</v>
      </c>
      <c r="P66" s="367">
        <f>O66*400</f>
        <v>1200</v>
      </c>
      <c r="Q66" s="368"/>
      <c r="R66" s="369" t="s">
        <v>91</v>
      </c>
      <c r="S66" s="370">
        <f ca="1">SUMIF(M66:M67,R66,N66:N67)</f>
        <v>9</v>
      </c>
      <c r="T66" s="370">
        <f>SUMIF(M66:M67,R66,O66:O67)</f>
        <v>3</v>
      </c>
      <c r="U66" s="123">
        <f>SUMIF(M66:M67,R66,P66:P67)</f>
        <v>1200</v>
      </c>
      <c r="V66" s="20" t="s">
        <v>306</v>
      </c>
      <c r="Y66" s="83"/>
    </row>
    <row r="67" spans="1:25" ht="13.5" thickBot="1">
      <c r="B67" s="20" t="s">
        <v>128</v>
      </c>
      <c r="C67" s="343">
        <f>SUMIF($B5:$B24,$B67,$M5:$M24)</f>
        <v>8850.5733635095057</v>
      </c>
      <c r="D67" s="344">
        <f>C67/454</f>
        <v>19.494654985703757</v>
      </c>
      <c r="E67" s="345">
        <f>SUMIF($B5:$B24,$B67,$Q5:$Q24)</f>
        <v>5487.3554853758933</v>
      </c>
      <c r="F67" s="346">
        <f>SUMIF($B5:$B24,$B67,$N5:$N24)</f>
        <v>14.899955157423411</v>
      </c>
      <c r="G67" s="347">
        <f>SUMIF($B5:$B24,$B67,$R5:$R24)</f>
        <v>0</v>
      </c>
      <c r="H67" s="344">
        <f>G67/454</f>
        <v>0</v>
      </c>
      <c r="I67" s="345">
        <f>SUMIF($B5:$B24,$B67,$T5:$T24)</f>
        <v>0</v>
      </c>
      <c r="J67" s="348">
        <f>SUMIF($B5:$B24,$B67,$S5:$S24)</f>
        <v>0</v>
      </c>
      <c r="L67" s="371"/>
      <c r="M67" s="372" t="s">
        <v>276</v>
      </c>
      <c r="N67" s="373">
        <f ca="1">ROUNDUP(H73,0)</f>
        <v>6</v>
      </c>
      <c r="O67" s="374">
        <f>ROUNDUP(J73,0)</f>
        <v>17</v>
      </c>
      <c r="P67" s="375">
        <f>O67*500</f>
        <v>8500</v>
      </c>
      <c r="Q67" s="376"/>
      <c r="R67" s="377" t="s">
        <v>276</v>
      </c>
      <c r="S67" s="378">
        <f ca="1">SUMIF(M67:M68,R67,N67:N68)</f>
        <v>6</v>
      </c>
      <c r="T67" s="378">
        <f>SUMIF(M67:M68,R67,O67:O68)</f>
        <v>17</v>
      </c>
      <c r="U67" s="125">
        <f>SUMIF(M67:M68,R67,P67:P68)</f>
        <v>8500</v>
      </c>
      <c r="V67" s="20" t="s">
        <v>307</v>
      </c>
      <c r="Y67" s="83"/>
    </row>
    <row r="68" spans="1:25" ht="13.5" thickBot="1">
      <c r="B68" s="20" t="s">
        <v>276</v>
      </c>
      <c r="C68" s="349">
        <f>SUMIF($B5:$B24,$B68,$M5:$M24)</f>
        <v>6351.5463633217005</v>
      </c>
      <c r="D68" s="350">
        <f>C68/454</f>
        <v>13.990190227580838</v>
      </c>
      <c r="E68" s="351">
        <f>SUMIF($B5:$B24,$B68,$Q5:$Q24)</f>
        <v>13122.294786622631</v>
      </c>
      <c r="F68" s="352">
        <f>SUMIF($B5:$B24,$B68,$N5:$N24)</f>
        <v>47.048491580160743</v>
      </c>
      <c r="G68" s="353">
        <f>SUMIF($B5:$B24,$B68,$R5:$R24)</f>
        <v>0</v>
      </c>
      <c r="H68" s="350">
        <f>G68/454</f>
        <v>0</v>
      </c>
      <c r="I68" s="351">
        <f>SUMIF($B5:$B24,$B68,$T5:$T24)</f>
        <v>0</v>
      </c>
      <c r="J68" s="354">
        <f>SUMIF($B5:$B24,$B68,$S5:$S24)</f>
        <v>0</v>
      </c>
      <c r="L68" s="357" t="s">
        <v>296</v>
      </c>
      <c r="M68" s="379"/>
      <c r="N68" s="380"/>
      <c r="O68" s="360"/>
      <c r="P68" s="381"/>
      <c r="Q68" s="361"/>
      <c r="R68" s="361"/>
      <c r="S68" s="362"/>
      <c r="T68" s="362"/>
      <c r="U68" s="395"/>
      <c r="V68"/>
      <c r="Y68" s="83"/>
    </row>
    <row r="69" spans="1:25" ht="13.5" thickBot="1">
      <c r="L69" s="363" t="s">
        <v>297</v>
      </c>
      <c r="M69" s="364" t="s">
        <v>91</v>
      </c>
      <c r="N69" s="382">
        <f>ROUNDUP(D67,0)</f>
        <v>20</v>
      </c>
      <c r="O69" s="382">
        <f>ROUNDUP(F67,0)</f>
        <v>15</v>
      </c>
      <c r="P69" s="367">
        <f>O69*400</f>
        <v>6000</v>
      </c>
      <c r="Q69" s="368"/>
      <c r="R69" s="369" t="s">
        <v>91</v>
      </c>
      <c r="S69" s="370">
        <f>SUMIF(M69:M76,R69,N69:N76)</f>
        <v>39</v>
      </c>
      <c r="T69" s="370">
        <f>SUMIF(M69:M76,R69,O69:O76)</f>
        <v>29</v>
      </c>
      <c r="U69" s="123">
        <f>SUMIF(M69:M76,R69,P69:P76)</f>
        <v>11600</v>
      </c>
      <c r="V69"/>
      <c r="Y69" s="83"/>
    </row>
    <row r="70" spans="1:25">
      <c r="B70" s="335"/>
      <c r="C70" s="480" t="s">
        <v>288</v>
      </c>
      <c r="D70" s="481"/>
      <c r="E70" s="481"/>
      <c r="F70" s="482"/>
      <c r="G70" s="483" t="s">
        <v>287</v>
      </c>
      <c r="H70" s="481"/>
      <c r="I70" s="481"/>
      <c r="J70" s="484"/>
      <c r="L70" s="383"/>
      <c r="M70" s="364" t="s">
        <v>276</v>
      </c>
      <c r="N70" s="382">
        <f>ROUNDUP(D68,0)</f>
        <v>14</v>
      </c>
      <c r="O70" s="382">
        <f>ROUNDUP(F68,0)</f>
        <v>48</v>
      </c>
      <c r="P70" s="367">
        <f>O70*500</f>
        <v>24000</v>
      </c>
      <c r="Q70" s="368"/>
      <c r="R70" s="369" t="s">
        <v>276</v>
      </c>
      <c r="S70" s="370">
        <f>SUMIF(M69:M76,R70,N69:N76)</f>
        <v>44</v>
      </c>
      <c r="T70" s="370">
        <f>SUMIF(M69:M76,R70,O69:O76)</f>
        <v>143</v>
      </c>
      <c r="U70" s="123">
        <f>SUMIF(M69:M76,R70,P69:P76)</f>
        <v>71500</v>
      </c>
      <c r="V70"/>
      <c r="Y70" s="83"/>
    </row>
    <row r="71" spans="1:25">
      <c r="A71" s="20" t="s">
        <v>290</v>
      </c>
      <c r="B71" s="76"/>
      <c r="C71" s="340" t="s">
        <v>285</v>
      </c>
      <c r="D71" s="341" t="s">
        <v>286</v>
      </c>
      <c r="E71" s="341" t="s">
        <v>117</v>
      </c>
      <c r="F71" s="341" t="s">
        <v>289</v>
      </c>
      <c r="G71" s="341" t="s">
        <v>285</v>
      </c>
      <c r="H71" s="341" t="s">
        <v>286</v>
      </c>
      <c r="I71" s="341" t="s">
        <v>117</v>
      </c>
      <c r="J71" s="342" t="s">
        <v>289</v>
      </c>
      <c r="L71" s="363" t="s">
        <v>298</v>
      </c>
      <c r="M71" s="364" t="s">
        <v>91</v>
      </c>
      <c r="N71" s="382">
        <f>ROUNDUP($D$72,0)</f>
        <v>8</v>
      </c>
      <c r="O71" s="382">
        <f>ROUNDUP($F$72,0)</f>
        <v>6</v>
      </c>
      <c r="P71" s="367">
        <f>O71*400</f>
        <v>2400</v>
      </c>
      <c r="Q71" s="368"/>
      <c r="R71" s="368"/>
      <c r="S71" s="121"/>
      <c r="T71" s="121"/>
      <c r="U71" s="396"/>
      <c r="V71"/>
      <c r="Y71" s="83"/>
    </row>
    <row r="72" spans="1:25">
      <c r="B72" s="20" t="s">
        <v>128</v>
      </c>
      <c r="C72" s="343">
        <f>SUMIF($B27:$B38,$B72,$M27:$M38)</f>
        <v>3224.2919386028907</v>
      </c>
      <c r="D72" s="344">
        <f>C72/454</f>
        <v>7.1019646224733277</v>
      </c>
      <c r="E72" s="345">
        <f>SUMIF($B27:$B38,$B72,$Q27:$Q38)</f>
        <v>1999.0610019337923</v>
      </c>
      <c r="F72" s="346">
        <f>SUMIF($B27:$B38,$B72,$N27:$N38)</f>
        <v>5.428100906738873</v>
      </c>
      <c r="G72" s="347">
        <f ca="1">SUMIF($B27:$B38,$B72,$R28:$R38)</f>
        <v>3888.1167494917213</v>
      </c>
      <c r="H72" s="344">
        <f ca="1">G72/454</f>
        <v>8.5641338094531303</v>
      </c>
      <c r="I72" s="345">
        <f>SUMIF($B27:$B38,$B72,$T27:$T38)</f>
        <v>999.53050096689617</v>
      </c>
      <c r="J72" s="348">
        <f>SUMIF($B27:$B38,$B72,$S27:$S38)</f>
        <v>2.7140504533694365</v>
      </c>
      <c r="L72" s="363"/>
      <c r="M72" s="364" t="s">
        <v>276</v>
      </c>
      <c r="N72" s="382">
        <f>ROUNDUP($D$73,0)</f>
        <v>11</v>
      </c>
      <c r="O72" s="382">
        <f>ROUNDUP($F$73,0)</f>
        <v>34</v>
      </c>
      <c r="P72" s="367">
        <f>O72*500</f>
        <v>17000</v>
      </c>
      <c r="Q72" s="368"/>
      <c r="R72" s="369"/>
      <c r="S72" s="121"/>
      <c r="T72" s="121"/>
      <c r="U72" s="396"/>
      <c r="V72"/>
      <c r="Y72" s="83"/>
    </row>
    <row r="73" spans="1:25" ht="13.5" thickBot="1">
      <c r="B73" s="20" t="s">
        <v>276</v>
      </c>
      <c r="C73" s="349">
        <f>SUMIF($B28:$B39,$B73,$M28:$M39)</f>
        <v>4551.9415603805519</v>
      </c>
      <c r="D73" s="350">
        <f>C73/454</f>
        <v>10.026302996432934</v>
      </c>
      <c r="E73" s="351">
        <f>SUMIF($B28:$B39,$B73,$Q28:$Q39)</f>
        <v>9404.31126374622</v>
      </c>
      <c r="F73" s="352">
        <f>SUMIF($B28:$B39,$B73,$N28:$N39)</f>
        <v>33.718085632448535</v>
      </c>
      <c r="G73" s="353">
        <f ca="1">SUMIF($B28:$B39,$B73,$R28:$R38)</f>
        <v>2275.9707801902759</v>
      </c>
      <c r="H73" s="350">
        <f ca="1">G73/454</f>
        <v>5.0131514982164669</v>
      </c>
      <c r="I73" s="351">
        <f>SUMIF($B28:$B39,$B73,$T28:$T39)</f>
        <v>4702.15563187311</v>
      </c>
      <c r="J73" s="354">
        <f>SUMIF($B28:$B39,$B73,$S28:$S39)</f>
        <v>16.859042816224267</v>
      </c>
      <c r="L73" s="363" t="s">
        <v>300</v>
      </c>
      <c r="M73" s="364" t="s">
        <v>91</v>
      </c>
      <c r="N73" s="382">
        <f>ROUNDUP(H77,0)</f>
        <v>3</v>
      </c>
      <c r="O73" s="382">
        <f>ROUNDUP(J77,0)</f>
        <v>2</v>
      </c>
      <c r="P73" s="367">
        <f>O73*400</f>
        <v>800</v>
      </c>
      <c r="Q73" s="368"/>
      <c r="R73" s="369"/>
      <c r="S73" s="121"/>
      <c r="T73" s="121"/>
      <c r="U73" s="396"/>
      <c r="V73"/>
      <c r="Y73" s="83"/>
    </row>
    <row r="74" spans="1:25" ht="13.5" thickBot="1">
      <c r="L74" s="383"/>
      <c r="M74" s="364" t="s">
        <v>276</v>
      </c>
      <c r="N74" s="382">
        <f>ROUNDUP(H78,0)</f>
        <v>3</v>
      </c>
      <c r="O74" s="382">
        <f>ROUNDUP(J78,0)</f>
        <v>10</v>
      </c>
      <c r="P74" s="367">
        <f>O74*500</f>
        <v>5000</v>
      </c>
      <c r="Q74" s="368"/>
      <c r="R74" s="368"/>
      <c r="S74" s="121"/>
      <c r="T74" s="121"/>
      <c r="U74" s="396"/>
      <c r="V74"/>
      <c r="Y74" s="83"/>
    </row>
    <row r="75" spans="1:25">
      <c r="B75" s="335"/>
      <c r="C75" s="480" t="s">
        <v>288</v>
      </c>
      <c r="D75" s="481"/>
      <c r="E75" s="481"/>
      <c r="F75" s="482"/>
      <c r="G75" s="483" t="s">
        <v>287</v>
      </c>
      <c r="H75" s="481"/>
      <c r="I75" s="481"/>
      <c r="J75" s="484"/>
      <c r="L75" s="363" t="s">
        <v>299</v>
      </c>
      <c r="M75" s="364" t="s">
        <v>91</v>
      </c>
      <c r="N75" s="382">
        <f>ROUNDUP($D$77,0)</f>
        <v>8</v>
      </c>
      <c r="O75" s="382">
        <f>ROUNDUP($F$77,0)</f>
        <v>6</v>
      </c>
      <c r="P75" s="367">
        <f>O75*400</f>
        <v>2400</v>
      </c>
      <c r="Q75" s="368"/>
      <c r="R75" s="369"/>
      <c r="S75" s="384"/>
      <c r="T75" s="384"/>
      <c r="U75" s="397"/>
      <c r="V75"/>
      <c r="Y75" s="83"/>
    </row>
    <row r="76" spans="1:25" ht="13.5" thickBot="1">
      <c r="A76" s="20" t="s">
        <v>291</v>
      </c>
      <c r="B76" s="76"/>
      <c r="C76" s="340" t="s">
        <v>285</v>
      </c>
      <c r="D76" s="341" t="s">
        <v>286</v>
      </c>
      <c r="E76" s="341" t="s">
        <v>117</v>
      </c>
      <c r="F76" s="341" t="s">
        <v>289</v>
      </c>
      <c r="G76" s="341" t="s">
        <v>285</v>
      </c>
      <c r="H76" s="341" t="s">
        <v>286</v>
      </c>
      <c r="I76" s="341" t="s">
        <v>117</v>
      </c>
      <c r="J76" s="342" t="s">
        <v>289</v>
      </c>
      <c r="L76" s="371"/>
      <c r="M76" s="372" t="s">
        <v>276</v>
      </c>
      <c r="N76" s="385">
        <f>ROUNDUP($D$78,0)</f>
        <v>16</v>
      </c>
      <c r="O76" s="385">
        <f>ROUNDUP($F$78,0)</f>
        <v>51</v>
      </c>
      <c r="P76" s="375">
        <f>O76*500</f>
        <v>25500</v>
      </c>
      <c r="Q76" s="376"/>
      <c r="R76" s="377"/>
      <c r="S76" s="386"/>
      <c r="T76" s="386"/>
      <c r="U76" s="398"/>
      <c r="V76"/>
      <c r="Y76" s="83"/>
    </row>
    <row r="77" spans="1:25">
      <c r="B77" s="20" t="s">
        <v>128</v>
      </c>
      <c r="C77" s="343">
        <f>SUMIF($B41:$B61,$B77,$M41:$M61)</f>
        <v>3486.7343056984751</v>
      </c>
      <c r="D77" s="344">
        <f>C77/454</f>
        <v>7.680031510349064</v>
      </c>
      <c r="E77" s="345">
        <f>SUMIF($B41:$B61,$B77,$Q41:$Q61)</f>
        <v>2161.7752695330546</v>
      </c>
      <c r="F77" s="346">
        <f>SUMIF($B41:$B61,$B77,$N41:$N61)</f>
        <v>5.869923073566456</v>
      </c>
      <c r="G77" s="347">
        <f>SUMIF($B41:$B61,$B77,$R41:$R61)</f>
        <v>937.29416819851485</v>
      </c>
      <c r="H77" s="344">
        <f>G77/454</f>
        <v>2.0645245995562003</v>
      </c>
      <c r="I77" s="345">
        <f>SUMIF($B41:$B61,$B77,$T41:$T61)</f>
        <v>581.12238428307921</v>
      </c>
      <c r="J77" s="348">
        <f>SUMIF($B41:$B61,$B77,$S41:$S61)</f>
        <v>1.5779363100985098</v>
      </c>
      <c r="L77" s="357" t="s">
        <v>301</v>
      </c>
      <c r="M77" s="360"/>
      <c r="N77" s="361"/>
      <c r="O77" s="360"/>
      <c r="P77" s="359"/>
      <c r="Q77" s="361"/>
      <c r="R77" s="361"/>
      <c r="S77" s="362"/>
      <c r="T77" s="362"/>
      <c r="U77" s="395"/>
      <c r="V77"/>
      <c r="Y77" s="83"/>
    </row>
    <row r="78" spans="1:25" ht="13.5" thickBot="1">
      <c r="B78" s="20" t="s">
        <v>276</v>
      </c>
      <c r="C78" s="349">
        <f>SUMIF($B42:$B62,$B78,$M42:$M62)</f>
        <v>6819.090748399547</v>
      </c>
      <c r="D78" s="350">
        <f>C78/454</f>
        <v>15.02002367488887</v>
      </c>
      <c r="E78" s="351">
        <f>SUMIF($B42:$B62,$B78,$Q42:$Q62)</f>
        <v>14088.241486193463</v>
      </c>
      <c r="F78" s="352">
        <f>SUMIF($B42:$B62,$B78,$N42:$N62)</f>
        <v>50.511783321478134</v>
      </c>
      <c r="G78" s="353">
        <f>SUMIF($B42:$B62,$B78,$R42:$R62)</f>
        <v>1323.2388256920208</v>
      </c>
      <c r="H78" s="350">
        <f>G78/454</f>
        <v>2.9146229640793408</v>
      </c>
      <c r="I78" s="351">
        <f>SUMIF($B42:$B62,$B78,$T42:$T62)</f>
        <v>2733.8114138797146</v>
      </c>
      <c r="J78" s="354">
        <f>SUMIF($B42:$B62,$B78,$S42:$S62)</f>
        <v>9.8017690792001524</v>
      </c>
      <c r="L78" s="363" t="s">
        <v>298</v>
      </c>
      <c r="M78" s="364" t="s">
        <v>91</v>
      </c>
      <c r="N78" s="382">
        <f>ROUNDUP($D$72,0)</f>
        <v>8</v>
      </c>
      <c r="O78" s="382">
        <f>ROUNDUP($F$72,0)</f>
        <v>6</v>
      </c>
      <c r="P78" s="387">
        <v>4</v>
      </c>
      <c r="Q78" s="368"/>
      <c r="R78" s="369" t="s">
        <v>91</v>
      </c>
      <c r="S78" s="370">
        <f>SUMIF(M78:M81,R78,N78:N81)</f>
        <v>16</v>
      </c>
      <c r="T78" s="370">
        <f>SUMIF(M78:M81,R78,O78:O81)</f>
        <v>12</v>
      </c>
      <c r="U78" s="123">
        <f>SUMIF(M78:M81,R78,P78:P81)</f>
        <v>8</v>
      </c>
      <c r="V78"/>
      <c r="Y78" s="83"/>
    </row>
    <row r="79" spans="1:25">
      <c r="L79" s="383"/>
      <c r="M79" s="364" t="s">
        <v>276</v>
      </c>
      <c r="N79" s="382">
        <f>ROUNDUP($D$73,0)</f>
        <v>11</v>
      </c>
      <c r="O79" s="382">
        <f>ROUNDUP($F$73,0)</f>
        <v>34</v>
      </c>
      <c r="P79" s="387">
        <v>13</v>
      </c>
      <c r="Q79" s="368"/>
      <c r="R79" s="369" t="s">
        <v>276</v>
      </c>
      <c r="S79" s="370">
        <f>SUMIF(M78:M81,R79,N78:N81)</f>
        <v>27</v>
      </c>
      <c r="T79" s="370">
        <f>SUMIF(M78:M81,R79,O78:O81)</f>
        <v>85</v>
      </c>
      <c r="U79" s="123">
        <f>SUMIF(M78:M81,R79,P78:P81)</f>
        <v>31</v>
      </c>
      <c r="V79"/>
      <c r="Y79" s="83"/>
    </row>
    <row r="80" spans="1:25">
      <c r="L80" s="363" t="s">
        <v>299</v>
      </c>
      <c r="M80" s="364" t="s">
        <v>91</v>
      </c>
      <c r="N80" s="382">
        <f>ROUNDUP($D$77,0)</f>
        <v>8</v>
      </c>
      <c r="O80" s="382">
        <f>ROUNDUP($F$77,0)</f>
        <v>6</v>
      </c>
      <c r="P80" s="387">
        <v>4</v>
      </c>
      <c r="Q80" s="368"/>
      <c r="R80" s="368"/>
      <c r="S80" s="121"/>
      <c r="T80" s="121"/>
      <c r="U80" s="396"/>
      <c r="V80"/>
      <c r="Y80" s="83"/>
    </row>
    <row r="81" spans="12:25" ht="13.5" thickBot="1">
      <c r="L81" s="371"/>
      <c r="M81" s="372" t="s">
        <v>276</v>
      </c>
      <c r="N81" s="385">
        <f>ROUNDUP($D$78,0)</f>
        <v>16</v>
      </c>
      <c r="O81" s="385">
        <f>ROUNDUP($F$78,0)</f>
        <v>51</v>
      </c>
      <c r="P81" s="388">
        <v>18</v>
      </c>
      <c r="Q81" s="376"/>
      <c r="R81" s="376"/>
      <c r="S81" s="389"/>
      <c r="T81" s="389"/>
      <c r="U81" s="399"/>
      <c r="V81"/>
      <c r="Y81" s="83"/>
    </row>
    <row r="82" spans="12:25">
      <c r="L82" s="390" t="s">
        <v>302</v>
      </c>
      <c r="M82" s="358"/>
      <c r="N82" s="359"/>
      <c r="O82" s="360"/>
      <c r="P82" s="360"/>
      <c r="Q82" s="361"/>
      <c r="R82" s="361"/>
      <c r="S82" s="362"/>
      <c r="T82" s="362"/>
      <c r="U82" s="395"/>
      <c r="V82"/>
      <c r="Y82" s="83"/>
    </row>
    <row r="83" spans="12:25">
      <c r="L83" s="363" t="s">
        <v>298</v>
      </c>
      <c r="M83" s="364" t="s">
        <v>91</v>
      </c>
      <c r="N83" s="382">
        <f>ROUNDUP($D$72,0)</f>
        <v>8</v>
      </c>
      <c r="O83" s="382">
        <f>ROUNDUP($F$72,0)</f>
        <v>6</v>
      </c>
      <c r="P83" s="387">
        <v>4</v>
      </c>
      <c r="Q83" s="368"/>
      <c r="R83" s="369" t="s">
        <v>91</v>
      </c>
      <c r="S83" s="370">
        <f>SUMIF(M83:M86,R83,N83:N86)</f>
        <v>16</v>
      </c>
      <c r="T83" s="370">
        <f>SUMIF(M83:M86,R83,O83:O86)</f>
        <v>12</v>
      </c>
      <c r="U83" s="123">
        <f>SUMIF(M83:M86,R83,P83:P86)</f>
        <v>8</v>
      </c>
      <c r="V83"/>
      <c r="Y83" s="83"/>
    </row>
    <row r="84" spans="12:25">
      <c r="L84" s="383"/>
      <c r="M84" s="364" t="s">
        <v>276</v>
      </c>
      <c r="N84" s="382">
        <f>ROUNDUP($D$73,0)</f>
        <v>11</v>
      </c>
      <c r="O84" s="382">
        <f>ROUNDUP($F$73,0)</f>
        <v>34</v>
      </c>
      <c r="P84" s="387">
        <v>13</v>
      </c>
      <c r="Q84" s="368"/>
      <c r="R84" s="369" t="s">
        <v>276</v>
      </c>
      <c r="S84" s="370">
        <f>SUMIF(M83:M86,R84,N83:N86)</f>
        <v>27</v>
      </c>
      <c r="T84" s="370">
        <f>SUMIF(M83:M86,R84,O83:O86)</f>
        <v>85</v>
      </c>
      <c r="U84" s="123">
        <f>SUMIF(M83:M86,R84,P83:P86)</f>
        <v>31</v>
      </c>
      <c r="V84"/>
      <c r="Y84" s="83"/>
    </row>
    <row r="85" spans="12:25">
      <c r="L85" s="363" t="s">
        <v>299</v>
      </c>
      <c r="M85" s="364" t="s">
        <v>91</v>
      </c>
      <c r="N85" s="382">
        <f>ROUNDUP($D$77,0)</f>
        <v>8</v>
      </c>
      <c r="O85" s="382">
        <f>ROUNDUP($F$77,0)</f>
        <v>6</v>
      </c>
      <c r="P85" s="387">
        <v>4</v>
      </c>
      <c r="Q85" s="368"/>
      <c r="R85" s="368"/>
      <c r="S85" s="121"/>
      <c r="T85" s="121"/>
      <c r="U85" s="396"/>
      <c r="V85"/>
      <c r="Y85" s="83"/>
    </row>
    <row r="86" spans="12:25" ht="13.5" thickBot="1">
      <c r="L86" s="391"/>
      <c r="M86" s="372" t="s">
        <v>276</v>
      </c>
      <c r="N86" s="385">
        <f>ROUNDUP($D$78,0)</f>
        <v>16</v>
      </c>
      <c r="O86" s="385">
        <f>ROUNDUP($F$78,0)</f>
        <v>51</v>
      </c>
      <c r="P86" s="388">
        <v>18</v>
      </c>
      <c r="Q86" s="376"/>
      <c r="R86" s="376"/>
      <c r="S86" s="389"/>
      <c r="T86" s="389"/>
      <c r="U86" s="399"/>
      <c r="V86"/>
      <c r="Y86" s="83"/>
    </row>
    <row r="87" spans="12:25">
      <c r="L87" s="390" t="s">
        <v>303</v>
      </c>
      <c r="M87" s="358"/>
      <c r="N87" s="359"/>
      <c r="O87" s="360"/>
      <c r="P87" s="360"/>
      <c r="Q87" s="361"/>
      <c r="R87" s="361"/>
      <c r="S87" s="362"/>
      <c r="T87" s="362"/>
      <c r="U87" s="395"/>
      <c r="V87"/>
      <c r="Y87" s="83"/>
    </row>
    <row r="88" spans="12:25">
      <c r="L88" s="363" t="s">
        <v>298</v>
      </c>
      <c r="M88" s="364" t="s">
        <v>91</v>
      </c>
      <c r="N88" s="382">
        <f>ROUNDUP($D$72,0)</f>
        <v>8</v>
      </c>
      <c r="O88" s="382">
        <f>ROUNDUP($F$72,0)</f>
        <v>6</v>
      </c>
      <c r="P88" s="387">
        <v>4</v>
      </c>
      <c r="Q88" s="368"/>
      <c r="R88" s="369" t="s">
        <v>91</v>
      </c>
      <c r="S88" s="370">
        <f>SUMIF(M88:M91,R88,N88:N91)</f>
        <v>16</v>
      </c>
      <c r="T88" s="370">
        <f>SUMIF(M88:M91,R88,O88:O91)</f>
        <v>12</v>
      </c>
      <c r="U88" s="123">
        <f>SUMIF(M88:M91,R88,P88:P91)</f>
        <v>8</v>
      </c>
      <c r="V88"/>
      <c r="Y88" s="83"/>
    </row>
    <row r="89" spans="12:25">
      <c r="L89" s="383"/>
      <c r="M89" s="364" t="s">
        <v>276</v>
      </c>
      <c r="N89" s="382">
        <f>ROUNDUP($D$73,0)</f>
        <v>11</v>
      </c>
      <c r="O89" s="382">
        <f>ROUNDUP($F$73,0)</f>
        <v>34</v>
      </c>
      <c r="P89" s="387">
        <v>13</v>
      </c>
      <c r="Q89" s="368"/>
      <c r="R89" s="369" t="s">
        <v>276</v>
      </c>
      <c r="S89" s="370">
        <f>SUMIF(M88:M91,R89,N88:N91)</f>
        <v>27</v>
      </c>
      <c r="T89" s="370">
        <f>SUMIF(M88:M91,R89,O88:O91)</f>
        <v>85</v>
      </c>
      <c r="U89" s="123">
        <f>SUMIF(M88:M91,R89,P88:P91)</f>
        <v>31</v>
      </c>
      <c r="V89"/>
      <c r="Y89" s="83"/>
    </row>
    <row r="90" spans="12:25">
      <c r="L90" s="363" t="s">
        <v>299</v>
      </c>
      <c r="M90" s="364" t="s">
        <v>91</v>
      </c>
      <c r="N90" s="382">
        <f>ROUNDUP($D$77,0)</f>
        <v>8</v>
      </c>
      <c r="O90" s="382">
        <f>ROUNDUP($F$77,0)</f>
        <v>6</v>
      </c>
      <c r="P90" s="387">
        <v>4</v>
      </c>
      <c r="Q90" s="368"/>
      <c r="R90" s="368"/>
      <c r="S90" s="121"/>
      <c r="T90" s="393"/>
      <c r="U90" s="396"/>
      <c r="V90"/>
      <c r="Y90" s="83"/>
    </row>
    <row r="91" spans="12:25" ht="13.5" thickBot="1">
      <c r="L91" s="391"/>
      <c r="M91" s="372" t="s">
        <v>276</v>
      </c>
      <c r="N91" s="385">
        <f>ROUNDUP($D$78,0)</f>
        <v>16</v>
      </c>
      <c r="O91" s="385">
        <f>ROUNDUP($F$78,0)</f>
        <v>51</v>
      </c>
      <c r="P91" s="388">
        <v>18</v>
      </c>
      <c r="Q91" s="376"/>
      <c r="R91" s="376"/>
      <c r="S91" s="389"/>
      <c r="T91" s="394"/>
      <c r="U91" s="399"/>
      <c r="V91"/>
      <c r="Y91" s="83"/>
    </row>
  </sheetData>
  <mergeCells count="8">
    <mergeCell ref="C70:F70"/>
    <mergeCell ref="G70:J70"/>
    <mergeCell ref="C75:F75"/>
    <mergeCell ref="G75:J75"/>
    <mergeCell ref="A1:C1"/>
    <mergeCell ref="D1:Q1"/>
    <mergeCell ref="C65:F65"/>
    <mergeCell ref="G65:J65"/>
  </mergeCells>
  <dataValidations disablePrompts="1" count="2">
    <dataValidation type="list" allowBlank="1" showInputMessage="1" showErrorMessage="1" sqref="P58:P61 P51:P56 P42:P44 P35:P38 P28:P33 P46:P47 P6:P8 P10:P11 P14:P16 P18:P20 P22:P24">
      <formula1>$V$3:$V$5</formula1>
    </dataValidation>
    <dataValidation type="list" allowBlank="1" showInputMessage="1" showErrorMessage="1" sqref="G58:G61 G51:G56 G42:G44 G35:G38 G28:G33 G46:G47 G6:G8 G10:G11 G14:G16 G18:G20 G22:G24">
      <formula1>$W$3:$W$6</formula1>
    </dataValidation>
  </dataValidations>
  <pageMargins left="0.7" right="0.7" top="0.28000000000000003" bottom="0.75" header="0.12" footer="0.3"/>
  <pageSetup paperSize="9" scale="58"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15</vt:i4>
      </vt:variant>
    </vt:vector>
  </HeadingPairs>
  <TitlesOfParts>
    <vt:vector size="23" baseType="lpstr">
      <vt:lpstr>WBS in Estimate</vt:lpstr>
      <vt:lpstr>WBS Summary</vt:lpstr>
      <vt:lpstr>WBS Summary by Year</vt:lpstr>
      <vt:lpstr>SUMMARY</vt:lpstr>
      <vt:lpstr>Pre- and Production</vt:lpstr>
      <vt:lpstr>Rates</vt:lpstr>
      <vt:lpstr>Material Estimates</vt:lpstr>
      <vt:lpstr>Cost Profile Chart</vt:lpstr>
      <vt:lpstr>CMM</vt:lpstr>
      <vt:lpstr>CMM_RD</vt:lpstr>
      <vt:lpstr>DES</vt:lpstr>
      <vt:lpstr>DES_RD</vt:lpstr>
      <vt:lpstr>ENG</vt:lpstr>
      <vt:lpstr>ENG_RD</vt:lpstr>
      <vt:lpstr>M_Tech</vt:lpstr>
      <vt:lpstr>MT</vt:lpstr>
      <vt:lpstr>MTECH_RD</vt:lpstr>
      <vt:lpstr>'Pre- and Production'!Print_Area</vt:lpstr>
      <vt:lpstr>SUMMARY!Print_Area</vt:lpstr>
      <vt:lpstr>'WBS Summary'!Print_Area</vt:lpstr>
      <vt:lpstr>'WBS Summary by Year'!Print_Area</vt:lpstr>
      <vt:lpstr>Shop</vt:lpstr>
      <vt:lpstr>Shop_RD</vt:lpstr>
    </vt:vector>
  </TitlesOfParts>
  <Company>LBNL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Anderssen</dc:creator>
  <dc:description>Shifted Contributed Labor into FY10</dc:description>
  <cp:lastModifiedBy>ECAnderssen_local</cp:lastModifiedBy>
  <cp:lastPrinted>2009-10-21T19:54:56Z</cp:lastPrinted>
  <dcterms:created xsi:type="dcterms:W3CDTF">2000-10-18T16:25:26Z</dcterms:created>
  <dcterms:modified xsi:type="dcterms:W3CDTF">2009-11-05T23:02:59Z</dcterms:modified>
</cp:coreProperties>
</file>