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20" yWindow="15" windowWidth="23130" windowHeight="14490" activeTab="1"/>
  </bookViews>
  <sheets>
    <sheet name="WBS in Estimate" sheetId="18" r:id="rId1"/>
    <sheet name="SUMMARY" sheetId="16" r:id="rId2"/>
    <sheet name="Cost Profile Chart" sheetId="19" r:id="rId3"/>
    <sheet name="Pre- and Production" sheetId="13" r:id="rId4"/>
    <sheet name="Rates" sheetId="15" r:id="rId5"/>
    <sheet name="Material Estimates" sheetId="17" r:id="rId6"/>
  </sheets>
  <definedNames>
    <definedName name="CMM">Rates!$C$5</definedName>
    <definedName name="CMM_RD">Rates!$D$5</definedName>
    <definedName name="DES">Rates!$C$8</definedName>
    <definedName name="DES_RD">Rates!$D$8</definedName>
    <definedName name="ENG">Rates!$C$7</definedName>
    <definedName name="ENG_RD">Rates!$D$7</definedName>
    <definedName name="M_Tech">Rates!$C$6</definedName>
    <definedName name="MT">Rates!$C$6</definedName>
    <definedName name="MTECH_RD">Rates!$D$6</definedName>
    <definedName name="_xlnm.Print_Area" localSheetId="1">SUMMARY!$A$1:$R$61</definedName>
    <definedName name="Shop">Rates!$C$4</definedName>
    <definedName name="Shop_RD">Rates!$D$4</definedName>
  </definedNames>
  <calcPr calcId="125725"/>
</workbook>
</file>

<file path=xl/calcChain.xml><?xml version="1.0" encoding="utf-8"?>
<calcChain xmlns="http://schemas.openxmlformats.org/spreadsheetml/2006/main">
  <c r="A58" i="16"/>
  <c r="B58"/>
  <c r="C58"/>
  <c r="D58"/>
  <c r="E58"/>
  <c r="F58"/>
  <c r="G58"/>
  <c r="H58"/>
  <c r="K58"/>
  <c r="L58"/>
  <c r="M58"/>
  <c r="N58"/>
  <c r="O58"/>
  <c r="P58"/>
  <c r="Q58"/>
  <c r="R58"/>
  <c r="A49"/>
  <c r="B49"/>
  <c r="C49"/>
  <c r="D49"/>
  <c r="E49"/>
  <c r="F49"/>
  <c r="G49"/>
  <c r="K49"/>
  <c r="L49"/>
  <c r="M49"/>
  <c r="N49"/>
  <c r="O49"/>
  <c r="P49"/>
  <c r="Q49"/>
  <c r="AC96" i="13"/>
  <c r="AL96"/>
  <c r="AB96"/>
  <c r="A38" i="16"/>
  <c r="B38"/>
  <c r="C38"/>
  <c r="D38"/>
  <c r="E38"/>
  <c r="F38"/>
  <c r="G38"/>
  <c r="H38"/>
  <c r="K38"/>
  <c r="L38"/>
  <c r="M38"/>
  <c r="N38"/>
  <c r="O38"/>
  <c r="P38"/>
  <c r="Q38"/>
  <c r="R38"/>
  <c r="A29"/>
  <c r="B29"/>
  <c r="C29"/>
  <c r="D29"/>
  <c r="E29"/>
  <c r="F29"/>
  <c r="G29"/>
  <c r="K29"/>
  <c r="L29"/>
  <c r="M29"/>
  <c r="N29"/>
  <c r="O29"/>
  <c r="P29"/>
  <c r="Q29"/>
  <c r="A18"/>
  <c r="B18"/>
  <c r="C18"/>
  <c r="D18"/>
  <c r="E18"/>
  <c r="F18"/>
  <c r="G18"/>
  <c r="H18"/>
  <c r="J18"/>
  <c r="K18"/>
  <c r="L18"/>
  <c r="M18"/>
  <c r="N18"/>
  <c r="O18"/>
  <c r="P18"/>
  <c r="Q18"/>
  <c r="R18"/>
  <c r="T18" s="1"/>
  <c r="W18"/>
  <c r="X18"/>
  <c r="Y18"/>
  <c r="A9"/>
  <c r="B9"/>
  <c r="U9" s="1"/>
  <c r="C9"/>
  <c r="D9"/>
  <c r="W9" s="1"/>
  <c r="E9"/>
  <c r="F9"/>
  <c r="Y9" s="1"/>
  <c r="G9"/>
  <c r="K9"/>
  <c r="L9"/>
  <c r="M9"/>
  <c r="N9"/>
  <c r="O9"/>
  <c r="P9"/>
  <c r="Q9"/>
  <c r="V9"/>
  <c r="X9"/>
  <c r="Z9"/>
  <c r="AR139" i="13"/>
  <c r="AQ139"/>
  <c r="AP139"/>
  <c r="AO139"/>
  <c r="AN139"/>
  <c r="AR118"/>
  <c r="AQ118"/>
  <c r="AP118"/>
  <c r="AO118"/>
  <c r="AN118"/>
  <c r="AH139"/>
  <c r="AG139"/>
  <c r="AF139"/>
  <c r="AE139"/>
  <c r="AD139"/>
  <c r="AH118"/>
  <c r="AG118"/>
  <c r="AF118"/>
  <c r="AE118"/>
  <c r="AD118"/>
  <c r="AM139"/>
  <c r="AM118"/>
  <c r="AC139"/>
  <c r="AC118"/>
  <c r="AC86"/>
  <c r="AD86"/>
  <c r="AE86"/>
  <c r="AF86"/>
  <c r="AG86"/>
  <c r="AH86"/>
  <c r="AL86"/>
  <c r="AM86"/>
  <c r="AN86"/>
  <c r="AO86"/>
  <c r="AP86"/>
  <c r="AQ86"/>
  <c r="AR86"/>
  <c r="AB95"/>
  <c r="AC95"/>
  <c r="AD95"/>
  <c r="AE95"/>
  <c r="AF95"/>
  <c r="AG95"/>
  <c r="AH95"/>
  <c r="AI95"/>
  <c r="AL95"/>
  <c r="AM95"/>
  <c r="AN95"/>
  <c r="AO95"/>
  <c r="AP95"/>
  <c r="AQ95"/>
  <c r="AR95"/>
  <c r="AS95"/>
  <c r="AC108"/>
  <c r="AD108"/>
  <c r="AE108"/>
  <c r="AF108"/>
  <c r="AG108"/>
  <c r="AH108"/>
  <c r="AL108"/>
  <c r="AM108"/>
  <c r="AN108"/>
  <c r="AO108"/>
  <c r="AP108"/>
  <c r="AQ108"/>
  <c r="AR108"/>
  <c r="AB117"/>
  <c r="AC117"/>
  <c r="AD117"/>
  <c r="AE117"/>
  <c r="AF117"/>
  <c r="AG117"/>
  <c r="AH117"/>
  <c r="AI117"/>
  <c r="AL117"/>
  <c r="AM117"/>
  <c r="AN117"/>
  <c r="AO117"/>
  <c r="AP117"/>
  <c r="AQ117"/>
  <c r="AR117"/>
  <c r="AS117"/>
  <c r="AL129"/>
  <c r="AM129"/>
  <c r="AN129"/>
  <c r="AO129"/>
  <c r="AP129"/>
  <c r="AQ129"/>
  <c r="AR129"/>
  <c r="AC129"/>
  <c r="AD129"/>
  <c r="AE129"/>
  <c r="AF129"/>
  <c r="AG129"/>
  <c r="AH129"/>
  <c r="AL138"/>
  <c r="AM138"/>
  <c r="AN138"/>
  <c r="AO138"/>
  <c r="AP138"/>
  <c r="AQ138"/>
  <c r="AR138"/>
  <c r="AS138"/>
  <c r="AB138"/>
  <c r="AC138"/>
  <c r="AD138"/>
  <c r="AE138"/>
  <c r="AF138"/>
  <c r="AG138"/>
  <c r="AH138"/>
  <c r="AI138"/>
  <c r="W20" i="16"/>
  <c r="W15"/>
  <c r="W16"/>
  <c r="W17"/>
  <c r="W19"/>
  <c r="W14"/>
  <c r="F39" i="13"/>
  <c r="F38"/>
  <c r="F37"/>
  <c r="F36"/>
  <c r="F35"/>
  <c r="F34"/>
  <c r="AQ31"/>
  <c r="AP31"/>
  <c r="AO31"/>
  <c r="AN31"/>
  <c r="AM31"/>
  <c r="AH31"/>
  <c r="AG31"/>
  <c r="AF31"/>
  <c r="AE31"/>
  <c r="AD31"/>
  <c r="AC31"/>
  <c r="V31"/>
  <c r="T31"/>
  <c r="S31"/>
  <c r="M31"/>
  <c r="O31" s="1"/>
  <c r="F31"/>
  <c r="AR31" s="1"/>
  <c r="AR30"/>
  <c r="AQ30"/>
  <c r="AP30"/>
  <c r="AO30"/>
  <c r="AN30"/>
  <c r="AM30"/>
  <c r="AH30"/>
  <c r="AG30"/>
  <c r="AF30"/>
  <c r="AE30"/>
  <c r="AD30"/>
  <c r="AC30"/>
  <c r="V30"/>
  <c r="T30"/>
  <c r="S30"/>
  <c r="M30"/>
  <c r="O30" s="1"/>
  <c r="F30"/>
  <c r="AR61"/>
  <c r="AQ61"/>
  <c r="AP61"/>
  <c r="AO61"/>
  <c r="AN61"/>
  <c r="AM61"/>
  <c r="AH61"/>
  <c r="AG61"/>
  <c r="AF61"/>
  <c r="AE61"/>
  <c r="AD61"/>
  <c r="AC61"/>
  <c r="V61"/>
  <c r="T61"/>
  <c r="S61"/>
  <c r="M61"/>
  <c r="O61" s="1"/>
  <c r="F61"/>
  <c r="AR60"/>
  <c r="AQ60"/>
  <c r="AP60"/>
  <c r="AP88" s="1"/>
  <c r="O11" i="16" s="1"/>
  <c r="AO60" i="13"/>
  <c r="AN60"/>
  <c r="AN88" s="1"/>
  <c r="M11" i="16" s="1"/>
  <c r="AM60" i="13"/>
  <c r="AH60"/>
  <c r="AG60"/>
  <c r="AF60"/>
  <c r="AE60"/>
  <c r="AD60"/>
  <c r="AC60"/>
  <c r="V60"/>
  <c r="T60"/>
  <c r="S60"/>
  <c r="M60"/>
  <c r="O60" s="1"/>
  <c r="F60"/>
  <c r="AR52"/>
  <c r="AQ52"/>
  <c r="AP52"/>
  <c r="AO52"/>
  <c r="AN52"/>
  <c r="AM52"/>
  <c r="AG52"/>
  <c r="AF52"/>
  <c r="AE52"/>
  <c r="AD52"/>
  <c r="AC52"/>
  <c r="V52"/>
  <c r="T52"/>
  <c r="S52"/>
  <c r="M52"/>
  <c r="O52" s="1"/>
  <c r="F52"/>
  <c r="AH52" s="1"/>
  <c r="AR19"/>
  <c r="AQ19"/>
  <c r="AP19"/>
  <c r="AO19"/>
  <c r="AN19"/>
  <c r="AM19"/>
  <c r="AG19"/>
  <c r="AF19"/>
  <c r="AE19"/>
  <c r="AD19"/>
  <c r="AC19"/>
  <c r="V19"/>
  <c r="T19"/>
  <c r="S19"/>
  <c r="M19"/>
  <c r="O19" s="1"/>
  <c r="F19"/>
  <c r="AH19"/>
  <c r="M71"/>
  <c r="F28"/>
  <c r="AR28"/>
  <c r="AQ28"/>
  <c r="AP28"/>
  <c r="AO28"/>
  <c r="AN28"/>
  <c r="AM28"/>
  <c r="AH28"/>
  <c r="AG28"/>
  <c r="AF28"/>
  <c r="AE28"/>
  <c r="AD28"/>
  <c r="AC28"/>
  <c r="V28"/>
  <c r="T28"/>
  <c r="S28"/>
  <c r="M28"/>
  <c r="O28" s="1"/>
  <c r="F29"/>
  <c r="AR29" s="1"/>
  <c r="AQ29"/>
  <c r="AP29"/>
  <c r="AO29"/>
  <c r="AN29"/>
  <c r="AM29"/>
  <c r="AH29"/>
  <c r="AG29"/>
  <c r="AF29"/>
  <c r="AE29"/>
  <c r="AD29"/>
  <c r="AC29"/>
  <c r="V29"/>
  <c r="T29"/>
  <c r="S29"/>
  <c r="M29"/>
  <c r="M9"/>
  <c r="O9" s="1"/>
  <c r="M6"/>
  <c r="M7"/>
  <c r="M8"/>
  <c r="M10"/>
  <c r="M11"/>
  <c r="M13" s="1"/>
  <c r="AR11"/>
  <c r="AQ11"/>
  <c r="AP11"/>
  <c r="AO11"/>
  <c r="AN11"/>
  <c r="AM11"/>
  <c r="F11"/>
  <c r="AH11"/>
  <c r="AG11"/>
  <c r="AF11"/>
  <c r="AE11"/>
  <c r="AD11"/>
  <c r="AC11"/>
  <c r="V11"/>
  <c r="T11"/>
  <c r="S11"/>
  <c r="AR41"/>
  <c r="AQ41"/>
  <c r="AP41"/>
  <c r="AO41"/>
  <c r="AN41"/>
  <c r="AM41"/>
  <c r="F41"/>
  <c r="AH41"/>
  <c r="AG41"/>
  <c r="AF41"/>
  <c r="AE41"/>
  <c r="AD41"/>
  <c r="AC41"/>
  <c r="V41"/>
  <c r="T41"/>
  <c r="S41"/>
  <c r="AR58"/>
  <c r="AQ58"/>
  <c r="AP58"/>
  <c r="AO58"/>
  <c r="AN58"/>
  <c r="AM58"/>
  <c r="F58"/>
  <c r="AH58" s="1"/>
  <c r="AG58"/>
  <c r="AF58"/>
  <c r="AE58"/>
  <c r="AD58"/>
  <c r="AC58"/>
  <c r="V58"/>
  <c r="T58"/>
  <c r="S58"/>
  <c r="M58"/>
  <c r="AR42"/>
  <c r="AQ42"/>
  <c r="AP42"/>
  <c r="AO42"/>
  <c r="AN42"/>
  <c r="AM42"/>
  <c r="F42"/>
  <c r="AH42"/>
  <c r="AG42"/>
  <c r="AF42"/>
  <c r="AE42"/>
  <c r="AD42"/>
  <c r="AC42"/>
  <c r="V42"/>
  <c r="T42"/>
  <c r="S42"/>
  <c r="AR43"/>
  <c r="AQ43"/>
  <c r="AP43"/>
  <c r="AO43"/>
  <c r="AN43"/>
  <c r="AM43"/>
  <c r="F43"/>
  <c r="AH43"/>
  <c r="AG43"/>
  <c r="AF43"/>
  <c r="AE43"/>
  <c r="AD43"/>
  <c r="AC43"/>
  <c r="V43"/>
  <c r="T43"/>
  <c r="S43"/>
  <c r="AR44"/>
  <c r="AQ44"/>
  <c r="AP44"/>
  <c r="AO44"/>
  <c r="AN44"/>
  <c r="AM44"/>
  <c r="F44"/>
  <c r="AH44"/>
  <c r="AG44"/>
  <c r="AF44"/>
  <c r="AE44"/>
  <c r="AD44"/>
  <c r="AC44"/>
  <c r="V44"/>
  <c r="T44"/>
  <c r="S44"/>
  <c r="AR45"/>
  <c r="AQ45"/>
  <c r="AP45"/>
  <c r="AO45"/>
  <c r="AN45"/>
  <c r="AM45"/>
  <c r="F45"/>
  <c r="AH45"/>
  <c r="AG45"/>
  <c r="AF45"/>
  <c r="AE45"/>
  <c r="AD45"/>
  <c r="AC45"/>
  <c r="V45"/>
  <c r="T45"/>
  <c r="S45"/>
  <c r="AR36"/>
  <c r="AQ36"/>
  <c r="AP36"/>
  <c r="AO36"/>
  <c r="AN36"/>
  <c r="AM36"/>
  <c r="AH36"/>
  <c r="AG36"/>
  <c r="AF36"/>
  <c r="AE36"/>
  <c r="AD36"/>
  <c r="AC36"/>
  <c r="V36"/>
  <c r="T36"/>
  <c r="S36"/>
  <c r="AR37"/>
  <c r="AQ37"/>
  <c r="AP37"/>
  <c r="AO37"/>
  <c r="AN37"/>
  <c r="AM37"/>
  <c r="AH37"/>
  <c r="AG37"/>
  <c r="AF37"/>
  <c r="AE37"/>
  <c r="AD37"/>
  <c r="AC37"/>
  <c r="V37"/>
  <c r="T37"/>
  <c r="S37"/>
  <c r="S51"/>
  <c r="S55"/>
  <c r="S54"/>
  <c r="S53"/>
  <c r="S27"/>
  <c r="S26"/>
  <c r="S38"/>
  <c r="S35"/>
  <c r="S34"/>
  <c r="AR9"/>
  <c r="AQ9"/>
  <c r="AP9"/>
  <c r="AO9"/>
  <c r="AN9"/>
  <c r="AM9"/>
  <c r="F9"/>
  <c r="AH9"/>
  <c r="AG9"/>
  <c r="AF9"/>
  <c r="AE9"/>
  <c r="AD9"/>
  <c r="AC9"/>
  <c r="V9"/>
  <c r="T9"/>
  <c r="S9"/>
  <c r="AR17"/>
  <c r="AQ17"/>
  <c r="AP17"/>
  <c r="AO17"/>
  <c r="AN17"/>
  <c r="AM17"/>
  <c r="AH17"/>
  <c r="AG17"/>
  <c r="AF17"/>
  <c r="AE17"/>
  <c r="AD17"/>
  <c r="AC17"/>
  <c r="V17"/>
  <c r="T17"/>
  <c r="S17"/>
  <c r="C8" i="15"/>
  <c r="C5"/>
  <c r="AR18" i="13"/>
  <c r="AQ18"/>
  <c r="AP18"/>
  <c r="AO18"/>
  <c r="AN18"/>
  <c r="AM18"/>
  <c r="F18"/>
  <c r="AH18"/>
  <c r="AG18"/>
  <c r="AF18"/>
  <c r="AE18"/>
  <c r="AD18"/>
  <c r="AC18"/>
  <c r="V18"/>
  <c r="T18"/>
  <c r="S18"/>
  <c r="M51"/>
  <c r="M53"/>
  <c r="M54"/>
  <c r="M12"/>
  <c r="F6"/>
  <c r="AH6"/>
  <c r="F7"/>
  <c r="AH7"/>
  <c r="F8"/>
  <c r="F10"/>
  <c r="AH10"/>
  <c r="F12"/>
  <c r="AH12"/>
  <c r="F14"/>
  <c r="AH14"/>
  <c r="F15"/>
  <c r="AH15"/>
  <c r="F16"/>
  <c r="AH16"/>
  <c r="F20"/>
  <c r="AR20"/>
  <c r="AH20"/>
  <c r="V69"/>
  <c r="V68"/>
  <c r="V67"/>
  <c r="V66"/>
  <c r="V65"/>
  <c r="V64"/>
  <c r="V62"/>
  <c r="V59"/>
  <c r="V57"/>
  <c r="V55"/>
  <c r="V54"/>
  <c r="V53"/>
  <c r="V51"/>
  <c r="V39"/>
  <c r="V38"/>
  <c r="V35"/>
  <c r="V34"/>
  <c r="V32"/>
  <c r="V27"/>
  <c r="V26"/>
  <c r="V20"/>
  <c r="V16"/>
  <c r="V15"/>
  <c r="V14"/>
  <c r="V12"/>
  <c r="V10"/>
  <c r="V8"/>
  <c r="V7"/>
  <c r="V6"/>
  <c r="T29" i="17"/>
  <c r="S29"/>
  <c r="R29"/>
  <c r="L29"/>
  <c r="N29"/>
  <c r="T28"/>
  <c r="S28"/>
  <c r="R28"/>
  <c r="L28"/>
  <c r="M28"/>
  <c r="Q28"/>
  <c r="T26"/>
  <c r="S26"/>
  <c r="R26"/>
  <c r="L26"/>
  <c r="N26"/>
  <c r="T23"/>
  <c r="S23"/>
  <c r="R23"/>
  <c r="L23"/>
  <c r="N23"/>
  <c r="T22"/>
  <c r="S22"/>
  <c r="R22"/>
  <c r="L22"/>
  <c r="M22"/>
  <c r="T18"/>
  <c r="S18"/>
  <c r="R18"/>
  <c r="L18"/>
  <c r="M18"/>
  <c r="Q18"/>
  <c r="T19"/>
  <c r="S19"/>
  <c r="R19"/>
  <c r="L19"/>
  <c r="N19"/>
  <c r="AQ68" i="13"/>
  <c r="AP68"/>
  <c r="AO68"/>
  <c r="AN68"/>
  <c r="AM68"/>
  <c r="AH68"/>
  <c r="AG68"/>
  <c r="AF68"/>
  <c r="AE68"/>
  <c r="AD68"/>
  <c r="AC68"/>
  <c r="T68"/>
  <c r="S68"/>
  <c r="F68"/>
  <c r="AR68"/>
  <c r="AQ69"/>
  <c r="AP69"/>
  <c r="AO69"/>
  <c r="AN69"/>
  <c r="AM69"/>
  <c r="AG69"/>
  <c r="AF69"/>
  <c r="AE69"/>
  <c r="AD69"/>
  <c r="AC69"/>
  <c r="T69"/>
  <c r="S69"/>
  <c r="F69"/>
  <c r="AH69"/>
  <c r="AR67"/>
  <c r="AQ67"/>
  <c r="AP67"/>
  <c r="AO67"/>
  <c r="AN67"/>
  <c r="AM67"/>
  <c r="AG67"/>
  <c r="AF67"/>
  <c r="AE67"/>
  <c r="AD67"/>
  <c r="AC67"/>
  <c r="T67"/>
  <c r="S67"/>
  <c r="F67"/>
  <c r="AH67"/>
  <c r="AR66"/>
  <c r="AQ66"/>
  <c r="AP66"/>
  <c r="AO66"/>
  <c r="AN66"/>
  <c r="AM66"/>
  <c r="AG66"/>
  <c r="AF66"/>
  <c r="AE66"/>
  <c r="AD66"/>
  <c r="AC66"/>
  <c r="T66"/>
  <c r="S66"/>
  <c r="F66"/>
  <c r="AH66"/>
  <c r="AR62"/>
  <c r="AQ62"/>
  <c r="AP62"/>
  <c r="AO62"/>
  <c r="AN62"/>
  <c r="AM62"/>
  <c r="AG62"/>
  <c r="AG70" s="1"/>
  <c r="AF62"/>
  <c r="AE62"/>
  <c r="AE73" s="1"/>
  <c r="AD62"/>
  <c r="AC62"/>
  <c r="AC88" s="1"/>
  <c r="B11" i="16" s="1"/>
  <c r="T62" i="13"/>
  <c r="S62"/>
  <c r="M62"/>
  <c r="F62"/>
  <c r="AR59"/>
  <c r="AQ59"/>
  <c r="AQ70" s="1"/>
  <c r="AP59"/>
  <c r="AO59"/>
  <c r="AO70" s="1"/>
  <c r="AN59"/>
  <c r="AM59"/>
  <c r="AM70" s="1"/>
  <c r="AG59"/>
  <c r="AF59"/>
  <c r="AF88" s="1"/>
  <c r="E11" i="16" s="1"/>
  <c r="AE59" i="13"/>
  <c r="AD59"/>
  <c r="AD88" s="1"/>
  <c r="C11" i="16" s="1"/>
  <c r="AC59" i="13"/>
  <c r="T59"/>
  <c r="S59"/>
  <c r="M59"/>
  <c r="F59"/>
  <c r="AH59" s="1"/>
  <c r="AR38"/>
  <c r="AQ38"/>
  <c r="AP38"/>
  <c r="AO38"/>
  <c r="AN38"/>
  <c r="AM38"/>
  <c r="AG38"/>
  <c r="AF38"/>
  <c r="AE38"/>
  <c r="AD38"/>
  <c r="AC38"/>
  <c r="T38"/>
  <c r="AH38"/>
  <c r="AR35"/>
  <c r="AQ35"/>
  <c r="AP35"/>
  <c r="AO35"/>
  <c r="AN35"/>
  <c r="AM35"/>
  <c r="AG35"/>
  <c r="AF35"/>
  <c r="AE35"/>
  <c r="AD35"/>
  <c r="AC35"/>
  <c r="T35"/>
  <c r="M35"/>
  <c r="AH35"/>
  <c r="AR34"/>
  <c r="AQ34"/>
  <c r="AP34"/>
  <c r="AO34"/>
  <c r="AN34"/>
  <c r="AM34"/>
  <c r="AG34"/>
  <c r="AF34"/>
  <c r="AE34"/>
  <c r="AD34"/>
  <c r="AC34"/>
  <c r="T34"/>
  <c r="M34"/>
  <c r="O34" s="1"/>
  <c r="AH34"/>
  <c r="AQ39"/>
  <c r="AP39"/>
  <c r="AO39"/>
  <c r="AN39"/>
  <c r="AM39"/>
  <c r="AG39"/>
  <c r="AF39"/>
  <c r="AE39"/>
  <c r="AD39"/>
  <c r="AC39"/>
  <c r="T39"/>
  <c r="S39"/>
  <c r="AR39"/>
  <c r="AH39"/>
  <c r="AQ32"/>
  <c r="AP32"/>
  <c r="AO32"/>
  <c r="AN32"/>
  <c r="AM32"/>
  <c r="AG32"/>
  <c r="AF32"/>
  <c r="AE32"/>
  <c r="AD32"/>
  <c r="AC32"/>
  <c r="T32"/>
  <c r="S32"/>
  <c r="M32"/>
  <c r="F32"/>
  <c r="AH32"/>
  <c r="AR27"/>
  <c r="AQ27"/>
  <c r="AP27"/>
  <c r="AO27"/>
  <c r="AN27"/>
  <c r="AM27"/>
  <c r="AG27"/>
  <c r="AF27"/>
  <c r="AE27"/>
  <c r="AD27"/>
  <c r="AC27"/>
  <c r="T27"/>
  <c r="M27"/>
  <c r="F27"/>
  <c r="AQ20"/>
  <c r="AP20"/>
  <c r="AO20"/>
  <c r="AN20"/>
  <c r="AM20"/>
  <c r="AG20"/>
  <c r="AF20"/>
  <c r="AE20"/>
  <c r="AD20"/>
  <c r="AC20"/>
  <c r="T20"/>
  <c r="S20"/>
  <c r="AR16"/>
  <c r="AQ16"/>
  <c r="AP16"/>
  <c r="AO16"/>
  <c r="AN16"/>
  <c r="AM16"/>
  <c r="AG16"/>
  <c r="AF16"/>
  <c r="AE16"/>
  <c r="AD16"/>
  <c r="AC16"/>
  <c r="T16"/>
  <c r="S16"/>
  <c r="AR15"/>
  <c r="AQ15"/>
  <c r="AP15"/>
  <c r="AO15"/>
  <c r="AN15"/>
  <c r="AM15"/>
  <c r="AG15"/>
  <c r="AF15"/>
  <c r="AE15"/>
  <c r="AD15"/>
  <c r="AC15"/>
  <c r="T15"/>
  <c r="S15"/>
  <c r="AR14"/>
  <c r="AQ14"/>
  <c r="AP14"/>
  <c r="AO14"/>
  <c r="AN14"/>
  <c r="AM14"/>
  <c r="AG14"/>
  <c r="AF14"/>
  <c r="AE14"/>
  <c r="AD14"/>
  <c r="AC14"/>
  <c r="T14"/>
  <c r="S14"/>
  <c r="AQ8"/>
  <c r="AP8"/>
  <c r="AO8"/>
  <c r="AN8"/>
  <c r="AM8"/>
  <c r="AG8"/>
  <c r="AF8"/>
  <c r="AE8"/>
  <c r="AD8"/>
  <c r="AC8"/>
  <c r="T8"/>
  <c r="S8"/>
  <c r="AR7"/>
  <c r="AQ7"/>
  <c r="AP7"/>
  <c r="AO7"/>
  <c r="AN7"/>
  <c r="AM7"/>
  <c r="AG7"/>
  <c r="AF7"/>
  <c r="AE7"/>
  <c r="AD7"/>
  <c r="AC7"/>
  <c r="T7"/>
  <c r="S7"/>
  <c r="M57"/>
  <c r="M55"/>
  <c r="M26"/>
  <c r="C6" i="15"/>
  <c r="C7"/>
  <c r="C4"/>
  <c r="M18" i="13"/>
  <c r="O18" s="1"/>
  <c r="T65"/>
  <c r="T64"/>
  <c r="T57"/>
  <c r="T55"/>
  <c r="T54"/>
  <c r="T53"/>
  <c r="T51"/>
  <c r="T26"/>
  <c r="T10"/>
  <c r="T12"/>
  <c r="T6"/>
  <c r="B78"/>
  <c r="A78"/>
  <c r="G60" i="16"/>
  <c r="Q60"/>
  <c r="Q61"/>
  <c r="B3"/>
  <c r="C3"/>
  <c r="D3"/>
  <c r="E3"/>
  <c r="F3"/>
  <c r="G3"/>
  <c r="L3"/>
  <c r="M3"/>
  <c r="N3"/>
  <c r="O3"/>
  <c r="P3"/>
  <c r="Q3"/>
  <c r="A4"/>
  <c r="A5"/>
  <c r="A6"/>
  <c r="A7"/>
  <c r="A8"/>
  <c r="A10"/>
  <c r="A11"/>
  <c r="B12"/>
  <c r="L12"/>
  <c r="B13"/>
  <c r="C13"/>
  <c r="D13"/>
  <c r="E13"/>
  <c r="F13"/>
  <c r="G13"/>
  <c r="H13"/>
  <c r="L13"/>
  <c r="M13"/>
  <c r="N13"/>
  <c r="O13"/>
  <c r="P13"/>
  <c r="Q13"/>
  <c r="R13"/>
  <c r="A15"/>
  <c r="A16"/>
  <c r="G20"/>
  <c r="Q20"/>
  <c r="Q21"/>
  <c r="B22"/>
  <c r="L22"/>
  <c r="B23"/>
  <c r="C23"/>
  <c r="D23"/>
  <c r="E23"/>
  <c r="F23"/>
  <c r="G23"/>
  <c r="L23"/>
  <c r="M23"/>
  <c r="N23"/>
  <c r="O23"/>
  <c r="P23"/>
  <c r="Q23"/>
  <c r="A24"/>
  <c r="A25"/>
  <c r="A26"/>
  <c r="A27"/>
  <c r="A28"/>
  <c r="A30"/>
  <c r="A31"/>
  <c r="B32"/>
  <c r="L32"/>
  <c r="B33"/>
  <c r="C33"/>
  <c r="D33"/>
  <c r="E33"/>
  <c r="F33"/>
  <c r="G33"/>
  <c r="H33"/>
  <c r="L33"/>
  <c r="M33"/>
  <c r="N33"/>
  <c r="O33"/>
  <c r="P33"/>
  <c r="Q33"/>
  <c r="R33"/>
  <c r="A35"/>
  <c r="A36"/>
  <c r="G40"/>
  <c r="Q40"/>
  <c r="Q41"/>
  <c r="B42"/>
  <c r="L42"/>
  <c r="B43"/>
  <c r="C43"/>
  <c r="D43"/>
  <c r="E43"/>
  <c r="F43"/>
  <c r="G43"/>
  <c r="L43"/>
  <c r="M43"/>
  <c r="N43"/>
  <c r="O43"/>
  <c r="P43"/>
  <c r="Q43"/>
  <c r="A44"/>
  <c r="A45"/>
  <c r="A46"/>
  <c r="A47"/>
  <c r="A48"/>
  <c r="A50"/>
  <c r="A51"/>
  <c r="B52"/>
  <c r="L52"/>
  <c r="B53"/>
  <c r="C53"/>
  <c r="D53"/>
  <c r="E53"/>
  <c r="F53"/>
  <c r="G53"/>
  <c r="H53"/>
  <c r="L53"/>
  <c r="M53"/>
  <c r="N53"/>
  <c r="O53"/>
  <c r="P53"/>
  <c r="Q53"/>
  <c r="R53"/>
  <c r="A55"/>
  <c r="A56"/>
  <c r="B2"/>
  <c r="L2"/>
  <c r="AO87" i="13"/>
  <c r="N10" i="16" s="1"/>
  <c r="A19"/>
  <c r="AB94" i="13"/>
  <c r="A17" i="16"/>
  <c r="AB91" i="13"/>
  <c r="A14" i="16"/>
  <c r="AL136" i="13"/>
  <c r="K56" i="16"/>
  <c r="AL135" i="13"/>
  <c r="K55" i="16"/>
  <c r="A59"/>
  <c r="AB137" i="13"/>
  <c r="A57" i="16"/>
  <c r="AB134" i="13"/>
  <c r="A54" i="16"/>
  <c r="AL131" i="13"/>
  <c r="K51" i="16"/>
  <c r="AL130" i="13"/>
  <c r="K50" i="16"/>
  <c r="AL128" i="13"/>
  <c r="K48" i="16"/>
  <c r="AL127" i="13"/>
  <c r="AL126"/>
  <c r="AL125"/>
  <c r="K45" i="16"/>
  <c r="AL124" i="13"/>
  <c r="K44" i="16"/>
  <c r="AL115" i="13"/>
  <c r="K36" i="16"/>
  <c r="AL114" i="13"/>
  <c r="K35" i="16"/>
  <c r="AL110" i="13"/>
  <c r="AL109"/>
  <c r="K30" i="16"/>
  <c r="AL107" i="13"/>
  <c r="K28" i="16"/>
  <c r="AL106" i="13"/>
  <c r="AL105"/>
  <c r="K26" i="16"/>
  <c r="AL104" i="13"/>
  <c r="K25" i="16"/>
  <c r="AL103" i="13"/>
  <c r="K24" i="16"/>
  <c r="AL87" i="13"/>
  <c r="K10" i="16"/>
  <c r="AL85" i="13"/>
  <c r="K8" i="16"/>
  <c r="M26" i="17"/>
  <c r="Q26"/>
  <c r="M29"/>
  <c r="Q29"/>
  <c r="M23"/>
  <c r="Q23"/>
  <c r="M19"/>
  <c r="Q19"/>
  <c r="AD87" i="13"/>
  <c r="C10" i="16" s="1"/>
  <c r="AH87" i="13"/>
  <c r="G10" i="16" s="1"/>
  <c r="AC87" i="13"/>
  <c r="B10" i="16" s="1"/>
  <c r="AE87" i="13"/>
  <c r="D10" i="16" s="1"/>
  <c r="W10" s="1"/>
  <c r="AR69" i="13"/>
  <c r="AG87"/>
  <c r="F10" i="16" s="1"/>
  <c r="AN87" i="13"/>
  <c r="M10" i="16" s="1"/>
  <c r="AP87" i="13"/>
  <c r="O10" i="16" s="1"/>
  <c r="AF87" i="13"/>
  <c r="E10" i="16" s="1"/>
  <c r="AM87" i="13"/>
  <c r="L10" i="16" s="1"/>
  <c r="AQ87" i="13"/>
  <c r="P10" i="16" s="1"/>
  <c r="AR87" i="13"/>
  <c r="Q10" i="16" s="1"/>
  <c r="M33" i="13"/>
  <c r="AR32"/>
  <c r="O32"/>
  <c r="AR8"/>
  <c r="AL137"/>
  <c r="K57" i="16"/>
  <c r="AL139" i="13"/>
  <c r="K59" i="16" s="1"/>
  <c r="AR57" i="13"/>
  <c r="AQ57"/>
  <c r="AQ81"/>
  <c r="P4" i="16" s="1"/>
  <c r="AP57" i="13"/>
  <c r="AO57"/>
  <c r="AN57"/>
  <c r="AM57"/>
  <c r="AM81"/>
  <c r="L4" i="16" s="1"/>
  <c r="AG57" i="13"/>
  <c r="AF57"/>
  <c r="AE57"/>
  <c r="AD57"/>
  <c r="AD81"/>
  <c r="C4" i="16" s="1"/>
  <c r="AC57" i="13"/>
  <c r="S57"/>
  <c r="F57"/>
  <c r="O57"/>
  <c r="L23" i="15"/>
  <c r="L24"/>
  <c r="I24"/>
  <c r="I23"/>
  <c r="L30" i="17"/>
  <c r="N30"/>
  <c r="S30"/>
  <c r="T25"/>
  <c r="S25"/>
  <c r="R25"/>
  <c r="L25"/>
  <c r="M25"/>
  <c r="T11"/>
  <c r="S11"/>
  <c r="R11"/>
  <c r="L11"/>
  <c r="M11"/>
  <c r="Q11"/>
  <c r="L22" i="15"/>
  <c r="H22"/>
  <c r="I22"/>
  <c r="L21"/>
  <c r="H21"/>
  <c r="I21"/>
  <c r="L20"/>
  <c r="H20"/>
  <c r="I20"/>
  <c r="L19"/>
  <c r="I19"/>
  <c r="L18"/>
  <c r="I18"/>
  <c r="L17"/>
  <c r="I17"/>
  <c r="L16"/>
  <c r="I16"/>
  <c r="L15"/>
  <c r="I15"/>
  <c r="L14"/>
  <c r="I14"/>
  <c r="L13"/>
  <c r="I13"/>
  <c r="L12"/>
  <c r="I12"/>
  <c r="L11"/>
  <c r="I11"/>
  <c r="L10"/>
  <c r="I10"/>
  <c r="L9"/>
  <c r="I9"/>
  <c r="L8"/>
  <c r="I8"/>
  <c r="L7"/>
  <c r="I7"/>
  <c r="L6"/>
  <c r="I6"/>
  <c r="L5"/>
  <c r="I5"/>
  <c r="T20" i="17"/>
  <c r="S20"/>
  <c r="R20"/>
  <c r="L20"/>
  <c r="N20"/>
  <c r="T17"/>
  <c r="S17"/>
  <c r="R17"/>
  <c r="L17"/>
  <c r="N17"/>
  <c r="L14"/>
  <c r="N14"/>
  <c r="S14"/>
  <c r="T13"/>
  <c r="S13"/>
  <c r="R13"/>
  <c r="L13"/>
  <c r="M13"/>
  <c r="Q13"/>
  <c r="T10"/>
  <c r="S10"/>
  <c r="R10"/>
  <c r="L10"/>
  <c r="N10"/>
  <c r="T7"/>
  <c r="S7"/>
  <c r="R7"/>
  <c r="L7"/>
  <c r="N7"/>
  <c r="T6"/>
  <c r="S6"/>
  <c r="R6"/>
  <c r="L6"/>
  <c r="N6"/>
  <c r="M63" i="13"/>
  <c r="M30" i="17"/>
  <c r="Q30"/>
  <c r="R30"/>
  <c r="T30"/>
  <c r="N11"/>
  <c r="M7"/>
  <c r="Q7"/>
  <c r="M20"/>
  <c r="Q20"/>
  <c r="M14"/>
  <c r="R14"/>
  <c r="Q14"/>
  <c r="T14"/>
  <c r="AR64" i="13"/>
  <c r="AQ64"/>
  <c r="AP64"/>
  <c r="AO64"/>
  <c r="AO82"/>
  <c r="N5" i="16" s="1"/>
  <c r="AN64" i="13"/>
  <c r="AM64"/>
  <c r="AG64"/>
  <c r="AF64"/>
  <c r="AE64"/>
  <c r="AD64"/>
  <c r="AC64"/>
  <c r="S64"/>
  <c r="F64"/>
  <c r="AH64"/>
  <c r="AP85"/>
  <c r="O8" i="16" s="1"/>
  <c r="AQ51" i="13"/>
  <c r="AP51"/>
  <c r="AO51"/>
  <c r="AN51"/>
  <c r="AM51"/>
  <c r="AM53"/>
  <c r="AM54"/>
  <c r="AM55"/>
  <c r="AM65"/>
  <c r="AG51"/>
  <c r="AF51"/>
  <c r="AE51"/>
  <c r="AE70"/>
  <c r="AD51"/>
  <c r="AC51"/>
  <c r="F51"/>
  <c r="O51" s="1"/>
  <c r="AH51"/>
  <c r="AQ55"/>
  <c r="AP55"/>
  <c r="AO55"/>
  <c r="AN55"/>
  <c r="AG55"/>
  <c r="AF55"/>
  <c r="AE55"/>
  <c r="AD55"/>
  <c r="AC55"/>
  <c r="F55"/>
  <c r="AR55" s="1"/>
  <c r="AQ54"/>
  <c r="AP54"/>
  <c r="AP53"/>
  <c r="AP65"/>
  <c r="AO54"/>
  <c r="AN54"/>
  <c r="AN70"/>
  <c r="AG54"/>
  <c r="AF54"/>
  <c r="AE54"/>
  <c r="AD54"/>
  <c r="AC54"/>
  <c r="F54"/>
  <c r="O54"/>
  <c r="F26"/>
  <c r="AH26"/>
  <c r="AC26"/>
  <c r="AD26"/>
  <c r="AE26"/>
  <c r="AF26"/>
  <c r="AG26"/>
  <c r="AM26"/>
  <c r="AN26"/>
  <c r="AO26"/>
  <c r="AP26"/>
  <c r="AQ26"/>
  <c r="AR26"/>
  <c r="AH55"/>
  <c r="AR51"/>
  <c r="AR54"/>
  <c r="AB116"/>
  <c r="A37" i="16"/>
  <c r="AB113" i="13"/>
  <c r="AL113"/>
  <c r="K34" i="16"/>
  <c r="S65" i="13"/>
  <c r="S12"/>
  <c r="S10"/>
  <c r="S6"/>
  <c r="AO104"/>
  <c r="N25" i="16" s="1"/>
  <c r="AG53" i="13"/>
  <c r="AF53"/>
  <c r="AE53"/>
  <c r="AD53"/>
  <c r="AC53"/>
  <c r="AG65"/>
  <c r="AF65"/>
  <c r="AE65"/>
  <c r="AD65"/>
  <c r="AC65"/>
  <c r="AR53"/>
  <c r="AQ53"/>
  <c r="AO53"/>
  <c r="AN53"/>
  <c r="F53"/>
  <c r="AH53"/>
  <c r="AQ12"/>
  <c r="AP12"/>
  <c r="AO12"/>
  <c r="AN12"/>
  <c r="AM12"/>
  <c r="AM6"/>
  <c r="AM82"/>
  <c r="L5" i="16" s="1"/>
  <c r="AL83" i="13"/>
  <c r="AL93"/>
  <c r="K16" i="16"/>
  <c r="AL84" i="13"/>
  <c r="AL94"/>
  <c r="K17" i="16"/>
  <c r="AL88" i="13"/>
  <c r="K11" i="16"/>
  <c r="AE84" i="13"/>
  <c r="D7" i="16" s="1"/>
  <c r="AL82" i="13"/>
  <c r="K5" i="16"/>
  <c r="AL81" i="13"/>
  <c r="AL91"/>
  <c r="K14" i="16"/>
  <c r="AO88" i="13"/>
  <c r="N11" i="16" s="1"/>
  <c r="AM88" i="13"/>
  <c r="L11" i="16" s="1"/>
  <c r="AE88" i="13"/>
  <c r="D11" i="16" s="1"/>
  <c r="W11" s="1"/>
  <c r="AG88" i="13"/>
  <c r="F11" i="16" s="1"/>
  <c r="AR65" i="13"/>
  <c r="AQ65"/>
  <c r="AO65"/>
  <c r="AN65"/>
  <c r="AC6"/>
  <c r="AM10"/>
  <c r="AN10"/>
  <c r="AO10"/>
  <c r="AO83"/>
  <c r="N6" i="16" s="1"/>
  <c r="AP10" i="13"/>
  <c r="AQ10"/>
  <c r="AQ83"/>
  <c r="P6" i="16" s="1"/>
  <c r="AC10" i="13"/>
  <c r="AD10"/>
  <c r="AD83"/>
  <c r="C6" i="16" s="1"/>
  <c r="AE10" i="13"/>
  <c r="AF10"/>
  <c r="AG10"/>
  <c r="AC12"/>
  <c r="AD12"/>
  <c r="AE12"/>
  <c r="AF12"/>
  <c r="AG12"/>
  <c r="AN6"/>
  <c r="AN82"/>
  <c r="M5" i="16" s="1"/>
  <c r="AO6" i="13"/>
  <c r="AP6"/>
  <c r="AP82"/>
  <c r="O5" i="16" s="1"/>
  <c r="AQ6" i="13"/>
  <c r="AD6"/>
  <c r="AD104"/>
  <c r="AD114" s="1"/>
  <c r="C35" i="16" s="1"/>
  <c r="AE6" i="13"/>
  <c r="AF6"/>
  <c r="AF82"/>
  <c r="E5" i="16" s="1"/>
  <c r="X5" s="1"/>
  <c r="AG6" i="13"/>
  <c r="F65"/>
  <c r="AH65"/>
  <c r="AF84"/>
  <c r="E7" i="16" s="1"/>
  <c r="AR12" i="13"/>
  <c r="O12"/>
  <c r="O10"/>
  <c r="O6"/>
  <c r="AL92"/>
  <c r="K15" i="16"/>
  <c r="K6"/>
  <c r="AL116" i="13"/>
  <c r="K37" i="16"/>
  <c r="K7"/>
  <c r="A34"/>
  <c r="A39"/>
  <c r="AL118" i="13"/>
  <c r="K39" i="16"/>
  <c r="AM126" i="13"/>
  <c r="AM136" s="1"/>
  <c r="AP110"/>
  <c r="O31" i="16" s="1"/>
  <c r="AF109" i="13"/>
  <c r="E30" i="16" s="1"/>
  <c r="AE106" i="13"/>
  <c r="D27" i="16" s="1"/>
  <c r="AP22" i="13"/>
  <c r="AP47"/>
  <c r="AR6"/>
  <c r="AR10"/>
  <c r="AC81"/>
  <c r="B4" i="16" s="1"/>
  <c r="U4" s="1"/>
  <c r="AG81" i="13"/>
  <c r="F4" i="16" s="1"/>
  <c r="AF81" i="13"/>
  <c r="E4" i="16" s="1"/>
  <c r="AE81" i="13"/>
  <c r="D4" i="16" s="1"/>
  <c r="AA73" i="13"/>
  <c r="AP81"/>
  <c r="O4" i="16" s="1"/>
  <c r="AN81" i="13"/>
  <c r="M4" i="16" s="1"/>
  <c r="AO81" i="13"/>
  <c r="N4" i="16" s="1"/>
  <c r="AR81" i="13"/>
  <c r="Q4" i="16" s="1"/>
  <c r="AH81" i="13"/>
  <c r="G4" i="16" s="1"/>
  <c r="AM84" i="13"/>
  <c r="L7" i="16" s="1"/>
  <c r="AN73" i="13"/>
  <c r="AC126"/>
  <c r="B46" i="16" s="1"/>
  <c r="AP124" i="13"/>
  <c r="AP134" s="1"/>
  <c r="AP73"/>
  <c r="AD70"/>
  <c r="AM106"/>
  <c r="L27" i="16" s="1"/>
  <c r="AD85" i="13"/>
  <c r="C8" i="16" s="1"/>
  <c r="AM85" i="13"/>
  <c r="L8" i="16" s="1"/>
  <c r="AQ85" i="13"/>
  <c r="P8" i="16" s="1"/>
  <c r="AE105" i="13"/>
  <c r="AE115" s="1"/>
  <c r="AM22"/>
  <c r="AC22"/>
  <c r="AC47"/>
  <c r="AG104"/>
  <c r="F25" i="16" s="1"/>
  <c r="AD84" i="13"/>
  <c r="C7" i="16" s="1"/>
  <c r="AQ84" i="13"/>
  <c r="P7" i="16" s="1"/>
  <c r="AC84" i="13"/>
  <c r="B7" i="16" s="1"/>
  <c r="AG84" i="13"/>
  <c r="F7" i="16" s="1"/>
  <c r="Y7" s="1"/>
  <c r="AP84" i="13"/>
  <c r="O7" i="16" s="1"/>
  <c r="AQ125" i="13"/>
  <c r="P45" i="16" s="1"/>
  <c r="AN84" i="13"/>
  <c r="M7" i="16" s="1"/>
  <c r="O53" i="13"/>
  <c r="AE82"/>
  <c r="D5" i="16" s="1"/>
  <c r="AP126" i="13"/>
  <c r="AP136" s="1"/>
  <c r="AN22"/>
  <c r="AN47"/>
  <c r="AM47"/>
  <c r="AE83"/>
  <c r="D6" i="16" s="1"/>
  <c r="W6" s="1"/>
  <c r="AM105" i="13"/>
  <c r="AM115" s="1"/>
  <c r="L36" i="16" s="1"/>
  <c r="AG83" i="13"/>
  <c r="F6" i="16" s="1"/>
  <c r="Y6" s="1"/>
  <c r="AQ82" i="13"/>
  <c r="P5" i="16" s="1"/>
  <c r="X80" i="13"/>
  <c r="AC82"/>
  <c r="B5" i="16" s="1"/>
  <c r="U5" s="1"/>
  <c r="AG109" i="13"/>
  <c r="F30" i="16" s="1"/>
  <c r="AD103" i="13"/>
  <c r="AD113" s="1"/>
  <c r="AF130"/>
  <c r="E50" i="16" s="1"/>
  <c r="AO109" i="13"/>
  <c r="N30" i="16" s="1"/>
  <c r="AO130" i="13"/>
  <c r="N50" i="16" s="1"/>
  <c r="AC110" i="13"/>
  <c r="B31" i="16" s="1"/>
  <c r="AE107" i="13"/>
  <c r="AE130"/>
  <c r="D50" i="16" s="1"/>
  <c r="AN107" i="13"/>
  <c r="M28" i="16" s="1"/>
  <c r="AM131" i="13"/>
  <c r="L51" i="16" s="1"/>
  <c r="AQ110" i="13"/>
  <c r="P31" i="16" s="1"/>
  <c r="AQ107" i="13"/>
  <c r="P39" i="16" s="1"/>
  <c r="AC104" i="13"/>
  <c r="B25" i="16" s="1"/>
  <c r="AF104" i="13"/>
  <c r="E25" i="16" s="1"/>
  <c r="AP128" i="13"/>
  <c r="O48" i="16" s="1"/>
  <c r="AN125" i="13"/>
  <c r="M45" i="16" s="1"/>
  <c r="AD22" i="13"/>
  <c r="AC85"/>
  <c r="B8" i="16" s="1"/>
  <c r="AG85" i="13"/>
  <c r="F8" i="16" s="1"/>
  <c r="Y8" s="1"/>
  <c r="O35" i="13"/>
  <c r="K27" i="16"/>
  <c r="K46"/>
  <c r="AH8" i="13"/>
  <c r="AG82"/>
  <c r="F5" i="16" s="1"/>
  <c r="Y5" s="1"/>
  <c r="AR82" i="13"/>
  <c r="Q5" i="16" s="1"/>
  <c r="AE125" i="13"/>
  <c r="AE135" s="1"/>
  <c r="AD107"/>
  <c r="C28" i="16" s="1"/>
  <c r="AH130" i="13"/>
  <c r="G50" i="16" s="1"/>
  <c r="AN110" i="13"/>
  <c r="M31" i="16" s="1"/>
  <c r="AM124" i="13"/>
  <c r="L44" i="16" s="1"/>
  <c r="AE110" i="13"/>
  <c r="D31" i="16" s="1"/>
  <c r="AD106" i="13"/>
  <c r="AD116" s="1"/>
  <c r="C37" i="16" s="1"/>
  <c r="AG130" i="13"/>
  <c r="F50" i="16" s="1"/>
  <c r="AR107" i="13"/>
  <c r="Q39" i="16" s="1"/>
  <c r="AP131" i="13"/>
  <c r="O51" i="16" s="1"/>
  <c r="AN124" i="13"/>
  <c r="AN134" s="1"/>
  <c r="AR130"/>
  <c r="Q50" i="16" s="1"/>
  <c r="AE104" i="13"/>
  <c r="AE114" s="1"/>
  <c r="D35" i="16" s="1"/>
  <c r="AN104" i="13"/>
  <c r="AN114" s="1"/>
  <c r="AM73"/>
  <c r="AQ73"/>
  <c r="AO84"/>
  <c r="N7" i="16" s="1"/>
  <c r="AC70" i="13"/>
  <c r="AF85"/>
  <c r="E8" i="16" s="1"/>
  <c r="AO85" i="13"/>
  <c r="N8" i="16" s="1"/>
  <c r="AC106" i="13"/>
  <c r="B27" i="16" s="1"/>
  <c r="AF107" i="13"/>
  <c r="E28" i="16" s="1"/>
  <c r="AC131" i="13"/>
  <c r="B51" i="16" s="1"/>
  <c r="AG126" i="13"/>
  <c r="F46" i="16" s="1"/>
  <c r="AQ106" i="13"/>
  <c r="AQ116" s="1"/>
  <c r="AG110"/>
  <c r="F31" i="16" s="1"/>
  <c r="AF106" i="13"/>
  <c r="AF116" s="1"/>
  <c r="E37" i="16" s="1"/>
  <c r="AD131" i="13"/>
  <c r="C51" i="16" s="1"/>
  <c r="AQ109" i="13"/>
  <c r="P30" i="16" s="1"/>
  <c r="AQ130" i="13"/>
  <c r="P50" i="16" s="1"/>
  <c r="AN109" i="13"/>
  <c r="M30" i="16" s="1"/>
  <c r="AO103" i="13"/>
  <c r="AO113" s="1"/>
  <c r="N34" i="16" s="1"/>
  <c r="AO22" i="13"/>
  <c r="AO47"/>
  <c r="AM104"/>
  <c r="AM114" s="1"/>
  <c r="AP83"/>
  <c r="O6" i="16" s="1"/>
  <c r="AF22" i="13"/>
  <c r="AG22"/>
  <c r="AN83"/>
  <c r="M6" i="16" s="1"/>
  <c r="AE85" i="13"/>
  <c r="D8" i="16" s="1"/>
  <c r="W8" s="1"/>
  <c r="AN85" i="13"/>
  <c r="M8" i="16" s="1"/>
  <c r="AR85" i="13"/>
  <c r="Q8" i="16" s="1"/>
  <c r="K19"/>
  <c r="O7" i="13"/>
  <c r="AE116"/>
  <c r="D37" i="16" s="1"/>
  <c r="AC105" i="13"/>
  <c r="B26" i="16" s="1"/>
  <c r="AC83" i="13"/>
  <c r="B6" i="16" s="1"/>
  <c r="AF83" i="13"/>
  <c r="E6" i="16" s="1"/>
  <c r="AM130" i="13"/>
  <c r="L50" i="16" s="1"/>
  <c r="AP106" i="13"/>
  <c r="O27" i="16" s="1"/>
  <c r="AN106" i="13"/>
  <c r="M27" i="16" s="1"/>
  <c r="AP127" i="13"/>
  <c r="O47" i="16" s="1"/>
  <c r="AM83" i="13"/>
  <c r="L6" i="16" s="1"/>
  <c r="AE22" i="13"/>
  <c r="AE47"/>
  <c r="AE75" s="1"/>
  <c r="M10" i="17"/>
  <c r="M17"/>
  <c r="M21"/>
  <c r="N25"/>
  <c r="AF127" i="13"/>
  <c r="E47" i="16" s="1"/>
  <c r="AG128" i="13"/>
  <c r="F48" i="16" s="1"/>
  <c r="AO127" i="13"/>
  <c r="N47" i="16" s="1"/>
  <c r="M37" i="13"/>
  <c r="O37" s="1"/>
  <c r="M44"/>
  <c r="O44" s="1"/>
  <c r="M42"/>
  <c r="O42" s="1"/>
  <c r="M38"/>
  <c r="O38"/>
  <c r="M69"/>
  <c r="O69"/>
  <c r="AC127"/>
  <c r="AC137" s="1"/>
  <c r="B57" i="16" s="1"/>
  <c r="AD128" i="13"/>
  <c r="AO128"/>
  <c r="O26"/>
  <c r="N13" i="17"/>
  <c r="K47" i="16"/>
  <c r="M39" i="13"/>
  <c r="O39" s="1"/>
  <c r="M68"/>
  <c r="O68" s="1"/>
  <c r="M20"/>
  <c r="O20" s="1"/>
  <c r="AF128"/>
  <c r="E48" i="16" s="1"/>
  <c r="AN128" i="13"/>
  <c r="M48" i="16" s="1"/>
  <c r="M36" i="13"/>
  <c r="O36"/>
  <c r="M45"/>
  <c r="O45" s="1"/>
  <c r="M43"/>
  <c r="O43" s="1"/>
  <c r="M15"/>
  <c r="O15"/>
  <c r="AN127"/>
  <c r="AN137" s="1"/>
  <c r="AM116"/>
  <c r="L37" i="16" s="1"/>
  <c r="AD47" i="13"/>
  <c r="AF114"/>
  <c r="E35" i="16" s="1"/>
  <c r="AH85" i="13"/>
  <c r="G8" i="16" s="1"/>
  <c r="Z8" s="1"/>
  <c r="Q10" i="17"/>
  <c r="M12"/>
  <c r="Q17"/>
  <c r="AM134" i="13"/>
  <c r="L54" i="16" s="1"/>
  <c r="Q28"/>
  <c r="AD105" i="13"/>
  <c r="C26" i="16" s="1"/>
  <c r="X89" i="13"/>
  <c r="W94"/>
  <c r="X79"/>
  <c r="W90"/>
  <c r="W91"/>
  <c r="W79"/>
  <c r="X81"/>
  <c r="W78"/>
  <c r="W82"/>
  <c r="X91"/>
  <c r="X96"/>
  <c r="X88"/>
  <c r="X90"/>
  <c r="W81"/>
  <c r="X78"/>
  <c r="W89"/>
  <c r="W96"/>
  <c r="X94"/>
  <c r="X82"/>
  <c r="W80"/>
  <c r="W88"/>
  <c r="X83"/>
  <c r="W83"/>
  <c r="O27"/>
  <c r="AO114"/>
  <c r="N35" i="16" s="1"/>
  <c r="AC125" i="13"/>
  <c r="B45" i="16" s="1"/>
  <c r="AL134" i="13"/>
  <c r="K54" i="16"/>
  <c r="AN131" i="13"/>
  <c r="M51" i="16" s="1"/>
  <c r="AO107" i="13"/>
  <c r="N28" i="16" s="1"/>
  <c r="AO73" i="13"/>
  <c r="K31" i="16"/>
  <c r="O29" i="13"/>
  <c r="M40"/>
  <c r="AD82"/>
  <c r="C5" i="16" s="1"/>
  <c r="AH54" i="13"/>
  <c r="AM109"/>
  <c r="L30" i="16" s="1"/>
  <c r="AG125" i="13"/>
  <c r="AG135" s="1"/>
  <c r="K4" i="16"/>
  <c r="AQ22" i="13"/>
  <c r="AR104"/>
  <c r="Q25" i="16" s="1"/>
  <c r="O11" i="13"/>
  <c r="L26" i="16"/>
  <c r="AN135" i="13"/>
  <c r="M55" i="16" s="1"/>
  <c r="B47"/>
  <c r="D26"/>
  <c r="O62" i="13"/>
  <c r="O58"/>
  <c r="O8"/>
  <c r="AG47"/>
  <c r="O44" i="16"/>
  <c r="M27" i="17"/>
  <c r="Q25"/>
  <c r="Q27"/>
  <c r="AR126" i="13"/>
  <c r="Q46" i="16" s="1"/>
  <c r="AC75" i="13"/>
  <c r="AQ47"/>
  <c r="Q22" i="17"/>
  <c r="Q24"/>
  <c r="M24"/>
  <c r="AS22" i="13"/>
  <c r="AL22"/>
  <c r="AR84"/>
  <c r="Q7" i="16" s="1"/>
  <c r="AR127" i="13"/>
  <c r="Q47" i="16" s="1"/>
  <c r="AI22" i="13"/>
  <c r="AH82"/>
  <c r="G5" i="16" s="1"/>
  <c r="Q21" i="17"/>
  <c r="C25" i="16"/>
  <c r="AR105" i="13"/>
  <c r="Q26" i="16" s="1"/>
  <c r="AR83" i="13"/>
  <c r="Q6" i="16" s="1"/>
  <c r="M65" i="13"/>
  <c r="O65" s="1"/>
  <c r="M14"/>
  <c r="AF47"/>
  <c r="AH27"/>
  <c r="AH62"/>
  <c r="AH106" s="1"/>
  <c r="G27" i="16" s="1"/>
  <c r="N22" i="17"/>
  <c r="M66" i="13"/>
  <c r="O66" s="1"/>
  <c r="M16"/>
  <c r="M6" i="17"/>
  <c r="Q6"/>
  <c r="N18"/>
  <c r="N28"/>
  <c r="M67" i="13"/>
  <c r="O67"/>
  <c r="M17"/>
  <c r="O17"/>
  <c r="AH57"/>
  <c r="M41"/>
  <c r="O41" s="1"/>
  <c r="M64"/>
  <c r="O16"/>
  <c r="AH83"/>
  <c r="G6" i="16" s="1"/>
  <c r="O14" i="13"/>
  <c r="AJ22"/>
  <c r="AI47"/>
  <c r="AJ47" s="1"/>
  <c r="O64"/>
  <c r="W5" i="16" l="1"/>
  <c r="Y4"/>
  <c r="V11"/>
  <c r="X11"/>
  <c r="Z6"/>
  <c r="Y10"/>
  <c r="M21" i="13"/>
  <c r="Z5" i="16"/>
  <c r="V5"/>
  <c r="X8"/>
  <c r="U8"/>
  <c r="U7"/>
  <c r="X6"/>
  <c r="V7"/>
  <c r="V8"/>
  <c r="Z4"/>
  <c r="W4"/>
  <c r="X7"/>
  <c r="V4"/>
  <c r="X10"/>
  <c r="U10"/>
  <c r="V10"/>
  <c r="U6"/>
  <c r="X4"/>
  <c r="V6"/>
  <c r="W7"/>
  <c r="Z10"/>
  <c r="U11"/>
  <c r="M46" i="13"/>
  <c r="AH125"/>
  <c r="AR131"/>
  <c r="Q51" i="16" s="1"/>
  <c r="AS47" i="13"/>
  <c r="AL47" s="1"/>
  <c r="AD75"/>
  <c r="AO75"/>
  <c r="AQ75"/>
  <c r="AG75"/>
  <c r="AN75"/>
  <c r="E59" i="16"/>
  <c r="O46"/>
  <c r="L25"/>
  <c r="AC115" i="13"/>
  <c r="B36" i="16" s="1"/>
  <c r="AC114" i="13"/>
  <c r="B35" i="16" s="1"/>
  <c r="AR88" i="13"/>
  <c r="Q11" i="16" s="1"/>
  <c r="AR110" i="13"/>
  <c r="Q31" i="16" s="1"/>
  <c r="O55" i="13"/>
  <c r="AH84"/>
  <c r="G7" i="16" s="1"/>
  <c r="Z7" s="1"/>
  <c r="AG136" i="13"/>
  <c r="F56" i="16" s="1"/>
  <c r="AQ135" i="13"/>
  <c r="P55" i="16" s="1"/>
  <c r="AC135" i="13"/>
  <c r="B55" i="16" s="1"/>
  <c r="M59"/>
  <c r="O59" i="13"/>
  <c r="AS70"/>
  <c r="AS75" s="1"/>
  <c r="AM75"/>
  <c r="AH135"/>
  <c r="G55" i="16" s="1"/>
  <c r="G45"/>
  <c r="AS73" i="13"/>
  <c r="M47"/>
  <c r="AH105"/>
  <c r="AH115" s="1"/>
  <c r="M22"/>
  <c r="AO96"/>
  <c r="N19" i="16" s="1"/>
  <c r="M70" i="13"/>
  <c r="AH126"/>
  <c r="AH136" s="1"/>
  <c r="G56" i="16" s="1"/>
  <c r="AH104" i="13"/>
  <c r="AH114" s="1"/>
  <c r="G35" i="16" s="1"/>
  <c r="AH127" i="13"/>
  <c r="AH137" s="1"/>
  <c r="G57" i="16" s="1"/>
  <c r="M47"/>
  <c r="C24"/>
  <c r="AH131" i="13"/>
  <c r="G51" i="16" s="1"/>
  <c r="AP125" i="13"/>
  <c r="E39" i="16"/>
  <c r="O59"/>
  <c r="P28"/>
  <c r="M25"/>
  <c r="C39"/>
  <c r="AO106" i="13"/>
  <c r="N27" i="16" s="1"/>
  <c r="AD130" i="13"/>
  <c r="C50" i="16" s="1"/>
  <c r="AD125" i="13"/>
  <c r="C45" i="16" s="1"/>
  <c r="AP70" i="13"/>
  <c r="AP75" s="1"/>
  <c r="AF126"/>
  <c r="E46" i="16" s="1"/>
  <c r="AE109" i="13"/>
  <c r="D30" i="16" s="1"/>
  <c r="AD73" i="13"/>
  <c r="L46" i="16"/>
  <c r="AO137" i="13"/>
  <c r="N57" i="16" s="1"/>
  <c r="AC73" i="13"/>
  <c r="AO110"/>
  <c r="N31" i="16" s="1"/>
  <c r="AH107" i="13"/>
  <c r="D28" i="16"/>
  <c r="D25"/>
  <c r="AC136" i="13"/>
  <c r="B56" i="16" s="1"/>
  <c r="AG114" i="13"/>
  <c r="F35" i="16" s="1"/>
  <c r="AQ128" i="13"/>
  <c r="P48" i="16" s="1"/>
  <c r="AH128" i="13"/>
  <c r="AE128"/>
  <c r="AM128"/>
  <c r="AD127"/>
  <c r="AM127"/>
  <c r="AM137" s="1"/>
  <c r="AM94" s="1"/>
  <c r="L17" i="16" s="1"/>
  <c r="AG127" i="13"/>
  <c r="AC128"/>
  <c r="AP109"/>
  <c r="O30" i="16" s="1"/>
  <c r="AM107" i="13"/>
  <c r="AQ126"/>
  <c r="AF73"/>
  <c r="AQ127"/>
  <c r="AF105"/>
  <c r="AE127"/>
  <c r="AP104"/>
  <c r="AO105"/>
  <c r="N26" i="16" s="1"/>
  <c r="AQ131" i="13"/>
  <c r="P51" i="16" s="1"/>
  <c r="AP130" i="13"/>
  <c r="O50" i="16" s="1"/>
  <c r="AP103" i="13"/>
  <c r="AP113" s="1"/>
  <c r="O34" i="16" s="1"/>
  <c r="AD126" i="13"/>
  <c r="AC124"/>
  <c r="AD109"/>
  <c r="C30" i="16" s="1"/>
  <c r="AC103" i="13"/>
  <c r="AQ124"/>
  <c r="AD124"/>
  <c r="AE131"/>
  <c r="D51" i="16" s="1"/>
  <c r="AH103" i="13"/>
  <c r="AD110"/>
  <c r="C31" i="16" s="1"/>
  <c r="M56" i="13"/>
  <c r="AO125"/>
  <c r="N45" i="16" s="1"/>
  <c r="AP105" i="13"/>
  <c r="AR106"/>
  <c r="AR109"/>
  <c r="Q30" i="16" s="1"/>
  <c r="AM110" i="13"/>
  <c r="L31" i="16" s="1"/>
  <c r="AO124" i="13"/>
  <c r="AG124"/>
  <c r="AC130"/>
  <c r="B50" i="16" s="1"/>
  <c r="AG107" i="13"/>
  <c r="AC107"/>
  <c r="AR103"/>
  <c r="AE126"/>
  <c r="AF103"/>
  <c r="AC109"/>
  <c r="B30" i="16" s="1"/>
  <c r="AH124" i="13"/>
  <c r="AR128"/>
  <c r="AM125"/>
  <c r="AG73"/>
  <c r="AR125"/>
  <c r="AN105"/>
  <c r="AN115" s="1"/>
  <c r="AQ104"/>
  <c r="AG105"/>
  <c r="AN130"/>
  <c r="M50" i="16" s="1"/>
  <c r="AQ103" i="13"/>
  <c r="AN126"/>
  <c r="AE124"/>
  <c r="AG103"/>
  <c r="AH109"/>
  <c r="G30" i="16" s="1"/>
  <c r="AM103" i="13"/>
  <c r="AN103"/>
  <c r="AF124"/>
  <c r="AG131"/>
  <c r="F51" i="16" s="1"/>
  <c r="AG106" i="13"/>
  <c r="AF125"/>
  <c r="AR124"/>
  <c r="AF70"/>
  <c r="AF75" s="1"/>
  <c r="AO126"/>
  <c r="AF131"/>
  <c r="E51" i="16" s="1"/>
  <c r="AF110" i="13"/>
  <c r="E31" i="16" s="1"/>
  <c r="AP107" i="13"/>
  <c r="AE103"/>
  <c r="AO131"/>
  <c r="N51" i="16" s="1"/>
  <c r="AQ105" i="13"/>
  <c r="AQ88"/>
  <c r="P11" i="16" s="1"/>
  <c r="Y11" s="1"/>
  <c r="AR136" i="13"/>
  <c r="Q56" i="16" s="1"/>
  <c r="AR114" i="13"/>
  <c r="AR137"/>
  <c r="AF136"/>
  <c r="E56" i="16" s="1"/>
  <c r="AD115" i="13"/>
  <c r="C36" i="16" s="1"/>
  <c r="F59"/>
  <c r="Q35"/>
  <c r="AR115" i="13"/>
  <c r="AR93" s="1"/>
  <c r="Q16" i="16" s="1"/>
  <c r="AH116" i="13"/>
  <c r="G37" i="16" s="1"/>
  <c r="F45"/>
  <c r="W97" i="13"/>
  <c r="X84"/>
  <c r="D39" i="16"/>
  <c r="AD135" i="13"/>
  <c r="C55" i="16" s="1"/>
  <c r="AN116" i="13"/>
  <c r="M37" i="16" s="1"/>
  <c r="N39"/>
  <c r="G46"/>
  <c r="AO116" i="13"/>
  <c r="M44" i="16"/>
  <c r="N48"/>
  <c r="L47"/>
  <c r="E27"/>
  <c r="P27"/>
  <c r="N24"/>
  <c r="AC116" i="13"/>
  <c r="D45" i="16"/>
  <c r="G39"/>
  <c r="G47"/>
  <c r="G28"/>
  <c r="O54"/>
  <c r="AP91" i="13"/>
  <c r="O14" i="16" s="1"/>
  <c r="O56"/>
  <c r="O45"/>
  <c r="AF137" i="13"/>
  <c r="AP116"/>
  <c r="O37" i="16" s="1"/>
  <c r="W84" i="13"/>
  <c r="M35" i="16"/>
  <c r="AN92" i="13"/>
  <c r="M15" i="16" s="1"/>
  <c r="M36"/>
  <c r="C48"/>
  <c r="C27"/>
  <c r="G36"/>
  <c r="AH93" i="13"/>
  <c r="G16" i="16" s="1"/>
  <c r="F55"/>
  <c r="N59"/>
  <c r="C59"/>
  <c r="L35"/>
  <c r="C34"/>
  <c r="L56"/>
  <c r="AM93" i="13"/>
  <c r="L16" i="16" s="1"/>
  <c r="AH92" i="13"/>
  <c r="G15" i="16" s="1"/>
  <c r="M57"/>
  <c r="P37"/>
  <c r="M54"/>
  <c r="D55"/>
  <c r="AE92" i="13"/>
  <c r="D15" i="16" s="1"/>
  <c r="D36"/>
  <c r="AI70" i="13"/>
  <c r="AH88"/>
  <c r="G11" i="16" s="1"/>
  <c r="AH110" i="13"/>
  <c r="G31" i="16" s="1"/>
  <c r="G26"/>
  <c r="X97" i="13"/>
  <c r="Z11" i="16" l="1"/>
  <c r="AI114" i="13"/>
  <c r="H35" i="16" s="1"/>
  <c r="L57"/>
  <c r="AC92" i="13"/>
  <c r="B15" i="16" s="1"/>
  <c r="AD96" i="13"/>
  <c r="C19" i="16" s="1"/>
  <c r="AG92" i="13"/>
  <c r="F15" i="16" s="1"/>
  <c r="O24"/>
  <c r="AC93" i="13"/>
  <c r="B16" i="16" s="1"/>
  <c r="AF96" i="13"/>
  <c r="E19" i="16" s="1"/>
  <c r="G25"/>
  <c r="M26"/>
  <c r="AD92" i="13"/>
  <c r="C15" i="16" s="1"/>
  <c r="AO135" i="13"/>
  <c r="AO92" s="1"/>
  <c r="N15" i="16" s="1"/>
  <c r="AO115" i="13"/>
  <c r="Q36" i="16"/>
  <c r="AN94" i="13"/>
  <c r="M17" i="16" s="1"/>
  <c r="AH94" i="13"/>
  <c r="G17" i="16" s="1"/>
  <c r="AN113" i="13"/>
  <c r="M24" i="16"/>
  <c r="AE134" i="13"/>
  <c r="D54" i="16" s="1"/>
  <c r="D44"/>
  <c r="AQ113" i="13"/>
  <c r="P24" i="16"/>
  <c r="F26"/>
  <c r="AG115" i="13"/>
  <c r="Q48" i="16"/>
  <c r="D46"/>
  <c r="AE136" i="13"/>
  <c r="B28" i="16"/>
  <c r="AO134" i="13"/>
  <c r="N44" i="16"/>
  <c r="AP115" i="13"/>
  <c r="O26" i="16"/>
  <c r="AH113" i="13"/>
  <c r="G24" i="16"/>
  <c r="AD134" i="13"/>
  <c r="C44" i="16"/>
  <c r="AC113" i="13"/>
  <c r="B24" i="16"/>
  <c r="AC134" i="13"/>
  <c r="B44" i="16"/>
  <c r="AP114" i="13"/>
  <c r="O25" i="16"/>
  <c r="E26"/>
  <c r="AF115" i="13"/>
  <c r="L28" i="16"/>
  <c r="B48"/>
  <c r="L48"/>
  <c r="G48"/>
  <c r="AL70" i="13"/>
  <c r="O28" i="16"/>
  <c r="AF135" i="13"/>
  <c r="E45" i="16"/>
  <c r="AQ115" i="13"/>
  <c r="P26" i="16"/>
  <c r="D24"/>
  <c r="AE113" i="13"/>
  <c r="AO136"/>
  <c r="N56" i="16" s="1"/>
  <c r="N46"/>
  <c r="Q44"/>
  <c r="AR134" i="13"/>
  <c r="Q54" i="16" s="1"/>
  <c r="AG116" i="13"/>
  <c r="F27" i="16"/>
  <c r="AF134" i="13"/>
  <c r="E54" i="16" s="1"/>
  <c r="E44"/>
  <c r="L24"/>
  <c r="AM113" i="13"/>
  <c r="AG113"/>
  <c r="F24" i="16"/>
  <c r="M46"/>
  <c r="AN136" i="13"/>
  <c r="P25" i="16"/>
  <c r="AQ114" i="13"/>
  <c r="Q45" i="16"/>
  <c r="AR135" i="13"/>
  <c r="Q55" i="16" s="1"/>
  <c r="AM135" i="13"/>
  <c r="L45" i="16"/>
  <c r="G44"/>
  <c r="AH134" i="13"/>
  <c r="G54" i="16" s="1"/>
  <c r="AF113" i="13"/>
  <c r="E24" i="16"/>
  <c r="AR113" i="13"/>
  <c r="Q24" i="16"/>
  <c r="F28"/>
  <c r="AG134" i="13"/>
  <c r="F54" i="16" s="1"/>
  <c r="F44"/>
  <c r="Q27"/>
  <c r="AR116" i="13"/>
  <c r="Q37" i="16" s="1"/>
  <c r="AQ134" i="13"/>
  <c r="P54" i="16" s="1"/>
  <c r="P44"/>
  <c r="AD136" i="13"/>
  <c r="C46" i="16"/>
  <c r="D47"/>
  <c r="AE137" i="13"/>
  <c r="AQ137"/>
  <c r="P47" i="16"/>
  <c r="AQ136" i="13"/>
  <c r="P56" i="16" s="1"/>
  <c r="P46"/>
  <c r="F47"/>
  <c r="AG137" i="13"/>
  <c r="F57" i="16" s="1"/>
  <c r="AD137" i="13"/>
  <c r="C47" i="16"/>
  <c r="D48"/>
  <c r="AP137" i="13"/>
  <c r="AP135"/>
  <c r="O55" i="16" s="1"/>
  <c r="AP94" i="13"/>
  <c r="O17" i="16" s="1"/>
  <c r="AS114" i="13"/>
  <c r="R35" i="16" s="1"/>
  <c r="W98" i="13"/>
  <c r="X98"/>
  <c r="Q57" i="16"/>
  <c r="B37"/>
  <c r="AC94" i="13"/>
  <c r="B17" i="16" s="1"/>
  <c r="N36"/>
  <c r="N37"/>
  <c r="AO94" i="13"/>
  <c r="N17" i="16" s="1"/>
  <c r="N55"/>
  <c r="P59"/>
  <c r="AQ96" i="13"/>
  <c r="P19" i="16" s="1"/>
  <c r="AF94" i="13"/>
  <c r="E17" i="16" s="1"/>
  <c r="E57"/>
  <c r="AN96" i="13"/>
  <c r="M19" i="16" s="1"/>
  <c r="M39"/>
  <c r="AI75" i="13"/>
  <c r="AJ70"/>
  <c r="AI73"/>
  <c r="AI77" s="1"/>
  <c r="AS116" l="1"/>
  <c r="R37" i="16" s="1"/>
  <c r="AR94" i="13"/>
  <c r="Q17" i="16" s="1"/>
  <c r="AR92" i="13"/>
  <c r="Q15" i="16" s="1"/>
  <c r="AS137" i="13"/>
  <c r="R57" i="16" s="1"/>
  <c r="O57"/>
  <c r="D59"/>
  <c r="AE96" i="13"/>
  <c r="D19" i="16" s="1"/>
  <c r="AD94" i="13"/>
  <c r="C17" i="16" s="1"/>
  <c r="C57"/>
  <c r="AI137" i="13"/>
  <c r="H57" i="16" s="1"/>
  <c r="P57"/>
  <c r="AQ94" i="13"/>
  <c r="P17" i="16" s="1"/>
  <c r="C56"/>
  <c r="AD93" i="13"/>
  <c r="C16" i="16" s="1"/>
  <c r="AI136" i="13"/>
  <c r="H56" i="16" s="1"/>
  <c r="AG96" i="13"/>
  <c r="F19" i="16" s="1"/>
  <c r="F39"/>
  <c r="AR91" i="13"/>
  <c r="Q14" i="16" s="1"/>
  <c r="Q34"/>
  <c r="E34"/>
  <c r="AF91" i="13"/>
  <c r="E14" i="16" s="1"/>
  <c r="AM92" i="13"/>
  <c r="L15" i="16" s="1"/>
  <c r="AS135" i="13"/>
  <c r="R55" i="16" s="1"/>
  <c r="L55"/>
  <c r="AG91" i="13"/>
  <c r="F14" i="16" s="1"/>
  <c r="F34"/>
  <c r="AG94" i="13"/>
  <c r="F17" i="16" s="1"/>
  <c r="F37"/>
  <c r="P36"/>
  <c r="AQ93" i="13"/>
  <c r="P16" i="16" s="1"/>
  <c r="AF92" i="13"/>
  <c r="E15" i="16" s="1"/>
  <c r="E55"/>
  <c r="G59"/>
  <c r="AH96" i="13"/>
  <c r="G19" i="16" s="1"/>
  <c r="L59"/>
  <c r="AS139" i="13"/>
  <c r="R59" i="16" s="1"/>
  <c r="B59"/>
  <c r="AI139" i="13"/>
  <c r="H59" i="16" s="1"/>
  <c r="E36"/>
  <c r="AF93" i="13"/>
  <c r="E16" i="16" s="1"/>
  <c r="B39"/>
  <c r="AI118" i="13"/>
  <c r="B19" i="16"/>
  <c r="D56"/>
  <c r="AE93" i="13"/>
  <c r="D16" i="16" s="1"/>
  <c r="F36"/>
  <c r="AG93" i="13"/>
  <c r="F16" i="16" s="1"/>
  <c r="D57"/>
  <c r="AE94" i="13"/>
  <c r="D17" i="16" s="1"/>
  <c r="P35"/>
  <c r="AQ92" i="13"/>
  <c r="P15" i="16" s="1"/>
  <c r="M56"/>
  <c r="AN93" i="13"/>
  <c r="M16" i="16" s="1"/>
  <c r="AS136" i="13"/>
  <c r="R56" i="16" s="1"/>
  <c r="L34"/>
  <c r="AM91" i="13"/>
  <c r="L14" i="16" s="1"/>
  <c r="AS113" i="13"/>
  <c r="D34" i="16"/>
  <c r="AE91" i="13"/>
  <c r="D14" i="16" s="1"/>
  <c r="O39"/>
  <c r="AP96" i="13"/>
  <c r="O19" i="16" s="1"/>
  <c r="L39"/>
  <c r="AS118" i="13"/>
  <c r="AM96"/>
  <c r="L19" i="16" s="1"/>
  <c r="AP92" i="13"/>
  <c r="O15" i="16" s="1"/>
  <c r="O35"/>
  <c r="B54"/>
  <c r="AI134" i="13"/>
  <c r="B34" i="16"/>
  <c r="AI113" i="13"/>
  <c r="AC91"/>
  <c r="B14" i="16" s="1"/>
  <c r="C54"/>
  <c r="AD91" i="13"/>
  <c r="C14" i="16" s="1"/>
  <c r="AH91" i="13"/>
  <c r="G14" i="16" s="1"/>
  <c r="G34"/>
  <c r="O36"/>
  <c r="AP93" i="13"/>
  <c r="O16" i="16" s="1"/>
  <c r="AS115" i="13"/>
  <c r="AO91"/>
  <c r="N14" i="16" s="1"/>
  <c r="AS134" i="13"/>
  <c r="N54" i="16"/>
  <c r="AR96" i="13"/>
  <c r="Q19" i="16" s="1"/>
  <c r="Q59"/>
  <c r="P34"/>
  <c r="AQ91" i="13"/>
  <c r="P14" i="16" s="1"/>
  <c r="M34"/>
  <c r="AN91" i="13"/>
  <c r="M14" i="16" s="1"/>
  <c r="AO93" i="13"/>
  <c r="N16" i="16" s="1"/>
  <c r="AI116" i="13"/>
  <c r="AI115"/>
  <c r="AI135"/>
  <c r="AS94" l="1"/>
  <c r="R17" i="16" s="1"/>
  <c r="T17" s="1"/>
  <c r="H36"/>
  <c r="AI93" i="13"/>
  <c r="H16" i="16" s="1"/>
  <c r="R39"/>
  <c r="AS96" i="13"/>
  <c r="R19" i="16" s="1"/>
  <c r="T19" s="1"/>
  <c r="R34"/>
  <c r="AS119" i="13"/>
  <c r="AS91"/>
  <c r="H55" i="16"/>
  <c r="AI92" i="13"/>
  <c r="H15" i="16" s="1"/>
  <c r="AI94" i="13"/>
  <c r="H17" i="16" s="1"/>
  <c r="H37"/>
  <c r="AS140" i="13"/>
  <c r="R54" i="16"/>
  <c r="R36"/>
  <c r="AS93" i="13"/>
  <c r="R16" i="16" s="1"/>
  <c r="T16" s="1"/>
  <c r="AI119" i="13"/>
  <c r="AI91"/>
  <c r="H34" i="16"/>
  <c r="H54"/>
  <c r="AI140" i="13"/>
  <c r="H60" i="16" s="1"/>
  <c r="H39"/>
  <c r="AI96" i="13"/>
  <c r="H19" i="16" s="1"/>
  <c r="AS92" i="13"/>
  <c r="R15" i="16" s="1"/>
  <c r="T15" s="1"/>
  <c r="X19" l="1"/>
  <c r="Y19" s="1"/>
  <c r="J19"/>
  <c r="J17"/>
  <c r="X17"/>
  <c r="Y17" s="1"/>
  <c r="X16"/>
  <c r="Y16" s="1"/>
  <c r="J16"/>
  <c r="J15"/>
  <c r="X15"/>
  <c r="Y15" s="1"/>
  <c r="AI99" i="13"/>
  <c r="H40" i="16"/>
  <c r="AS141" i="13"/>
  <c r="R61" i="16" s="1"/>
  <c r="R60"/>
  <c r="AS99" i="13"/>
  <c r="R40" i="16"/>
  <c r="AS120" i="13"/>
  <c r="R41" i="16" s="1"/>
  <c r="AI97" i="13"/>
  <c r="H14" i="16"/>
  <c r="AS97" i="13"/>
  <c r="R14" i="16"/>
  <c r="T14" s="1"/>
  <c r="J14" l="1"/>
  <c r="X14"/>
  <c r="AS98" i="13"/>
  <c r="R21" i="16" s="1"/>
  <c r="R20"/>
  <c r="AJ77" i="13"/>
  <c r="H20" i="16"/>
  <c r="Y14" l="1"/>
  <c r="Y20" s="1"/>
  <c r="X20"/>
</calcChain>
</file>

<file path=xl/sharedStrings.xml><?xml version="1.0" encoding="utf-8"?>
<sst xmlns="http://schemas.openxmlformats.org/spreadsheetml/2006/main" count="943" uniqueCount="229">
  <si>
    <t>Item</t>
  </si>
  <si>
    <t>Material Amt</t>
  </si>
  <si>
    <t>Units</t>
  </si>
  <si>
    <t>Material Cost</t>
  </si>
  <si>
    <t>Material Cost/Unit</t>
  </si>
  <si>
    <t xml:space="preserve"> </t>
  </si>
  <si>
    <t>Material</t>
  </si>
  <si>
    <t>Aluminum</t>
  </si>
  <si>
    <t>hours</t>
  </si>
  <si>
    <t>N/A</t>
  </si>
  <si>
    <t>MT Time</t>
  </si>
  <si>
    <t>Shop Time</t>
  </si>
  <si>
    <t>Materials Totals</t>
  </si>
  <si>
    <t>Shop Labor</t>
  </si>
  <si>
    <t>Tech Labor</t>
  </si>
  <si>
    <t>M&amp;S Cost</t>
  </si>
  <si>
    <t>Eng Time</t>
  </si>
  <si>
    <t>Engineering</t>
  </si>
  <si>
    <t>Unit</t>
  </si>
  <si>
    <t>Estimate</t>
  </si>
  <si>
    <t>Est Remaining</t>
  </si>
  <si>
    <t>Overage</t>
  </si>
  <si>
    <t>CMM</t>
  </si>
  <si>
    <t># (line-item-zeroing)</t>
  </si>
  <si>
    <t>Base or Contingency</t>
  </si>
  <si>
    <t>Shop</t>
  </si>
  <si>
    <t>M_Tech</t>
  </si>
  <si>
    <t>Engineer</t>
  </si>
  <si>
    <t>YEAR</t>
  </si>
  <si>
    <t>B</t>
  </si>
  <si>
    <t>C</t>
  </si>
  <si>
    <t>BASE</t>
  </si>
  <si>
    <t>CONTINGENCY</t>
  </si>
  <si>
    <t>Shop Cost</t>
  </si>
  <si>
    <t>MT Cost</t>
  </si>
  <si>
    <t>Totals</t>
  </si>
  <si>
    <t>Test</t>
  </si>
  <si>
    <t>Labor Cost Total (includes contingency)</t>
  </si>
  <si>
    <t>Materials Sub Totals</t>
  </si>
  <si>
    <t>Tooling</t>
  </si>
  <si>
    <t>Base Labor</t>
  </si>
  <si>
    <t>Sum</t>
  </si>
  <si>
    <t>Contingency</t>
  </si>
  <si>
    <t>Cost With Contingency</t>
  </si>
  <si>
    <t>Base Cost</t>
  </si>
  <si>
    <t>Underage(-)</t>
  </si>
  <si>
    <t>Spent To Date</t>
  </si>
  <si>
    <t>Protot or Production</t>
  </si>
  <si>
    <t>PD</t>
  </si>
  <si>
    <t>Sum Logic Code</t>
  </si>
  <si>
    <t>TRACKING</t>
  </si>
  <si>
    <t>BPD</t>
  </si>
  <si>
    <t>BPT</t>
  </si>
  <si>
    <t>CPT</t>
  </si>
  <si>
    <t>CPD</t>
  </si>
  <si>
    <t>checksum</t>
  </si>
  <si>
    <t>Production Base Cost</t>
  </si>
  <si>
    <t>Production Contingency Cost</t>
  </si>
  <si>
    <t>Percent</t>
  </si>
  <si>
    <t>Pre-Production Base Cost</t>
  </si>
  <si>
    <t>Pre-Production Contingency Cost</t>
  </si>
  <si>
    <t>Materials and Labor</t>
  </si>
  <si>
    <t>CF PEEK</t>
  </si>
  <si>
    <t>Steel</t>
  </si>
  <si>
    <t>Material Estimates per component</t>
  </si>
  <si>
    <t>Values used to estimate Size/Cost of Batch Orders--Does not report to Cost Summary</t>
  </si>
  <si>
    <t>Descriptor</t>
  </si>
  <si>
    <t>Quantity</t>
  </si>
  <si>
    <t>CPT (microns)</t>
  </si>
  <si>
    <t>Density (g/cc)</t>
  </si>
  <si>
    <t>Finished Form</t>
  </si>
  <si>
    <t>% Waste</t>
  </si>
  <si>
    <t>Length (cm)</t>
  </si>
  <si>
    <t>Diameter/Width (cm)</t>
  </si>
  <si>
    <t>Thickness (cm)</t>
  </si>
  <si>
    <t>Volume (cc)</t>
  </si>
  <si>
    <t>Mass (g)</t>
  </si>
  <si>
    <t>Pre-Preg Area  (m^2)</t>
  </si>
  <si>
    <t>Cost Per Unit</t>
  </si>
  <si>
    <t>Choose Unit</t>
  </si>
  <si>
    <t>Cost</t>
  </si>
  <si>
    <t>Prototype Mass</t>
  </si>
  <si>
    <t>Prototype Area</t>
  </si>
  <si>
    <t>/cc</t>
  </si>
  <si>
    <t>Bulk</t>
  </si>
  <si>
    <t>/g</t>
  </si>
  <si>
    <t>Plate</t>
  </si>
  <si>
    <t>/m^2</t>
  </si>
  <si>
    <t>Round</t>
  </si>
  <si>
    <t>Mandrel</t>
  </si>
  <si>
    <t>Pipe</t>
  </si>
  <si>
    <t>n/a</t>
  </si>
  <si>
    <t>Shell</t>
  </si>
  <si>
    <t>Mandrel End Plates</t>
  </si>
  <si>
    <t>CN60 Cloth</t>
  </si>
  <si>
    <t>Laminate</t>
  </si>
  <si>
    <t>EA9396</t>
  </si>
  <si>
    <t>Adhesive</t>
  </si>
  <si>
    <t>Components</t>
  </si>
  <si>
    <t>CF HoneyComb</t>
  </si>
  <si>
    <t>6061-T6</t>
  </si>
  <si>
    <t>Prototype Composites</t>
  </si>
  <si>
    <t>Support Beam Tool</t>
  </si>
  <si>
    <t>English</t>
  </si>
  <si>
    <t>Metric</t>
  </si>
  <si>
    <t>Quoted</t>
  </si>
  <si>
    <t>lb/in^3</t>
  </si>
  <si>
    <t>g/cc</t>
  </si>
  <si>
    <t>Cost/Unit</t>
  </si>
  <si>
    <t>$/lb</t>
  </si>
  <si>
    <t>$/g</t>
  </si>
  <si>
    <t>MIC-6</t>
  </si>
  <si>
    <t>7075-T6</t>
  </si>
  <si>
    <t>Titanium</t>
  </si>
  <si>
    <t>6Al4V</t>
  </si>
  <si>
    <t>304SS</t>
  </si>
  <si>
    <t>Carbon Fiber</t>
  </si>
  <si>
    <t>M55J-UDT</t>
  </si>
  <si>
    <t>CN60-PW</t>
  </si>
  <si>
    <t>YSH80A-UDT</t>
  </si>
  <si>
    <t>$/qt</t>
  </si>
  <si>
    <t>$/cc</t>
  </si>
  <si>
    <t>EA9394</t>
  </si>
  <si>
    <t>$/bdft</t>
  </si>
  <si>
    <t>Al HoneyComb</t>
  </si>
  <si>
    <t>Nomex HC</t>
  </si>
  <si>
    <t>Support Beam Machining Tool</t>
  </si>
  <si>
    <t>Thick Laminate</t>
  </si>
  <si>
    <t>Thick Laminate Test</t>
  </si>
  <si>
    <t>PEEK</t>
  </si>
  <si>
    <t>WBS</t>
  </si>
  <si>
    <t>PO/UC Number</t>
  </si>
  <si>
    <t>STAR</t>
  </si>
  <si>
    <t>Contributed Labor Excluded…</t>
  </si>
  <si>
    <t>Project Estimated Cost</t>
  </si>
  <si>
    <t>Project Estimated Contingency</t>
  </si>
  <si>
    <t>CONT</t>
  </si>
  <si>
    <t>(HIDE)</t>
  </si>
  <si>
    <t>(HIDE AS REQUIRED)</t>
  </si>
  <si>
    <t>1.2.1</t>
  </si>
  <si>
    <t>Insertion Test Bed</t>
  </si>
  <si>
    <t>Description</t>
  </si>
  <si>
    <t>WBS Descriptor</t>
  </si>
  <si>
    <t>&lt;--  Copy Down from this Cell both columns A and B to update WBS list</t>
  </si>
  <si>
    <t>IF need to copy below this line to contain WBS, need to update Data Validation for cells in column "U" (WBS) AND 'Look Up' vectors  for Column "V" (Descriptor)</t>
  </si>
  <si>
    <t>This table drives values in a lookup table in the Pre- and Production Sheet, columns U and V.  It is 'copied' into that sheet at the bottom, see notes there to understand how to modify this.  'Inserting' rows does not work, only adding, so must modify whole table--5 rows are available for additions...</t>
  </si>
  <si>
    <t>R&amp;D</t>
  </si>
  <si>
    <t>Values below used only for reference--not linked to data in sheet estimate…</t>
  </si>
  <si>
    <t>Construction</t>
  </si>
  <si>
    <t>Differential</t>
  </si>
  <si>
    <t>Change This to change burden rate…</t>
  </si>
  <si>
    <t>Construction Rate does not have full Burden--currently ~81% (below) of Full Burden at LBNL (R&amp;D Rate)</t>
  </si>
  <si>
    <t>PT</t>
  </si>
  <si>
    <t>Material Volumes</t>
  </si>
  <si>
    <t>D-Tube</t>
  </si>
  <si>
    <t>D-Tube Bond Tool</t>
  </si>
  <si>
    <t>Level Subtotal</t>
  </si>
  <si>
    <t>Checksum</t>
  </si>
  <si>
    <t>Item Bars</t>
  </si>
  <si>
    <t>Station Plates</t>
  </si>
  <si>
    <t>Kinematic Support Bars</t>
  </si>
  <si>
    <t>Rail Insert Supports</t>
  </si>
  <si>
    <t>Iteration</t>
  </si>
  <si>
    <t>Support Components</t>
  </si>
  <si>
    <t>Cart Prototype</t>
  </si>
  <si>
    <t>Cart Rail Rider prototype</t>
  </si>
  <si>
    <t>Cart Rail Rider iteration</t>
  </si>
  <si>
    <t>Low Mass Cart</t>
  </si>
  <si>
    <t>Cart Rail Rider</t>
  </si>
  <si>
    <t>Infrastructure</t>
  </si>
  <si>
    <t>Cables</t>
  </si>
  <si>
    <t>External Ducting</t>
  </si>
  <si>
    <t>Cables Subtotal</t>
  </si>
  <si>
    <t>prototype construction</t>
  </si>
  <si>
    <t>Testing and validation</t>
  </si>
  <si>
    <t>contingency</t>
  </si>
  <si>
    <t>Cable Fabrication</t>
  </si>
  <si>
    <t>Acceptance testing</t>
  </si>
  <si>
    <t>acceptance testing</t>
  </si>
  <si>
    <t>PostDoc (cont)</t>
  </si>
  <si>
    <t>Engineer (cont)</t>
  </si>
  <si>
    <t>Postdoc (cont)</t>
  </si>
  <si>
    <t>connectors specify</t>
  </si>
  <si>
    <t>DES</t>
  </si>
  <si>
    <t>engineering design</t>
  </si>
  <si>
    <t>spec size, insulation, material</t>
  </si>
  <si>
    <t>ducting prototype section</t>
  </si>
  <si>
    <t>testing and validation</t>
  </si>
  <si>
    <t>production ducting procure</t>
  </si>
  <si>
    <t xml:space="preserve">installation </t>
  </si>
  <si>
    <t>flange passthrough</t>
  </si>
  <si>
    <t>Cooling Services Subtotal</t>
  </si>
  <si>
    <t>installation</t>
  </si>
  <si>
    <t>Infrastructure (1.5.4)</t>
  </si>
  <si>
    <t>1.5.4</t>
  </si>
  <si>
    <t>1.5.4.1</t>
  </si>
  <si>
    <t>1.5.4.2</t>
  </si>
  <si>
    <t>Dry Gas Services</t>
  </si>
  <si>
    <t>1.5.4.3</t>
  </si>
  <si>
    <t>Hall Modifications and Integrated Safety</t>
  </si>
  <si>
    <t>1.5.4.3.1</t>
  </si>
  <si>
    <t>Clean Room Modification</t>
  </si>
  <si>
    <t>1.5.4.3.2</t>
  </si>
  <si>
    <t>External Clean Tent</t>
  </si>
  <si>
    <t>1.5.4.3.3</t>
  </si>
  <si>
    <t>Shield Wall Pass-through</t>
  </si>
  <si>
    <t>shroud bias cable design</t>
  </si>
  <si>
    <t>shroud bias cable</t>
  </si>
  <si>
    <t>Hall modification and Integrated Safety</t>
  </si>
  <si>
    <t>Clean Room Modfication</t>
  </si>
  <si>
    <t>Environ Monitor and Rad monitor cables</t>
  </si>
  <si>
    <t>Cable design</t>
  </si>
  <si>
    <t>Design interface to plant (Engineering)</t>
  </si>
  <si>
    <t>plant upgrade (contingency)</t>
  </si>
  <si>
    <t>heat exchanger upgrade (contingency)</t>
  </si>
  <si>
    <t xml:space="preserve">Interface Ducting </t>
  </si>
  <si>
    <t>engineering design (contingency)</t>
  </si>
  <si>
    <t>xxx</t>
  </si>
  <si>
    <t>specify</t>
  </si>
  <si>
    <t>procure</t>
  </si>
  <si>
    <t>Shield Wall Pass-thru</t>
  </si>
  <si>
    <t>sprinkler install Contributed Labor</t>
  </si>
  <si>
    <t>sprinkler install Purchase</t>
  </si>
  <si>
    <t>V0.2</t>
  </si>
  <si>
    <t>Delta</t>
  </si>
  <si>
    <t>FY</t>
  </si>
  <si>
    <t>V0.3</t>
  </si>
  <si>
    <t>Total</t>
  </si>
  <si>
    <t>Total Effort (Base + Contingency) (Hours)</t>
  </si>
</sst>
</file>

<file path=xl/styles.xml><?xml version="1.0" encoding="utf-8"?>
<styleSheet xmlns="http://schemas.openxmlformats.org/spreadsheetml/2006/main">
  <numFmts count="7">
    <numFmt numFmtId="5" formatCode="&quot;$&quot;#,##0_);\(&quot;$&quot;#,##0\)"/>
    <numFmt numFmtId="6" formatCode="&quot;$&quot;#,##0_);[Red]\(&quot;$&quot;#,##0\)"/>
    <numFmt numFmtId="164" formatCode="&quot;$&quot;#,##0"/>
    <numFmt numFmtId="165" formatCode="0.0"/>
    <numFmt numFmtId="166" formatCode="&quot;$&quot;#,##0.00"/>
    <numFmt numFmtId="167" formatCode="0.0%"/>
    <numFmt numFmtId="168" formatCode="0.000"/>
  </numFmts>
  <fonts count="29">
    <font>
      <sz val="10"/>
      <name val="Arial"/>
    </font>
    <font>
      <b/>
      <sz val="10"/>
      <name val="Arial"/>
      <family val="2"/>
    </font>
    <font>
      <b/>
      <i/>
      <sz val="10"/>
      <color indexed="10"/>
      <name val="Arial"/>
      <family val="2"/>
    </font>
    <font>
      <sz val="10"/>
      <name val="Arial"/>
      <family val="2"/>
    </font>
    <font>
      <b/>
      <sz val="14"/>
      <name val="Arial"/>
      <family val="2"/>
    </font>
    <font>
      <sz val="10"/>
      <color indexed="10"/>
      <name val="Arial"/>
      <family val="2"/>
    </font>
    <font>
      <b/>
      <sz val="10"/>
      <color indexed="10"/>
      <name val="Arial"/>
      <family val="2"/>
    </font>
    <font>
      <i/>
      <sz val="10"/>
      <name val="Arial"/>
      <family val="2"/>
    </font>
    <font>
      <strike/>
      <sz val="10"/>
      <name val="Arial"/>
      <family val="2"/>
    </font>
    <font>
      <strike/>
      <sz val="10"/>
      <name val="Arial"/>
      <family val="2"/>
    </font>
    <font>
      <b/>
      <sz val="11"/>
      <color indexed="10"/>
      <name val="Arial"/>
      <family val="2"/>
    </font>
    <font>
      <i/>
      <sz val="10"/>
      <color indexed="10"/>
      <name val="Arial"/>
      <family val="2"/>
    </font>
    <font>
      <b/>
      <sz val="12"/>
      <color indexed="10"/>
      <name val="Arial"/>
      <family val="2"/>
    </font>
    <font>
      <b/>
      <sz val="12"/>
      <name val="Arial"/>
      <family val="2"/>
    </font>
    <font>
      <b/>
      <sz val="10"/>
      <color indexed="53"/>
      <name val="Arial"/>
      <family val="2"/>
    </font>
    <font>
      <i/>
      <sz val="9"/>
      <name val="Arial"/>
      <family val="2"/>
    </font>
    <font>
      <sz val="12"/>
      <color indexed="10"/>
      <name val="Arial"/>
      <family val="2"/>
    </font>
    <font>
      <sz val="10"/>
      <color indexed="53"/>
      <name val="Arial"/>
      <family val="2"/>
    </font>
    <font>
      <sz val="10"/>
      <color indexed="10"/>
      <name val="Arial"/>
      <family val="2"/>
    </font>
    <font>
      <sz val="14"/>
      <name val="Arial"/>
      <family val="2"/>
    </font>
    <font>
      <sz val="12"/>
      <name val="Arial"/>
      <family val="2"/>
    </font>
    <font>
      <b/>
      <sz val="10"/>
      <color indexed="10"/>
      <name val="Arial"/>
      <family val="2"/>
    </font>
    <font>
      <sz val="10"/>
      <name val="Arial"/>
      <family val="2"/>
    </font>
    <font>
      <sz val="9"/>
      <name val="Arial"/>
      <family val="2"/>
    </font>
    <font>
      <sz val="8"/>
      <name val="Arial"/>
      <family val="2"/>
    </font>
    <font>
      <sz val="10"/>
      <name val="Arial"/>
      <family val="2"/>
    </font>
    <font>
      <sz val="11"/>
      <color rgb="FF9C0006"/>
      <name val="Calibri"/>
      <family val="2"/>
      <scheme val="minor"/>
    </font>
    <font>
      <b/>
      <sz val="11"/>
      <color rgb="FFFA7D00"/>
      <name val="Calibri"/>
      <family val="2"/>
      <scheme val="minor"/>
    </font>
    <font>
      <sz val="11"/>
      <color rgb="FF3F3F76"/>
      <name val="Calibri"/>
      <family val="2"/>
      <scheme val="minor"/>
    </font>
  </fonts>
  <fills count="6">
    <fill>
      <patternFill patternType="none"/>
    </fill>
    <fill>
      <patternFill patternType="gray125"/>
    </fill>
    <fill>
      <patternFill patternType="solid">
        <fgColor rgb="FFFFC7CE"/>
      </patternFill>
    </fill>
    <fill>
      <patternFill patternType="solid">
        <fgColor rgb="FFF2F2F2"/>
      </patternFill>
    </fill>
    <fill>
      <patternFill patternType="solid">
        <fgColor rgb="FFFFCC99"/>
      </patternFill>
    </fill>
    <fill>
      <patternFill patternType="solid">
        <fgColor rgb="FFFFFFCC"/>
      </patternFill>
    </fill>
  </fills>
  <borders count="4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0" fontId="26" fillId="2" borderId="0" applyNumberFormat="0" applyBorder="0" applyAlignment="0" applyProtection="0"/>
    <xf numFmtId="0" fontId="27" fillId="3" borderId="38" applyNumberFormat="0" applyAlignment="0" applyProtection="0"/>
    <xf numFmtId="0" fontId="28" fillId="4" borderId="38" applyNumberFormat="0" applyAlignment="0" applyProtection="0"/>
    <xf numFmtId="0" fontId="22" fillId="5" borderId="39" applyNumberFormat="0" applyFont="0" applyAlignment="0" applyProtection="0"/>
  </cellStyleXfs>
  <cellXfs count="304">
    <xf numFmtId="0" fontId="0" fillId="0" borderId="0" xfId="0"/>
    <xf numFmtId="0" fontId="2" fillId="0" borderId="0" xfId="0" applyFont="1"/>
    <xf numFmtId="0" fontId="0" fillId="0" borderId="0" xfId="0" applyBorder="1"/>
    <xf numFmtId="0" fontId="0" fillId="0" borderId="1" xfId="0" applyBorder="1"/>
    <xf numFmtId="0" fontId="0" fillId="0" borderId="0" xfId="0" applyBorder="1" applyAlignment="1">
      <alignment horizontal="right"/>
    </xf>
    <xf numFmtId="0" fontId="0" fillId="0" borderId="1" xfId="0" applyBorder="1" applyAlignment="1">
      <alignment horizontal="right"/>
    </xf>
    <xf numFmtId="0" fontId="2" fillId="0" borderId="0" xfId="0" applyFont="1" applyAlignment="1">
      <alignment horizontal="right"/>
    </xf>
    <xf numFmtId="0" fontId="0" fillId="0" borderId="0" xfId="0" applyAlignment="1">
      <alignment horizontal="right"/>
    </xf>
    <xf numFmtId="0" fontId="4" fillId="0" borderId="0" xfId="0" applyFont="1"/>
    <xf numFmtId="0" fontId="0" fillId="0" borderId="0" xfId="0" applyFill="1" applyBorder="1"/>
    <xf numFmtId="166" fontId="0" fillId="0" borderId="0" xfId="0" applyNumberFormat="1" applyAlignment="1">
      <alignment horizontal="center"/>
    </xf>
    <xf numFmtId="166" fontId="2" fillId="0" borderId="0" xfId="0" applyNumberFormat="1" applyFont="1" applyAlignment="1">
      <alignment horizontal="center"/>
    </xf>
    <xf numFmtId="0" fontId="2" fillId="0" borderId="0" xfId="0" applyFont="1" applyAlignment="1">
      <alignment horizontal="right" textRotation="90"/>
    </xf>
    <xf numFmtId="0" fontId="2" fillId="0" borderId="2" xfId="0" applyFont="1" applyBorder="1" applyAlignment="1">
      <alignment horizontal="right"/>
    </xf>
    <xf numFmtId="0" fontId="0" fillId="0" borderId="1" xfId="0" applyBorder="1" applyAlignment="1">
      <alignment horizontal="left"/>
    </xf>
    <xf numFmtId="0" fontId="1" fillId="0" borderId="0" xfId="0" applyFont="1" applyFill="1" applyBorder="1" applyAlignment="1">
      <alignment horizontal="right"/>
    </xf>
    <xf numFmtId="0" fontId="2" fillId="0" borderId="0" xfId="0" applyFont="1" applyFill="1" applyBorder="1"/>
    <xf numFmtId="0" fontId="7" fillId="0" borderId="0" xfId="0" applyFont="1" applyFill="1" applyBorder="1"/>
    <xf numFmtId="0" fontId="9" fillId="0" borderId="0" xfId="0" applyFont="1"/>
    <xf numFmtId="0" fontId="3" fillId="0" borderId="0" xfId="0" applyFont="1"/>
    <xf numFmtId="0" fontId="3" fillId="0" borderId="1" xfId="0" applyFont="1" applyBorder="1"/>
    <xf numFmtId="1" fontId="0" fillId="0" borderId="0" xfId="0" applyNumberFormat="1" applyAlignment="1">
      <alignment horizontal="center"/>
    </xf>
    <xf numFmtId="1" fontId="2" fillId="0" borderId="0" xfId="0" applyNumberFormat="1" applyFont="1" applyAlignment="1">
      <alignment horizontal="center"/>
    </xf>
    <xf numFmtId="1" fontId="3" fillId="0" borderId="0" xfId="0" applyNumberFormat="1" applyFont="1" applyAlignment="1">
      <alignment horizontal="center"/>
    </xf>
    <xf numFmtId="0" fontId="2" fillId="0" borderId="3" xfId="0" applyFont="1" applyBorder="1" applyAlignment="1">
      <alignment horizontal="right"/>
    </xf>
    <xf numFmtId="0" fontId="0" fillId="0" borderId="3" xfId="0" applyBorder="1"/>
    <xf numFmtId="0" fontId="2" fillId="0" borderId="4" xfId="0" applyFont="1" applyBorder="1" applyAlignment="1">
      <alignment horizontal="right"/>
    </xf>
    <xf numFmtId="0" fontId="2" fillId="0" borderId="5" xfId="0" applyFont="1" applyBorder="1" applyAlignment="1">
      <alignment horizontal="right"/>
    </xf>
    <xf numFmtId="0" fontId="2" fillId="0" borderId="6" xfId="0" applyFont="1" applyBorder="1" applyAlignment="1">
      <alignment horizontal="right"/>
    </xf>
    <xf numFmtId="0" fontId="0" fillId="0" borderId="7" xfId="0" applyBorder="1"/>
    <xf numFmtId="0" fontId="2" fillId="0" borderId="0" xfId="0" applyFont="1" applyBorder="1" applyAlignment="1">
      <alignment horizontal="right"/>
    </xf>
    <xf numFmtId="0" fontId="0" fillId="0" borderId="8" xfId="0" applyBorder="1" applyAlignment="1">
      <alignment horizontal="right"/>
    </xf>
    <xf numFmtId="1" fontId="3" fillId="0" borderId="9" xfId="0" applyNumberFormat="1" applyFont="1" applyBorder="1" applyAlignment="1">
      <alignment horizontal="right"/>
    </xf>
    <xf numFmtId="1" fontId="3" fillId="0" borderId="10" xfId="0" applyNumberFormat="1" applyFont="1" applyBorder="1" applyAlignment="1">
      <alignment horizontal="right"/>
    </xf>
    <xf numFmtId="0" fontId="2" fillId="0" borderId="8" xfId="0" applyFont="1" applyBorder="1" applyAlignment="1">
      <alignment horizontal="center"/>
    </xf>
    <xf numFmtId="1" fontId="11" fillId="0" borderId="9" xfId="0" applyNumberFormat="1" applyFont="1" applyBorder="1" applyAlignment="1">
      <alignment horizontal="right"/>
    </xf>
    <xf numFmtId="1" fontId="0" fillId="0" borderId="11" xfId="0" applyNumberFormat="1" applyBorder="1"/>
    <xf numFmtId="164" fontId="1" fillId="0" borderId="0" xfId="0" applyNumberFormat="1" applyFont="1" applyBorder="1" applyAlignment="1">
      <alignment horizontal="center"/>
    </xf>
    <xf numFmtId="164" fontId="1" fillId="0" borderId="0" xfId="0" applyNumberFormat="1" applyFont="1" applyBorder="1" applyAlignment="1">
      <alignment horizontal="right"/>
    </xf>
    <xf numFmtId="166" fontId="1" fillId="0" borderId="0" xfId="0" applyNumberFormat="1" applyFont="1" applyBorder="1" applyAlignment="1">
      <alignment horizontal="center"/>
    </xf>
    <xf numFmtId="1" fontId="1" fillId="0" borderId="12" xfId="0" applyNumberFormat="1" applyFont="1" applyBorder="1" applyAlignment="1">
      <alignment horizontal="center"/>
    </xf>
    <xf numFmtId="0" fontId="2" fillId="0" borderId="13" xfId="0" applyFont="1" applyBorder="1" applyAlignment="1">
      <alignment horizontal="center" textRotation="90"/>
    </xf>
    <xf numFmtId="0" fontId="2" fillId="0" borderId="14" xfId="0" applyFont="1" applyBorder="1" applyAlignment="1">
      <alignment horizontal="right"/>
    </xf>
    <xf numFmtId="166" fontId="2" fillId="0" borderId="14" xfId="0" applyNumberFormat="1" applyFont="1" applyBorder="1" applyAlignment="1">
      <alignment horizontal="center"/>
    </xf>
    <xf numFmtId="1" fontId="2" fillId="0" borderId="15" xfId="0" applyNumberFormat="1" applyFont="1" applyBorder="1" applyAlignment="1">
      <alignment horizontal="center"/>
    </xf>
    <xf numFmtId="0" fontId="3" fillId="0" borderId="0" xfId="0" applyFont="1" applyAlignment="1">
      <alignment horizontal="left" indent="2"/>
    </xf>
    <xf numFmtId="0" fontId="1" fillId="0" borderId="0" xfId="0" applyFont="1" applyAlignment="1">
      <alignment horizontal="left" indent="1"/>
    </xf>
    <xf numFmtId="0" fontId="13" fillId="0" borderId="0" xfId="0" applyFont="1" applyBorder="1"/>
    <xf numFmtId="0" fontId="13" fillId="0" borderId="0" xfId="0" applyFont="1"/>
    <xf numFmtId="0" fontId="1" fillId="0" borderId="0" xfId="0" applyFont="1"/>
    <xf numFmtId="0" fontId="1" fillId="0" borderId="16" xfId="0" applyFont="1" applyBorder="1" applyAlignment="1">
      <alignment horizontal="center"/>
    </xf>
    <xf numFmtId="0" fontId="1" fillId="0" borderId="8" xfId="0" applyFont="1" applyBorder="1" applyAlignment="1">
      <alignment horizontal="center"/>
    </xf>
    <xf numFmtId="6" fontId="14" fillId="0" borderId="17" xfId="0" applyNumberFormat="1" applyFont="1" applyBorder="1" applyAlignment="1">
      <alignment horizontal="center"/>
    </xf>
    <xf numFmtId="0" fontId="1" fillId="0" borderId="0" xfId="0" applyFont="1" applyAlignment="1">
      <alignment horizontal="center"/>
    </xf>
    <xf numFmtId="1" fontId="1" fillId="0" borderId="9" xfId="0" applyNumberFormat="1" applyFont="1" applyBorder="1" applyAlignment="1">
      <alignment horizontal="right"/>
    </xf>
    <xf numFmtId="0" fontId="1" fillId="0" borderId="0" xfId="0" applyFont="1" applyBorder="1" applyAlignment="1">
      <alignment horizontal="right"/>
    </xf>
    <xf numFmtId="0" fontId="1" fillId="0" borderId="0" xfId="0" applyNumberFormat="1" applyFont="1" applyBorder="1" applyAlignment="1">
      <alignment horizontal="right"/>
    </xf>
    <xf numFmtId="0" fontId="1" fillId="0" borderId="8" xfId="0" applyFont="1" applyBorder="1" applyAlignment="1">
      <alignment horizontal="right"/>
    </xf>
    <xf numFmtId="0" fontId="1" fillId="0" borderId="0" xfId="0" applyFont="1" applyAlignment="1">
      <alignment horizontal="right"/>
    </xf>
    <xf numFmtId="164" fontId="2" fillId="0" borderId="0" xfId="0" applyNumberFormat="1" applyFont="1" applyAlignment="1">
      <alignment horizontal="right" textRotation="90"/>
    </xf>
    <xf numFmtId="164" fontId="1" fillId="0" borderId="0" xfId="0" applyNumberFormat="1" applyFont="1" applyAlignment="1">
      <alignment horizontal="right"/>
    </xf>
    <xf numFmtId="164" fontId="1" fillId="0" borderId="9" xfId="0" applyNumberFormat="1" applyFont="1" applyBorder="1" applyAlignment="1">
      <alignment horizontal="right"/>
    </xf>
    <xf numFmtId="165" fontId="1" fillId="0" borderId="0" xfId="0" applyNumberFormat="1" applyFont="1" applyBorder="1" applyAlignment="1">
      <alignment horizontal="right"/>
    </xf>
    <xf numFmtId="165" fontId="1" fillId="0" borderId="9" xfId="0" applyNumberFormat="1" applyFont="1" applyBorder="1" applyAlignment="1">
      <alignment horizontal="right"/>
    </xf>
    <xf numFmtId="0" fontId="3" fillId="0" borderId="0" xfId="0" applyFont="1" applyAlignment="1">
      <alignment horizontal="left" indent="3"/>
    </xf>
    <xf numFmtId="0" fontId="15" fillId="0" borderId="0" xfId="0" applyFont="1" applyAlignment="1">
      <alignment horizontal="right"/>
    </xf>
    <xf numFmtId="164" fontId="16" fillId="0" borderId="0" xfId="0" applyNumberFormat="1" applyFont="1"/>
    <xf numFmtId="164" fontId="16" fillId="0" borderId="0" xfId="0" applyNumberFormat="1" applyFont="1" applyAlignment="1">
      <alignment horizontal="right"/>
    </xf>
    <xf numFmtId="0" fontId="3" fillId="0" borderId="7" xfId="0" applyFont="1" applyBorder="1"/>
    <xf numFmtId="0" fontId="2" fillId="0" borderId="14" xfId="0" applyFont="1" applyBorder="1" applyAlignment="1">
      <alignment horizontal="center" textRotation="90"/>
    </xf>
    <xf numFmtId="0" fontId="1" fillId="0" borderId="7"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xf>
    <xf numFmtId="6" fontId="14" fillId="0" borderId="1" xfId="0" applyNumberFormat="1" applyFont="1" applyBorder="1" applyAlignment="1">
      <alignment horizontal="center"/>
    </xf>
    <xf numFmtId="0" fontId="3" fillId="0" borderId="0" xfId="0" applyFont="1" applyAlignment="1">
      <alignment horizontal="center"/>
    </xf>
    <xf numFmtId="0" fontId="5" fillId="0" borderId="14" xfId="0" applyFont="1" applyBorder="1" applyAlignment="1">
      <alignment horizontal="center" textRotation="90"/>
    </xf>
    <xf numFmtId="0" fontId="0" fillId="0" borderId="0" xfId="0" applyNumberFormat="1" applyAlignment="1">
      <alignment horizontal="right"/>
    </xf>
    <xf numFmtId="0" fontId="18" fillId="0" borderId="0" xfId="0" applyFont="1" applyAlignment="1">
      <alignment horizontal="right"/>
    </xf>
    <xf numFmtId="1" fontId="0" fillId="0" borderId="0" xfId="0" applyNumberFormat="1" applyAlignment="1">
      <alignment horizontal="right"/>
    </xf>
    <xf numFmtId="164" fontId="0" fillId="0" borderId="0" xfId="0" applyNumberFormat="1" applyAlignment="1"/>
    <xf numFmtId="2" fontId="0" fillId="0" borderId="0" xfId="0" applyNumberFormat="1" applyAlignment="1">
      <alignment horizontal="right"/>
    </xf>
    <xf numFmtId="0" fontId="0" fillId="0" borderId="0" xfId="0" applyAlignment="1">
      <alignment horizontal="left"/>
    </xf>
    <xf numFmtId="0" fontId="3" fillId="0" borderId="0" xfId="0" applyFont="1" applyAlignment="1">
      <alignment horizontal="center" wrapText="1"/>
    </xf>
    <xf numFmtId="1" fontId="3" fillId="0" borderId="0" xfId="0" applyNumberFormat="1" applyFont="1" applyAlignment="1">
      <alignment horizontal="center" wrapText="1"/>
    </xf>
    <xf numFmtId="165" fontId="3" fillId="0" borderId="0" xfId="0" applyNumberFormat="1" applyFont="1" applyAlignment="1">
      <alignment horizontal="center" wrapText="1"/>
    </xf>
    <xf numFmtId="168" fontId="3" fillId="0" borderId="0" xfId="0" applyNumberFormat="1" applyFont="1" applyAlignment="1">
      <alignment horizontal="center" wrapText="1"/>
    </xf>
    <xf numFmtId="0" fontId="3" fillId="0" borderId="0" xfId="0" applyFont="1" applyAlignment="1">
      <alignment wrapText="1"/>
    </xf>
    <xf numFmtId="164" fontId="3" fillId="0" borderId="0" xfId="0" applyNumberFormat="1" applyFont="1" applyAlignment="1">
      <alignment horizontal="center" wrapText="1"/>
    </xf>
    <xf numFmtId="2" fontId="3" fillId="0" borderId="0" xfId="0" applyNumberFormat="1" applyFont="1" applyAlignment="1">
      <alignment horizontal="center" wrapText="1"/>
    </xf>
    <xf numFmtId="0" fontId="0" fillId="0" borderId="0" xfId="0" applyAlignment="1"/>
    <xf numFmtId="0" fontId="3" fillId="0" borderId="0" xfId="0" applyFont="1" applyAlignment="1">
      <alignment horizontal="right"/>
    </xf>
    <xf numFmtId="1" fontId="3" fillId="0" borderId="0" xfId="0" applyNumberFormat="1" applyFont="1" applyAlignment="1">
      <alignment wrapText="1"/>
    </xf>
    <xf numFmtId="165" fontId="3" fillId="0" borderId="0" xfId="0" applyNumberFormat="1" applyFont="1" applyAlignment="1">
      <alignment wrapText="1"/>
    </xf>
    <xf numFmtId="168" fontId="3" fillId="0" borderId="0" xfId="0" applyNumberFormat="1" applyFont="1" applyAlignment="1">
      <alignment wrapText="1"/>
    </xf>
    <xf numFmtId="0" fontId="3" fillId="0" borderId="0" xfId="0" applyFont="1" applyAlignment="1">
      <alignment horizontal="left"/>
    </xf>
    <xf numFmtId="0" fontId="20" fillId="0" borderId="0" xfId="0" applyFont="1"/>
    <xf numFmtId="0" fontId="3" fillId="0" borderId="0" xfId="0" applyFont="1" applyAlignment="1"/>
    <xf numFmtId="0" fontId="0" fillId="0" borderId="0" xfId="0" applyAlignment="1">
      <alignment horizontal="center"/>
    </xf>
    <xf numFmtId="0" fontId="0" fillId="0" borderId="0" xfId="0" applyAlignment="1">
      <alignment horizontal="left" indent="1"/>
    </xf>
    <xf numFmtId="9" fontId="0" fillId="0" borderId="0" xfId="0" applyNumberFormat="1" applyAlignment="1"/>
    <xf numFmtId="1" fontId="0" fillId="0" borderId="0" xfId="0" applyNumberFormat="1" applyAlignment="1"/>
    <xf numFmtId="165" fontId="0" fillId="0" borderId="0" xfId="0" applyNumberFormat="1" applyAlignment="1"/>
    <xf numFmtId="168" fontId="0" fillId="0" borderId="0" xfId="0" applyNumberFormat="1" applyAlignment="1"/>
    <xf numFmtId="166" fontId="0" fillId="0" borderId="0" xfId="0" applyNumberFormat="1" applyAlignment="1"/>
    <xf numFmtId="2" fontId="0" fillId="0" borderId="0" xfId="0" applyNumberFormat="1" applyAlignment="1"/>
    <xf numFmtId="0" fontId="0" fillId="0" borderId="0" xfId="0" applyFont="1" applyAlignment="1"/>
    <xf numFmtId="168" fontId="3" fillId="0" borderId="0" xfId="0" applyNumberFormat="1" applyFont="1"/>
    <xf numFmtId="2" fontId="3" fillId="0" borderId="0" xfId="0" applyNumberFormat="1" applyFont="1"/>
    <xf numFmtId="168" fontId="0" fillId="0" borderId="0" xfId="0" applyNumberFormat="1"/>
    <xf numFmtId="0" fontId="1" fillId="0" borderId="0" xfId="0" applyFont="1" applyAlignment="1">
      <alignment horizontal="left"/>
    </xf>
    <xf numFmtId="164" fontId="0" fillId="0" borderId="0" xfId="0" applyNumberFormat="1" applyAlignment="1">
      <alignment horizontal="right"/>
    </xf>
    <xf numFmtId="3" fontId="0" fillId="0" borderId="0" xfId="0" applyNumberFormat="1" applyAlignment="1"/>
    <xf numFmtId="1" fontId="1" fillId="0" borderId="5" xfId="0" applyNumberFormat="1" applyFont="1" applyBorder="1" applyAlignment="1"/>
    <xf numFmtId="1" fontId="1" fillId="0" borderId="2" xfId="0" applyNumberFormat="1" applyFont="1" applyBorder="1" applyAlignment="1"/>
    <xf numFmtId="1" fontId="1" fillId="0" borderId="6" xfId="0" applyNumberFormat="1" applyFont="1" applyBorder="1" applyAlignment="1"/>
    <xf numFmtId="1" fontId="0" fillId="0" borderId="5" xfId="0" applyNumberFormat="1" applyBorder="1" applyAlignment="1"/>
    <xf numFmtId="1" fontId="0" fillId="0" borderId="2" xfId="0" applyNumberFormat="1" applyBorder="1" applyAlignment="1"/>
    <xf numFmtId="1" fontId="0" fillId="0" borderId="6" xfId="0" applyNumberFormat="1" applyBorder="1" applyAlignment="1"/>
    <xf numFmtId="3" fontId="1" fillId="0" borderId="2" xfId="0" applyNumberFormat="1" applyFont="1" applyBorder="1" applyAlignment="1"/>
    <xf numFmtId="3" fontId="0" fillId="0" borderId="2" xfId="0" applyNumberFormat="1" applyBorder="1" applyAlignment="1"/>
    <xf numFmtId="3" fontId="0" fillId="0" borderId="18" xfId="0" applyNumberFormat="1" applyBorder="1" applyAlignment="1"/>
    <xf numFmtId="164" fontId="0" fillId="0" borderId="2" xfId="0" applyNumberFormat="1" applyBorder="1" applyAlignment="1"/>
    <xf numFmtId="3" fontId="0" fillId="0" borderId="5" xfId="0" applyNumberFormat="1" applyBorder="1" applyAlignment="1"/>
    <xf numFmtId="3" fontId="0" fillId="0" borderId="6" xfId="0" applyNumberFormat="1" applyBorder="1" applyAlignment="1"/>
    <xf numFmtId="3" fontId="0" fillId="0" borderId="19" xfId="0" applyNumberFormat="1" applyBorder="1" applyAlignment="1"/>
    <xf numFmtId="3" fontId="0" fillId="0" borderId="20" xfId="0" applyNumberFormat="1" applyBorder="1" applyAlignment="1"/>
    <xf numFmtId="0" fontId="3" fillId="0" borderId="0" xfId="0" applyFont="1" applyAlignment="1">
      <alignment horizontal="left" indent="1"/>
    </xf>
    <xf numFmtId="0" fontId="28" fillId="4" borderId="38" xfId="3"/>
    <xf numFmtId="0" fontId="27" fillId="3" borderId="38" xfId="2"/>
    <xf numFmtId="10" fontId="28" fillId="4" borderId="38" xfId="3" applyNumberFormat="1"/>
    <xf numFmtId="0" fontId="3" fillId="0" borderId="0" xfId="0" applyFont="1" applyBorder="1"/>
    <xf numFmtId="0" fontId="3" fillId="0" borderId="8" xfId="0" applyFont="1" applyBorder="1" applyAlignment="1">
      <alignment horizontal="right"/>
    </xf>
    <xf numFmtId="0" fontId="3" fillId="0" borderId="0" xfId="0" applyFont="1" applyBorder="1" applyAlignment="1">
      <alignment horizontal="right"/>
    </xf>
    <xf numFmtId="0" fontId="8" fillId="0" borderId="0" xfId="0" applyFont="1"/>
    <xf numFmtId="165" fontId="2" fillId="0" borderId="0" xfId="0" applyNumberFormat="1" applyFont="1" applyAlignment="1">
      <alignment horizontal="right" textRotation="90"/>
    </xf>
    <xf numFmtId="0" fontId="3" fillId="0" borderId="0" xfId="0" applyNumberFormat="1" applyFont="1" applyBorder="1" applyAlignment="1">
      <alignment horizontal="right"/>
    </xf>
    <xf numFmtId="0" fontId="26" fillId="2" borderId="0" xfId="1" applyBorder="1" applyAlignment="1">
      <alignment horizontal="left"/>
    </xf>
    <xf numFmtId="0" fontId="3" fillId="0" borderId="7" xfId="0" applyFont="1" applyBorder="1" applyAlignment="1">
      <alignment horizontal="left"/>
    </xf>
    <xf numFmtId="0" fontId="3" fillId="0" borderId="0" xfId="0" applyFont="1" applyBorder="1" applyAlignment="1">
      <alignment horizontal="left"/>
    </xf>
    <xf numFmtId="6" fontId="17" fillId="0" borderId="1" xfId="0" applyNumberFormat="1" applyFont="1" applyBorder="1" applyAlignment="1">
      <alignment horizontal="left"/>
    </xf>
    <xf numFmtId="0" fontId="5" fillId="0" borderId="0" xfId="0" applyFont="1" applyBorder="1" applyAlignment="1">
      <alignment horizontal="left"/>
    </xf>
    <xf numFmtId="164" fontId="3" fillId="0" borderId="0" xfId="0" applyNumberFormat="1" applyFont="1" applyBorder="1" applyAlignment="1">
      <alignment horizontal="left"/>
    </xf>
    <xf numFmtId="0" fontId="21" fillId="0" borderId="14" xfId="0" applyFont="1" applyBorder="1" applyAlignment="1">
      <alignment horizontal="center"/>
    </xf>
    <xf numFmtId="0" fontId="6" fillId="0" borderId="14" xfId="0" applyFont="1" applyBorder="1" applyAlignment="1">
      <alignment horizontal="center" wrapText="1"/>
    </xf>
    <xf numFmtId="166" fontId="0" fillId="0" borderId="0" xfId="0" applyNumberFormat="1" applyAlignment="1">
      <alignment horizontal="right"/>
    </xf>
    <xf numFmtId="1" fontId="27" fillId="3" borderId="38" xfId="2" applyNumberFormat="1" applyAlignment="1"/>
    <xf numFmtId="0" fontId="7" fillId="0" borderId="0" xfId="0" applyFont="1" applyAlignment="1">
      <alignment horizontal="right"/>
    </xf>
    <xf numFmtId="166" fontId="7" fillId="0" borderId="0" xfId="0" applyNumberFormat="1" applyFont="1" applyAlignment="1">
      <alignment horizontal="center"/>
    </xf>
    <xf numFmtId="1" fontId="7" fillId="0" borderId="0" xfId="0" applyNumberFormat="1" applyFont="1" applyAlignment="1">
      <alignment horizontal="right"/>
    </xf>
    <xf numFmtId="1" fontId="7" fillId="0" borderId="0" xfId="0" applyNumberFormat="1" applyFont="1" applyAlignment="1">
      <alignment horizontal="left"/>
    </xf>
    <xf numFmtId="165" fontId="3" fillId="0" borderId="0" xfId="0" applyNumberFormat="1" applyFont="1" applyAlignment="1">
      <alignment horizontal="center" textRotation="180"/>
    </xf>
    <xf numFmtId="165" fontId="0" fillId="0" borderId="0" xfId="0" applyNumberFormat="1" applyAlignment="1">
      <alignment horizontal="center"/>
    </xf>
    <xf numFmtId="164" fontId="3" fillId="0" borderId="0" xfId="0" applyNumberFormat="1" applyFont="1" applyAlignment="1">
      <alignment horizontal="left"/>
    </xf>
    <xf numFmtId="165" fontId="0" fillId="0" borderId="0" xfId="0" applyNumberFormat="1" applyAlignment="1">
      <alignment horizontal="right"/>
    </xf>
    <xf numFmtId="165" fontId="0" fillId="0" borderId="0" xfId="0" applyNumberFormat="1" applyFill="1" applyAlignment="1">
      <alignment horizontal="right"/>
    </xf>
    <xf numFmtId="0" fontId="0" fillId="0" borderId="0" xfId="0" applyFill="1" applyAlignment="1">
      <alignment horizontal="right"/>
    </xf>
    <xf numFmtId="165" fontId="2" fillId="0" borderId="0" xfId="0" applyNumberFormat="1" applyFont="1" applyFill="1" applyAlignment="1">
      <alignment horizontal="right" textRotation="90"/>
    </xf>
    <xf numFmtId="0" fontId="2" fillId="0" borderId="0" xfId="0" applyFont="1" applyAlignment="1">
      <alignment horizontal="right" textRotation="90" wrapText="1"/>
    </xf>
    <xf numFmtId="0" fontId="2" fillId="0" borderId="0" xfId="0" applyFont="1" applyFill="1" applyAlignment="1">
      <alignment horizontal="right" textRotation="90"/>
    </xf>
    <xf numFmtId="0" fontId="2" fillId="0" borderId="0" xfId="0" applyFont="1" applyAlignment="1">
      <alignment horizontal="right" wrapText="1"/>
    </xf>
    <xf numFmtId="165" fontId="0" fillId="0" borderId="0" xfId="0" applyNumberFormat="1" applyBorder="1" applyAlignment="1">
      <alignment horizontal="right"/>
    </xf>
    <xf numFmtId="164" fontId="0" fillId="0" borderId="0" xfId="0" applyNumberFormat="1" applyBorder="1" applyAlignment="1">
      <alignment horizontal="right"/>
    </xf>
    <xf numFmtId="164" fontId="0" fillId="0" borderId="9" xfId="0" applyNumberFormat="1" applyBorder="1" applyAlignment="1">
      <alignment horizontal="right"/>
    </xf>
    <xf numFmtId="165" fontId="0" fillId="0" borderId="7" xfId="0" applyNumberFormat="1" applyBorder="1" applyAlignment="1">
      <alignment horizontal="right"/>
    </xf>
    <xf numFmtId="165" fontId="0" fillId="0" borderId="7" xfId="0" applyNumberFormat="1" applyFill="1" applyBorder="1" applyAlignment="1">
      <alignment horizontal="right"/>
    </xf>
    <xf numFmtId="165" fontId="0" fillId="0" borderId="11" xfId="0" applyNumberFormat="1" applyFill="1" applyBorder="1" applyAlignment="1">
      <alignment horizontal="right"/>
    </xf>
    <xf numFmtId="0" fontId="0" fillId="0" borderId="0" xfId="0" applyFill="1" applyBorder="1" applyAlignment="1">
      <alignment horizontal="right"/>
    </xf>
    <xf numFmtId="165" fontId="3" fillId="0" borderId="0" xfId="0" applyNumberFormat="1" applyFont="1" applyAlignment="1">
      <alignment horizontal="right"/>
    </xf>
    <xf numFmtId="164" fontId="3" fillId="0" borderId="0" xfId="0" applyNumberFormat="1" applyFont="1" applyAlignment="1">
      <alignment horizontal="right"/>
    </xf>
    <xf numFmtId="164" fontId="3" fillId="0" borderId="9" xfId="0" applyNumberFormat="1" applyFont="1" applyBorder="1" applyAlignment="1">
      <alignment horizontal="right"/>
    </xf>
    <xf numFmtId="165" fontId="3" fillId="0" borderId="0" xfId="0" applyNumberFormat="1" applyFont="1" applyBorder="1" applyAlignment="1">
      <alignment horizontal="right"/>
    </xf>
    <xf numFmtId="165" fontId="3" fillId="0" borderId="9" xfId="0" applyNumberFormat="1" applyFont="1" applyBorder="1" applyAlignment="1">
      <alignment horizontal="right"/>
    </xf>
    <xf numFmtId="3" fontId="3" fillId="0" borderId="0" xfId="0" applyNumberFormat="1" applyFont="1" applyAlignment="1">
      <alignment horizontal="right"/>
    </xf>
    <xf numFmtId="165" fontId="0" fillId="0" borderId="1" xfId="0" applyNumberFormat="1" applyBorder="1" applyAlignment="1">
      <alignment horizontal="right"/>
    </xf>
    <xf numFmtId="164" fontId="0" fillId="0" borderId="1" xfId="0" applyNumberFormat="1" applyBorder="1" applyAlignment="1">
      <alignment horizontal="right"/>
    </xf>
    <xf numFmtId="164" fontId="0" fillId="0" borderId="10" xfId="0" applyNumberFormat="1" applyBorder="1" applyAlignment="1">
      <alignment horizontal="right"/>
    </xf>
    <xf numFmtId="165" fontId="0" fillId="0" borderId="10" xfId="0" applyNumberFormat="1" applyBorder="1" applyAlignment="1">
      <alignment horizontal="right"/>
    </xf>
    <xf numFmtId="165" fontId="0" fillId="0" borderId="9" xfId="0" applyNumberFormat="1" applyBorder="1" applyAlignment="1">
      <alignment horizontal="right"/>
    </xf>
    <xf numFmtId="3" fontId="0" fillId="0" borderId="0" xfId="0" applyNumberFormat="1" applyAlignment="1">
      <alignment horizontal="right"/>
    </xf>
    <xf numFmtId="0" fontId="13" fillId="0" borderId="0" xfId="0" applyFont="1" applyAlignment="1">
      <alignment horizontal="right"/>
    </xf>
    <xf numFmtId="164" fontId="15" fillId="0" borderId="0" xfId="0" applyNumberFormat="1" applyFont="1" applyAlignment="1">
      <alignment horizontal="right"/>
    </xf>
    <xf numFmtId="165" fontId="1" fillId="0" borderId="0" xfId="0" applyNumberFormat="1" applyFont="1" applyAlignment="1">
      <alignment horizontal="right"/>
    </xf>
    <xf numFmtId="3" fontId="1" fillId="0" borderId="0" xfId="0" applyNumberFormat="1" applyFont="1" applyAlignment="1">
      <alignment horizontal="right"/>
    </xf>
    <xf numFmtId="0" fontId="1" fillId="0" borderId="7" xfId="0" applyFont="1" applyBorder="1" applyAlignment="1">
      <alignment horizontal="right"/>
    </xf>
    <xf numFmtId="165" fontId="2" fillId="0" borderId="0" xfId="0" applyNumberFormat="1" applyFont="1" applyFill="1" applyBorder="1" applyAlignment="1">
      <alignment horizontal="right"/>
    </xf>
    <xf numFmtId="164" fontId="2" fillId="0" borderId="0" xfId="0" applyNumberFormat="1" applyFont="1" applyFill="1" applyBorder="1" applyAlignment="1">
      <alignment horizontal="right"/>
    </xf>
    <xf numFmtId="165" fontId="2" fillId="0" borderId="0" xfId="0" applyNumberFormat="1" applyFont="1" applyAlignment="1">
      <alignment horizontal="right"/>
    </xf>
    <xf numFmtId="165" fontId="2" fillId="0" borderId="0" xfId="0" applyNumberFormat="1" applyFont="1" applyFill="1" applyAlignment="1">
      <alignment horizontal="right"/>
    </xf>
    <xf numFmtId="0" fontId="2" fillId="0" borderId="0" xfId="0" applyFont="1" applyFill="1" applyAlignment="1">
      <alignment horizontal="right"/>
    </xf>
    <xf numFmtId="165" fontId="7" fillId="0" borderId="0" xfId="0" applyNumberFormat="1" applyFont="1" applyFill="1" applyBorder="1" applyAlignment="1">
      <alignment horizontal="right"/>
    </xf>
    <xf numFmtId="164" fontId="7" fillId="0" borderId="0" xfId="0" applyNumberFormat="1" applyFont="1" applyFill="1" applyBorder="1" applyAlignment="1">
      <alignment horizontal="right"/>
    </xf>
    <xf numFmtId="165" fontId="7" fillId="0" borderId="0" xfId="0" applyNumberFormat="1" applyFont="1" applyAlignment="1">
      <alignment horizontal="right"/>
    </xf>
    <xf numFmtId="165" fontId="7" fillId="0" borderId="0" xfId="0" applyNumberFormat="1" applyFont="1" applyFill="1" applyAlignment="1">
      <alignment horizontal="right"/>
    </xf>
    <xf numFmtId="0" fontId="7" fillId="0" borderId="0" xfId="0" applyFont="1" applyFill="1" applyAlignment="1">
      <alignment horizontal="right"/>
    </xf>
    <xf numFmtId="5" fontId="2" fillId="0" borderId="0" xfId="0" applyNumberFormat="1" applyFont="1" applyAlignment="1">
      <alignment horizontal="right"/>
    </xf>
    <xf numFmtId="6" fontId="2" fillId="0" borderId="0" xfId="0" applyNumberFormat="1" applyFont="1" applyAlignment="1">
      <alignment horizontal="right"/>
    </xf>
    <xf numFmtId="165" fontId="0" fillId="0" borderId="0" xfId="0" applyNumberFormat="1" applyFill="1" applyBorder="1" applyAlignment="1">
      <alignment horizontal="right"/>
    </xf>
    <xf numFmtId="164" fontId="0" fillId="0" borderId="0" xfId="0" applyNumberFormat="1" applyFill="1" applyBorder="1" applyAlignment="1">
      <alignment horizontal="right"/>
    </xf>
    <xf numFmtId="165" fontId="25" fillId="5" borderId="39" xfId="4" applyNumberFormat="1" applyFont="1" applyAlignment="1">
      <alignment horizontal="right"/>
    </xf>
    <xf numFmtId="165" fontId="1" fillId="5" borderId="39" xfId="4" applyNumberFormat="1" applyFont="1" applyAlignment="1">
      <alignment horizontal="right"/>
    </xf>
    <xf numFmtId="164" fontId="1" fillId="0" borderId="0" xfId="0" applyNumberFormat="1" applyFont="1" applyFill="1" applyBorder="1" applyAlignment="1">
      <alignment horizontal="right"/>
    </xf>
    <xf numFmtId="165" fontId="7" fillId="5" borderId="39" xfId="4" applyNumberFormat="1" applyFont="1" applyAlignment="1">
      <alignment horizontal="right"/>
    </xf>
    <xf numFmtId="165" fontId="3" fillId="5" borderId="39" xfId="4" applyNumberFormat="1" applyFont="1" applyAlignment="1">
      <alignment horizontal="right"/>
    </xf>
    <xf numFmtId="164" fontId="8" fillId="0" borderId="0" xfId="0" applyNumberFormat="1" applyFont="1" applyFill="1" applyBorder="1" applyAlignment="1">
      <alignment horizontal="right"/>
    </xf>
    <xf numFmtId="165" fontId="8" fillId="0" borderId="0" xfId="0" applyNumberFormat="1" applyFont="1" applyFill="1" applyBorder="1" applyAlignment="1">
      <alignment horizontal="right"/>
    </xf>
    <xf numFmtId="164" fontId="3" fillId="0" borderId="0" xfId="0" applyNumberFormat="1" applyFont="1" applyFill="1" applyBorder="1" applyAlignment="1">
      <alignment horizontal="right"/>
    </xf>
    <xf numFmtId="164" fontId="5" fillId="0" borderId="0" xfId="0" applyNumberFormat="1" applyFont="1" applyFill="1" applyBorder="1" applyAlignment="1">
      <alignment horizontal="right"/>
    </xf>
    <xf numFmtId="0" fontId="2" fillId="0" borderId="0" xfId="0" applyFont="1" applyAlignment="1">
      <alignment horizontal="left"/>
    </xf>
    <xf numFmtId="0" fontId="0" fillId="0" borderId="0" xfId="0" applyBorder="1" applyAlignment="1">
      <alignment horizontal="left"/>
    </xf>
    <xf numFmtId="0" fontId="15" fillId="0" borderId="0" xfId="0" applyFont="1" applyAlignment="1">
      <alignment horizontal="left"/>
    </xf>
    <xf numFmtId="0" fontId="7" fillId="0" borderId="0" xfId="0" applyFont="1" applyAlignment="1">
      <alignment horizontal="left"/>
    </xf>
    <xf numFmtId="0" fontId="25" fillId="5" borderId="39" xfId="4" applyFont="1" applyAlignment="1">
      <alignment horizontal="left"/>
    </xf>
    <xf numFmtId="0" fontId="2" fillId="0" borderId="0" xfId="0" applyFont="1" applyAlignment="1">
      <alignment horizontal="center"/>
    </xf>
    <xf numFmtId="0" fontId="2" fillId="0" borderId="0" xfId="0" applyFont="1" applyFill="1" applyBorder="1" applyAlignment="1">
      <alignment horizontal="left"/>
    </xf>
    <xf numFmtId="0" fontId="7" fillId="0" borderId="0" xfId="0" applyFont="1" applyFill="1" applyBorder="1" applyAlignment="1">
      <alignment horizontal="left"/>
    </xf>
    <xf numFmtId="0" fontId="0" fillId="0" borderId="0" xfId="0" applyFill="1" applyBorder="1" applyAlignment="1">
      <alignment horizontal="left"/>
    </xf>
    <xf numFmtId="0" fontId="1" fillId="0" borderId="0" xfId="0" applyFont="1" applyFill="1" applyBorder="1" applyAlignment="1">
      <alignment horizontal="left"/>
    </xf>
    <xf numFmtId="0" fontId="8" fillId="0" borderId="0" xfId="0" applyFont="1" applyFill="1" applyBorder="1" applyAlignment="1">
      <alignment horizontal="left"/>
    </xf>
    <xf numFmtId="0" fontId="5" fillId="0" borderId="0" xfId="0" applyFont="1" applyFill="1" applyBorder="1" applyAlignment="1">
      <alignment horizontal="left"/>
    </xf>
    <xf numFmtId="0" fontId="10" fillId="0" borderId="0" xfId="0" applyFont="1" applyAlignment="1">
      <alignment horizontal="right" vertical="center"/>
    </xf>
    <xf numFmtId="0" fontId="2" fillId="0" borderId="13" xfId="0" applyFont="1" applyBorder="1" applyAlignment="1">
      <alignment horizontal="right" textRotation="90"/>
    </xf>
    <xf numFmtId="0" fontId="2" fillId="0" borderId="14" xfId="0" applyFont="1" applyBorder="1" applyAlignment="1">
      <alignment horizontal="right" textRotation="90"/>
    </xf>
    <xf numFmtId="0" fontId="2" fillId="0" borderId="15" xfId="0" applyFont="1" applyBorder="1" applyAlignment="1">
      <alignment horizontal="right" textRotation="90"/>
    </xf>
    <xf numFmtId="0" fontId="0" fillId="0" borderId="7" xfId="0" applyBorder="1" applyAlignment="1">
      <alignment horizontal="right"/>
    </xf>
    <xf numFmtId="0" fontId="0" fillId="0" borderId="11" xfId="0" applyBorder="1" applyAlignment="1">
      <alignment horizontal="right"/>
    </xf>
    <xf numFmtId="0" fontId="0" fillId="0" borderId="16" xfId="0" applyBorder="1" applyAlignment="1">
      <alignment horizontal="right"/>
    </xf>
    <xf numFmtId="164" fontId="3" fillId="0" borderId="0" xfId="0" applyNumberFormat="1" applyFont="1" applyBorder="1" applyAlignment="1">
      <alignment horizontal="right"/>
    </xf>
    <xf numFmtId="0" fontId="3" fillId="0" borderId="9" xfId="0" applyFont="1" applyBorder="1" applyAlignment="1">
      <alignment horizontal="right"/>
    </xf>
    <xf numFmtId="0" fontId="8" fillId="0" borderId="9" xfId="0" applyFont="1" applyBorder="1" applyAlignment="1">
      <alignment horizontal="right"/>
    </xf>
    <xf numFmtId="164" fontId="2" fillId="0" borderId="0" xfId="0" applyNumberFormat="1" applyFont="1" applyBorder="1" applyAlignment="1">
      <alignment horizontal="right"/>
    </xf>
    <xf numFmtId="0" fontId="2" fillId="0" borderId="9" xfId="0" applyFont="1" applyBorder="1" applyAlignment="1">
      <alignment horizontal="right"/>
    </xf>
    <xf numFmtId="0" fontId="0" fillId="0" borderId="9" xfId="0" applyBorder="1" applyAlignment="1">
      <alignment horizontal="right"/>
    </xf>
    <xf numFmtId="0" fontId="9" fillId="0" borderId="9" xfId="0" applyFont="1" applyBorder="1" applyAlignment="1">
      <alignment horizontal="right"/>
    </xf>
    <xf numFmtId="0" fontId="9" fillId="0" borderId="0" xfId="0" applyFont="1" applyBorder="1" applyAlignment="1">
      <alignment horizontal="right"/>
    </xf>
    <xf numFmtId="0" fontId="8" fillId="0" borderId="0" xfId="0" applyFont="1" applyBorder="1" applyAlignment="1">
      <alignment horizontal="right"/>
    </xf>
    <xf numFmtId="0" fontId="1" fillId="0" borderId="9" xfId="0" applyFont="1" applyBorder="1" applyAlignment="1">
      <alignment horizontal="right"/>
    </xf>
    <xf numFmtId="3" fontId="1" fillId="0" borderId="21" xfId="0" applyNumberFormat="1" applyFont="1" applyBorder="1" applyAlignment="1">
      <alignment horizontal="right"/>
    </xf>
    <xf numFmtId="164" fontId="1" fillId="0" borderId="21" xfId="0" applyNumberFormat="1" applyFont="1" applyBorder="1" applyAlignment="1">
      <alignment horizontal="right"/>
    </xf>
    <xf numFmtId="164" fontId="1" fillId="0" borderId="22" xfId="0" applyNumberFormat="1" applyFont="1" applyBorder="1" applyAlignment="1">
      <alignment horizontal="right"/>
    </xf>
    <xf numFmtId="3" fontId="1" fillId="0" borderId="23" xfId="0" applyNumberFormat="1" applyFont="1" applyBorder="1" applyAlignment="1">
      <alignment horizontal="right"/>
    </xf>
    <xf numFmtId="164" fontId="6" fillId="0" borderId="24" xfId="0" applyNumberFormat="1" applyFont="1" applyBorder="1" applyAlignment="1">
      <alignment horizontal="right"/>
    </xf>
    <xf numFmtId="164" fontId="6" fillId="0" borderId="0" xfId="0" applyNumberFormat="1" applyFont="1" applyBorder="1" applyAlignment="1">
      <alignment horizontal="right"/>
    </xf>
    <xf numFmtId="0" fontId="0" fillId="0" borderId="4" xfId="0" applyBorder="1" applyAlignment="1">
      <alignment horizontal="right"/>
    </xf>
    <xf numFmtId="0" fontId="0" fillId="0" borderId="6" xfId="0" applyBorder="1" applyAlignment="1">
      <alignment horizontal="right"/>
    </xf>
    <xf numFmtId="0" fontId="0" fillId="0" borderId="3" xfId="0" applyBorder="1" applyAlignment="1">
      <alignment horizontal="right"/>
    </xf>
    <xf numFmtId="0" fontId="0" fillId="0" borderId="2" xfId="0" applyBorder="1" applyAlignment="1">
      <alignment horizontal="right"/>
    </xf>
    <xf numFmtId="164" fontId="0" fillId="0" borderId="2" xfId="0" applyNumberFormat="1" applyBorder="1" applyAlignment="1">
      <alignment horizontal="right"/>
    </xf>
    <xf numFmtId="0" fontId="0" fillId="0" borderId="5" xfId="0" applyBorder="1" applyAlignment="1">
      <alignment horizontal="right"/>
    </xf>
    <xf numFmtId="164" fontId="0" fillId="0" borderId="3" xfId="0" applyNumberFormat="1" applyBorder="1" applyAlignment="1">
      <alignment horizontal="right"/>
    </xf>
    <xf numFmtId="164" fontId="0" fillId="0" borderId="4" xfId="0" applyNumberFormat="1" applyBorder="1" applyAlignment="1">
      <alignment horizontal="right"/>
    </xf>
    <xf numFmtId="164" fontId="0" fillId="0" borderId="5" xfId="0" applyNumberFormat="1" applyBorder="1" applyAlignment="1">
      <alignment horizontal="right"/>
    </xf>
    <xf numFmtId="164" fontId="0" fillId="0" borderId="6" xfId="0" applyNumberFormat="1" applyBorder="1" applyAlignment="1">
      <alignment horizontal="right"/>
    </xf>
    <xf numFmtId="164" fontId="0" fillId="0" borderId="25" xfId="0" applyNumberFormat="1" applyBorder="1" applyAlignment="1">
      <alignment horizontal="right"/>
    </xf>
    <xf numFmtId="164" fontId="0" fillId="0" borderId="26" xfId="0" applyNumberFormat="1" applyBorder="1" applyAlignment="1">
      <alignment horizontal="right"/>
    </xf>
    <xf numFmtId="164" fontId="0" fillId="0" borderId="27" xfId="0" applyNumberFormat="1" applyBorder="1" applyAlignment="1">
      <alignment horizontal="right"/>
    </xf>
    <xf numFmtId="164" fontId="0" fillId="0" borderId="19" xfId="0" applyNumberFormat="1" applyBorder="1" applyAlignment="1">
      <alignment horizontal="right"/>
    </xf>
    <xf numFmtId="164" fontId="0" fillId="0" borderId="18" xfId="0" applyNumberFormat="1" applyBorder="1" applyAlignment="1">
      <alignment horizontal="right"/>
    </xf>
    <xf numFmtId="164" fontId="0" fillId="0" borderId="20" xfId="0" applyNumberFormat="1" applyBorder="1" applyAlignment="1">
      <alignment horizontal="right"/>
    </xf>
    <xf numFmtId="167" fontId="18" fillId="0" borderId="0" xfId="0" applyNumberFormat="1" applyFont="1" applyAlignment="1">
      <alignment horizontal="right"/>
    </xf>
    <xf numFmtId="1" fontId="3" fillId="0" borderId="0" xfId="0" applyNumberFormat="1" applyFont="1" applyBorder="1" applyAlignment="1">
      <alignment horizontal="right"/>
    </xf>
    <xf numFmtId="0" fontId="1" fillId="0" borderId="21" xfId="0" applyFont="1" applyBorder="1" applyAlignment="1">
      <alignment horizontal="right"/>
    </xf>
    <xf numFmtId="0" fontId="0" fillId="0" borderId="0" xfId="0" applyAlignment="1"/>
    <xf numFmtId="1" fontId="3" fillId="0" borderId="0" xfId="0" applyNumberFormat="1" applyFont="1" applyAlignment="1"/>
    <xf numFmtId="0" fontId="3" fillId="0" borderId="0" xfId="0" applyFont="1" applyFill="1" applyBorder="1" applyAlignment="1"/>
    <xf numFmtId="0" fontId="3" fillId="0" borderId="0" xfId="0" applyFont="1" applyAlignment="1">
      <alignment wrapText="1"/>
    </xf>
    <xf numFmtId="0" fontId="0" fillId="0" borderId="0" xfId="0" applyAlignment="1"/>
    <xf numFmtId="1" fontId="1" fillId="0" borderId="40" xfId="0" applyNumberFormat="1" applyFont="1" applyBorder="1" applyAlignment="1">
      <alignment horizontal="center"/>
    </xf>
    <xf numFmtId="1" fontId="1" fillId="0" borderId="41" xfId="0" applyNumberFormat="1" applyFont="1" applyBorder="1" applyAlignment="1">
      <alignment horizontal="center"/>
    </xf>
    <xf numFmtId="1" fontId="1" fillId="0" borderId="42" xfId="0" applyNumberFormat="1" applyFont="1" applyBorder="1" applyAlignment="1">
      <alignment horizontal="center"/>
    </xf>
    <xf numFmtId="1" fontId="1" fillId="0" borderId="5" xfId="0" applyNumberFormat="1" applyFont="1" applyBorder="1" applyAlignment="1">
      <alignment horizontal="center"/>
    </xf>
    <xf numFmtId="0" fontId="1" fillId="0" borderId="2" xfId="0" applyFont="1" applyBorder="1" applyAlignment="1">
      <alignment horizontal="center"/>
    </xf>
    <xf numFmtId="0" fontId="1" fillId="0" borderId="6" xfId="0" applyFont="1" applyBorder="1" applyAlignment="1">
      <alignment horizontal="center"/>
    </xf>
    <xf numFmtId="1" fontId="1" fillId="0" borderId="28" xfId="0" applyNumberFormat="1"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12" fillId="0" borderId="31" xfId="0" applyFont="1" applyBorder="1" applyAlignment="1">
      <alignment horizontal="center"/>
    </xf>
    <xf numFmtId="0" fontId="12" fillId="0" borderId="1" xfId="0" applyFont="1" applyBorder="1" applyAlignment="1">
      <alignment horizontal="center"/>
    </xf>
    <xf numFmtId="0" fontId="12" fillId="0" borderId="32" xfId="0" applyFont="1" applyBorder="1" applyAlignment="1">
      <alignment horizont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2" fillId="0" borderId="36" xfId="0" applyFont="1" applyBorder="1" applyAlignment="1">
      <alignment horizontal="center"/>
    </xf>
    <xf numFmtId="0" fontId="12" fillId="0" borderId="37" xfId="0" applyFont="1" applyBorder="1" applyAlignment="1">
      <alignment horizontal="center"/>
    </xf>
    <xf numFmtId="166" fontId="12" fillId="0" borderId="16" xfId="0" applyNumberFormat="1" applyFont="1" applyBorder="1" applyAlignment="1">
      <alignment horizontal="center" vertical="center"/>
    </xf>
    <xf numFmtId="0" fontId="0" fillId="0" borderId="7" xfId="0" applyBorder="1" applyAlignment="1">
      <alignment vertical="center"/>
    </xf>
    <xf numFmtId="0" fontId="0" fillId="0" borderId="11" xfId="0" applyBorder="1" applyAlignment="1">
      <alignment vertical="center"/>
    </xf>
    <xf numFmtId="0" fontId="10" fillId="0" borderId="16" xfId="0" applyFont="1" applyBorder="1" applyAlignment="1">
      <alignment horizontal="right" vertical="center"/>
    </xf>
    <xf numFmtId="0" fontId="10" fillId="0" borderId="7" xfId="0" applyFont="1" applyBorder="1" applyAlignment="1">
      <alignment horizontal="right" vertical="center"/>
    </xf>
    <xf numFmtId="0" fontId="10" fillId="0" borderId="11" xfId="0" applyFont="1" applyBorder="1" applyAlignment="1">
      <alignment horizontal="righ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26" fillId="2" borderId="14" xfId="1" applyBorder="1" applyAlignment="1">
      <alignment horizontal="center"/>
    </xf>
    <xf numFmtId="0" fontId="3" fillId="5" borderId="39" xfId="4" applyFont="1" applyAlignment="1">
      <alignment horizontal="right"/>
    </xf>
    <xf numFmtId="0" fontId="25" fillId="5" borderId="39" xfId="4" applyFont="1" applyAlignment="1">
      <alignment horizontal="right"/>
    </xf>
    <xf numFmtId="0" fontId="23" fillId="5" borderId="39" xfId="4" applyFont="1" applyAlignment="1">
      <alignment horizontal="right" wrapText="1"/>
    </xf>
    <xf numFmtId="0" fontId="3" fillId="0" borderId="1" xfId="0" applyFont="1" applyBorder="1" applyAlignment="1">
      <alignment horizontal="left"/>
    </xf>
    <xf numFmtId="0" fontId="0" fillId="0" borderId="1" xfId="0" applyBorder="1" applyAlignment="1">
      <alignment horizontal="left"/>
    </xf>
    <xf numFmtId="0" fontId="0" fillId="0" borderId="10" xfId="0" applyBorder="1" applyAlignment="1">
      <alignment horizontal="left"/>
    </xf>
    <xf numFmtId="0" fontId="1" fillId="0" borderId="0" xfId="0" applyFont="1" applyAlignment="1"/>
    <xf numFmtId="0" fontId="0" fillId="0" borderId="0" xfId="0" applyAlignment="1">
      <alignment wrapText="1"/>
    </xf>
    <xf numFmtId="0" fontId="28" fillId="4" borderId="38" xfId="3" applyAlignment="1"/>
    <xf numFmtId="0" fontId="19" fillId="0" borderId="0" xfId="0" applyFont="1" applyAlignment="1"/>
    <xf numFmtId="0" fontId="3" fillId="0" borderId="0" xfId="0" applyFont="1" applyAlignment="1"/>
  </cellXfs>
  <cellStyles count="5">
    <cellStyle name="Bad" xfId="1" builtinId="27"/>
    <cellStyle name="Calculation" xfId="2" builtinId="22"/>
    <cellStyle name="Input" xfId="3" builtinId="20"/>
    <cellStyle name="Normal" xfId="0" builtinId="0"/>
    <cellStyle name="Note" xfId="4" builtinId="10"/>
  </cellStyles>
  <dxfs count="9">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8.0267558528428096E-2"/>
          <c:y val="4.0916530278232416E-2"/>
          <c:w val="0.77703455964325541"/>
          <c:h val="0.87070376432078578"/>
        </c:manualLayout>
      </c:layout>
      <c:areaChart>
        <c:grouping val="stacked"/>
        <c:ser>
          <c:idx val="1"/>
          <c:order val="0"/>
          <c:tx>
            <c:v>Base Cost</c:v>
          </c:tx>
          <c:cat>
            <c:numRef>
              <c:f>SUMMARY!$A$34:$A$39</c:f>
              <c:numCache>
                <c:formatCode>0</c:formatCode>
                <c:ptCount val="6"/>
                <c:pt idx="0">
                  <c:v>2009</c:v>
                </c:pt>
                <c:pt idx="1">
                  <c:v>2010</c:v>
                </c:pt>
                <c:pt idx="2">
                  <c:v>2011</c:v>
                </c:pt>
                <c:pt idx="3">
                  <c:v>2012</c:v>
                </c:pt>
                <c:pt idx="4">
                  <c:v>2013</c:v>
                </c:pt>
                <c:pt idx="5">
                  <c:v>2014</c:v>
                </c:pt>
              </c:numCache>
            </c:numRef>
          </c:cat>
          <c:val>
            <c:numRef>
              <c:f>SUMMARY!$H$14:$H$19</c:f>
              <c:numCache>
                <c:formatCode>#,##0</c:formatCode>
                <c:ptCount val="6"/>
                <c:pt idx="0">
                  <c:v>0</c:v>
                </c:pt>
                <c:pt idx="1">
                  <c:v>0</c:v>
                </c:pt>
                <c:pt idx="2">
                  <c:v>17460.340000000004</c:v>
                </c:pt>
                <c:pt idx="3">
                  <c:v>50408</c:v>
                </c:pt>
                <c:pt idx="4">
                  <c:v>0</c:v>
                </c:pt>
                <c:pt idx="5">
                  <c:v>0</c:v>
                </c:pt>
              </c:numCache>
            </c:numRef>
          </c:val>
        </c:ser>
        <c:ser>
          <c:idx val="2"/>
          <c:order val="1"/>
          <c:tx>
            <c:v>Contingency</c:v>
          </c:tx>
          <c:cat>
            <c:numRef>
              <c:f>SUMMARY!$A$34:$A$39</c:f>
              <c:numCache>
                <c:formatCode>0</c:formatCode>
                <c:ptCount val="6"/>
                <c:pt idx="0">
                  <c:v>2009</c:v>
                </c:pt>
                <c:pt idx="1">
                  <c:v>2010</c:v>
                </c:pt>
                <c:pt idx="2">
                  <c:v>2011</c:v>
                </c:pt>
                <c:pt idx="3">
                  <c:v>2012</c:v>
                </c:pt>
                <c:pt idx="4">
                  <c:v>2013</c:v>
                </c:pt>
                <c:pt idx="5">
                  <c:v>2014</c:v>
                </c:pt>
              </c:numCache>
            </c:numRef>
          </c:cat>
          <c:val>
            <c:numRef>
              <c:f>SUMMARY!$R$14:$R$19</c:f>
              <c:numCache>
                <c:formatCode>#,##0</c:formatCode>
                <c:ptCount val="6"/>
                <c:pt idx="0">
                  <c:v>0</c:v>
                </c:pt>
                <c:pt idx="1">
                  <c:v>0</c:v>
                </c:pt>
                <c:pt idx="2">
                  <c:v>2872</c:v>
                </c:pt>
                <c:pt idx="3">
                  <c:v>18544</c:v>
                </c:pt>
                <c:pt idx="4">
                  <c:v>10000</c:v>
                </c:pt>
                <c:pt idx="5">
                  <c:v>0</c:v>
                </c:pt>
              </c:numCache>
            </c:numRef>
          </c:val>
        </c:ser>
        <c:axId val="105734912"/>
        <c:axId val="105736448"/>
      </c:areaChart>
      <c:catAx>
        <c:axId val="105734912"/>
        <c:scaling>
          <c:orientation val="minMax"/>
        </c:scaling>
        <c:axPos val="b"/>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5736448"/>
        <c:crosses val="autoZero"/>
        <c:auto val="1"/>
        <c:lblAlgn val="ctr"/>
        <c:lblOffset val="100"/>
      </c:catAx>
      <c:valAx>
        <c:axId val="105736448"/>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5734912"/>
        <c:crosses val="autoZero"/>
        <c:crossBetween val="midCat"/>
      </c:valAx>
    </c:plotArea>
    <c:legend>
      <c:legendPos val="r"/>
      <c:layout>
        <c:manualLayout>
          <c:xMode val="edge"/>
          <c:yMode val="edge"/>
          <c:x val="0.89520624303232987"/>
          <c:y val="0.4599018003273323"/>
          <c:w val="9.9219620958751351E-2"/>
          <c:h val="7.8559738134206192E-2"/>
        </c:manualLayout>
      </c:layout>
      <c:txPr>
        <a:bodyPr/>
        <a:lstStyle/>
        <a:p>
          <a:pPr>
            <a:defRPr sz="920" b="0" i="0" u="none" strike="noStrike" baseline="0">
              <a:solidFill>
                <a:srgbClr val="000000"/>
              </a:solidFill>
              <a:latin typeface="Calibri"/>
              <a:ea typeface="Calibri"/>
              <a:cs typeface="Calibri"/>
            </a:defRPr>
          </a:pPr>
          <a:endParaRPr lang="en-US"/>
        </a:p>
      </c:txPr>
    </c:legend>
    <c:plotVisOnly val="1"/>
    <c:dispBlanksAs val="zero"/>
  </c:chart>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49"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543925" cy="58197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D1:E32"/>
  <sheetViews>
    <sheetView workbookViewId="0">
      <selection activeCell="D8" sqref="D8:D14"/>
    </sheetView>
  </sheetViews>
  <sheetFormatPr defaultRowHeight="12.75"/>
  <cols>
    <col min="4" max="4" width="17.5703125" customWidth="1"/>
    <col min="5" max="5" width="44" bestFit="1" customWidth="1"/>
  </cols>
  <sheetData>
    <row r="1" spans="4:5">
      <c r="D1" s="264" t="s">
        <v>145</v>
      </c>
      <c r="E1" s="265"/>
    </row>
    <row r="2" spans="4:5" ht="12.75" customHeight="1">
      <c r="D2" s="265"/>
      <c r="E2" s="265"/>
    </row>
    <row r="3" spans="4:5">
      <c r="D3" s="265"/>
      <c r="E3" s="265"/>
    </row>
    <row r="4" spans="4:5">
      <c r="D4" s="265"/>
      <c r="E4" s="265"/>
    </row>
    <row r="5" spans="4:5">
      <c r="D5" s="265"/>
      <c r="E5" s="265"/>
    </row>
    <row r="7" spans="4:5">
      <c r="D7" s="49" t="s">
        <v>130</v>
      </c>
      <c r="E7" s="49" t="s">
        <v>141</v>
      </c>
    </row>
    <row r="8" spans="4:5">
      <c r="D8" s="19" t="s">
        <v>194</v>
      </c>
      <c r="E8" s="19" t="s">
        <v>169</v>
      </c>
    </row>
    <row r="9" spans="4:5">
      <c r="D9" s="126" t="s">
        <v>195</v>
      </c>
      <c r="E9" s="19" t="s">
        <v>170</v>
      </c>
    </row>
    <row r="10" spans="4:5">
      <c r="D10" s="126" t="s">
        <v>196</v>
      </c>
      <c r="E10" s="19" t="s">
        <v>197</v>
      </c>
    </row>
    <row r="11" spans="4:5">
      <c r="D11" s="126" t="s">
        <v>198</v>
      </c>
      <c r="E11" s="19" t="s">
        <v>199</v>
      </c>
    </row>
    <row r="12" spans="4:5">
      <c r="D12" s="45" t="s">
        <v>200</v>
      </c>
      <c r="E12" s="19" t="s">
        <v>201</v>
      </c>
    </row>
    <row r="13" spans="4:5">
      <c r="D13" s="45" t="s">
        <v>202</v>
      </c>
      <c r="E13" s="19" t="s">
        <v>203</v>
      </c>
    </row>
    <row r="14" spans="4:5">
      <c r="D14" s="45" t="s">
        <v>204</v>
      </c>
      <c r="E14" s="19" t="s">
        <v>205</v>
      </c>
    </row>
    <row r="15" spans="4:5">
      <c r="D15" s="64"/>
      <c r="E15" s="19"/>
    </row>
    <row r="16" spans="4:5">
      <c r="D16" s="64"/>
      <c r="E16" s="19"/>
    </row>
    <row r="17" spans="4:5">
      <c r="D17" s="64"/>
      <c r="E17" s="19"/>
    </row>
    <row r="18" spans="4:5">
      <c r="D18" s="64"/>
      <c r="E18" s="19"/>
    </row>
    <row r="19" spans="4:5">
      <c r="D19" s="64"/>
      <c r="E19" s="19"/>
    </row>
    <row r="20" spans="4:5">
      <c r="D20" s="45"/>
      <c r="E20" s="19"/>
    </row>
    <row r="21" spans="4:5">
      <c r="D21" s="64"/>
      <c r="E21" s="19"/>
    </row>
    <row r="22" spans="4:5">
      <c r="D22" s="64"/>
      <c r="E22" s="19"/>
    </row>
    <row r="23" spans="4:5">
      <c r="D23" s="64"/>
      <c r="E23" s="19"/>
    </row>
    <row r="24" spans="4:5">
      <c r="D24" s="64"/>
      <c r="E24" s="19"/>
    </row>
    <row r="25" spans="4:5">
      <c r="D25" s="45"/>
      <c r="E25" s="19"/>
    </row>
    <row r="26" spans="4:5">
      <c r="D26" s="64"/>
      <c r="E26" s="19"/>
    </row>
    <row r="27" spans="4:5">
      <c r="D27" s="64"/>
      <c r="E27" s="19"/>
    </row>
    <row r="28" spans="4:5">
      <c r="D28" s="64"/>
      <c r="E28" s="19"/>
    </row>
    <row r="29" spans="4:5">
      <c r="D29" s="64"/>
      <c r="E29" s="19"/>
    </row>
    <row r="30" spans="4:5">
      <c r="D30" s="64"/>
      <c r="E30" s="19"/>
    </row>
    <row r="31" spans="4:5">
      <c r="D31" s="64"/>
      <c r="E31" s="19"/>
    </row>
    <row r="32" spans="4:5">
      <c r="D32" s="64"/>
      <c r="E32" s="19"/>
    </row>
  </sheetData>
  <mergeCells count="1">
    <mergeCell ref="D1:E5"/>
  </mergeCells>
  <phoneticPr fontId="2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AA61"/>
  <sheetViews>
    <sheetView tabSelected="1" topLeftCell="A10" workbookViewId="0">
      <selection activeCell="J63" sqref="J63"/>
    </sheetView>
  </sheetViews>
  <sheetFormatPr defaultRowHeight="12.75"/>
  <cols>
    <col min="1" max="1" width="11.5703125" style="7" bestFit="1" customWidth="1"/>
    <col min="2" max="2" width="11" style="89" bestFit="1" customWidth="1"/>
    <col min="3" max="3" width="9" style="89" bestFit="1" customWidth="1"/>
    <col min="4" max="4" width="6.5703125" style="89" bestFit="1" customWidth="1"/>
    <col min="5" max="5" width="12.140625" style="89" bestFit="1" customWidth="1"/>
    <col min="6" max="6" width="14.85546875" style="89" bestFit="1" customWidth="1"/>
    <col min="7" max="7" width="9.85546875" style="111" bestFit="1" customWidth="1"/>
    <col min="8" max="8" width="10.140625" style="89" bestFit="1" customWidth="1"/>
    <col min="9" max="9" width="9.140625" style="89"/>
    <col min="10" max="10" width="9.7109375" style="89" customWidth="1"/>
    <col min="11" max="11" width="11.42578125" style="7" bestFit="1" customWidth="1"/>
    <col min="12" max="12" width="11" style="89" bestFit="1" customWidth="1"/>
    <col min="13" max="13" width="9" style="89" bestFit="1" customWidth="1"/>
    <col min="14" max="14" width="6.5703125" style="89" bestFit="1" customWidth="1"/>
    <col min="15" max="15" width="12.140625" style="89" bestFit="1" customWidth="1"/>
    <col min="16" max="16" width="7.28515625" style="89" bestFit="1" customWidth="1"/>
    <col min="17" max="17" width="11.42578125" style="111" bestFit="1" customWidth="1"/>
    <col min="18" max="18" width="8.5703125" style="89" bestFit="1" customWidth="1"/>
    <col min="19" max="22" width="9.140625" style="89"/>
    <col min="23" max="23" width="13.85546875" style="89" bestFit="1" customWidth="1"/>
    <col min="24" max="24" width="12" style="89" bestFit="1" customWidth="1"/>
    <col min="25" max="16384" width="9.140625" style="89"/>
  </cols>
  <sheetData>
    <row r="1" spans="1:27" ht="13.5" thickBot="1"/>
    <row r="2" spans="1:27">
      <c r="A2" s="78"/>
      <c r="B2" s="272" t="str">
        <f>'Pre- and Production'!AC79</f>
        <v>BASE</v>
      </c>
      <c r="C2" s="273"/>
      <c r="D2" s="273"/>
      <c r="E2" s="273"/>
      <c r="F2" s="273"/>
      <c r="G2" s="273"/>
      <c r="H2" s="274"/>
      <c r="I2" s="100"/>
      <c r="J2" s="100"/>
      <c r="K2" s="78"/>
      <c r="L2" s="272" t="str">
        <f>'Pre- and Production'!AM79</f>
        <v>CONTINGENCY</v>
      </c>
      <c r="M2" s="273"/>
      <c r="N2" s="273"/>
      <c r="O2" s="273"/>
      <c r="P2" s="273"/>
      <c r="Q2" s="273"/>
      <c r="R2" s="274"/>
      <c r="T2" s="78"/>
      <c r="U2" s="266" t="s">
        <v>228</v>
      </c>
      <c r="V2" s="267"/>
      <c r="W2" s="267"/>
      <c r="X2" s="267"/>
      <c r="Y2" s="267"/>
      <c r="Z2" s="267"/>
      <c r="AA2" s="268"/>
    </row>
    <row r="3" spans="1:27">
      <c r="A3" s="78"/>
      <c r="B3" s="112" t="str">
        <f>'Pre- and Production'!AC80</f>
        <v>Shop Time</v>
      </c>
      <c r="C3" s="113" t="str">
        <f>'Pre- and Production'!AD80</f>
        <v>MT Time</v>
      </c>
      <c r="D3" s="113" t="str">
        <f>'Pre- and Production'!AE80</f>
        <v>Postdoc (cont)</v>
      </c>
      <c r="E3" s="113" t="str">
        <f>'Pre- and Production'!AF80</f>
        <v>Engineering</v>
      </c>
      <c r="F3" s="113" t="str">
        <f>'Pre- and Production'!AG80</f>
        <v>Engineer (cont)</v>
      </c>
      <c r="G3" s="118" t="str">
        <f>'Pre- and Production'!AH80</f>
        <v>M&amp;S Cost</v>
      </c>
      <c r="H3" s="114"/>
      <c r="I3" s="100"/>
      <c r="J3" s="100"/>
      <c r="K3" s="78"/>
      <c r="L3" s="112" t="str">
        <f>'Pre- and Production'!AM80</f>
        <v>Shop Time</v>
      </c>
      <c r="M3" s="113" t="str">
        <f>'Pre- and Production'!AN80</f>
        <v>MT Time</v>
      </c>
      <c r="N3" s="113" t="str">
        <f>'Pre- and Production'!AO80</f>
        <v>Postdoc (cont)</v>
      </c>
      <c r="O3" s="113" t="str">
        <f>'Pre- and Production'!AP80</f>
        <v>Engineering</v>
      </c>
      <c r="P3" s="113" t="str">
        <f>'Pre- and Production'!AQ80</f>
        <v>Engineer (cont)</v>
      </c>
      <c r="Q3" s="118" t="str">
        <f>'Pre- and Production'!AR80</f>
        <v>M&amp;S Cost</v>
      </c>
      <c r="R3" s="114"/>
      <c r="T3" s="78"/>
      <c r="U3" s="112" t="s">
        <v>11</v>
      </c>
      <c r="V3" s="113" t="s">
        <v>10</v>
      </c>
      <c r="W3" s="113" t="s">
        <v>181</v>
      </c>
      <c r="X3" s="113" t="s">
        <v>17</v>
      </c>
      <c r="Y3" s="113" t="s">
        <v>180</v>
      </c>
      <c r="Z3" s="118" t="s">
        <v>15</v>
      </c>
      <c r="AA3" s="114"/>
    </row>
    <row r="4" spans="1:27">
      <c r="A4" s="78">
        <f>'Pre- and Production'!AB81</f>
        <v>2009</v>
      </c>
      <c r="B4" s="115">
        <f>'Pre- and Production'!AC81</f>
        <v>0</v>
      </c>
      <c r="C4" s="116">
        <f>'Pre- and Production'!AD81</f>
        <v>0</v>
      </c>
      <c r="D4" s="116">
        <f>'Pre- and Production'!AE81</f>
        <v>0</v>
      </c>
      <c r="E4" s="116">
        <f>'Pre- and Production'!AF81</f>
        <v>0</v>
      </c>
      <c r="F4" s="116">
        <f>'Pre- and Production'!AG81</f>
        <v>0</v>
      </c>
      <c r="G4" s="121">
        <f>'Pre- and Production'!AH81</f>
        <v>0</v>
      </c>
      <c r="H4" s="117"/>
      <c r="I4" s="100"/>
      <c r="J4" s="100"/>
      <c r="K4" s="78">
        <f>'Pre- and Production'!AL81</f>
        <v>2009</v>
      </c>
      <c r="L4" s="115">
        <f>'Pre- and Production'!AM81</f>
        <v>0</v>
      </c>
      <c r="M4" s="116">
        <f>'Pre- and Production'!AN81</f>
        <v>0</v>
      </c>
      <c r="N4" s="116">
        <f>'Pre- and Production'!AO81</f>
        <v>0</v>
      </c>
      <c r="O4" s="116">
        <f>'Pre- and Production'!AP81</f>
        <v>0</v>
      </c>
      <c r="P4" s="116">
        <f>'Pre- and Production'!AQ81</f>
        <v>0</v>
      </c>
      <c r="Q4" s="121">
        <f>'Pre- and Production'!AR81</f>
        <v>0</v>
      </c>
      <c r="R4" s="117"/>
      <c r="T4" s="78">
        <v>2009</v>
      </c>
      <c r="U4" s="115">
        <f>B4+L4</f>
        <v>0</v>
      </c>
      <c r="V4" s="116">
        <f t="shared" ref="V4:V11" si="0">C4+M4</f>
        <v>0</v>
      </c>
      <c r="W4" s="116">
        <f t="shared" ref="W4:W11" si="1">D4+N4</f>
        <v>0</v>
      </c>
      <c r="X4" s="116">
        <f t="shared" ref="X4:X11" si="2">E4+O4</f>
        <v>0</v>
      </c>
      <c r="Y4" s="116">
        <f t="shared" ref="Y4:Y11" si="3">F4+P4</f>
        <v>0</v>
      </c>
      <c r="Z4" s="121">
        <f t="shared" ref="Z4:Z11" si="4">G4+Q4</f>
        <v>0</v>
      </c>
      <c r="AA4" s="117"/>
    </row>
    <row r="5" spans="1:27">
      <c r="A5" s="78">
        <f>'Pre- and Production'!AB82</f>
        <v>2010</v>
      </c>
      <c r="B5" s="115">
        <f>'Pre- and Production'!AC82</f>
        <v>0</v>
      </c>
      <c r="C5" s="116">
        <f>'Pre- and Production'!AD82</f>
        <v>0</v>
      </c>
      <c r="D5" s="116">
        <f>'Pre- and Production'!AE82</f>
        <v>0</v>
      </c>
      <c r="E5" s="116">
        <f>'Pre- and Production'!AF82</f>
        <v>0</v>
      </c>
      <c r="F5" s="116">
        <f>'Pre- and Production'!AG82</f>
        <v>0</v>
      </c>
      <c r="G5" s="121">
        <f>'Pre- and Production'!AH82</f>
        <v>0</v>
      </c>
      <c r="H5" s="117"/>
      <c r="I5" s="100"/>
      <c r="J5" s="100"/>
      <c r="K5" s="78">
        <f>'Pre- and Production'!AL82</f>
        <v>2010</v>
      </c>
      <c r="L5" s="115">
        <f>'Pre- and Production'!AM82</f>
        <v>0</v>
      </c>
      <c r="M5" s="116">
        <f>'Pre- and Production'!AN82</f>
        <v>0</v>
      </c>
      <c r="N5" s="116">
        <f>'Pre- and Production'!AO82</f>
        <v>0</v>
      </c>
      <c r="O5" s="116">
        <f>'Pre- and Production'!AP82</f>
        <v>0</v>
      </c>
      <c r="P5" s="116">
        <f>'Pre- and Production'!AQ82</f>
        <v>0</v>
      </c>
      <c r="Q5" s="121">
        <f>'Pre- and Production'!AR82</f>
        <v>0</v>
      </c>
      <c r="R5" s="117"/>
      <c r="T5" s="78">
        <v>2010</v>
      </c>
      <c r="U5" s="115">
        <f t="shared" ref="U5:U11" si="5">B5+L5</f>
        <v>0</v>
      </c>
      <c r="V5" s="116">
        <f t="shared" si="0"/>
        <v>0</v>
      </c>
      <c r="W5" s="116">
        <f t="shared" si="1"/>
        <v>0</v>
      </c>
      <c r="X5" s="116">
        <f t="shared" si="2"/>
        <v>0</v>
      </c>
      <c r="Y5" s="116">
        <f t="shared" si="3"/>
        <v>0</v>
      </c>
      <c r="Z5" s="121">
        <f t="shared" si="4"/>
        <v>0</v>
      </c>
      <c r="AA5" s="117"/>
    </row>
    <row r="6" spans="1:27">
      <c r="A6" s="78">
        <f>'Pre- and Production'!AB83</f>
        <v>2011</v>
      </c>
      <c r="B6" s="115">
        <f>'Pre- and Production'!AC83</f>
        <v>0.5</v>
      </c>
      <c r="C6" s="116">
        <f>'Pre- and Production'!AD83</f>
        <v>50</v>
      </c>
      <c r="D6" s="116">
        <f>'Pre- and Production'!AE83</f>
        <v>20</v>
      </c>
      <c r="E6" s="116">
        <f>'Pre- and Production'!AF83</f>
        <v>84.5</v>
      </c>
      <c r="F6" s="116">
        <f>'Pre- and Production'!AG83</f>
        <v>56</v>
      </c>
      <c r="G6" s="121">
        <f>'Pre- and Production'!AH83</f>
        <v>2200</v>
      </c>
      <c r="H6" s="117"/>
      <c r="I6" s="100"/>
      <c r="J6" s="100"/>
      <c r="K6" s="78">
        <f>'Pre- and Production'!AL83</f>
        <v>2011</v>
      </c>
      <c r="L6" s="115">
        <f>'Pre- and Production'!AM83</f>
        <v>0</v>
      </c>
      <c r="M6" s="116">
        <f>'Pre- and Production'!AN83</f>
        <v>16</v>
      </c>
      <c r="N6" s="116">
        <f>'Pre- and Production'!AO83</f>
        <v>0</v>
      </c>
      <c r="O6" s="116">
        <f>'Pre- and Production'!AP83</f>
        <v>4</v>
      </c>
      <c r="P6" s="116">
        <f>'Pre- and Production'!AQ83</f>
        <v>0</v>
      </c>
      <c r="Q6" s="121">
        <f>'Pre- and Production'!AR83</f>
        <v>400</v>
      </c>
      <c r="R6" s="117"/>
      <c r="T6" s="78">
        <v>2011</v>
      </c>
      <c r="U6" s="115">
        <f t="shared" si="5"/>
        <v>0.5</v>
      </c>
      <c r="V6" s="116">
        <f t="shared" si="0"/>
        <v>66</v>
      </c>
      <c r="W6" s="116">
        <f t="shared" si="1"/>
        <v>20</v>
      </c>
      <c r="X6" s="116">
        <f t="shared" si="2"/>
        <v>88.5</v>
      </c>
      <c r="Y6" s="116">
        <f t="shared" si="3"/>
        <v>56</v>
      </c>
      <c r="Z6" s="121">
        <f t="shared" si="4"/>
        <v>2600</v>
      </c>
      <c r="AA6" s="117"/>
    </row>
    <row r="7" spans="1:27">
      <c r="A7" s="78">
        <f>'Pre- and Production'!AB84</f>
        <v>2012</v>
      </c>
      <c r="B7" s="115">
        <f>'Pre- and Production'!AC84</f>
        <v>0</v>
      </c>
      <c r="C7" s="116">
        <f>'Pre- and Production'!AD84</f>
        <v>24</v>
      </c>
      <c r="D7" s="116">
        <f>'Pre- and Production'!AE84</f>
        <v>0</v>
      </c>
      <c r="E7" s="116">
        <f>'Pre- and Production'!AF84</f>
        <v>84</v>
      </c>
      <c r="F7" s="116">
        <f>'Pre- and Production'!AG84</f>
        <v>0</v>
      </c>
      <c r="G7" s="121">
        <f>'Pre- and Production'!AH84</f>
        <v>35000</v>
      </c>
      <c r="H7" s="117"/>
      <c r="I7" s="100"/>
      <c r="J7" s="100"/>
      <c r="K7" s="78">
        <f>'Pre- and Production'!AL84</f>
        <v>2012</v>
      </c>
      <c r="L7" s="115">
        <f>'Pre- and Production'!AM84</f>
        <v>0</v>
      </c>
      <c r="M7" s="116">
        <f>'Pre- and Production'!AN84</f>
        <v>32</v>
      </c>
      <c r="N7" s="116">
        <f>'Pre- and Production'!AO84</f>
        <v>0</v>
      </c>
      <c r="O7" s="116">
        <f>'Pre- and Production'!AP84</f>
        <v>112</v>
      </c>
      <c r="P7" s="116">
        <f>'Pre- and Production'!AQ84</f>
        <v>0</v>
      </c>
      <c r="Q7" s="121">
        <f>'Pre- and Production'!AR84</f>
        <v>10000</v>
      </c>
      <c r="R7" s="117"/>
      <c r="T7" s="78">
        <v>2012</v>
      </c>
      <c r="U7" s="115">
        <f t="shared" si="5"/>
        <v>0</v>
      </c>
      <c r="V7" s="116">
        <f t="shared" si="0"/>
        <v>56</v>
      </c>
      <c r="W7" s="116">
        <f t="shared" si="1"/>
        <v>0</v>
      </c>
      <c r="X7" s="116">
        <f t="shared" si="2"/>
        <v>196</v>
      </c>
      <c r="Y7" s="116">
        <f t="shared" si="3"/>
        <v>0</v>
      </c>
      <c r="Z7" s="121">
        <f t="shared" si="4"/>
        <v>45000</v>
      </c>
      <c r="AA7" s="117"/>
    </row>
    <row r="8" spans="1:27">
      <c r="A8" s="78">
        <f>'Pre- and Production'!AB85</f>
        <v>2013</v>
      </c>
      <c r="B8" s="115">
        <f>'Pre- and Production'!AC85</f>
        <v>0</v>
      </c>
      <c r="C8" s="116">
        <f>'Pre- and Production'!AD85</f>
        <v>0</v>
      </c>
      <c r="D8" s="116">
        <f>'Pre- and Production'!AE85</f>
        <v>0</v>
      </c>
      <c r="E8" s="116">
        <f>'Pre- and Production'!AF85</f>
        <v>0</v>
      </c>
      <c r="F8" s="116">
        <f>'Pre- and Production'!AG85</f>
        <v>0</v>
      </c>
      <c r="G8" s="121">
        <f>'Pre- and Production'!AH85</f>
        <v>0</v>
      </c>
      <c r="H8" s="117"/>
      <c r="I8" s="100"/>
      <c r="J8" s="100"/>
      <c r="K8" s="78">
        <f>'Pre- and Production'!AL85</f>
        <v>2013</v>
      </c>
      <c r="L8" s="115">
        <f>'Pre- and Production'!AM85</f>
        <v>0</v>
      </c>
      <c r="M8" s="116">
        <f>'Pre- and Production'!AN85</f>
        <v>0</v>
      </c>
      <c r="N8" s="116">
        <f>'Pre- and Production'!AO85</f>
        <v>0</v>
      </c>
      <c r="O8" s="116">
        <f>'Pre- and Production'!AP85</f>
        <v>0</v>
      </c>
      <c r="P8" s="116">
        <f>'Pre- and Production'!AQ85</f>
        <v>0</v>
      </c>
      <c r="Q8" s="121">
        <f>'Pre- and Production'!AR85</f>
        <v>10000</v>
      </c>
      <c r="R8" s="117"/>
      <c r="T8" s="78">
        <v>2013</v>
      </c>
      <c r="U8" s="115">
        <f t="shared" si="5"/>
        <v>0</v>
      </c>
      <c r="V8" s="116">
        <f t="shared" si="0"/>
        <v>0</v>
      </c>
      <c r="W8" s="116">
        <f t="shared" si="1"/>
        <v>0</v>
      </c>
      <c r="X8" s="116">
        <f t="shared" si="2"/>
        <v>0</v>
      </c>
      <c r="Y8" s="116">
        <f t="shared" si="3"/>
        <v>0</v>
      </c>
      <c r="Z8" s="121">
        <f t="shared" si="4"/>
        <v>10000</v>
      </c>
      <c r="AA8" s="117"/>
    </row>
    <row r="9" spans="1:27" s="261" customFormat="1">
      <c r="A9" s="78">
        <f>'Pre- and Production'!AB86</f>
        <v>2014</v>
      </c>
      <c r="B9" s="115">
        <f>'Pre- and Production'!AC86</f>
        <v>0</v>
      </c>
      <c r="C9" s="116">
        <f>'Pre- and Production'!AD86</f>
        <v>0</v>
      </c>
      <c r="D9" s="116">
        <f>'Pre- and Production'!AE86</f>
        <v>0</v>
      </c>
      <c r="E9" s="116">
        <f>'Pre- and Production'!AF86</f>
        <v>0</v>
      </c>
      <c r="F9" s="116">
        <f>'Pre- and Production'!AG86</f>
        <v>0</v>
      </c>
      <c r="G9" s="121">
        <f>'Pre- and Production'!AH86</f>
        <v>0</v>
      </c>
      <c r="H9" s="117"/>
      <c r="I9" s="100"/>
      <c r="J9" s="100"/>
      <c r="K9" s="78">
        <f>'Pre- and Production'!AL86</f>
        <v>2014</v>
      </c>
      <c r="L9" s="115">
        <f>'Pre- and Production'!AM86</f>
        <v>0</v>
      </c>
      <c r="M9" s="116">
        <f>'Pre- and Production'!AN86</f>
        <v>0</v>
      </c>
      <c r="N9" s="116">
        <f>'Pre- and Production'!AO86</f>
        <v>0</v>
      </c>
      <c r="O9" s="116">
        <f>'Pre- and Production'!AP86</f>
        <v>0</v>
      </c>
      <c r="P9" s="116">
        <f>'Pre- and Production'!AQ86</f>
        <v>0</v>
      </c>
      <c r="Q9" s="121">
        <f>'Pre- and Production'!AR86</f>
        <v>0</v>
      </c>
      <c r="R9" s="117"/>
      <c r="T9" s="78">
        <v>2014</v>
      </c>
      <c r="U9" s="115">
        <f t="shared" ref="U9" si="6">B9+L9</f>
        <v>0</v>
      </c>
      <c r="V9" s="116">
        <f t="shared" ref="V9" si="7">C9+M9</f>
        <v>0</v>
      </c>
      <c r="W9" s="116">
        <f t="shared" ref="W9" si="8">D9+N9</f>
        <v>0</v>
      </c>
      <c r="X9" s="116">
        <f t="shared" ref="X9" si="9">E9+O9</f>
        <v>0</v>
      </c>
      <c r="Y9" s="116">
        <f t="shared" ref="Y9" si="10">F9+P9</f>
        <v>0</v>
      </c>
      <c r="Z9" s="121">
        <f t="shared" ref="Z9" si="11">G9+Q9</f>
        <v>0</v>
      </c>
      <c r="AA9" s="117"/>
    </row>
    <row r="10" spans="1:27">
      <c r="A10" s="78" t="str">
        <f>'Pre- and Production'!AB87</f>
        <v>CONT</v>
      </c>
      <c r="B10" s="115">
        <f>'Pre- and Production'!AC87</f>
        <v>0</v>
      </c>
      <c r="C10" s="116">
        <f>'Pre- and Production'!AD87</f>
        <v>0</v>
      </c>
      <c r="D10" s="116">
        <f>'Pre- and Production'!AE87</f>
        <v>0</v>
      </c>
      <c r="E10" s="116">
        <f>'Pre- and Production'!AF87</f>
        <v>0</v>
      </c>
      <c r="F10" s="116">
        <f>'Pre- and Production'!AG87</f>
        <v>0</v>
      </c>
      <c r="G10" s="121">
        <f>'Pre- and Production'!AH87</f>
        <v>0</v>
      </c>
      <c r="H10" s="117"/>
      <c r="I10" s="100"/>
      <c r="J10" s="100"/>
      <c r="K10" s="78" t="str">
        <f>'Pre- and Production'!AL87</f>
        <v>CONT</v>
      </c>
      <c r="L10" s="115">
        <f>'Pre- and Production'!AM87</f>
        <v>0</v>
      </c>
      <c r="M10" s="116">
        <f>'Pre- and Production'!AN87</f>
        <v>0</v>
      </c>
      <c r="N10" s="116">
        <f>'Pre- and Production'!AO87</f>
        <v>0</v>
      </c>
      <c r="O10" s="116">
        <f>'Pre- and Production'!AP87</f>
        <v>0</v>
      </c>
      <c r="P10" s="116">
        <f>'Pre- and Production'!AQ87</f>
        <v>0</v>
      </c>
      <c r="Q10" s="121">
        <f>'Pre- and Production'!AR87</f>
        <v>0</v>
      </c>
      <c r="R10" s="117"/>
      <c r="T10" s="78" t="s">
        <v>136</v>
      </c>
      <c r="U10" s="115">
        <f t="shared" si="5"/>
        <v>0</v>
      </c>
      <c r="V10" s="116">
        <f t="shared" si="0"/>
        <v>0</v>
      </c>
      <c r="W10" s="116">
        <f t="shared" si="1"/>
        <v>0</v>
      </c>
      <c r="X10" s="116">
        <f t="shared" si="2"/>
        <v>0</v>
      </c>
      <c r="Y10" s="116">
        <f t="shared" si="3"/>
        <v>0</v>
      </c>
      <c r="Z10" s="121">
        <f t="shared" si="4"/>
        <v>0</v>
      </c>
      <c r="AA10" s="117"/>
    </row>
    <row r="11" spans="1:27">
      <c r="A11" s="78" t="str">
        <f>'Pre- and Production'!AB88</f>
        <v>STAR</v>
      </c>
      <c r="B11" s="115">
        <f>'Pre- and Production'!AC88</f>
        <v>12</v>
      </c>
      <c r="C11" s="116">
        <f>'Pre- and Production'!AD88</f>
        <v>200</v>
      </c>
      <c r="D11" s="116">
        <f>'Pre- and Production'!AE88</f>
        <v>16</v>
      </c>
      <c r="E11" s="116">
        <f>'Pre- and Production'!AF88</f>
        <v>164</v>
      </c>
      <c r="F11" s="116">
        <f>'Pre- and Production'!AG88</f>
        <v>0</v>
      </c>
      <c r="G11" s="121">
        <f>'Pre- and Production'!AH88</f>
        <v>0</v>
      </c>
      <c r="H11" s="117"/>
      <c r="I11" s="100"/>
      <c r="J11" s="100"/>
      <c r="K11" s="78" t="str">
        <f>'Pre- and Production'!AL88</f>
        <v>STAR</v>
      </c>
      <c r="L11" s="115">
        <f>'Pre- and Production'!AM88</f>
        <v>12</v>
      </c>
      <c r="M11" s="116">
        <f>'Pre- and Production'!AN88</f>
        <v>208</v>
      </c>
      <c r="N11" s="116">
        <f>'Pre- and Production'!AO88</f>
        <v>4</v>
      </c>
      <c r="O11" s="116">
        <f>'Pre- and Production'!AP88</f>
        <v>136</v>
      </c>
      <c r="P11" s="116">
        <f>'Pre- and Production'!AQ88</f>
        <v>8</v>
      </c>
      <c r="Q11" s="121">
        <f>'Pre- and Production'!AR88</f>
        <v>1000</v>
      </c>
      <c r="R11" s="117"/>
      <c r="T11" s="78" t="s">
        <v>132</v>
      </c>
      <c r="U11" s="115">
        <f t="shared" si="5"/>
        <v>24</v>
      </c>
      <c r="V11" s="116">
        <f t="shared" si="0"/>
        <v>408</v>
      </c>
      <c r="W11" s="116">
        <f t="shared" si="1"/>
        <v>20</v>
      </c>
      <c r="X11" s="116">
        <f t="shared" si="2"/>
        <v>300</v>
      </c>
      <c r="Y11" s="116">
        <f t="shared" si="3"/>
        <v>8</v>
      </c>
      <c r="Z11" s="121">
        <f t="shared" si="4"/>
        <v>1000</v>
      </c>
      <c r="AA11" s="117"/>
    </row>
    <row r="12" spans="1:27">
      <c r="A12" s="78"/>
      <c r="B12" s="269" t="str">
        <f>'Pre- and Production'!AC89</f>
        <v>Project Estimated Cost</v>
      </c>
      <c r="C12" s="270"/>
      <c r="D12" s="270"/>
      <c r="E12" s="270"/>
      <c r="F12" s="270"/>
      <c r="G12" s="270"/>
      <c r="H12" s="271"/>
      <c r="I12" s="100"/>
      <c r="J12" s="100"/>
      <c r="K12" s="78"/>
      <c r="L12" s="269" t="str">
        <f>'Pre- and Production'!AM89</f>
        <v>Project Estimated Contingency</v>
      </c>
      <c r="M12" s="270"/>
      <c r="N12" s="270"/>
      <c r="O12" s="270"/>
      <c r="P12" s="270"/>
      <c r="Q12" s="270"/>
      <c r="R12" s="271"/>
    </row>
    <row r="13" spans="1:27">
      <c r="A13" s="78"/>
      <c r="B13" s="112" t="str">
        <f>'Pre- and Production'!AC90</f>
        <v>Shop Cost</v>
      </c>
      <c r="C13" s="113" t="str">
        <f>'Pre- and Production'!AD90</f>
        <v>MT Cost</v>
      </c>
      <c r="D13" s="113" t="str">
        <f>'Pre- and Production'!AE90</f>
        <v>Postdoc (cont)</v>
      </c>
      <c r="E13" s="113" t="str">
        <f>'Pre- and Production'!AF90</f>
        <v>Engineering</v>
      </c>
      <c r="F13" s="113" t="str">
        <f>'Pre- and Production'!AG90</f>
        <v>Engineer (cont)</v>
      </c>
      <c r="G13" s="118" t="str">
        <f>'Pre- and Production'!AH90</f>
        <v>M&amp;S Cost</v>
      </c>
      <c r="H13" s="114" t="str">
        <f>'Pre- and Production'!AI90</f>
        <v>Totals</v>
      </c>
      <c r="I13" s="262" t="s">
        <v>223</v>
      </c>
      <c r="J13" s="262" t="s">
        <v>224</v>
      </c>
      <c r="K13" s="78"/>
      <c r="L13" s="112" t="str">
        <f>'Pre- and Production'!AM90</f>
        <v>Shop Cost</v>
      </c>
      <c r="M13" s="113" t="str">
        <f>'Pre- and Production'!AN90</f>
        <v>MT Cost</v>
      </c>
      <c r="N13" s="113" t="str">
        <f>'Pre- and Production'!AO90</f>
        <v>Postdoc (cont)</v>
      </c>
      <c r="O13" s="113" t="str">
        <f>'Pre- and Production'!AP90</f>
        <v>Engineering</v>
      </c>
      <c r="P13" s="113" t="str">
        <f>'Pre- and Production'!AQ90</f>
        <v>Engineer (cont)</v>
      </c>
      <c r="Q13" s="118" t="str">
        <f>'Pre- and Production'!AR90</f>
        <v>M&amp;S Cost</v>
      </c>
      <c r="R13" s="114" t="str">
        <f>'Pre- and Production'!AS90</f>
        <v>Totals</v>
      </c>
      <c r="S13" s="262" t="s">
        <v>223</v>
      </c>
      <c r="T13" s="262" t="s">
        <v>224</v>
      </c>
      <c r="V13" s="96" t="s">
        <v>225</v>
      </c>
      <c r="W13" s="96" t="s">
        <v>223</v>
      </c>
      <c r="X13" s="263" t="s">
        <v>226</v>
      </c>
      <c r="Y13" s="263" t="s">
        <v>224</v>
      </c>
    </row>
    <row r="14" spans="1:27">
      <c r="A14" s="78">
        <f>'Pre- and Production'!AB91</f>
        <v>2009</v>
      </c>
      <c r="B14" s="122">
        <f>'Pre- and Production'!AC91</f>
        <v>0</v>
      </c>
      <c r="C14" s="119">
        <f>'Pre- and Production'!AD91</f>
        <v>0</v>
      </c>
      <c r="D14" s="119">
        <f>'Pre- and Production'!AE91</f>
        <v>0</v>
      </c>
      <c r="E14" s="119">
        <f>'Pre- and Production'!AF91</f>
        <v>0</v>
      </c>
      <c r="F14" s="119">
        <f>'Pre- and Production'!AG91</f>
        <v>0</v>
      </c>
      <c r="G14" s="119">
        <f>'Pre- and Production'!AH91</f>
        <v>0</v>
      </c>
      <c r="H14" s="123">
        <f>'Pre- and Production'!AI91</f>
        <v>0</v>
      </c>
      <c r="I14" s="100">
        <v>0</v>
      </c>
      <c r="J14" s="100">
        <f>H14-I14</f>
        <v>0</v>
      </c>
      <c r="K14" s="78">
        <f>'Pre- and Production'!AL91</f>
        <v>2009</v>
      </c>
      <c r="L14" s="122">
        <f>'Pre- and Production'!AM91</f>
        <v>0</v>
      </c>
      <c r="M14" s="119">
        <f>'Pre- and Production'!AN91</f>
        <v>0</v>
      </c>
      <c r="N14" s="119">
        <f>'Pre- and Production'!AO91</f>
        <v>0</v>
      </c>
      <c r="O14" s="119">
        <f>'Pre- and Production'!AP91</f>
        <v>0</v>
      </c>
      <c r="P14" s="119">
        <f>'Pre- and Production'!AQ91</f>
        <v>0</v>
      </c>
      <c r="Q14" s="119">
        <f>'Pre- and Production'!AR91</f>
        <v>0</v>
      </c>
      <c r="R14" s="123">
        <f>'Pre- and Production'!AS91</f>
        <v>0</v>
      </c>
      <c r="S14" s="89">
        <v>0</v>
      </c>
      <c r="T14" s="100">
        <f>R14-S14</f>
        <v>0</v>
      </c>
      <c r="V14" s="89">
        <v>2009</v>
      </c>
      <c r="W14" s="79">
        <f>I14+S14</f>
        <v>0</v>
      </c>
      <c r="X14" s="79">
        <f>H14+R14</f>
        <v>0</v>
      </c>
      <c r="Y14" s="79">
        <f>X14-W14</f>
        <v>0</v>
      </c>
    </row>
    <row r="15" spans="1:27">
      <c r="A15" s="78">
        <f>'Pre- and Production'!AB92</f>
        <v>2010</v>
      </c>
      <c r="B15" s="122">
        <f>'Pre- and Production'!AC92</f>
        <v>0</v>
      </c>
      <c r="C15" s="119">
        <f>'Pre- and Production'!AD92</f>
        <v>0</v>
      </c>
      <c r="D15" s="119">
        <f>'Pre- and Production'!AE92</f>
        <v>0</v>
      </c>
      <c r="E15" s="119">
        <f>'Pre- and Production'!AF92</f>
        <v>0</v>
      </c>
      <c r="F15" s="119">
        <f>'Pre- and Production'!AG92</f>
        <v>0</v>
      </c>
      <c r="G15" s="119">
        <f>'Pre- and Production'!AH92</f>
        <v>0</v>
      </c>
      <c r="H15" s="123">
        <f>'Pre- and Production'!AI92</f>
        <v>0</v>
      </c>
      <c r="I15" s="100">
        <v>0</v>
      </c>
      <c r="J15" s="100">
        <f t="shared" ref="J15:J19" si="12">H15-I15</f>
        <v>0</v>
      </c>
      <c r="K15" s="78">
        <f>'Pre- and Production'!AL92</f>
        <v>2010</v>
      </c>
      <c r="L15" s="122">
        <f>'Pre- and Production'!AM92</f>
        <v>0</v>
      </c>
      <c r="M15" s="119">
        <f>'Pre- and Production'!AN92</f>
        <v>0</v>
      </c>
      <c r="N15" s="119">
        <f>'Pre- and Production'!AO92</f>
        <v>0</v>
      </c>
      <c r="O15" s="119">
        <f>'Pre- and Production'!AP92</f>
        <v>0</v>
      </c>
      <c r="P15" s="119">
        <f>'Pre- and Production'!AQ92</f>
        <v>0</v>
      </c>
      <c r="Q15" s="119">
        <f>'Pre- and Production'!AR92</f>
        <v>0</v>
      </c>
      <c r="R15" s="123">
        <f>'Pre- and Production'!AS92</f>
        <v>0</v>
      </c>
      <c r="S15" s="89">
        <v>0</v>
      </c>
      <c r="T15" s="100">
        <f t="shared" ref="T15:T19" si="13">R15-S15</f>
        <v>0</v>
      </c>
      <c r="V15" s="89">
        <v>2010</v>
      </c>
      <c r="W15" s="79">
        <f t="shared" ref="W15:W19" si="14">I15+S15</f>
        <v>0</v>
      </c>
      <c r="X15" s="79">
        <f t="shared" ref="X15:X19" si="15">H15+R15</f>
        <v>0</v>
      </c>
      <c r="Y15" s="79">
        <f t="shared" ref="Y15:Y19" si="16">X15-W15</f>
        <v>0</v>
      </c>
    </row>
    <row r="16" spans="1:27">
      <c r="A16" s="78">
        <f>'Pre- and Production'!AB93</f>
        <v>2011</v>
      </c>
      <c r="B16" s="122">
        <f>'Pre- and Production'!AC93</f>
        <v>63</v>
      </c>
      <c r="C16" s="119">
        <f>'Pre- and Production'!AD93</f>
        <v>4916.34</v>
      </c>
      <c r="D16" s="119">
        <f>'Pre- and Production'!AE93</f>
        <v>0</v>
      </c>
      <c r="E16" s="119">
        <f>'Pre- and Production'!AF93</f>
        <v>10281.000000000002</v>
      </c>
      <c r="F16" s="119">
        <f>'Pre- and Production'!AG93</f>
        <v>0</v>
      </c>
      <c r="G16" s="119">
        <f>'Pre- and Production'!AH93</f>
        <v>2200</v>
      </c>
      <c r="H16" s="123">
        <f>'Pre- and Production'!AI93</f>
        <v>17460.340000000004</v>
      </c>
      <c r="I16" s="100">
        <v>17460.340000000004</v>
      </c>
      <c r="J16" s="100">
        <f t="shared" si="12"/>
        <v>0</v>
      </c>
      <c r="K16" s="78">
        <f>'Pre- and Production'!AL93</f>
        <v>2011</v>
      </c>
      <c r="L16" s="122">
        <f>'Pre- and Production'!AM93</f>
        <v>0</v>
      </c>
      <c r="M16" s="119">
        <f>'Pre- and Production'!AN93</f>
        <v>1872</v>
      </c>
      <c r="N16" s="119">
        <f>'Pre- and Production'!AO93</f>
        <v>0</v>
      </c>
      <c r="O16" s="119">
        <f>'Pre- and Production'!AP93</f>
        <v>600</v>
      </c>
      <c r="P16" s="119">
        <f>'Pre- and Production'!AQ93</f>
        <v>0</v>
      </c>
      <c r="Q16" s="119">
        <f>'Pre- and Production'!AR93</f>
        <v>400</v>
      </c>
      <c r="R16" s="123">
        <f>'Pre- and Production'!AS93</f>
        <v>2872</v>
      </c>
      <c r="S16" s="89">
        <v>2872</v>
      </c>
      <c r="T16" s="100">
        <f t="shared" si="13"/>
        <v>0</v>
      </c>
      <c r="V16" s="89">
        <v>2011</v>
      </c>
      <c r="W16" s="79">
        <f t="shared" si="14"/>
        <v>20332.340000000004</v>
      </c>
      <c r="X16" s="79">
        <f t="shared" si="15"/>
        <v>20332.340000000004</v>
      </c>
      <c r="Y16" s="79">
        <f t="shared" si="16"/>
        <v>0</v>
      </c>
    </row>
    <row r="17" spans="1:25">
      <c r="A17" s="78">
        <f>'Pre- and Production'!AB94</f>
        <v>2012</v>
      </c>
      <c r="B17" s="122">
        <f>'Pre- and Production'!AC94</f>
        <v>0</v>
      </c>
      <c r="C17" s="119">
        <f>'Pre- and Production'!AD94</f>
        <v>2808</v>
      </c>
      <c r="D17" s="119">
        <f>'Pre- and Production'!AE94</f>
        <v>0</v>
      </c>
      <c r="E17" s="119">
        <f>'Pre- and Production'!AF94</f>
        <v>12600</v>
      </c>
      <c r="F17" s="119">
        <f>'Pre- and Production'!AG94</f>
        <v>0</v>
      </c>
      <c r="G17" s="119">
        <f>'Pre- and Production'!AH94</f>
        <v>35000</v>
      </c>
      <c r="H17" s="123">
        <f>'Pre- and Production'!AI94</f>
        <v>50408</v>
      </c>
      <c r="I17" s="100">
        <v>0</v>
      </c>
      <c r="J17" s="100">
        <f t="shared" si="12"/>
        <v>50408</v>
      </c>
      <c r="K17" s="78">
        <f>'Pre- and Production'!AL94</f>
        <v>2012</v>
      </c>
      <c r="L17" s="122">
        <f>'Pre- and Production'!AM94</f>
        <v>0</v>
      </c>
      <c r="M17" s="119">
        <f>'Pre- and Production'!AN94</f>
        <v>3744</v>
      </c>
      <c r="N17" s="119">
        <f>'Pre- and Production'!AO94</f>
        <v>0</v>
      </c>
      <c r="O17" s="119">
        <f>'Pre- and Production'!AP94</f>
        <v>4800</v>
      </c>
      <c r="P17" s="119">
        <f>'Pre- and Production'!AQ94</f>
        <v>0</v>
      </c>
      <c r="Q17" s="119">
        <f>'Pre- and Production'!AR94</f>
        <v>10000</v>
      </c>
      <c r="R17" s="123">
        <f>'Pre- and Production'!AS94</f>
        <v>18544</v>
      </c>
      <c r="S17" s="89">
        <v>0</v>
      </c>
      <c r="T17" s="100">
        <f t="shared" si="13"/>
        <v>18544</v>
      </c>
      <c r="V17" s="89">
        <v>2012</v>
      </c>
      <c r="W17" s="79">
        <f t="shared" si="14"/>
        <v>0</v>
      </c>
      <c r="X17" s="79">
        <f t="shared" si="15"/>
        <v>68952</v>
      </c>
      <c r="Y17" s="79">
        <f t="shared" si="16"/>
        <v>68952</v>
      </c>
    </row>
    <row r="18" spans="1:25" s="261" customFormat="1">
      <c r="A18" s="78">
        <f>'Pre- and Production'!AB95</f>
        <v>2013</v>
      </c>
      <c r="B18" s="122">
        <f>'Pre- and Production'!AC95</f>
        <v>0</v>
      </c>
      <c r="C18" s="119">
        <f>'Pre- and Production'!AD95</f>
        <v>0</v>
      </c>
      <c r="D18" s="119">
        <f>'Pre- and Production'!AE95</f>
        <v>0</v>
      </c>
      <c r="E18" s="119">
        <f>'Pre- and Production'!AF95</f>
        <v>0</v>
      </c>
      <c r="F18" s="119">
        <f>'Pre- and Production'!AG95</f>
        <v>0</v>
      </c>
      <c r="G18" s="119">
        <f>'Pre- and Production'!AH95</f>
        <v>0</v>
      </c>
      <c r="H18" s="123">
        <f>'Pre- and Production'!AI95</f>
        <v>0</v>
      </c>
      <c r="I18" s="100">
        <v>1</v>
      </c>
      <c r="J18" s="100">
        <f t="shared" ref="J18" si="17">H18-I18</f>
        <v>-1</v>
      </c>
      <c r="K18" s="78">
        <f>'Pre- and Production'!AL95</f>
        <v>2013</v>
      </c>
      <c r="L18" s="122">
        <f>'Pre- and Production'!AM95</f>
        <v>0</v>
      </c>
      <c r="M18" s="119">
        <f>'Pre- and Production'!AN95</f>
        <v>0</v>
      </c>
      <c r="N18" s="119">
        <f>'Pre- and Production'!AO95</f>
        <v>0</v>
      </c>
      <c r="O18" s="119">
        <f>'Pre- and Production'!AP95</f>
        <v>0</v>
      </c>
      <c r="P18" s="119">
        <f>'Pre- and Production'!AQ95</f>
        <v>0</v>
      </c>
      <c r="Q18" s="119">
        <f>'Pre- and Production'!AR95</f>
        <v>10000</v>
      </c>
      <c r="R18" s="123">
        <f>'Pre- and Production'!AS95</f>
        <v>10000</v>
      </c>
      <c r="S18" s="261">
        <v>1</v>
      </c>
      <c r="T18" s="100">
        <f t="shared" ref="T18" si="18">R18-S18</f>
        <v>9999</v>
      </c>
      <c r="V18" s="261">
        <v>2013</v>
      </c>
      <c r="W18" s="79">
        <f t="shared" ref="W18" si="19">I18+S18</f>
        <v>2</v>
      </c>
      <c r="X18" s="79">
        <f t="shared" ref="X18" si="20">H18+R18</f>
        <v>10000</v>
      </c>
      <c r="Y18" s="79">
        <f t="shared" ref="Y18" si="21">X18-W18</f>
        <v>9998</v>
      </c>
    </row>
    <row r="19" spans="1:25" ht="13.5" thickBot="1">
      <c r="A19" s="78">
        <f>'Pre- and Production'!AB96</f>
        <v>2014</v>
      </c>
      <c r="B19" s="124">
        <f>'Pre- and Production'!AC96</f>
        <v>0</v>
      </c>
      <c r="C19" s="120">
        <f>'Pre- and Production'!AD96</f>
        <v>0</v>
      </c>
      <c r="D19" s="120">
        <f>'Pre- and Production'!AE96</f>
        <v>0</v>
      </c>
      <c r="E19" s="120">
        <f>'Pre- and Production'!AF96</f>
        <v>0</v>
      </c>
      <c r="F19" s="120">
        <f>'Pre- and Production'!AG96</f>
        <v>0</v>
      </c>
      <c r="G19" s="120">
        <f>'Pre- and Production'!AH96</f>
        <v>0</v>
      </c>
      <c r="H19" s="125">
        <f>'Pre- and Production'!AI96</f>
        <v>0</v>
      </c>
      <c r="I19" s="100">
        <v>0</v>
      </c>
      <c r="J19" s="100">
        <f t="shared" si="12"/>
        <v>0</v>
      </c>
      <c r="K19" s="78">
        <f>'Pre- and Production'!AL96</f>
        <v>2014</v>
      </c>
      <c r="L19" s="124">
        <f>'Pre- and Production'!AM96</f>
        <v>0</v>
      </c>
      <c r="M19" s="120">
        <f>'Pre- and Production'!AN96</f>
        <v>0</v>
      </c>
      <c r="N19" s="120">
        <f>'Pre- and Production'!AO96</f>
        <v>0</v>
      </c>
      <c r="O19" s="120">
        <f>'Pre- and Production'!AP96</f>
        <v>0</v>
      </c>
      <c r="P19" s="120">
        <f>'Pre- and Production'!AQ96</f>
        <v>0</v>
      </c>
      <c r="Q19" s="120">
        <f>'Pre- and Production'!AR96</f>
        <v>0</v>
      </c>
      <c r="R19" s="125">
        <f>'Pre- and Production'!AS96</f>
        <v>0</v>
      </c>
      <c r="S19" s="89">
        <v>0</v>
      </c>
      <c r="T19" s="100">
        <f t="shared" si="13"/>
        <v>0</v>
      </c>
      <c r="V19" s="89">
        <v>2013</v>
      </c>
      <c r="W19" s="79">
        <f t="shared" si="14"/>
        <v>0</v>
      </c>
      <c r="X19" s="79">
        <f t="shared" si="15"/>
        <v>0</v>
      </c>
      <c r="Y19" s="79">
        <f t="shared" si="16"/>
        <v>0</v>
      </c>
    </row>
    <row r="20" spans="1:25">
      <c r="A20" s="78"/>
      <c r="B20" s="100"/>
      <c r="C20" s="100"/>
      <c r="D20" s="100"/>
      <c r="E20" s="100"/>
      <c r="F20" s="100"/>
      <c r="G20" s="111" t="str">
        <f>'Pre- and Production'!AH97</f>
        <v>Base Cost</v>
      </c>
      <c r="H20" s="79">
        <f>'Pre- and Production'!AI97</f>
        <v>67868.34</v>
      </c>
      <c r="I20" s="100"/>
      <c r="J20" s="100"/>
      <c r="K20" s="78"/>
      <c r="L20" s="100"/>
      <c r="M20" s="100"/>
      <c r="N20" s="100"/>
      <c r="O20" s="100"/>
      <c r="P20" s="100"/>
      <c r="Q20" s="111" t="str">
        <f>'Pre- and Production'!AR97</f>
        <v>Contingency</v>
      </c>
      <c r="R20" s="79">
        <f>'Pre- and Production'!AS97</f>
        <v>31416</v>
      </c>
      <c r="V20" s="96" t="s">
        <v>227</v>
      </c>
      <c r="W20" s="79">
        <f>SUM(W14:W19)</f>
        <v>20334.340000000004</v>
      </c>
      <c r="X20" s="79">
        <f t="shared" ref="X20:Y20" si="22">SUM(X14:X19)</f>
        <v>99284.34</v>
      </c>
      <c r="Y20" s="79">
        <f t="shared" si="22"/>
        <v>78950</v>
      </c>
    </row>
    <row r="21" spans="1:25" ht="13.5" thickBot="1">
      <c r="A21" s="78"/>
      <c r="B21" s="100"/>
      <c r="C21" s="100"/>
      <c r="D21" s="100"/>
      <c r="E21" s="100"/>
      <c r="F21" s="100"/>
      <c r="H21" s="100"/>
      <c r="I21" s="100"/>
      <c r="J21" s="100"/>
      <c r="K21" s="78"/>
      <c r="L21" s="100"/>
      <c r="M21" s="100"/>
      <c r="N21" s="100"/>
      <c r="O21" s="100"/>
      <c r="P21" s="100"/>
      <c r="Q21" s="111" t="str">
        <f>'Pre- and Production'!AR98</f>
        <v>Percent</v>
      </c>
      <c r="R21" s="99">
        <f>'Pre- and Production'!AS98</f>
        <v>0.46289624882529912</v>
      </c>
    </row>
    <row r="22" spans="1:25">
      <c r="A22" s="78"/>
      <c r="B22" s="272" t="str">
        <f>'Pre- and Production'!AC101</f>
        <v>Pre-Production Base Cost</v>
      </c>
      <c r="C22" s="273"/>
      <c r="D22" s="273"/>
      <c r="E22" s="273"/>
      <c r="F22" s="273"/>
      <c r="G22" s="273"/>
      <c r="H22" s="274"/>
      <c r="I22" s="100"/>
      <c r="J22" s="100"/>
      <c r="K22" s="78"/>
      <c r="L22" s="272" t="str">
        <f>'Pre- and Production'!AM101</f>
        <v>Pre-Production Contingency Cost</v>
      </c>
      <c r="M22" s="273"/>
      <c r="N22" s="273"/>
      <c r="O22" s="273"/>
      <c r="P22" s="273"/>
      <c r="Q22" s="273"/>
      <c r="R22" s="274"/>
    </row>
    <row r="23" spans="1:25">
      <c r="A23" s="78"/>
      <c r="B23" s="112" t="str">
        <f>'Pre- and Production'!AC102</f>
        <v>Shop Time</v>
      </c>
      <c r="C23" s="113" t="str">
        <f>'Pre- and Production'!AD102</f>
        <v>MT Time</v>
      </c>
      <c r="D23" s="113" t="str">
        <f>'Pre- and Production'!AE102</f>
        <v>Postdoc (cont)</v>
      </c>
      <c r="E23" s="113" t="str">
        <f>'Pre- and Production'!AF102</f>
        <v>Engineering</v>
      </c>
      <c r="F23" s="113" t="str">
        <f>'Pre- and Production'!AG102</f>
        <v>Engineer (cont)</v>
      </c>
      <c r="G23" s="118" t="str">
        <f>'Pre- and Production'!AH102</f>
        <v>M&amp;S Cost</v>
      </c>
      <c r="H23" s="114"/>
      <c r="I23" s="100"/>
      <c r="J23" s="100"/>
      <c r="K23" s="78"/>
      <c r="L23" s="112" t="str">
        <f>'Pre- and Production'!AM102</f>
        <v>Shop Time</v>
      </c>
      <c r="M23" s="113" t="str">
        <f>'Pre- and Production'!AN102</f>
        <v>MT Time</v>
      </c>
      <c r="N23" s="113" t="str">
        <f>'Pre- and Production'!AO102</f>
        <v>Postdoc (cont)</v>
      </c>
      <c r="O23" s="113" t="str">
        <f>'Pre- and Production'!AP102</f>
        <v>Engineering</v>
      </c>
      <c r="P23" s="113" t="str">
        <f>'Pre- and Production'!AQ102</f>
        <v>Engineer (cont)</v>
      </c>
      <c r="Q23" s="118" t="str">
        <f>'Pre- and Production'!AR102</f>
        <v>M&amp;S Cost</v>
      </c>
      <c r="R23" s="114"/>
    </row>
    <row r="24" spans="1:25">
      <c r="A24" s="78">
        <f>'Pre- and Production'!AB103</f>
        <v>2009</v>
      </c>
      <c r="B24" s="115">
        <f>'Pre- and Production'!AC103</f>
        <v>0</v>
      </c>
      <c r="C24" s="116">
        <f>'Pre- and Production'!AD103</f>
        <v>0</v>
      </c>
      <c r="D24" s="116">
        <f>'Pre- and Production'!AE103</f>
        <v>0</v>
      </c>
      <c r="E24" s="116">
        <f>'Pre- and Production'!AF103</f>
        <v>0</v>
      </c>
      <c r="F24" s="116">
        <f>'Pre- and Production'!AG103</f>
        <v>0</v>
      </c>
      <c r="G24" s="121">
        <f>'Pre- and Production'!AH103</f>
        <v>0</v>
      </c>
      <c r="H24" s="117"/>
      <c r="I24" s="100"/>
      <c r="J24" s="100"/>
      <c r="K24" s="78">
        <f>'Pre- and Production'!AL103</f>
        <v>2009</v>
      </c>
      <c r="L24" s="115">
        <f>'Pre- and Production'!AM103</f>
        <v>0</v>
      </c>
      <c r="M24" s="116">
        <f>'Pre- and Production'!AN103</f>
        <v>0</v>
      </c>
      <c r="N24" s="116">
        <f>'Pre- and Production'!AO103</f>
        <v>0</v>
      </c>
      <c r="O24" s="116">
        <f>'Pre- and Production'!AP103</f>
        <v>0</v>
      </c>
      <c r="P24" s="116">
        <f>'Pre- and Production'!AQ103</f>
        <v>0</v>
      </c>
      <c r="Q24" s="121">
        <f>'Pre- and Production'!AR103</f>
        <v>0</v>
      </c>
      <c r="R24" s="117"/>
    </row>
    <row r="25" spans="1:25">
      <c r="A25" s="78">
        <f>'Pre- and Production'!AB104</f>
        <v>2010</v>
      </c>
      <c r="B25" s="115">
        <f>'Pre- and Production'!AC104</f>
        <v>0</v>
      </c>
      <c r="C25" s="116">
        <f>'Pre- and Production'!AD104</f>
        <v>0</v>
      </c>
      <c r="D25" s="116">
        <f>'Pre- and Production'!AE104</f>
        <v>0</v>
      </c>
      <c r="E25" s="116">
        <f>'Pre- and Production'!AF104</f>
        <v>0</v>
      </c>
      <c r="F25" s="116">
        <f>'Pre- and Production'!AG104</f>
        <v>0</v>
      </c>
      <c r="G25" s="121">
        <f>'Pre- and Production'!AH104</f>
        <v>0</v>
      </c>
      <c r="H25" s="117"/>
      <c r="I25" s="100"/>
      <c r="J25" s="100"/>
      <c r="K25" s="78">
        <f>'Pre- and Production'!AL104</f>
        <v>2010</v>
      </c>
      <c r="L25" s="115">
        <f>'Pre- and Production'!AM104</f>
        <v>0</v>
      </c>
      <c r="M25" s="116">
        <f>'Pre- and Production'!AN104</f>
        <v>0</v>
      </c>
      <c r="N25" s="116">
        <f>'Pre- and Production'!AO104</f>
        <v>0</v>
      </c>
      <c r="O25" s="116">
        <f>'Pre- and Production'!AP104</f>
        <v>0</v>
      </c>
      <c r="P25" s="116">
        <f>'Pre- and Production'!AQ104</f>
        <v>0</v>
      </c>
      <c r="Q25" s="121">
        <f>'Pre- and Production'!AR104</f>
        <v>0</v>
      </c>
      <c r="R25" s="117"/>
    </row>
    <row r="26" spans="1:25">
      <c r="A26" s="78">
        <f>'Pre- and Production'!AB105</f>
        <v>2011</v>
      </c>
      <c r="B26" s="115">
        <f>'Pre- and Production'!AC105</f>
        <v>0.5</v>
      </c>
      <c r="C26" s="116">
        <f>'Pre- and Production'!AD105</f>
        <v>8</v>
      </c>
      <c r="D26" s="116">
        <f>'Pre- and Production'!AE105</f>
        <v>0</v>
      </c>
      <c r="E26" s="116">
        <f>'Pre- and Production'!AF105</f>
        <v>0.5</v>
      </c>
      <c r="F26" s="116">
        <f>'Pre- and Production'!AG105</f>
        <v>0</v>
      </c>
      <c r="G26" s="121">
        <f>'Pre- and Production'!AH105</f>
        <v>600</v>
      </c>
      <c r="H26" s="117"/>
      <c r="I26" s="100"/>
      <c r="J26" s="100"/>
      <c r="K26" s="78">
        <f>'Pre- and Production'!AL105</f>
        <v>2011</v>
      </c>
      <c r="L26" s="115">
        <f>'Pre- and Production'!AM105</f>
        <v>0</v>
      </c>
      <c r="M26" s="116">
        <f>'Pre- and Production'!AN105</f>
        <v>16</v>
      </c>
      <c r="N26" s="116">
        <f>'Pre- and Production'!AO105</f>
        <v>0</v>
      </c>
      <c r="O26" s="116">
        <f>'Pre- and Production'!AP105</f>
        <v>4</v>
      </c>
      <c r="P26" s="116">
        <f>'Pre- and Production'!AQ105</f>
        <v>0</v>
      </c>
      <c r="Q26" s="121">
        <f>'Pre- and Production'!AR105</f>
        <v>400</v>
      </c>
      <c r="R26" s="117"/>
    </row>
    <row r="27" spans="1:25">
      <c r="A27" s="78">
        <f>'Pre- and Production'!AB106</f>
        <v>2012</v>
      </c>
      <c r="B27" s="115">
        <f>'Pre- and Production'!AC106</f>
        <v>0</v>
      </c>
      <c r="C27" s="116">
        <f>'Pre- and Production'!AD106</f>
        <v>24</v>
      </c>
      <c r="D27" s="116">
        <f>'Pre- and Production'!AE106</f>
        <v>0</v>
      </c>
      <c r="E27" s="116">
        <f>'Pre- and Production'!AF106</f>
        <v>84</v>
      </c>
      <c r="F27" s="116">
        <f>'Pre- and Production'!AG106</f>
        <v>0</v>
      </c>
      <c r="G27" s="121">
        <f>'Pre- and Production'!AH106</f>
        <v>35000</v>
      </c>
      <c r="H27" s="117"/>
      <c r="I27" s="100"/>
      <c r="J27" s="100"/>
      <c r="K27" s="78">
        <f>'Pre- and Production'!AL106</f>
        <v>2012</v>
      </c>
      <c r="L27" s="115">
        <f>'Pre- and Production'!AM106</f>
        <v>0</v>
      </c>
      <c r="M27" s="116">
        <f>'Pre- and Production'!AN106</f>
        <v>32</v>
      </c>
      <c r="N27" s="116">
        <f>'Pre- and Production'!AO106</f>
        <v>0</v>
      </c>
      <c r="O27" s="116">
        <f>'Pre- and Production'!AP106</f>
        <v>32</v>
      </c>
      <c r="P27" s="116">
        <f>'Pre- and Production'!AQ106</f>
        <v>0</v>
      </c>
      <c r="Q27" s="121">
        <f>'Pre- and Production'!AR106</f>
        <v>10000</v>
      </c>
      <c r="R27" s="117"/>
    </row>
    <row r="28" spans="1:25">
      <c r="A28" s="78">
        <f>'Pre- and Production'!AB107</f>
        <v>2013</v>
      </c>
      <c r="B28" s="115">
        <f>'Pre- and Production'!AC107</f>
        <v>0</v>
      </c>
      <c r="C28" s="116">
        <f>'Pre- and Production'!AD107</f>
        <v>0</v>
      </c>
      <c r="D28" s="116">
        <f>'Pre- and Production'!AE107</f>
        <v>0</v>
      </c>
      <c r="E28" s="116">
        <f>'Pre- and Production'!AF107</f>
        <v>0</v>
      </c>
      <c r="F28" s="116">
        <f>'Pre- and Production'!AG107</f>
        <v>0</v>
      </c>
      <c r="G28" s="121">
        <f>'Pre- and Production'!AH107</f>
        <v>0</v>
      </c>
      <c r="H28" s="117"/>
      <c r="I28" s="100"/>
      <c r="J28" s="100"/>
      <c r="K28" s="78">
        <f>'Pre- and Production'!AL107</f>
        <v>2013</v>
      </c>
      <c r="L28" s="115">
        <f>'Pre- and Production'!AM107</f>
        <v>0</v>
      </c>
      <c r="M28" s="116">
        <f>'Pre- and Production'!AN107</f>
        <v>0</v>
      </c>
      <c r="N28" s="116">
        <f>'Pre- and Production'!AO107</f>
        <v>0</v>
      </c>
      <c r="O28" s="116">
        <f>'Pre- and Production'!AP107</f>
        <v>0</v>
      </c>
      <c r="P28" s="116">
        <f>'Pre- and Production'!AQ107</f>
        <v>0</v>
      </c>
      <c r="Q28" s="121">
        <f>'Pre- and Production'!AR107</f>
        <v>10000</v>
      </c>
      <c r="R28" s="117"/>
    </row>
    <row r="29" spans="1:25" s="261" customFormat="1">
      <c r="A29" s="78">
        <f>'Pre- and Production'!AB108</f>
        <v>2014</v>
      </c>
      <c r="B29" s="115">
        <f>'Pre- and Production'!AC108</f>
        <v>0</v>
      </c>
      <c r="C29" s="116">
        <f>'Pre- and Production'!AD108</f>
        <v>0</v>
      </c>
      <c r="D29" s="116">
        <f>'Pre- and Production'!AE108</f>
        <v>0</v>
      </c>
      <c r="E29" s="116">
        <f>'Pre- and Production'!AF108</f>
        <v>0</v>
      </c>
      <c r="F29" s="116">
        <f>'Pre- and Production'!AG108</f>
        <v>0</v>
      </c>
      <c r="G29" s="121">
        <f>'Pre- and Production'!AH108</f>
        <v>0</v>
      </c>
      <c r="H29" s="117"/>
      <c r="I29" s="100"/>
      <c r="J29" s="100"/>
      <c r="K29" s="78">
        <f>'Pre- and Production'!AL108</f>
        <v>2014</v>
      </c>
      <c r="L29" s="115">
        <f>'Pre- and Production'!AM108</f>
        <v>0</v>
      </c>
      <c r="M29" s="116">
        <f>'Pre- and Production'!AN108</f>
        <v>0</v>
      </c>
      <c r="N29" s="116">
        <f>'Pre- and Production'!AO108</f>
        <v>0</v>
      </c>
      <c r="O29" s="116">
        <f>'Pre- and Production'!AP108</f>
        <v>0</v>
      </c>
      <c r="P29" s="116">
        <f>'Pre- and Production'!AQ108</f>
        <v>0</v>
      </c>
      <c r="Q29" s="121">
        <f>'Pre- and Production'!AR108</f>
        <v>0</v>
      </c>
      <c r="R29" s="117"/>
    </row>
    <row r="30" spans="1:25">
      <c r="A30" s="78" t="str">
        <f>'Pre- and Production'!AB109</f>
        <v>CONT</v>
      </c>
      <c r="B30" s="115">
        <f>'Pre- and Production'!AC109</f>
        <v>0</v>
      </c>
      <c r="C30" s="116">
        <f>'Pre- and Production'!AD109</f>
        <v>0</v>
      </c>
      <c r="D30" s="116">
        <f>'Pre- and Production'!AE109</f>
        <v>0</v>
      </c>
      <c r="E30" s="116">
        <f>'Pre- and Production'!AF109</f>
        <v>0</v>
      </c>
      <c r="F30" s="116">
        <f>'Pre- and Production'!AG109</f>
        <v>0</v>
      </c>
      <c r="G30" s="121">
        <f>'Pre- and Production'!AH109</f>
        <v>0</v>
      </c>
      <c r="H30" s="117"/>
      <c r="I30" s="100"/>
      <c r="J30" s="100"/>
      <c r="K30" s="78" t="str">
        <f>'Pre- and Production'!AL109</f>
        <v>CONT</v>
      </c>
      <c r="L30" s="115">
        <f>'Pre- and Production'!AM109</f>
        <v>0</v>
      </c>
      <c r="M30" s="116">
        <f>'Pre- and Production'!AN109</f>
        <v>0</v>
      </c>
      <c r="N30" s="116">
        <f>'Pre- and Production'!AO109</f>
        <v>0</v>
      </c>
      <c r="O30" s="116">
        <f>'Pre- and Production'!AP109</f>
        <v>0</v>
      </c>
      <c r="P30" s="116">
        <f>'Pre- and Production'!AQ109</f>
        <v>0</v>
      </c>
      <c r="Q30" s="121">
        <f>'Pre- and Production'!AR109</f>
        <v>0</v>
      </c>
      <c r="R30" s="117"/>
    </row>
    <row r="31" spans="1:25">
      <c r="A31" s="78" t="str">
        <f>'Pre- and Production'!AB110</f>
        <v>STAR</v>
      </c>
      <c r="B31" s="115">
        <f>'Pre- and Production'!AC110</f>
        <v>8</v>
      </c>
      <c r="C31" s="116">
        <f>'Pre- and Production'!AD110</f>
        <v>136</v>
      </c>
      <c r="D31" s="116">
        <f>'Pre- and Production'!AE110</f>
        <v>0</v>
      </c>
      <c r="E31" s="116">
        <f>'Pre- and Production'!AF110</f>
        <v>60</v>
      </c>
      <c r="F31" s="116">
        <f>'Pre- and Production'!AG110</f>
        <v>0</v>
      </c>
      <c r="G31" s="121">
        <f>'Pre- and Production'!AH110</f>
        <v>0</v>
      </c>
      <c r="H31" s="117"/>
      <c r="I31" s="100"/>
      <c r="J31" s="100"/>
      <c r="K31" s="78" t="str">
        <f>'Pre- and Production'!AL110</f>
        <v>STAR</v>
      </c>
      <c r="L31" s="115">
        <f>'Pre- and Production'!AM110</f>
        <v>0</v>
      </c>
      <c r="M31" s="116">
        <f>'Pre- and Production'!AN110</f>
        <v>0</v>
      </c>
      <c r="N31" s="116">
        <f>'Pre- and Production'!AO110</f>
        <v>0</v>
      </c>
      <c r="O31" s="116">
        <f>'Pre- and Production'!AP110</f>
        <v>0</v>
      </c>
      <c r="P31" s="116">
        <f>'Pre- and Production'!AQ110</f>
        <v>0</v>
      </c>
      <c r="Q31" s="121">
        <f>'Pre- and Production'!AR110</f>
        <v>0</v>
      </c>
      <c r="R31" s="117"/>
    </row>
    <row r="32" spans="1:25">
      <c r="A32" s="78"/>
      <c r="B32" s="269" t="str">
        <f>'Pre- and Production'!AC111</f>
        <v>Project Estimated Cost</v>
      </c>
      <c r="C32" s="270"/>
      <c r="D32" s="270"/>
      <c r="E32" s="270"/>
      <c r="F32" s="270"/>
      <c r="G32" s="270"/>
      <c r="H32" s="271"/>
      <c r="I32" s="100"/>
      <c r="J32" s="100"/>
      <c r="K32" s="78"/>
      <c r="L32" s="269" t="str">
        <f>'Pre- and Production'!AM111</f>
        <v>Project Estimated Cost</v>
      </c>
      <c r="M32" s="270"/>
      <c r="N32" s="270"/>
      <c r="O32" s="270"/>
      <c r="P32" s="270"/>
      <c r="Q32" s="270"/>
      <c r="R32" s="271"/>
    </row>
    <row r="33" spans="1:18">
      <c r="A33" s="78"/>
      <c r="B33" s="112" t="str">
        <f>'Pre- and Production'!AC112</f>
        <v>Shop Cost</v>
      </c>
      <c r="C33" s="113" t="str">
        <f>'Pre- and Production'!AD112</f>
        <v>MT Cost</v>
      </c>
      <c r="D33" s="113" t="str">
        <f>'Pre- and Production'!AE112</f>
        <v>Postdoc (cont)</v>
      </c>
      <c r="E33" s="113" t="str">
        <f>'Pre- and Production'!AF112</f>
        <v>Engineering</v>
      </c>
      <c r="F33" s="113" t="str">
        <f>'Pre- and Production'!AG112</f>
        <v>Engineer (cont)</v>
      </c>
      <c r="G33" s="118" t="str">
        <f>'Pre- and Production'!AH112</f>
        <v>M&amp;S Cost</v>
      </c>
      <c r="H33" s="114" t="str">
        <f>'Pre- and Production'!AI112</f>
        <v>Totals</v>
      </c>
      <c r="I33" s="100"/>
      <c r="J33" s="100"/>
      <c r="K33" s="78"/>
      <c r="L33" s="112" t="str">
        <f>'Pre- and Production'!AM112</f>
        <v>Shop Cost</v>
      </c>
      <c r="M33" s="113" t="str">
        <f>'Pre- and Production'!AN112</f>
        <v>MT Cost</v>
      </c>
      <c r="N33" s="113" t="str">
        <f>'Pre- and Production'!AO112</f>
        <v>Postdoc (cont)</v>
      </c>
      <c r="O33" s="113" t="str">
        <f>'Pre- and Production'!AP112</f>
        <v>Engineering</v>
      </c>
      <c r="P33" s="113" t="str">
        <f>'Pre- and Production'!AQ112</f>
        <v>Engineer (cont)</v>
      </c>
      <c r="Q33" s="118" t="str">
        <f>'Pre- and Production'!AR112</f>
        <v>M&amp;S Cost</v>
      </c>
      <c r="R33" s="114" t="str">
        <f>'Pre- and Production'!AS112</f>
        <v>Totals</v>
      </c>
    </row>
    <row r="34" spans="1:18">
      <c r="A34" s="78">
        <f>'Pre- and Production'!AB113</f>
        <v>2009</v>
      </c>
      <c r="B34" s="122">
        <f>'Pre- and Production'!AC113</f>
        <v>0</v>
      </c>
      <c r="C34" s="119">
        <f>'Pre- and Production'!AD113</f>
        <v>0</v>
      </c>
      <c r="D34" s="119">
        <f>'Pre- and Production'!AE113</f>
        <v>0</v>
      </c>
      <c r="E34" s="119">
        <f>'Pre- and Production'!AF113</f>
        <v>0</v>
      </c>
      <c r="F34" s="119">
        <f>'Pre- and Production'!AG113</f>
        <v>0</v>
      </c>
      <c r="G34" s="119">
        <f>'Pre- and Production'!AH113</f>
        <v>0</v>
      </c>
      <c r="H34" s="123">
        <f>'Pre- and Production'!AI113</f>
        <v>0</v>
      </c>
      <c r="I34" s="100"/>
      <c r="J34" s="100"/>
      <c r="K34" s="78">
        <f>'Pre- and Production'!AL113</f>
        <v>2009</v>
      </c>
      <c r="L34" s="122">
        <f>'Pre- and Production'!AM113</f>
        <v>0</v>
      </c>
      <c r="M34" s="119">
        <f>'Pre- and Production'!AN113</f>
        <v>0</v>
      </c>
      <c r="N34" s="119">
        <f>'Pre- and Production'!AO113</f>
        <v>0</v>
      </c>
      <c r="O34" s="119">
        <f>'Pre- and Production'!AP113</f>
        <v>0</v>
      </c>
      <c r="P34" s="119">
        <f>'Pre- and Production'!AQ113</f>
        <v>0</v>
      </c>
      <c r="Q34" s="119">
        <f>'Pre- and Production'!AR113</f>
        <v>0</v>
      </c>
      <c r="R34" s="123">
        <f>'Pre- and Production'!AS113</f>
        <v>0</v>
      </c>
    </row>
    <row r="35" spans="1:18">
      <c r="A35" s="78">
        <f>'Pre- and Production'!AB114</f>
        <v>2010</v>
      </c>
      <c r="B35" s="122">
        <f>'Pre- and Production'!AC114</f>
        <v>0</v>
      </c>
      <c r="C35" s="119">
        <f>'Pre- and Production'!AD114</f>
        <v>0</v>
      </c>
      <c r="D35" s="119">
        <f>'Pre- and Production'!AE114</f>
        <v>0</v>
      </c>
      <c r="E35" s="119">
        <f>'Pre- and Production'!AF114</f>
        <v>0</v>
      </c>
      <c r="F35" s="119">
        <f>'Pre- and Production'!AG114</f>
        <v>0</v>
      </c>
      <c r="G35" s="119">
        <f>'Pre- and Production'!AH114</f>
        <v>0</v>
      </c>
      <c r="H35" s="123">
        <f>'Pre- and Production'!AI114</f>
        <v>0</v>
      </c>
      <c r="I35" s="100"/>
      <c r="J35" s="100"/>
      <c r="K35" s="78">
        <f>'Pre- and Production'!AL114</f>
        <v>2010</v>
      </c>
      <c r="L35" s="122">
        <f>'Pre- and Production'!AM114</f>
        <v>0</v>
      </c>
      <c r="M35" s="119">
        <f>'Pre- and Production'!AN114</f>
        <v>0</v>
      </c>
      <c r="N35" s="119">
        <f>'Pre- and Production'!AO114</f>
        <v>0</v>
      </c>
      <c r="O35" s="119">
        <f>'Pre- and Production'!AP114</f>
        <v>0</v>
      </c>
      <c r="P35" s="119">
        <f>'Pre- and Production'!AQ114</f>
        <v>0</v>
      </c>
      <c r="Q35" s="119">
        <f>'Pre- and Production'!AR114</f>
        <v>0</v>
      </c>
      <c r="R35" s="123">
        <f>'Pre- and Production'!AS114</f>
        <v>0</v>
      </c>
    </row>
    <row r="36" spans="1:18">
      <c r="A36" s="78">
        <f>'Pre- and Production'!AB115</f>
        <v>2011</v>
      </c>
      <c r="B36" s="122">
        <f>'Pre- and Production'!AC115</f>
        <v>63</v>
      </c>
      <c r="C36" s="119">
        <f>'Pre- and Production'!AD115</f>
        <v>936</v>
      </c>
      <c r="D36" s="119">
        <f>'Pre- and Production'!AE115</f>
        <v>0</v>
      </c>
      <c r="E36" s="119">
        <f>'Pre- and Production'!AF115</f>
        <v>75</v>
      </c>
      <c r="F36" s="119">
        <f>'Pre- and Production'!AG115</f>
        <v>0</v>
      </c>
      <c r="G36" s="119">
        <f>'Pre- and Production'!AH115</f>
        <v>600</v>
      </c>
      <c r="H36" s="123">
        <f>'Pre- and Production'!AI115</f>
        <v>1674</v>
      </c>
      <c r="I36" s="100"/>
      <c r="J36" s="100"/>
      <c r="K36" s="78">
        <f>'Pre- and Production'!AL115</f>
        <v>2011</v>
      </c>
      <c r="L36" s="122">
        <f>'Pre- and Production'!AM115</f>
        <v>0</v>
      </c>
      <c r="M36" s="119">
        <f>'Pre- and Production'!AN115</f>
        <v>1872</v>
      </c>
      <c r="N36" s="119">
        <f>'Pre- and Production'!AO115</f>
        <v>0</v>
      </c>
      <c r="O36" s="119">
        <f>'Pre- and Production'!AP115</f>
        <v>600</v>
      </c>
      <c r="P36" s="119">
        <f>'Pre- and Production'!AQ115</f>
        <v>0</v>
      </c>
      <c r="Q36" s="119">
        <f>'Pre- and Production'!AR115</f>
        <v>400</v>
      </c>
      <c r="R36" s="123">
        <f>'Pre- and Production'!AS115</f>
        <v>2872</v>
      </c>
    </row>
    <row r="37" spans="1:18">
      <c r="A37" s="78">
        <f>'Pre- and Production'!AB116</f>
        <v>2012</v>
      </c>
      <c r="B37" s="122">
        <f>'Pre- and Production'!AC116</f>
        <v>0</v>
      </c>
      <c r="C37" s="119">
        <f>'Pre- and Production'!AD116</f>
        <v>2808</v>
      </c>
      <c r="D37" s="119">
        <f>'Pre- and Production'!AE116</f>
        <v>0</v>
      </c>
      <c r="E37" s="119">
        <f>'Pre- and Production'!AF116</f>
        <v>12600</v>
      </c>
      <c r="F37" s="119">
        <f>'Pre- and Production'!AG116</f>
        <v>0</v>
      </c>
      <c r="G37" s="119">
        <f>'Pre- and Production'!AH116</f>
        <v>35000</v>
      </c>
      <c r="H37" s="123">
        <f>'Pre- and Production'!AI116</f>
        <v>50408</v>
      </c>
      <c r="I37" s="100"/>
      <c r="J37" s="100"/>
      <c r="K37" s="78">
        <f>'Pre- and Production'!AL116</f>
        <v>2012</v>
      </c>
      <c r="L37" s="122">
        <f>'Pre- and Production'!AM116</f>
        <v>0</v>
      </c>
      <c r="M37" s="119">
        <f>'Pre- and Production'!AN116</f>
        <v>3744</v>
      </c>
      <c r="N37" s="119">
        <f>'Pre- and Production'!AO116</f>
        <v>0</v>
      </c>
      <c r="O37" s="119">
        <f>'Pre- and Production'!AP116</f>
        <v>4800</v>
      </c>
      <c r="P37" s="119">
        <f>'Pre- and Production'!AQ116</f>
        <v>0</v>
      </c>
      <c r="Q37" s="119">
        <f>'Pre- and Production'!AR116</f>
        <v>10000</v>
      </c>
      <c r="R37" s="123">
        <f>'Pre- and Production'!AS116</f>
        <v>18544</v>
      </c>
    </row>
    <row r="38" spans="1:18" s="261" customFormat="1">
      <c r="A38" s="78">
        <f>'Pre- and Production'!AB117</f>
        <v>2013</v>
      </c>
      <c r="B38" s="122">
        <f>'Pre- and Production'!AC117</f>
        <v>0</v>
      </c>
      <c r="C38" s="119">
        <f>'Pre- and Production'!AD117</f>
        <v>0</v>
      </c>
      <c r="D38" s="119">
        <f>'Pre- and Production'!AE117</f>
        <v>0</v>
      </c>
      <c r="E38" s="119">
        <f>'Pre- and Production'!AF117</f>
        <v>0</v>
      </c>
      <c r="F38" s="119">
        <f>'Pre- and Production'!AG117</f>
        <v>0</v>
      </c>
      <c r="G38" s="119">
        <f>'Pre- and Production'!AH117</f>
        <v>0</v>
      </c>
      <c r="H38" s="123">
        <f>'Pre- and Production'!AI117</f>
        <v>0</v>
      </c>
      <c r="I38" s="100"/>
      <c r="J38" s="100"/>
      <c r="K38" s="78">
        <f>'Pre- and Production'!AL117</f>
        <v>2013</v>
      </c>
      <c r="L38" s="122">
        <f>'Pre- and Production'!AM117</f>
        <v>0</v>
      </c>
      <c r="M38" s="119">
        <f>'Pre- and Production'!AN117</f>
        <v>0</v>
      </c>
      <c r="N38" s="119">
        <f>'Pre- and Production'!AO117</f>
        <v>0</v>
      </c>
      <c r="O38" s="119">
        <f>'Pre- and Production'!AP117</f>
        <v>0</v>
      </c>
      <c r="P38" s="119">
        <f>'Pre- and Production'!AQ117</f>
        <v>0</v>
      </c>
      <c r="Q38" s="119">
        <f>'Pre- and Production'!AR117</f>
        <v>10000</v>
      </c>
      <c r="R38" s="123">
        <f>'Pre- and Production'!AS117</f>
        <v>10000</v>
      </c>
    </row>
    <row r="39" spans="1:18" ht="13.5" thickBot="1">
      <c r="A39" s="78">
        <f>'Pre- and Production'!AB118</f>
        <v>2014</v>
      </c>
      <c r="B39" s="124">
        <f>'Pre- and Production'!AC118</f>
        <v>0</v>
      </c>
      <c r="C39" s="120">
        <f>'Pre- and Production'!AD118</f>
        <v>0</v>
      </c>
      <c r="D39" s="120">
        <f>'Pre- and Production'!AE118</f>
        <v>0</v>
      </c>
      <c r="E39" s="120">
        <f>'Pre- and Production'!AF118</f>
        <v>0</v>
      </c>
      <c r="F39" s="120">
        <f>'Pre- and Production'!AG118</f>
        <v>0</v>
      </c>
      <c r="G39" s="120">
        <f>'Pre- and Production'!AH118</f>
        <v>0</v>
      </c>
      <c r="H39" s="125">
        <f>'Pre- and Production'!AI118</f>
        <v>0</v>
      </c>
      <c r="I39" s="100"/>
      <c r="J39" s="100"/>
      <c r="K39" s="78">
        <f>'Pre- and Production'!AL118</f>
        <v>2014</v>
      </c>
      <c r="L39" s="124">
        <f>'Pre- and Production'!AM118</f>
        <v>0</v>
      </c>
      <c r="M39" s="120">
        <f>'Pre- and Production'!AN118</f>
        <v>0</v>
      </c>
      <c r="N39" s="120">
        <f>'Pre- and Production'!AO118</f>
        <v>0</v>
      </c>
      <c r="O39" s="120">
        <f>'Pre- and Production'!AP118</f>
        <v>0</v>
      </c>
      <c r="P39" s="120">
        <f>'Pre- and Production'!AQ118</f>
        <v>0</v>
      </c>
      <c r="Q39" s="120">
        <f>'Pre- and Production'!AR118</f>
        <v>0</v>
      </c>
      <c r="R39" s="125">
        <f>'Pre- and Production'!AS118</f>
        <v>0</v>
      </c>
    </row>
    <row r="40" spans="1:18">
      <c r="A40" s="78"/>
      <c r="B40" s="100"/>
      <c r="C40" s="100"/>
      <c r="D40" s="100"/>
      <c r="E40" s="100"/>
      <c r="F40" s="100"/>
      <c r="G40" s="111" t="str">
        <f>'Pre- and Production'!AH119</f>
        <v>Base Cost</v>
      </c>
      <c r="H40" s="79">
        <f>'Pre- and Production'!AI119</f>
        <v>52082</v>
      </c>
      <c r="I40" s="100"/>
      <c r="J40" s="100"/>
      <c r="K40" s="78"/>
      <c r="L40" s="100"/>
      <c r="M40" s="100"/>
      <c r="N40" s="100"/>
      <c r="O40" s="100"/>
      <c r="P40" s="100"/>
      <c r="Q40" s="111" t="str">
        <f>'Pre- and Production'!AR119</f>
        <v>Contingency</v>
      </c>
      <c r="R40" s="79">
        <f>'Pre- and Production'!AS119</f>
        <v>31416</v>
      </c>
    </row>
    <row r="41" spans="1:18" ht="13.5" thickBot="1">
      <c r="A41" s="78"/>
      <c r="B41" s="100"/>
      <c r="C41" s="100"/>
      <c r="D41" s="100"/>
      <c r="E41" s="100"/>
      <c r="F41" s="100"/>
      <c r="H41" s="100"/>
      <c r="I41" s="100"/>
      <c r="J41" s="100"/>
      <c r="K41" s="78"/>
      <c r="L41" s="100"/>
      <c r="M41" s="100"/>
      <c r="N41" s="100"/>
      <c r="O41" s="100"/>
      <c r="P41" s="100"/>
      <c r="Q41" s="111" t="str">
        <f>'Pre- and Production'!AR120</f>
        <v>Percent</v>
      </c>
      <c r="R41" s="99">
        <f>'Pre- and Production'!AS120</f>
        <v>0.60320264198763485</v>
      </c>
    </row>
    <row r="42" spans="1:18">
      <c r="A42" s="78"/>
      <c r="B42" s="272" t="str">
        <f>'Pre- and Production'!AC122</f>
        <v>Production Base Cost</v>
      </c>
      <c r="C42" s="273"/>
      <c r="D42" s="273"/>
      <c r="E42" s="273"/>
      <c r="F42" s="273"/>
      <c r="G42" s="273"/>
      <c r="H42" s="274"/>
      <c r="I42" s="100"/>
      <c r="J42" s="100"/>
      <c r="K42" s="78"/>
      <c r="L42" s="272" t="str">
        <f>'Pre- and Production'!AM122</f>
        <v>Production Contingency Cost</v>
      </c>
      <c r="M42" s="273"/>
      <c r="N42" s="273"/>
      <c r="O42" s="273"/>
      <c r="P42" s="273"/>
      <c r="Q42" s="273"/>
      <c r="R42" s="274"/>
    </row>
    <row r="43" spans="1:18">
      <c r="A43" s="78"/>
      <c r="B43" s="112" t="str">
        <f>'Pre- and Production'!AC123</f>
        <v>Shop Time</v>
      </c>
      <c r="C43" s="113" t="str">
        <f>'Pre- and Production'!AD123</f>
        <v>MT Time</v>
      </c>
      <c r="D43" s="113" t="str">
        <f>'Pre- and Production'!AE123</f>
        <v>Postdoc (cont)</v>
      </c>
      <c r="E43" s="113" t="str">
        <f>'Pre- and Production'!AF123</f>
        <v>Engineering</v>
      </c>
      <c r="F43" s="113" t="str">
        <f>'Pre- and Production'!AG123</f>
        <v>Engineer (cont)</v>
      </c>
      <c r="G43" s="118" t="str">
        <f>'Pre- and Production'!AH123</f>
        <v>M&amp;S Cost</v>
      </c>
      <c r="H43" s="114"/>
      <c r="I43" s="100"/>
      <c r="J43" s="100"/>
      <c r="K43" s="78"/>
      <c r="L43" s="112" t="str">
        <f>'Pre- and Production'!AM123</f>
        <v>Shop Time</v>
      </c>
      <c r="M43" s="113" t="str">
        <f>'Pre- and Production'!AN123</f>
        <v>MT Time</v>
      </c>
      <c r="N43" s="113" t="str">
        <f>'Pre- and Production'!AO123</f>
        <v>Postdoc (cont)</v>
      </c>
      <c r="O43" s="113" t="str">
        <f>'Pre- and Production'!AP123</f>
        <v>Engineering</v>
      </c>
      <c r="P43" s="113" t="str">
        <f>'Pre- and Production'!AQ123</f>
        <v>Engineer (cont)</v>
      </c>
      <c r="Q43" s="118" t="str">
        <f>'Pre- and Production'!AR123</f>
        <v>M&amp;S Cost</v>
      </c>
      <c r="R43" s="114"/>
    </row>
    <row r="44" spans="1:18">
      <c r="A44" s="78">
        <f>'Pre- and Production'!AB124</f>
        <v>2009</v>
      </c>
      <c r="B44" s="115">
        <f>'Pre- and Production'!AC124</f>
        <v>0</v>
      </c>
      <c r="C44" s="116">
        <f>'Pre- and Production'!AD124</f>
        <v>0</v>
      </c>
      <c r="D44" s="116">
        <f>'Pre- and Production'!AE124</f>
        <v>0</v>
      </c>
      <c r="E44" s="116">
        <f>'Pre- and Production'!AF124</f>
        <v>0</v>
      </c>
      <c r="F44" s="116">
        <f>'Pre- and Production'!AG124</f>
        <v>0</v>
      </c>
      <c r="G44" s="121">
        <f>'Pre- and Production'!AH124</f>
        <v>0</v>
      </c>
      <c r="H44" s="117"/>
      <c r="I44" s="100"/>
      <c r="J44" s="100"/>
      <c r="K44" s="78">
        <f>'Pre- and Production'!AL124</f>
        <v>2009</v>
      </c>
      <c r="L44" s="115">
        <f>'Pre- and Production'!AM124</f>
        <v>0</v>
      </c>
      <c r="M44" s="116">
        <f>'Pre- and Production'!AN124</f>
        <v>0</v>
      </c>
      <c r="N44" s="116">
        <f>'Pre- and Production'!AO124</f>
        <v>0</v>
      </c>
      <c r="O44" s="116">
        <f>'Pre- and Production'!AP124</f>
        <v>0</v>
      </c>
      <c r="P44" s="116">
        <f>'Pre- and Production'!AQ124</f>
        <v>0</v>
      </c>
      <c r="Q44" s="121">
        <f>'Pre- and Production'!AR124</f>
        <v>0</v>
      </c>
      <c r="R44" s="117"/>
    </row>
    <row r="45" spans="1:18">
      <c r="A45" s="78">
        <f>'Pre- and Production'!AB125</f>
        <v>2010</v>
      </c>
      <c r="B45" s="115">
        <f>'Pre- and Production'!AC125</f>
        <v>0</v>
      </c>
      <c r="C45" s="116">
        <f>'Pre- and Production'!AD125</f>
        <v>0</v>
      </c>
      <c r="D45" s="116">
        <f>'Pre- and Production'!AE125</f>
        <v>0</v>
      </c>
      <c r="E45" s="116">
        <f>'Pre- and Production'!AF125</f>
        <v>0</v>
      </c>
      <c r="F45" s="116">
        <f>'Pre- and Production'!AG125</f>
        <v>0</v>
      </c>
      <c r="G45" s="121">
        <f>'Pre- and Production'!AH125</f>
        <v>0</v>
      </c>
      <c r="H45" s="117"/>
      <c r="I45" s="100"/>
      <c r="J45" s="100"/>
      <c r="K45" s="78">
        <f>'Pre- and Production'!AL125</f>
        <v>2010</v>
      </c>
      <c r="L45" s="115">
        <f>'Pre- and Production'!AM125</f>
        <v>0</v>
      </c>
      <c r="M45" s="116">
        <f>'Pre- and Production'!AN125</f>
        <v>0</v>
      </c>
      <c r="N45" s="116">
        <f>'Pre- and Production'!AO125</f>
        <v>0</v>
      </c>
      <c r="O45" s="116">
        <f>'Pre- and Production'!AP125</f>
        <v>0</v>
      </c>
      <c r="P45" s="116">
        <f>'Pre- and Production'!AQ125</f>
        <v>0</v>
      </c>
      <c r="Q45" s="121">
        <f>'Pre- and Production'!AR125</f>
        <v>0</v>
      </c>
      <c r="R45" s="117"/>
    </row>
    <row r="46" spans="1:18">
      <c r="A46" s="78">
        <f>'Pre- and Production'!AB126</f>
        <v>2011</v>
      </c>
      <c r="B46" s="115">
        <f>'Pre- and Production'!AC126</f>
        <v>0</v>
      </c>
      <c r="C46" s="116">
        <f>'Pre- and Production'!AD126</f>
        <v>42</v>
      </c>
      <c r="D46" s="116">
        <f>'Pre- and Production'!AE126</f>
        <v>20</v>
      </c>
      <c r="E46" s="116">
        <f>'Pre- and Production'!AF126</f>
        <v>84</v>
      </c>
      <c r="F46" s="116">
        <f>'Pre- and Production'!AG126</f>
        <v>56</v>
      </c>
      <c r="G46" s="121">
        <f>'Pre- and Production'!AH126</f>
        <v>1600</v>
      </c>
      <c r="H46" s="117"/>
      <c r="I46" s="100"/>
      <c r="J46" s="100"/>
      <c r="K46" s="78">
        <f>'Pre- and Production'!AL126</f>
        <v>2011</v>
      </c>
      <c r="L46" s="115">
        <f>'Pre- and Production'!AM126</f>
        <v>0</v>
      </c>
      <c r="M46" s="116">
        <f>'Pre- and Production'!AN126</f>
        <v>0</v>
      </c>
      <c r="N46" s="116">
        <f>'Pre- and Production'!AO126</f>
        <v>0</v>
      </c>
      <c r="O46" s="116">
        <f>'Pre- and Production'!AP126</f>
        <v>0</v>
      </c>
      <c r="P46" s="116">
        <f>'Pre- and Production'!AQ126</f>
        <v>0</v>
      </c>
      <c r="Q46" s="121">
        <f>'Pre- and Production'!AR126</f>
        <v>0</v>
      </c>
      <c r="R46" s="117"/>
    </row>
    <row r="47" spans="1:18">
      <c r="A47" s="78">
        <f>'Pre- and Production'!AB127</f>
        <v>2012</v>
      </c>
      <c r="B47" s="115">
        <f>'Pre- and Production'!AC127</f>
        <v>0</v>
      </c>
      <c r="C47" s="116">
        <f>'Pre- and Production'!AD127</f>
        <v>0</v>
      </c>
      <c r="D47" s="116">
        <f>'Pre- and Production'!AE127</f>
        <v>0</v>
      </c>
      <c r="E47" s="116">
        <f>'Pre- and Production'!AF127</f>
        <v>0</v>
      </c>
      <c r="F47" s="116">
        <f>'Pre- and Production'!AG127</f>
        <v>0</v>
      </c>
      <c r="G47" s="121">
        <f>'Pre- and Production'!AH127</f>
        <v>0</v>
      </c>
      <c r="H47" s="117"/>
      <c r="I47" s="100"/>
      <c r="J47" s="100"/>
      <c r="K47" s="78">
        <f>'Pre- and Production'!AL127</f>
        <v>2012</v>
      </c>
      <c r="L47" s="115">
        <f>'Pre- and Production'!AM127</f>
        <v>0</v>
      </c>
      <c r="M47" s="116">
        <f>'Pre- and Production'!AN127</f>
        <v>0</v>
      </c>
      <c r="N47" s="116">
        <f>'Pre- and Production'!AO127</f>
        <v>0</v>
      </c>
      <c r="O47" s="116">
        <f>'Pre- and Production'!AP127</f>
        <v>80</v>
      </c>
      <c r="P47" s="116">
        <f>'Pre- and Production'!AQ127</f>
        <v>0</v>
      </c>
      <c r="Q47" s="121">
        <f>'Pre- and Production'!AR127</f>
        <v>0</v>
      </c>
      <c r="R47" s="117"/>
    </row>
    <row r="48" spans="1:18">
      <c r="A48" s="78">
        <f>'Pre- and Production'!AB128</f>
        <v>2013</v>
      </c>
      <c r="B48" s="115">
        <f>'Pre- and Production'!AC128</f>
        <v>0</v>
      </c>
      <c r="C48" s="116">
        <f>'Pre- and Production'!AD128</f>
        <v>0</v>
      </c>
      <c r="D48" s="116">
        <f>'Pre- and Production'!AE128</f>
        <v>0</v>
      </c>
      <c r="E48" s="116">
        <f>'Pre- and Production'!AF128</f>
        <v>0</v>
      </c>
      <c r="F48" s="116">
        <f>'Pre- and Production'!AG128</f>
        <v>0</v>
      </c>
      <c r="G48" s="121">
        <f>'Pre- and Production'!AH128</f>
        <v>0</v>
      </c>
      <c r="H48" s="117"/>
      <c r="I48" s="100"/>
      <c r="J48" s="100"/>
      <c r="K48" s="78">
        <f>'Pre- and Production'!AL128</f>
        <v>2013</v>
      </c>
      <c r="L48" s="115">
        <f>'Pre- and Production'!AM128</f>
        <v>0</v>
      </c>
      <c r="M48" s="116">
        <f>'Pre- and Production'!AN128</f>
        <v>0</v>
      </c>
      <c r="N48" s="116">
        <f>'Pre- and Production'!AO128</f>
        <v>0</v>
      </c>
      <c r="O48" s="116">
        <f>'Pre- and Production'!AP128</f>
        <v>0</v>
      </c>
      <c r="P48" s="116">
        <f>'Pre- and Production'!AQ128</f>
        <v>0</v>
      </c>
      <c r="Q48" s="121">
        <f>'Pre- and Production'!AR128</f>
        <v>0</v>
      </c>
      <c r="R48" s="117"/>
    </row>
    <row r="49" spans="1:18" s="261" customFormat="1">
      <c r="A49" s="78">
        <f>'Pre- and Production'!AB129</f>
        <v>2014</v>
      </c>
      <c r="B49" s="115">
        <f>'Pre- and Production'!AC129</f>
        <v>0</v>
      </c>
      <c r="C49" s="116">
        <f>'Pre- and Production'!AD129</f>
        <v>0</v>
      </c>
      <c r="D49" s="116">
        <f>'Pre- and Production'!AE129</f>
        <v>0</v>
      </c>
      <c r="E49" s="116">
        <f>'Pre- and Production'!AF129</f>
        <v>0</v>
      </c>
      <c r="F49" s="116">
        <f>'Pre- and Production'!AG129</f>
        <v>0</v>
      </c>
      <c r="G49" s="121">
        <f>'Pre- and Production'!AH129</f>
        <v>0</v>
      </c>
      <c r="H49" s="117"/>
      <c r="I49" s="100"/>
      <c r="J49" s="100"/>
      <c r="K49" s="78">
        <f>'Pre- and Production'!AL129</f>
        <v>2014</v>
      </c>
      <c r="L49" s="115">
        <f>'Pre- and Production'!AM129</f>
        <v>0</v>
      </c>
      <c r="M49" s="116">
        <f>'Pre- and Production'!AN129</f>
        <v>0</v>
      </c>
      <c r="N49" s="116">
        <f>'Pre- and Production'!AO129</f>
        <v>0</v>
      </c>
      <c r="O49" s="116">
        <f>'Pre- and Production'!AP129</f>
        <v>0</v>
      </c>
      <c r="P49" s="116">
        <f>'Pre- and Production'!AQ129</f>
        <v>0</v>
      </c>
      <c r="Q49" s="121">
        <f>'Pre- and Production'!AR129</f>
        <v>0</v>
      </c>
      <c r="R49" s="117"/>
    </row>
    <row r="50" spans="1:18">
      <c r="A50" s="78" t="str">
        <f>'Pre- and Production'!AB130</f>
        <v>CONT</v>
      </c>
      <c r="B50" s="115">
        <f>'Pre- and Production'!AC130</f>
        <v>0</v>
      </c>
      <c r="C50" s="116">
        <f>'Pre- and Production'!AD130</f>
        <v>0</v>
      </c>
      <c r="D50" s="116">
        <f>'Pre- and Production'!AE130</f>
        <v>0</v>
      </c>
      <c r="E50" s="116">
        <f>'Pre- and Production'!AF130</f>
        <v>0</v>
      </c>
      <c r="F50" s="116">
        <f>'Pre- and Production'!AG130</f>
        <v>0</v>
      </c>
      <c r="G50" s="121">
        <f>'Pre- and Production'!AH130</f>
        <v>0</v>
      </c>
      <c r="H50" s="117"/>
      <c r="I50" s="100"/>
      <c r="J50" s="100"/>
      <c r="K50" s="78" t="str">
        <f>'Pre- and Production'!AL130</f>
        <v>CONT</v>
      </c>
      <c r="L50" s="115">
        <f>'Pre- and Production'!AM130</f>
        <v>0</v>
      </c>
      <c r="M50" s="116">
        <f>'Pre- and Production'!AN130</f>
        <v>0</v>
      </c>
      <c r="N50" s="116">
        <f>'Pre- and Production'!AO130</f>
        <v>0</v>
      </c>
      <c r="O50" s="116">
        <f>'Pre- and Production'!AP130</f>
        <v>0</v>
      </c>
      <c r="P50" s="116">
        <f>'Pre- and Production'!AQ130</f>
        <v>0</v>
      </c>
      <c r="Q50" s="121">
        <f>'Pre- and Production'!AR130</f>
        <v>0</v>
      </c>
      <c r="R50" s="117"/>
    </row>
    <row r="51" spans="1:18">
      <c r="A51" s="78" t="str">
        <f>'Pre- and Production'!AB131</f>
        <v>STAR</v>
      </c>
      <c r="B51" s="115">
        <f>'Pre- and Production'!AC131</f>
        <v>4</v>
      </c>
      <c r="C51" s="116">
        <f>'Pre- and Production'!AD131</f>
        <v>64</v>
      </c>
      <c r="D51" s="116">
        <f>'Pre- and Production'!AE131</f>
        <v>16</v>
      </c>
      <c r="E51" s="116">
        <f>'Pre- and Production'!AF131</f>
        <v>104</v>
      </c>
      <c r="F51" s="116">
        <f>'Pre- and Production'!AG131</f>
        <v>0</v>
      </c>
      <c r="G51" s="121">
        <f>'Pre- and Production'!AH131</f>
        <v>0</v>
      </c>
      <c r="H51" s="117"/>
      <c r="I51" s="100"/>
      <c r="J51" s="100"/>
      <c r="K51" s="78" t="str">
        <f>'Pre- and Production'!AL131</f>
        <v>STAR</v>
      </c>
      <c r="L51" s="115">
        <f>'Pre- and Production'!AM131</f>
        <v>12</v>
      </c>
      <c r="M51" s="116">
        <f>'Pre- and Production'!AN131</f>
        <v>208</v>
      </c>
      <c r="N51" s="116">
        <f>'Pre- and Production'!AO131</f>
        <v>4</v>
      </c>
      <c r="O51" s="116">
        <f>'Pre- and Production'!AP131</f>
        <v>136</v>
      </c>
      <c r="P51" s="116">
        <f>'Pre- and Production'!AQ131</f>
        <v>8</v>
      </c>
      <c r="Q51" s="121">
        <f>'Pre- and Production'!AR131</f>
        <v>1000</v>
      </c>
      <c r="R51" s="117"/>
    </row>
    <row r="52" spans="1:18">
      <c r="A52" s="78"/>
      <c r="B52" s="269" t="str">
        <f>'Pre- and Production'!AC132</f>
        <v>Project Estimated Cost</v>
      </c>
      <c r="C52" s="270"/>
      <c r="D52" s="270"/>
      <c r="E52" s="270"/>
      <c r="F52" s="270"/>
      <c r="G52" s="270"/>
      <c r="H52" s="271"/>
      <c r="I52" s="100"/>
      <c r="J52" s="100"/>
      <c r="K52" s="78"/>
      <c r="L52" s="269" t="str">
        <f>'Pre- and Production'!AM132</f>
        <v>Project Estimated Cost</v>
      </c>
      <c r="M52" s="270"/>
      <c r="N52" s="270"/>
      <c r="O52" s="270"/>
      <c r="P52" s="270"/>
      <c r="Q52" s="270"/>
      <c r="R52" s="271"/>
    </row>
    <row r="53" spans="1:18">
      <c r="A53" s="78"/>
      <c r="B53" s="112" t="str">
        <f>'Pre- and Production'!AC133</f>
        <v>Shop Cost</v>
      </c>
      <c r="C53" s="113" t="str">
        <f>'Pre- and Production'!AD133</f>
        <v>MT Cost</v>
      </c>
      <c r="D53" s="113" t="str">
        <f>'Pre- and Production'!AE133</f>
        <v>Postdoc (cont)</v>
      </c>
      <c r="E53" s="113" t="str">
        <f>'Pre- and Production'!AF133</f>
        <v>Engineering</v>
      </c>
      <c r="F53" s="113" t="str">
        <f>'Pre- and Production'!AG133</f>
        <v>Engineer (cont)</v>
      </c>
      <c r="G53" s="118" t="str">
        <f>'Pre- and Production'!AH133</f>
        <v>M&amp;S Cost</v>
      </c>
      <c r="H53" s="114" t="str">
        <f>'Pre- and Production'!AI133</f>
        <v>Totals</v>
      </c>
      <c r="I53" s="100"/>
      <c r="J53" s="100"/>
      <c r="K53" s="78"/>
      <c r="L53" s="112" t="str">
        <f>'Pre- and Production'!AM133</f>
        <v>Shop Cost</v>
      </c>
      <c r="M53" s="113" t="str">
        <f>'Pre- and Production'!AN133</f>
        <v>MT Cost</v>
      </c>
      <c r="N53" s="113" t="str">
        <f>'Pre- and Production'!AO133</f>
        <v>Postdoc (cont)</v>
      </c>
      <c r="O53" s="113" t="str">
        <f>'Pre- and Production'!AP133</f>
        <v>Engineering</v>
      </c>
      <c r="P53" s="113" t="str">
        <f>'Pre- and Production'!AQ133</f>
        <v>Engineer (cont)</v>
      </c>
      <c r="Q53" s="118" t="str">
        <f>'Pre- and Production'!AR133</f>
        <v>M&amp;S Cost</v>
      </c>
      <c r="R53" s="114" t="str">
        <f>'Pre- and Production'!AS133</f>
        <v>Totals</v>
      </c>
    </row>
    <row r="54" spans="1:18">
      <c r="A54" s="78">
        <f>'Pre- and Production'!AB134</f>
        <v>2009</v>
      </c>
      <c r="B54" s="122">
        <f>'Pre- and Production'!AC134</f>
        <v>0</v>
      </c>
      <c r="C54" s="119">
        <f>'Pre- and Production'!AD134</f>
        <v>0</v>
      </c>
      <c r="D54" s="119">
        <f>'Pre- and Production'!AE134</f>
        <v>0</v>
      </c>
      <c r="E54" s="119">
        <f>'Pre- and Production'!AF134</f>
        <v>0</v>
      </c>
      <c r="F54" s="119">
        <f>'Pre- and Production'!AG134</f>
        <v>0</v>
      </c>
      <c r="G54" s="119">
        <f>'Pre- and Production'!AH134</f>
        <v>0</v>
      </c>
      <c r="H54" s="123">
        <f>'Pre- and Production'!AI134</f>
        <v>0</v>
      </c>
      <c r="I54" s="100"/>
      <c r="J54" s="100"/>
      <c r="K54" s="78">
        <f>'Pre- and Production'!AL134</f>
        <v>2009</v>
      </c>
      <c r="L54" s="122">
        <f>'Pre- and Production'!AM134</f>
        <v>0</v>
      </c>
      <c r="M54" s="119">
        <f>'Pre- and Production'!AN134</f>
        <v>0</v>
      </c>
      <c r="N54" s="119">
        <f>'Pre- and Production'!AO134</f>
        <v>0</v>
      </c>
      <c r="O54" s="119">
        <f>'Pre- and Production'!AP134</f>
        <v>0</v>
      </c>
      <c r="P54" s="119">
        <f>'Pre- and Production'!AQ134</f>
        <v>0</v>
      </c>
      <c r="Q54" s="119">
        <f>'Pre- and Production'!AR134</f>
        <v>0</v>
      </c>
      <c r="R54" s="123">
        <f>'Pre- and Production'!AS134</f>
        <v>0</v>
      </c>
    </row>
    <row r="55" spans="1:18">
      <c r="A55" s="78">
        <f>'Pre- and Production'!AB135</f>
        <v>2010</v>
      </c>
      <c r="B55" s="122">
        <f>'Pre- and Production'!AC135</f>
        <v>0</v>
      </c>
      <c r="C55" s="119">
        <f>'Pre- and Production'!AD135</f>
        <v>0</v>
      </c>
      <c r="D55" s="119">
        <f>'Pre- and Production'!AE135</f>
        <v>0</v>
      </c>
      <c r="E55" s="119">
        <f>'Pre- and Production'!AF135</f>
        <v>0</v>
      </c>
      <c r="F55" s="119">
        <f>'Pre- and Production'!AG135</f>
        <v>0</v>
      </c>
      <c r="G55" s="119">
        <f>'Pre- and Production'!AH135</f>
        <v>0</v>
      </c>
      <c r="H55" s="123">
        <f>'Pre- and Production'!AI135</f>
        <v>0</v>
      </c>
      <c r="I55" s="100"/>
      <c r="J55" s="100"/>
      <c r="K55" s="78">
        <f>'Pre- and Production'!AL135</f>
        <v>2010</v>
      </c>
      <c r="L55" s="122">
        <f>'Pre- and Production'!AM135</f>
        <v>0</v>
      </c>
      <c r="M55" s="119">
        <f>'Pre- and Production'!AN135</f>
        <v>0</v>
      </c>
      <c r="N55" s="119">
        <f>'Pre- and Production'!AO135</f>
        <v>0</v>
      </c>
      <c r="O55" s="119">
        <f>'Pre- and Production'!AP135</f>
        <v>0</v>
      </c>
      <c r="P55" s="119">
        <f>'Pre- and Production'!AQ135</f>
        <v>0</v>
      </c>
      <c r="Q55" s="119">
        <f>'Pre- and Production'!AR135</f>
        <v>0</v>
      </c>
      <c r="R55" s="123">
        <f>'Pre- and Production'!AS135</f>
        <v>0</v>
      </c>
    </row>
    <row r="56" spans="1:18">
      <c r="A56" s="78">
        <f>'Pre- and Production'!AB136</f>
        <v>2011</v>
      </c>
      <c r="B56" s="122">
        <f>'Pre- and Production'!AC136</f>
        <v>0</v>
      </c>
      <c r="C56" s="119">
        <f>'Pre- and Production'!AD136</f>
        <v>3980.3400000000006</v>
      </c>
      <c r="D56" s="119">
        <f>'Pre- and Production'!AE136</f>
        <v>0</v>
      </c>
      <c r="E56" s="119">
        <f>'Pre- and Production'!AF136</f>
        <v>10206.000000000002</v>
      </c>
      <c r="F56" s="119">
        <f>'Pre- and Production'!AG136</f>
        <v>0</v>
      </c>
      <c r="G56" s="119">
        <f>'Pre- and Production'!AH136</f>
        <v>1600</v>
      </c>
      <c r="H56" s="123">
        <f>'Pre- and Production'!AI136</f>
        <v>15786.340000000002</v>
      </c>
      <c r="I56" s="100"/>
      <c r="J56" s="100"/>
      <c r="K56" s="78">
        <f>'Pre- and Production'!AL136</f>
        <v>2011</v>
      </c>
      <c r="L56" s="122">
        <f>'Pre- and Production'!AM136</f>
        <v>0</v>
      </c>
      <c r="M56" s="119">
        <f>'Pre- and Production'!AN136</f>
        <v>0</v>
      </c>
      <c r="N56" s="119">
        <f>'Pre- and Production'!AO136</f>
        <v>0</v>
      </c>
      <c r="O56" s="119">
        <f>'Pre- and Production'!AP136</f>
        <v>0</v>
      </c>
      <c r="P56" s="119">
        <f>'Pre- and Production'!AQ136</f>
        <v>0</v>
      </c>
      <c r="Q56" s="119">
        <f>'Pre- and Production'!AR136</f>
        <v>0</v>
      </c>
      <c r="R56" s="123">
        <f>'Pre- and Production'!AS136</f>
        <v>0</v>
      </c>
    </row>
    <row r="57" spans="1:18">
      <c r="A57" s="78">
        <f>'Pre- and Production'!AB137</f>
        <v>2012</v>
      </c>
      <c r="B57" s="122">
        <f>'Pre- and Production'!AC137</f>
        <v>0</v>
      </c>
      <c r="C57" s="119">
        <f>'Pre- and Production'!AD137</f>
        <v>0</v>
      </c>
      <c r="D57" s="119">
        <f>'Pre- and Production'!AE137</f>
        <v>0</v>
      </c>
      <c r="E57" s="119">
        <f>'Pre- and Production'!AF137</f>
        <v>0</v>
      </c>
      <c r="F57" s="119">
        <f>'Pre- and Production'!AG137</f>
        <v>0</v>
      </c>
      <c r="G57" s="119">
        <f>'Pre- and Production'!AH137</f>
        <v>0</v>
      </c>
      <c r="H57" s="123">
        <f>'Pre- and Production'!AI137</f>
        <v>0</v>
      </c>
      <c r="I57" s="100"/>
      <c r="J57" s="100"/>
      <c r="K57" s="78">
        <f>'Pre- and Production'!AL137</f>
        <v>2012</v>
      </c>
      <c r="L57" s="122">
        <f>'Pre- and Production'!AM137</f>
        <v>0</v>
      </c>
      <c r="M57" s="119">
        <f>'Pre- and Production'!AN137</f>
        <v>0</v>
      </c>
      <c r="N57" s="119">
        <f>'Pre- and Production'!AO137</f>
        <v>0</v>
      </c>
      <c r="O57" s="119">
        <f>'Pre- and Production'!AP137</f>
        <v>0</v>
      </c>
      <c r="P57" s="119">
        <f>'Pre- and Production'!AQ137</f>
        <v>0</v>
      </c>
      <c r="Q57" s="119">
        <f>'Pre- and Production'!AR137</f>
        <v>0</v>
      </c>
      <c r="R57" s="123">
        <f>'Pre- and Production'!AS137</f>
        <v>0</v>
      </c>
    </row>
    <row r="58" spans="1:18" s="261" customFormat="1">
      <c r="A58" s="78">
        <f>'Pre- and Production'!AB138</f>
        <v>2013</v>
      </c>
      <c r="B58" s="122">
        <f>'Pre- and Production'!AC138</f>
        <v>0</v>
      </c>
      <c r="C58" s="119">
        <f>'Pre- and Production'!AD138</f>
        <v>0</v>
      </c>
      <c r="D58" s="119">
        <f>'Pre- and Production'!AE138</f>
        <v>0</v>
      </c>
      <c r="E58" s="119">
        <f>'Pre- and Production'!AF138</f>
        <v>0</v>
      </c>
      <c r="F58" s="119">
        <f>'Pre- and Production'!AG138</f>
        <v>0</v>
      </c>
      <c r="G58" s="119">
        <f>'Pre- and Production'!AH138</f>
        <v>0</v>
      </c>
      <c r="H58" s="123">
        <f>'Pre- and Production'!AI138</f>
        <v>0</v>
      </c>
      <c r="I58" s="100"/>
      <c r="J58" s="100"/>
      <c r="K58" s="78">
        <f>'Pre- and Production'!AL138</f>
        <v>2013</v>
      </c>
      <c r="L58" s="122">
        <f>'Pre- and Production'!AM138</f>
        <v>0</v>
      </c>
      <c r="M58" s="119">
        <f>'Pre- and Production'!AN138</f>
        <v>0</v>
      </c>
      <c r="N58" s="119">
        <f>'Pre- and Production'!AO138</f>
        <v>0</v>
      </c>
      <c r="O58" s="119">
        <f>'Pre- and Production'!AP138</f>
        <v>0</v>
      </c>
      <c r="P58" s="119">
        <f>'Pre- and Production'!AQ138</f>
        <v>0</v>
      </c>
      <c r="Q58" s="119">
        <f>'Pre- and Production'!AR138</f>
        <v>0</v>
      </c>
      <c r="R58" s="123">
        <f>'Pre- and Production'!AS138</f>
        <v>0</v>
      </c>
    </row>
    <row r="59" spans="1:18" ht="13.5" thickBot="1">
      <c r="A59" s="78">
        <f>'Pre- and Production'!AB139</f>
        <v>2014</v>
      </c>
      <c r="B59" s="124">
        <f>'Pre- and Production'!AC139</f>
        <v>0</v>
      </c>
      <c r="C59" s="120">
        <f>'Pre- and Production'!AD139</f>
        <v>0</v>
      </c>
      <c r="D59" s="120">
        <f>'Pre- and Production'!AE139</f>
        <v>0</v>
      </c>
      <c r="E59" s="120">
        <f>'Pre- and Production'!AF139</f>
        <v>0</v>
      </c>
      <c r="F59" s="120">
        <f>'Pre- and Production'!AG139</f>
        <v>0</v>
      </c>
      <c r="G59" s="120">
        <f>'Pre- and Production'!AH139</f>
        <v>0</v>
      </c>
      <c r="H59" s="125">
        <f>'Pre- and Production'!AI139</f>
        <v>0</v>
      </c>
      <c r="I59" s="100"/>
      <c r="J59" s="100"/>
      <c r="K59" s="78">
        <f>'Pre- and Production'!AL139</f>
        <v>2014</v>
      </c>
      <c r="L59" s="124">
        <f>'Pre- and Production'!AM139</f>
        <v>0</v>
      </c>
      <c r="M59" s="120">
        <f>'Pre- and Production'!AN139</f>
        <v>0</v>
      </c>
      <c r="N59" s="120">
        <f>'Pre- and Production'!AO139</f>
        <v>0</v>
      </c>
      <c r="O59" s="120">
        <f>'Pre- and Production'!AP139</f>
        <v>0</v>
      </c>
      <c r="P59" s="120">
        <f>'Pre- and Production'!AQ139</f>
        <v>0</v>
      </c>
      <c r="Q59" s="120">
        <f>'Pre- and Production'!AR139</f>
        <v>0</v>
      </c>
      <c r="R59" s="125">
        <f>'Pre- and Production'!AS139</f>
        <v>0</v>
      </c>
    </row>
    <row r="60" spans="1:18">
      <c r="A60" s="78"/>
      <c r="B60" s="100"/>
      <c r="C60" s="100"/>
      <c r="D60" s="100"/>
      <c r="E60" s="100"/>
      <c r="F60" s="100"/>
      <c r="G60" s="111" t="str">
        <f>'Pre- and Production'!AH140</f>
        <v>Base Cost</v>
      </c>
      <c r="H60" s="79">
        <f>'Pre- and Production'!AI140</f>
        <v>15786.340000000002</v>
      </c>
      <c r="I60" s="100"/>
      <c r="J60" s="100"/>
      <c r="K60" s="78"/>
      <c r="L60" s="100"/>
      <c r="M60" s="100"/>
      <c r="N60" s="100"/>
      <c r="O60" s="100"/>
      <c r="P60" s="100"/>
      <c r="Q60" s="111" t="str">
        <f>'Pre- and Production'!AR140</f>
        <v>Contingency</v>
      </c>
      <c r="R60" s="79">
        <f>'Pre- and Production'!AS140</f>
        <v>0</v>
      </c>
    </row>
    <row r="61" spans="1:18">
      <c r="A61" s="78"/>
      <c r="B61" s="100"/>
      <c r="C61" s="100"/>
      <c r="D61" s="100"/>
      <c r="E61" s="100"/>
      <c r="F61" s="100"/>
      <c r="H61" s="100"/>
      <c r="I61" s="100"/>
      <c r="J61" s="100"/>
      <c r="K61" s="78"/>
      <c r="L61" s="100"/>
      <c r="M61" s="100"/>
      <c r="N61" s="100"/>
      <c r="O61" s="100"/>
      <c r="P61" s="100"/>
      <c r="Q61" s="111" t="str">
        <f>'Pre- and Production'!AR141</f>
        <v>Percent</v>
      </c>
      <c r="R61" s="99">
        <f>'Pre- and Production'!AS141</f>
        <v>0</v>
      </c>
    </row>
  </sheetData>
  <mergeCells count="13">
    <mergeCell ref="U2:AA2"/>
    <mergeCell ref="B52:H52"/>
    <mergeCell ref="L52:R52"/>
    <mergeCell ref="B22:H22"/>
    <mergeCell ref="L22:R22"/>
    <mergeCell ref="B32:H32"/>
    <mergeCell ref="L32:R32"/>
    <mergeCell ref="B2:H2"/>
    <mergeCell ref="L2:R2"/>
    <mergeCell ref="B12:H12"/>
    <mergeCell ref="L12:R12"/>
    <mergeCell ref="B42:H42"/>
    <mergeCell ref="L42:R42"/>
  </mergeCells>
  <phoneticPr fontId="24" type="noConversion"/>
  <pageMargins left="0.49" right="0.46" top="0.57999999999999996" bottom="0.55000000000000004" header="0.3" footer="0.3"/>
  <pageSetup paperSize="9" scale="75" orientation="landscape" horizontalDpi="4294967293" r:id="rId1"/>
  <headerFooter>
    <oddHeader>&amp;L&amp;16WBS 1.2.1&amp;C&amp;16STAR PIXEL MECHANICS COST SUMMARY</oddHeader>
    <oddFooter>&amp;LReleased: 12 August, 2009&amp;C&amp;F&amp;RE Anderssen</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AX141"/>
  <sheetViews>
    <sheetView topLeftCell="S1" zoomScaleNormal="100" workbookViewId="0">
      <pane ySplit="3285" topLeftCell="A82" activePane="bottomLeft"/>
      <selection activeCell="R1" sqref="R1:U1048576"/>
      <selection pane="bottomLeft" activeCell="AC97" sqref="AC97"/>
    </sheetView>
  </sheetViews>
  <sheetFormatPr defaultRowHeight="12.75"/>
  <cols>
    <col min="1" max="1" width="54.7109375" bestFit="1" customWidth="1"/>
    <col min="2" max="2" width="16.7109375" bestFit="1" customWidth="1"/>
    <col min="3" max="3" width="8" style="153" bestFit="1" customWidth="1"/>
    <col min="4" max="4" width="6.5703125" style="81" bestFit="1" customWidth="1"/>
    <col min="5" max="5" width="7.85546875" style="110" bestFit="1" customWidth="1"/>
    <col min="6" max="6" width="8.42578125" style="110" bestFit="1" customWidth="1"/>
    <col min="7" max="9" width="8" style="153" bestFit="1" customWidth="1"/>
    <col min="10" max="11" width="8" style="154" bestFit="1" customWidth="1"/>
    <col min="12" max="12" width="6.28515625" style="81" bestFit="1" customWidth="1"/>
    <col min="13" max="13" width="11" style="7" bestFit="1" customWidth="1"/>
    <col min="14" max="14" width="5.28515625" style="155" customWidth="1"/>
    <col min="15" max="15" width="10.7109375" style="7" customWidth="1"/>
    <col min="16" max="16" width="2.5703125" style="7" customWidth="1"/>
    <col min="17" max="17" width="3.7109375" style="53" bestFit="1" customWidth="1"/>
    <col min="18" max="18" width="3.7109375" style="53" customWidth="1"/>
    <col min="19" max="19" width="9.5703125" style="94" customWidth="1"/>
    <col min="20" max="20" width="10.42578125" style="94" customWidth="1"/>
    <col min="21" max="21" width="9.5703125" style="94" customWidth="1"/>
    <col min="22" max="22" width="36.28515625" style="94" bestFit="1" customWidth="1"/>
    <col min="23" max="23" width="14.5703125" style="7" hidden="1" customWidth="1"/>
    <col min="24" max="24" width="12.140625" style="10" hidden="1" customWidth="1"/>
    <col min="25" max="25" width="14.42578125" style="10" hidden="1" customWidth="1"/>
    <col min="26" max="26" width="17.7109375" style="10" hidden="1" customWidth="1"/>
    <col min="27" max="27" width="12.5703125" style="10" hidden="1" customWidth="1"/>
    <col min="28" max="28" width="8.42578125" style="21" bestFit="1" customWidth="1"/>
    <col min="29" max="29" width="11" style="7" bestFit="1" customWidth="1"/>
    <col min="30" max="30" width="9.42578125" style="7" bestFit="1" customWidth="1"/>
    <col min="31" max="31" width="14" style="7" customWidth="1"/>
    <col min="32" max="32" width="12.140625" style="7" bestFit="1" customWidth="1"/>
    <col min="33" max="33" width="18.28515625" style="7" customWidth="1"/>
    <col min="34" max="34" width="11.7109375" style="7" customWidth="1"/>
    <col min="35" max="35" width="12.7109375" style="7" bestFit="1" customWidth="1"/>
    <col min="36" max="37" width="10.42578125" style="7" customWidth="1"/>
    <col min="38" max="38" width="11.28515625" style="110" bestFit="1" customWidth="1"/>
    <col min="39" max="39" width="11" style="7" bestFit="1" customWidth="1"/>
    <col min="40" max="40" width="9.42578125" style="7" bestFit="1" customWidth="1"/>
    <col min="41" max="41" width="16.42578125" style="7" customWidth="1"/>
    <col min="42" max="42" width="12.140625" style="7" bestFit="1" customWidth="1"/>
    <col min="43" max="43" width="15.5703125" style="7" customWidth="1"/>
    <col min="44" max="44" width="13.140625" style="7" bestFit="1" customWidth="1"/>
    <col min="45" max="45" width="10.85546875" style="7" bestFit="1" customWidth="1"/>
  </cols>
  <sheetData>
    <row r="1" spans="1:45" ht="15">
      <c r="S1" s="292" t="s">
        <v>137</v>
      </c>
      <c r="T1" s="292"/>
      <c r="V1" s="136"/>
      <c r="W1" s="292" t="s">
        <v>138</v>
      </c>
      <c r="X1" s="292"/>
      <c r="Y1" s="292"/>
      <c r="Z1" s="292"/>
      <c r="AA1" s="292"/>
    </row>
    <row r="2" spans="1:45" ht="18">
      <c r="A2" s="8" t="s">
        <v>193</v>
      </c>
      <c r="Q2" s="283" t="s">
        <v>50</v>
      </c>
      <c r="R2" s="284"/>
      <c r="S2" s="284"/>
      <c r="T2" s="284"/>
      <c r="U2" s="284"/>
      <c r="V2" s="284"/>
      <c r="W2" s="284"/>
      <c r="X2" s="284"/>
      <c r="Y2" s="284"/>
      <c r="Z2" s="284"/>
      <c r="AA2" s="284"/>
      <c r="AB2" s="285"/>
      <c r="AC2" s="286" t="s">
        <v>31</v>
      </c>
      <c r="AD2" s="287"/>
      <c r="AE2" s="287"/>
      <c r="AF2" s="287"/>
      <c r="AG2" s="287"/>
      <c r="AH2" s="287"/>
      <c r="AI2" s="288"/>
      <c r="AJ2" s="219"/>
      <c r="AK2" s="219"/>
      <c r="AM2" s="286" t="s">
        <v>32</v>
      </c>
      <c r="AN2" s="287"/>
      <c r="AO2" s="287"/>
      <c r="AP2" s="287"/>
      <c r="AQ2" s="287"/>
      <c r="AR2" s="287"/>
      <c r="AS2" s="288"/>
    </row>
    <row r="3" spans="1:45" ht="118.9" customHeight="1">
      <c r="A3" s="1" t="s">
        <v>0</v>
      </c>
      <c r="B3" s="1" t="s">
        <v>6</v>
      </c>
      <c r="C3" s="134" t="s">
        <v>1</v>
      </c>
      <c r="D3" s="212" t="s">
        <v>2</v>
      </c>
      <c r="E3" s="59" t="s">
        <v>4</v>
      </c>
      <c r="F3" s="59" t="s">
        <v>3</v>
      </c>
      <c r="G3" s="134" t="s">
        <v>11</v>
      </c>
      <c r="H3" s="134" t="s">
        <v>10</v>
      </c>
      <c r="I3" s="134" t="s">
        <v>179</v>
      </c>
      <c r="J3" s="156" t="s">
        <v>16</v>
      </c>
      <c r="K3" s="156" t="s">
        <v>180</v>
      </c>
      <c r="L3" s="212" t="s">
        <v>2</v>
      </c>
      <c r="M3" s="157" t="s">
        <v>37</v>
      </c>
      <c r="N3" s="158" t="s">
        <v>23</v>
      </c>
      <c r="O3" s="159" t="s">
        <v>61</v>
      </c>
      <c r="P3" s="6"/>
      <c r="Q3" s="41" t="s">
        <v>24</v>
      </c>
      <c r="R3" s="69" t="s">
        <v>47</v>
      </c>
      <c r="S3" s="75" t="s">
        <v>49</v>
      </c>
      <c r="T3" s="75" t="s">
        <v>49</v>
      </c>
      <c r="U3" s="142" t="s">
        <v>130</v>
      </c>
      <c r="V3" s="143" t="s">
        <v>142</v>
      </c>
      <c r="W3" s="42" t="s">
        <v>131</v>
      </c>
      <c r="X3" s="43" t="s">
        <v>19</v>
      </c>
      <c r="Y3" s="43" t="s">
        <v>46</v>
      </c>
      <c r="Z3" s="43" t="s">
        <v>20</v>
      </c>
      <c r="AA3" s="43" t="s">
        <v>21</v>
      </c>
      <c r="AB3" s="44" t="s">
        <v>28</v>
      </c>
      <c r="AC3" s="220" t="s">
        <v>13</v>
      </c>
      <c r="AD3" s="221" t="s">
        <v>14</v>
      </c>
      <c r="AE3" s="134" t="s">
        <v>179</v>
      </c>
      <c r="AF3" s="221" t="s">
        <v>17</v>
      </c>
      <c r="AG3" s="156" t="s">
        <v>180</v>
      </c>
      <c r="AH3" s="221" t="s">
        <v>38</v>
      </c>
      <c r="AI3" s="222" t="s">
        <v>12</v>
      </c>
      <c r="AJ3" s="12"/>
      <c r="AK3" s="12"/>
      <c r="AM3" s="220" t="s">
        <v>13</v>
      </c>
      <c r="AN3" s="221" t="s">
        <v>14</v>
      </c>
      <c r="AO3" s="134" t="s">
        <v>179</v>
      </c>
      <c r="AP3" s="221" t="s">
        <v>17</v>
      </c>
      <c r="AQ3" s="156" t="s">
        <v>180</v>
      </c>
      <c r="AR3" s="221" t="s">
        <v>38</v>
      </c>
      <c r="AS3" s="222" t="s">
        <v>12</v>
      </c>
    </row>
    <row r="4" spans="1:45" ht="15.75">
      <c r="A4" s="47" t="s">
        <v>170</v>
      </c>
      <c r="B4" s="2" t="s">
        <v>5</v>
      </c>
      <c r="C4" s="160"/>
      <c r="D4" s="208"/>
      <c r="E4" s="161"/>
      <c r="F4" s="162"/>
      <c r="G4" s="163"/>
      <c r="H4" s="163"/>
      <c r="I4" s="163"/>
      <c r="J4" s="164"/>
      <c r="K4" s="165"/>
      <c r="L4" s="208"/>
      <c r="M4" s="4"/>
      <c r="N4" s="166"/>
      <c r="O4" s="4"/>
      <c r="P4" s="4"/>
      <c r="Q4" s="50"/>
      <c r="R4" s="70"/>
      <c r="S4" s="137"/>
      <c r="T4" s="137"/>
      <c r="U4" s="137"/>
      <c r="V4" s="137"/>
      <c r="W4" s="29"/>
      <c r="X4" s="29"/>
      <c r="Y4" s="29"/>
      <c r="Z4" s="29"/>
      <c r="AA4" s="68" t="s">
        <v>45</v>
      </c>
      <c r="AB4" s="36"/>
      <c r="AC4" s="223"/>
      <c r="AD4" s="223"/>
      <c r="AE4" s="223"/>
      <c r="AF4" s="223"/>
      <c r="AG4" s="223"/>
      <c r="AH4" s="223"/>
      <c r="AI4" s="224"/>
      <c r="AM4" s="225"/>
      <c r="AN4" s="223"/>
      <c r="AO4" s="223"/>
      <c r="AP4" s="223"/>
      <c r="AQ4" s="223"/>
      <c r="AR4" s="223"/>
      <c r="AS4" s="224"/>
    </row>
    <row r="5" spans="1:45">
      <c r="A5" s="46" t="s">
        <v>207</v>
      </c>
      <c r="B5" s="2" t="s">
        <v>5</v>
      </c>
      <c r="C5" s="160"/>
      <c r="D5" s="208"/>
      <c r="E5" s="161"/>
      <c r="F5" s="162"/>
      <c r="G5" s="163"/>
      <c r="H5" s="163"/>
      <c r="I5" s="163"/>
      <c r="J5" s="164"/>
      <c r="K5" s="165"/>
      <c r="L5" s="208"/>
      <c r="M5" s="4"/>
      <c r="N5" s="166">
        <v>1</v>
      </c>
      <c r="O5" s="4"/>
      <c r="P5" s="4"/>
      <c r="Q5" s="50"/>
      <c r="R5" s="70"/>
      <c r="S5" s="137"/>
      <c r="T5" s="137"/>
      <c r="U5" s="137"/>
      <c r="V5" s="137"/>
      <c r="W5" s="29"/>
      <c r="X5" s="29"/>
      <c r="Y5" s="29"/>
      <c r="Z5" s="29"/>
      <c r="AA5" s="68" t="s">
        <v>45</v>
      </c>
      <c r="AB5" s="36"/>
      <c r="AC5" s="223"/>
      <c r="AD5" s="223"/>
      <c r="AE5" s="223"/>
      <c r="AF5" s="223"/>
      <c r="AG5" s="223"/>
      <c r="AH5" s="223"/>
      <c r="AI5" s="224"/>
      <c r="AM5" s="225"/>
      <c r="AN5" s="223"/>
      <c r="AO5" s="223"/>
      <c r="AP5" s="223"/>
      <c r="AQ5" s="223"/>
      <c r="AR5" s="223"/>
      <c r="AS5" s="224"/>
    </row>
    <row r="6" spans="1:45" s="19" customFormat="1">
      <c r="A6" s="45" t="s">
        <v>206</v>
      </c>
      <c r="B6" s="19" t="s">
        <v>9</v>
      </c>
      <c r="C6" s="167">
        <v>1</v>
      </c>
      <c r="D6" s="94" t="s">
        <v>9</v>
      </c>
      <c r="E6" s="170">
        <v>0</v>
      </c>
      <c r="F6" s="169">
        <f t="shared" ref="F6:F12" si="0">E6*C6</f>
        <v>0</v>
      </c>
      <c r="G6" s="170">
        <v>0</v>
      </c>
      <c r="H6" s="170">
        <v>0</v>
      </c>
      <c r="I6" s="170">
        <v>0</v>
      </c>
      <c r="J6" s="170">
        <v>40</v>
      </c>
      <c r="K6" s="170">
        <v>40</v>
      </c>
      <c r="L6" s="94" t="s">
        <v>8</v>
      </c>
      <c r="M6" s="168">
        <f t="shared" ref="M6:M12" si="1">IF(R6="PD",((Shop*G6)+(M_Tech*H6)+(CMM*I6)+(ENG*J6)+(DES*K6))*N6,((Shop_RD*G6)+(MTECH_RD*H6)+(CMM_RD*I6)+(ENG_RD*J6)+(DES_RD*K6))*N6)</f>
        <v>4860.0000000000009</v>
      </c>
      <c r="N6" s="90">
        <v>1</v>
      </c>
      <c r="O6" s="172">
        <f t="shared" ref="O6:O20" si="2">M6+(F6*N6)</f>
        <v>4860.0000000000009</v>
      </c>
      <c r="P6" s="172"/>
      <c r="Q6" s="51" t="s">
        <v>29</v>
      </c>
      <c r="R6" s="71" t="s">
        <v>48</v>
      </c>
      <c r="S6" s="138" t="str">
        <f t="shared" ref="S6:S12" si="3">CONCATENATE(Q6,R6,AB6)</f>
        <v>BPD2011</v>
      </c>
      <c r="T6" s="138" t="str">
        <f t="shared" ref="T6:T20" si="4">CONCATENATE(Q6,U6,AB6)</f>
        <v>B1.5.4.12011</v>
      </c>
      <c r="U6" s="138" t="s">
        <v>195</v>
      </c>
      <c r="V6" s="138" t="str">
        <f t="shared" ref="V6:V12" si="5">LOOKUP(U6,$B$79:$B$105,$A$79:$A$105)</f>
        <v>Cables</v>
      </c>
      <c r="W6" s="130"/>
      <c r="X6" s="130"/>
      <c r="Y6" s="130"/>
      <c r="Z6" s="130"/>
      <c r="AA6" s="130"/>
      <c r="AB6" s="32">
        <v>2011</v>
      </c>
      <c r="AC6" s="132">
        <f t="shared" ref="AC6:AG12" si="6">IF($Q6="B", (G6*$N6),0)</f>
        <v>0</v>
      </c>
      <c r="AD6" s="132">
        <f t="shared" si="6"/>
        <v>0</v>
      </c>
      <c r="AE6" s="132">
        <f t="shared" si="6"/>
        <v>0</v>
      </c>
      <c r="AF6" s="132">
        <f t="shared" si="6"/>
        <v>40</v>
      </c>
      <c r="AG6" s="132">
        <f t="shared" si="6"/>
        <v>40</v>
      </c>
      <c r="AH6" s="226">
        <f t="shared" ref="AH6:AH12" si="7">IF($Q6="B", (F6*$N6),0)</f>
        <v>0</v>
      </c>
      <c r="AI6" s="227"/>
      <c r="AJ6" s="90"/>
      <c r="AK6" s="90"/>
      <c r="AL6" s="168"/>
      <c r="AM6" s="131">
        <f t="shared" ref="AM6:AQ12" si="8">IF($Q6="C", (G6*$N6),0)</f>
        <v>0</v>
      </c>
      <c r="AN6" s="132">
        <f t="shared" si="8"/>
        <v>0</v>
      </c>
      <c r="AO6" s="132">
        <f t="shared" si="8"/>
        <v>0</v>
      </c>
      <c r="AP6" s="132">
        <f t="shared" si="8"/>
        <v>0</v>
      </c>
      <c r="AQ6" s="132">
        <f t="shared" si="8"/>
        <v>0</v>
      </c>
      <c r="AR6" s="132">
        <f t="shared" ref="AR6:AR12" si="9">IF($Q6="C", (F6*$N6),0)</f>
        <v>0</v>
      </c>
      <c r="AS6" s="227"/>
    </row>
    <row r="7" spans="1:45" s="19" customFormat="1">
      <c r="A7" s="45" t="s">
        <v>182</v>
      </c>
      <c r="B7" s="19" t="s">
        <v>9</v>
      </c>
      <c r="C7" s="167">
        <v>1</v>
      </c>
      <c r="D7" s="94" t="s">
        <v>9</v>
      </c>
      <c r="E7" s="170">
        <v>0</v>
      </c>
      <c r="F7" s="169">
        <f>E7*C7</f>
        <v>0</v>
      </c>
      <c r="G7" s="170">
        <v>0</v>
      </c>
      <c r="H7" s="170">
        <v>0</v>
      </c>
      <c r="I7" s="170">
        <v>0</v>
      </c>
      <c r="J7" s="170">
        <v>8</v>
      </c>
      <c r="K7" s="170">
        <v>8</v>
      </c>
      <c r="L7" s="94" t="s">
        <v>8</v>
      </c>
      <c r="M7" s="168">
        <f t="shared" si="1"/>
        <v>972.00000000000011</v>
      </c>
      <c r="N7" s="90">
        <v>1</v>
      </c>
      <c r="O7" s="172">
        <f t="shared" si="2"/>
        <v>972.00000000000011</v>
      </c>
      <c r="P7" s="172"/>
      <c r="Q7" s="51" t="s">
        <v>29</v>
      </c>
      <c r="R7" s="71" t="s">
        <v>48</v>
      </c>
      <c r="S7" s="138" t="str">
        <f t="shared" si="3"/>
        <v>BPD2011</v>
      </c>
      <c r="T7" s="138" t="str">
        <f t="shared" si="4"/>
        <v>B1.5.4.12011</v>
      </c>
      <c r="U7" s="138" t="s">
        <v>195</v>
      </c>
      <c r="V7" s="138" t="str">
        <f t="shared" si="5"/>
        <v>Cables</v>
      </c>
      <c r="AB7" s="32">
        <v>2011</v>
      </c>
      <c r="AC7" s="132">
        <f t="shared" si="6"/>
        <v>0</v>
      </c>
      <c r="AD7" s="132">
        <f t="shared" si="6"/>
        <v>0</v>
      </c>
      <c r="AE7" s="132">
        <f t="shared" si="6"/>
        <v>0</v>
      </c>
      <c r="AF7" s="132">
        <f t="shared" si="6"/>
        <v>8</v>
      </c>
      <c r="AG7" s="132">
        <f t="shared" si="6"/>
        <v>8</v>
      </c>
      <c r="AH7" s="226">
        <f>IF($Q7="B", (F7*$N7),0)</f>
        <v>0</v>
      </c>
      <c r="AI7" s="227"/>
      <c r="AJ7" s="90"/>
      <c r="AK7" s="90"/>
      <c r="AL7" s="168"/>
      <c r="AM7" s="131">
        <f t="shared" si="8"/>
        <v>0</v>
      </c>
      <c r="AN7" s="132">
        <f t="shared" si="8"/>
        <v>0</v>
      </c>
      <c r="AO7" s="132">
        <f t="shared" si="8"/>
        <v>0</v>
      </c>
      <c r="AP7" s="132">
        <f t="shared" si="8"/>
        <v>0</v>
      </c>
      <c r="AQ7" s="132">
        <f t="shared" si="8"/>
        <v>0</v>
      </c>
      <c r="AR7" s="132">
        <f>IF($Q7="C", (F7*$N7),0)</f>
        <v>0</v>
      </c>
      <c r="AS7" s="227"/>
    </row>
    <row r="8" spans="1:45" s="19" customFormat="1">
      <c r="A8" s="45" t="s">
        <v>173</v>
      </c>
      <c r="B8" s="19" t="s">
        <v>9</v>
      </c>
      <c r="C8" s="167">
        <v>1</v>
      </c>
      <c r="D8" s="94" t="s">
        <v>9</v>
      </c>
      <c r="E8" s="170">
        <v>600</v>
      </c>
      <c r="F8" s="169">
        <f>E8*C8</f>
        <v>600</v>
      </c>
      <c r="G8" s="170">
        <v>0.5</v>
      </c>
      <c r="H8" s="170">
        <v>8</v>
      </c>
      <c r="I8" s="170">
        <v>0</v>
      </c>
      <c r="J8" s="170">
        <v>0.5</v>
      </c>
      <c r="K8" s="170">
        <v>0</v>
      </c>
      <c r="L8" s="94" t="s">
        <v>8</v>
      </c>
      <c r="M8" s="168">
        <f t="shared" si="1"/>
        <v>1074</v>
      </c>
      <c r="N8" s="90">
        <v>1</v>
      </c>
      <c r="O8" s="172">
        <f t="shared" si="2"/>
        <v>1674</v>
      </c>
      <c r="P8" s="172"/>
      <c r="Q8" s="51" t="s">
        <v>29</v>
      </c>
      <c r="R8" s="71" t="s">
        <v>152</v>
      </c>
      <c r="S8" s="138" t="str">
        <f t="shared" si="3"/>
        <v>BPT2011</v>
      </c>
      <c r="T8" s="138" t="str">
        <f t="shared" si="4"/>
        <v>B1.5.4.12011</v>
      </c>
      <c r="U8" s="138" t="s">
        <v>195</v>
      </c>
      <c r="V8" s="138" t="str">
        <f t="shared" si="5"/>
        <v>Cables</v>
      </c>
      <c r="AB8" s="32">
        <v>2011</v>
      </c>
      <c r="AC8" s="132">
        <f t="shared" si="6"/>
        <v>0.5</v>
      </c>
      <c r="AD8" s="132">
        <f t="shared" si="6"/>
        <v>8</v>
      </c>
      <c r="AE8" s="132">
        <f t="shared" si="6"/>
        <v>0</v>
      </c>
      <c r="AF8" s="132">
        <f t="shared" si="6"/>
        <v>0.5</v>
      </c>
      <c r="AG8" s="132">
        <f t="shared" si="6"/>
        <v>0</v>
      </c>
      <c r="AH8" s="226">
        <f>IF($Q8="B", (F8*$N8),0)</f>
        <v>600</v>
      </c>
      <c r="AI8" s="227"/>
      <c r="AJ8" s="90"/>
      <c r="AK8" s="90"/>
      <c r="AL8" s="168"/>
      <c r="AM8" s="131">
        <f t="shared" si="8"/>
        <v>0</v>
      </c>
      <c r="AN8" s="132">
        <f t="shared" si="8"/>
        <v>0</v>
      </c>
      <c r="AO8" s="132">
        <f t="shared" si="8"/>
        <v>0</v>
      </c>
      <c r="AP8" s="132">
        <f t="shared" si="8"/>
        <v>0</v>
      </c>
      <c r="AQ8" s="132">
        <f t="shared" si="8"/>
        <v>0</v>
      </c>
      <c r="AR8" s="132">
        <f>IF($Q8="C", (F8*$N8),0)</f>
        <v>0</v>
      </c>
      <c r="AS8" s="227"/>
    </row>
    <row r="9" spans="1:45" s="19" customFormat="1">
      <c r="A9" s="45" t="s">
        <v>176</v>
      </c>
      <c r="B9" s="19" t="s">
        <v>9</v>
      </c>
      <c r="C9" s="167">
        <v>1</v>
      </c>
      <c r="D9" s="94" t="s">
        <v>9</v>
      </c>
      <c r="E9" s="170">
        <v>1000</v>
      </c>
      <c r="F9" s="169">
        <f>E9*C9</f>
        <v>1000</v>
      </c>
      <c r="G9" s="170">
        <v>0</v>
      </c>
      <c r="H9" s="170">
        <v>8</v>
      </c>
      <c r="I9" s="170">
        <v>16</v>
      </c>
      <c r="J9" s="170">
        <v>8</v>
      </c>
      <c r="K9" s="170">
        <v>8</v>
      </c>
      <c r="L9" s="94" t="s">
        <v>8</v>
      </c>
      <c r="M9" s="168">
        <f>IF(R9="PD",((Shop*G9)+(M_Tech*H9)+(CMM*I9)+(ENG*J9)+(DES*K9))*N9,((Shop_RD*G9)+(MTECH_RD*H9)+(CMM_RD*I9)+(ENG_RD*J9)+(DES_RD*K9))*N9)</f>
        <v>1730.1600000000003</v>
      </c>
      <c r="N9" s="90">
        <v>1</v>
      </c>
      <c r="O9" s="172">
        <f>M9+(F9*N9)</f>
        <v>2730.1600000000003</v>
      </c>
      <c r="P9" s="172"/>
      <c r="Q9" s="51" t="s">
        <v>29</v>
      </c>
      <c r="R9" s="71" t="s">
        <v>48</v>
      </c>
      <c r="S9" s="138" t="str">
        <f>CONCATENATE(Q9,R9,AB9)</f>
        <v>BPD2011</v>
      </c>
      <c r="T9" s="138" t="str">
        <f>CONCATENATE(Q9,U9,AB9)</f>
        <v>B1.5.4.12011</v>
      </c>
      <c r="U9" s="138" t="s">
        <v>195</v>
      </c>
      <c r="V9" s="138" t="str">
        <f t="shared" si="5"/>
        <v>Cables</v>
      </c>
      <c r="AB9" s="32">
        <v>2011</v>
      </c>
      <c r="AC9" s="132">
        <f t="shared" si="6"/>
        <v>0</v>
      </c>
      <c r="AD9" s="132">
        <f t="shared" si="6"/>
        <v>8</v>
      </c>
      <c r="AE9" s="132">
        <f t="shared" si="6"/>
        <v>16</v>
      </c>
      <c r="AF9" s="132">
        <f t="shared" si="6"/>
        <v>8</v>
      </c>
      <c r="AG9" s="132">
        <f t="shared" si="6"/>
        <v>8</v>
      </c>
      <c r="AH9" s="226">
        <f>IF($Q9="B", (F9*$N9),0)</f>
        <v>1000</v>
      </c>
      <c r="AI9" s="227"/>
      <c r="AJ9" s="90"/>
      <c r="AK9" s="90"/>
      <c r="AL9" s="168"/>
      <c r="AM9" s="131">
        <f t="shared" si="8"/>
        <v>0</v>
      </c>
      <c r="AN9" s="132">
        <f t="shared" si="8"/>
        <v>0</v>
      </c>
      <c r="AO9" s="132">
        <f t="shared" si="8"/>
        <v>0</v>
      </c>
      <c r="AP9" s="132">
        <f t="shared" si="8"/>
        <v>0</v>
      </c>
      <c r="AQ9" s="132">
        <f t="shared" si="8"/>
        <v>0</v>
      </c>
      <c r="AR9" s="132">
        <f>IF($Q9="C", (F9*$N9),0)</f>
        <v>0</v>
      </c>
      <c r="AS9" s="227"/>
    </row>
    <row r="10" spans="1:45" s="19" customFormat="1">
      <c r="A10" s="45" t="s">
        <v>174</v>
      </c>
      <c r="B10" s="19" t="s">
        <v>9</v>
      </c>
      <c r="C10" s="167">
        <v>1</v>
      </c>
      <c r="D10" s="94" t="s">
        <v>9</v>
      </c>
      <c r="E10" s="170">
        <v>100</v>
      </c>
      <c r="F10" s="169">
        <f t="shared" si="0"/>
        <v>100</v>
      </c>
      <c r="G10" s="170">
        <v>0</v>
      </c>
      <c r="H10" s="170">
        <v>2</v>
      </c>
      <c r="I10" s="170">
        <v>4</v>
      </c>
      <c r="J10" s="170">
        <v>4</v>
      </c>
      <c r="K10" s="170">
        <v>0</v>
      </c>
      <c r="L10" s="94" t="s">
        <v>8</v>
      </c>
      <c r="M10" s="168">
        <f t="shared" si="1"/>
        <v>675.54000000000008</v>
      </c>
      <c r="N10" s="90">
        <v>1</v>
      </c>
      <c r="O10" s="172">
        <f t="shared" si="2"/>
        <v>775.54000000000008</v>
      </c>
      <c r="P10" s="172"/>
      <c r="Q10" s="51" t="s">
        <v>29</v>
      </c>
      <c r="R10" s="71" t="s">
        <v>48</v>
      </c>
      <c r="S10" s="138" t="str">
        <f t="shared" si="3"/>
        <v>BPD2011</v>
      </c>
      <c r="T10" s="138" t="str">
        <f t="shared" si="4"/>
        <v>B1.5.4.12011</v>
      </c>
      <c r="U10" s="138" t="s">
        <v>195</v>
      </c>
      <c r="V10" s="138" t="str">
        <f t="shared" si="5"/>
        <v>Cables</v>
      </c>
      <c r="AB10" s="32">
        <v>2011</v>
      </c>
      <c r="AC10" s="132">
        <f t="shared" si="6"/>
        <v>0</v>
      </c>
      <c r="AD10" s="132">
        <f t="shared" si="6"/>
        <v>2</v>
      </c>
      <c r="AE10" s="132">
        <f t="shared" si="6"/>
        <v>4</v>
      </c>
      <c r="AF10" s="132">
        <f t="shared" si="6"/>
        <v>4</v>
      </c>
      <c r="AG10" s="132">
        <f t="shared" si="6"/>
        <v>0</v>
      </c>
      <c r="AH10" s="226">
        <f t="shared" si="7"/>
        <v>100</v>
      </c>
      <c r="AI10" s="227"/>
      <c r="AJ10" s="90"/>
      <c r="AK10" s="90"/>
      <c r="AL10" s="168"/>
      <c r="AM10" s="131">
        <f t="shared" si="8"/>
        <v>0</v>
      </c>
      <c r="AN10" s="132">
        <f t="shared" si="8"/>
        <v>0</v>
      </c>
      <c r="AO10" s="132">
        <f t="shared" si="8"/>
        <v>0</v>
      </c>
      <c r="AP10" s="132">
        <f t="shared" si="8"/>
        <v>0</v>
      </c>
      <c r="AQ10" s="132">
        <f t="shared" si="8"/>
        <v>0</v>
      </c>
      <c r="AR10" s="132">
        <f t="shared" si="9"/>
        <v>0</v>
      </c>
      <c r="AS10" s="227"/>
    </row>
    <row r="11" spans="1:45" s="19" customFormat="1">
      <c r="A11" s="45" t="s">
        <v>192</v>
      </c>
      <c r="B11" s="19" t="s">
        <v>9</v>
      </c>
      <c r="C11" s="167">
        <v>1</v>
      </c>
      <c r="D11" s="94" t="s">
        <v>9</v>
      </c>
      <c r="E11" s="170">
        <v>0</v>
      </c>
      <c r="F11" s="169">
        <f>E11*C11</f>
        <v>0</v>
      </c>
      <c r="G11" s="170">
        <v>0</v>
      </c>
      <c r="H11" s="170">
        <v>16</v>
      </c>
      <c r="I11" s="170">
        <v>8</v>
      </c>
      <c r="J11" s="170">
        <v>8</v>
      </c>
      <c r="K11" s="170">
        <v>0</v>
      </c>
      <c r="L11" s="94" t="s">
        <v>8</v>
      </c>
      <c r="M11" s="168">
        <f>IF(R11="PD",((Shop*G11)+(M_Tech*H11)+(CMM*I11)+(ENG*J11)+(DES*K11))*N11,((Shop_RD*G11)+(MTECH_RD*H11)+(CMM_RD*I11)+(ENG_RD*J11)+(DES_RD*K11))*N11)</f>
        <v>2488.3200000000002</v>
      </c>
      <c r="N11" s="90">
        <v>1</v>
      </c>
      <c r="O11" s="172">
        <f>M11+(F11*N11)</f>
        <v>2488.3200000000002</v>
      </c>
      <c r="P11" s="172"/>
      <c r="Q11" s="51" t="s">
        <v>29</v>
      </c>
      <c r="R11" s="71" t="s">
        <v>48</v>
      </c>
      <c r="S11" s="138" t="str">
        <f>CONCATENATE(Q11,R11,AB11)</f>
        <v>BPDSTAR</v>
      </c>
      <c r="T11" s="138" t="str">
        <f>CONCATENATE(Q11,U11,AB11)</f>
        <v>B1.5.4.1STAR</v>
      </c>
      <c r="U11" s="138" t="s">
        <v>195</v>
      </c>
      <c r="V11" s="138" t="str">
        <f t="shared" si="5"/>
        <v>Cables</v>
      </c>
      <c r="AB11" s="32" t="s">
        <v>132</v>
      </c>
      <c r="AC11" s="132">
        <f>IF($Q11="B", (G11*$N11),0)</f>
        <v>0</v>
      </c>
      <c r="AD11" s="132">
        <f>IF($Q11="B", (H11*$N11),0)</f>
        <v>16</v>
      </c>
      <c r="AE11" s="132">
        <f>IF($Q11="B", (I11*$N11),0)</f>
        <v>8</v>
      </c>
      <c r="AF11" s="132">
        <f>IF($Q11="B", (J11*$N11),0)</f>
        <v>8</v>
      </c>
      <c r="AG11" s="132">
        <f>IF($Q11="B", (K11*$N11),0)</f>
        <v>0</v>
      </c>
      <c r="AH11" s="226">
        <f>IF($Q11="B", (F11*$N11),0)</f>
        <v>0</v>
      </c>
      <c r="AI11" s="227"/>
      <c r="AJ11" s="90"/>
      <c r="AK11" s="90"/>
      <c r="AL11" s="168"/>
      <c r="AM11" s="131">
        <f>IF($Q11="C", (G11*$N11),0)</f>
        <v>0</v>
      </c>
      <c r="AN11" s="132">
        <f>IF($Q11="C", (H11*$N11),0)</f>
        <v>0</v>
      </c>
      <c r="AO11" s="132">
        <f>IF($Q11="C", (I11*$N11),0)</f>
        <v>0</v>
      </c>
      <c r="AP11" s="132">
        <f>IF($Q11="C", (J11*$N11),0)</f>
        <v>0</v>
      </c>
      <c r="AQ11" s="132">
        <f>IF($Q11="C", (K11*$N11),0)</f>
        <v>0</v>
      </c>
      <c r="AR11" s="132">
        <f>IF($Q11="C", (F11*$N11),0)</f>
        <v>0</v>
      </c>
      <c r="AS11" s="227"/>
    </row>
    <row r="12" spans="1:45" s="19" customFormat="1">
      <c r="A12" s="45" t="s">
        <v>175</v>
      </c>
      <c r="B12" s="19" t="s">
        <v>9</v>
      </c>
      <c r="C12" s="167">
        <v>1</v>
      </c>
      <c r="D12" s="94" t="s">
        <v>9</v>
      </c>
      <c r="E12" s="170">
        <v>500</v>
      </c>
      <c r="F12" s="169">
        <f t="shared" si="0"/>
        <v>500</v>
      </c>
      <c r="G12" s="170">
        <v>8</v>
      </c>
      <c r="H12" s="170">
        <v>8</v>
      </c>
      <c r="I12" s="170">
        <v>4</v>
      </c>
      <c r="J12" s="170">
        <v>8</v>
      </c>
      <c r="K12" s="170">
        <v>8</v>
      </c>
      <c r="L12" s="94" t="s">
        <v>8</v>
      </c>
      <c r="M12" s="168">
        <f t="shared" si="1"/>
        <v>2546.6400000000003</v>
      </c>
      <c r="N12" s="90">
        <v>1</v>
      </c>
      <c r="O12" s="172">
        <f t="shared" si="2"/>
        <v>3046.6400000000003</v>
      </c>
      <c r="P12" s="172"/>
      <c r="Q12" s="51" t="s">
        <v>30</v>
      </c>
      <c r="R12" s="71" t="s">
        <v>48</v>
      </c>
      <c r="S12" s="138" t="str">
        <f t="shared" si="3"/>
        <v>CPDSTAR</v>
      </c>
      <c r="T12" s="138" t="str">
        <f t="shared" si="4"/>
        <v>C1.5.4.1STAR</v>
      </c>
      <c r="U12" s="138" t="s">
        <v>195</v>
      </c>
      <c r="V12" s="138" t="str">
        <f t="shared" si="5"/>
        <v>Cables</v>
      </c>
      <c r="AB12" s="32" t="s">
        <v>132</v>
      </c>
      <c r="AC12" s="132">
        <f t="shared" si="6"/>
        <v>0</v>
      </c>
      <c r="AD12" s="132">
        <f t="shared" si="6"/>
        <v>0</v>
      </c>
      <c r="AE12" s="132">
        <f t="shared" si="6"/>
        <v>0</v>
      </c>
      <c r="AF12" s="132">
        <f t="shared" si="6"/>
        <v>0</v>
      </c>
      <c r="AG12" s="132">
        <f t="shared" si="6"/>
        <v>0</v>
      </c>
      <c r="AH12" s="226">
        <f t="shared" si="7"/>
        <v>0</v>
      </c>
      <c r="AI12" s="227"/>
      <c r="AJ12" s="90"/>
      <c r="AK12" s="90"/>
      <c r="AL12" s="168"/>
      <c r="AM12" s="131">
        <f t="shared" si="8"/>
        <v>8</v>
      </c>
      <c r="AN12" s="132">
        <f t="shared" si="8"/>
        <v>8</v>
      </c>
      <c r="AO12" s="132">
        <f t="shared" si="8"/>
        <v>4</v>
      </c>
      <c r="AP12" s="132">
        <f t="shared" si="8"/>
        <v>8</v>
      </c>
      <c r="AQ12" s="132">
        <f t="shared" si="8"/>
        <v>8</v>
      </c>
      <c r="AR12" s="132">
        <f t="shared" si="9"/>
        <v>500</v>
      </c>
      <c r="AS12" s="227"/>
    </row>
    <row r="13" spans="1:45" s="19" customFormat="1">
      <c r="A13" s="46" t="s">
        <v>210</v>
      </c>
      <c r="C13" s="167"/>
      <c r="D13" s="94"/>
      <c r="E13" s="60"/>
      <c r="F13" s="61"/>
      <c r="G13" s="62"/>
      <c r="H13" s="62"/>
      <c r="I13" s="62"/>
      <c r="J13" s="62"/>
      <c r="K13" s="63"/>
      <c r="L13" s="209" t="s">
        <v>41</v>
      </c>
      <c r="M13" s="180">
        <f>SUMIF(Q6:Q12,"B",M6:M12)</f>
        <v>11800.020000000002</v>
      </c>
      <c r="N13" s="65" t="s">
        <v>40</v>
      </c>
      <c r="O13" s="172"/>
      <c r="P13" s="172"/>
      <c r="Q13" s="51"/>
      <c r="R13" s="71"/>
      <c r="S13" s="138"/>
      <c r="T13" s="138"/>
      <c r="U13" s="138"/>
      <c r="V13" s="138"/>
      <c r="AB13" s="32"/>
      <c r="AC13" s="132"/>
      <c r="AD13" s="132"/>
      <c r="AE13" s="135"/>
      <c r="AF13" s="132"/>
      <c r="AG13" s="132"/>
      <c r="AH13" s="226"/>
      <c r="AI13" s="227"/>
      <c r="AJ13" s="132"/>
      <c r="AK13" s="132"/>
      <c r="AL13" s="168"/>
      <c r="AM13" s="131"/>
      <c r="AN13" s="132"/>
      <c r="AO13" s="132"/>
      <c r="AP13" s="132"/>
      <c r="AQ13" s="132"/>
      <c r="AR13" s="132"/>
      <c r="AS13" s="227"/>
    </row>
    <row r="14" spans="1:45" s="19" customFormat="1">
      <c r="A14" s="45" t="s">
        <v>211</v>
      </c>
      <c r="B14" s="19" t="s">
        <v>9</v>
      </c>
      <c r="C14" s="167">
        <v>1</v>
      </c>
      <c r="D14" s="94" t="s">
        <v>9</v>
      </c>
      <c r="E14" s="170">
        <v>0</v>
      </c>
      <c r="F14" s="169">
        <f t="shared" ref="F14:F20" si="10">E14*C14</f>
        <v>0</v>
      </c>
      <c r="G14" s="170">
        <v>0</v>
      </c>
      <c r="H14" s="170">
        <v>0</v>
      </c>
      <c r="I14" s="170">
        <v>0</v>
      </c>
      <c r="J14" s="170">
        <v>16</v>
      </c>
      <c r="K14" s="170">
        <v>0</v>
      </c>
      <c r="L14" s="94" t="s">
        <v>8</v>
      </c>
      <c r="M14" s="168">
        <f t="shared" ref="M14:M20" si="11">IF(R14="PD",((Shop*G14)+(M_Tech*H14)+(CMM*I14)+(ENG*J14)+(DES*K14))*N14,((Shop_RD*G14)+(MTECH_RD*H14)+(CMM_RD*I14)+(ENG_RD*J14)+(DES_RD*K14))*N14)</f>
        <v>1944.0000000000002</v>
      </c>
      <c r="N14" s="90">
        <v>1</v>
      </c>
      <c r="O14" s="172">
        <f t="shared" si="2"/>
        <v>1944.0000000000002</v>
      </c>
      <c r="P14" s="172"/>
      <c r="Q14" s="51" t="s">
        <v>29</v>
      </c>
      <c r="R14" s="71" t="s">
        <v>48</v>
      </c>
      <c r="S14" s="138" t="str">
        <f t="shared" ref="S14:S20" si="12">CONCATENATE(Q14,R14,AB14)</f>
        <v>BPD2011</v>
      </c>
      <c r="T14" s="138" t="str">
        <f t="shared" si="4"/>
        <v>B1.5.4.12011</v>
      </c>
      <c r="U14" s="138" t="s">
        <v>195</v>
      </c>
      <c r="V14" s="138" t="str">
        <f t="shared" ref="V14:V20" si="13">LOOKUP(U14,$B$79:$B$105,$A$79:$A$105)</f>
        <v>Cables</v>
      </c>
      <c r="AB14" s="32">
        <v>2011</v>
      </c>
      <c r="AC14" s="132">
        <f t="shared" ref="AC14:AG20" si="14">IF($Q14="B", (G14*$N14),0)</f>
        <v>0</v>
      </c>
      <c r="AD14" s="132">
        <f t="shared" si="14"/>
        <v>0</v>
      </c>
      <c r="AE14" s="132">
        <f t="shared" si="14"/>
        <v>0</v>
      </c>
      <c r="AF14" s="132">
        <f t="shared" si="14"/>
        <v>16</v>
      </c>
      <c r="AG14" s="132">
        <f t="shared" si="14"/>
        <v>0</v>
      </c>
      <c r="AH14" s="226">
        <f t="shared" ref="AH14:AH20" si="15">IF($Q14="B", (F14*$N14),0)</f>
        <v>0</v>
      </c>
      <c r="AI14" s="227"/>
      <c r="AJ14" s="90"/>
      <c r="AK14" s="90"/>
      <c r="AL14" s="168"/>
      <c r="AM14" s="131">
        <f t="shared" ref="AM14:AQ20" si="16">IF($Q14="C", (G14*$N14),0)</f>
        <v>0</v>
      </c>
      <c r="AN14" s="132">
        <f t="shared" si="16"/>
        <v>0</v>
      </c>
      <c r="AO14" s="132">
        <f t="shared" si="16"/>
        <v>0</v>
      </c>
      <c r="AP14" s="132">
        <f t="shared" si="16"/>
        <v>0</v>
      </c>
      <c r="AQ14" s="132">
        <f t="shared" si="16"/>
        <v>0</v>
      </c>
      <c r="AR14" s="132">
        <f t="shared" ref="AR14:AR20" si="17">IF($Q14="C", (F14*$N14),0)</f>
        <v>0</v>
      </c>
      <c r="AS14" s="227"/>
    </row>
    <row r="15" spans="1:45" s="19" customFormat="1">
      <c r="A15" s="45" t="s">
        <v>173</v>
      </c>
      <c r="B15" s="19" t="s">
        <v>9</v>
      </c>
      <c r="C15" s="167">
        <v>1</v>
      </c>
      <c r="D15" s="94" t="s">
        <v>9</v>
      </c>
      <c r="E15" s="170">
        <v>400</v>
      </c>
      <c r="F15" s="169">
        <f t="shared" si="10"/>
        <v>400</v>
      </c>
      <c r="G15" s="170">
        <v>0</v>
      </c>
      <c r="H15" s="170">
        <v>16</v>
      </c>
      <c r="I15" s="170">
        <v>0</v>
      </c>
      <c r="J15" s="170">
        <v>4</v>
      </c>
      <c r="K15" s="170">
        <v>0</v>
      </c>
      <c r="L15" s="94" t="s">
        <v>8</v>
      </c>
      <c r="M15" s="168">
        <f t="shared" si="11"/>
        <v>2472</v>
      </c>
      <c r="N15" s="90">
        <v>1</v>
      </c>
      <c r="O15" s="172">
        <f t="shared" si="2"/>
        <v>2872</v>
      </c>
      <c r="P15" s="172"/>
      <c r="Q15" s="51" t="s">
        <v>30</v>
      </c>
      <c r="R15" s="71" t="s">
        <v>152</v>
      </c>
      <c r="S15" s="138" t="str">
        <f t="shared" si="12"/>
        <v>CPT2011</v>
      </c>
      <c r="T15" s="138" t="str">
        <f t="shared" si="4"/>
        <v>C1.5.4.12011</v>
      </c>
      <c r="U15" s="138" t="s">
        <v>195</v>
      </c>
      <c r="V15" s="138" t="str">
        <f t="shared" si="13"/>
        <v>Cables</v>
      </c>
      <c r="AB15" s="32">
        <v>2011</v>
      </c>
      <c r="AC15" s="132">
        <f t="shared" si="14"/>
        <v>0</v>
      </c>
      <c r="AD15" s="132">
        <f t="shared" si="14"/>
        <v>0</v>
      </c>
      <c r="AE15" s="132">
        <f t="shared" si="14"/>
        <v>0</v>
      </c>
      <c r="AF15" s="132">
        <f t="shared" si="14"/>
        <v>0</v>
      </c>
      <c r="AG15" s="132">
        <f t="shared" si="14"/>
        <v>0</v>
      </c>
      <c r="AH15" s="226">
        <f t="shared" si="15"/>
        <v>0</v>
      </c>
      <c r="AI15" s="227"/>
      <c r="AJ15" s="90"/>
      <c r="AK15" s="90"/>
      <c r="AL15" s="168"/>
      <c r="AM15" s="131">
        <f t="shared" si="16"/>
        <v>0</v>
      </c>
      <c r="AN15" s="132">
        <f t="shared" si="16"/>
        <v>16</v>
      </c>
      <c r="AO15" s="132">
        <f t="shared" si="16"/>
        <v>0</v>
      </c>
      <c r="AP15" s="132">
        <f t="shared" si="16"/>
        <v>4</v>
      </c>
      <c r="AQ15" s="132">
        <f t="shared" si="16"/>
        <v>0</v>
      </c>
      <c r="AR15" s="132">
        <f t="shared" si="17"/>
        <v>400</v>
      </c>
      <c r="AS15" s="227"/>
    </row>
    <row r="16" spans="1:45" s="19" customFormat="1">
      <c r="A16" s="45" t="s">
        <v>177</v>
      </c>
      <c r="B16" s="19" t="s">
        <v>9</v>
      </c>
      <c r="C16" s="167">
        <v>1</v>
      </c>
      <c r="D16" s="94" t="s">
        <v>9</v>
      </c>
      <c r="E16" s="170">
        <v>100</v>
      </c>
      <c r="F16" s="169">
        <f t="shared" si="10"/>
        <v>100</v>
      </c>
      <c r="G16" s="170">
        <v>0</v>
      </c>
      <c r="H16" s="170">
        <v>8</v>
      </c>
      <c r="I16" s="170">
        <v>0</v>
      </c>
      <c r="J16" s="170">
        <v>4</v>
      </c>
      <c r="K16" s="170">
        <v>0</v>
      </c>
      <c r="L16" s="94" t="s">
        <v>8</v>
      </c>
      <c r="M16" s="168">
        <f t="shared" si="11"/>
        <v>1244.1600000000001</v>
      </c>
      <c r="N16" s="90">
        <v>1</v>
      </c>
      <c r="O16" s="172">
        <f t="shared" si="2"/>
        <v>1344.16</v>
      </c>
      <c r="P16" s="172"/>
      <c r="Q16" s="51" t="s">
        <v>29</v>
      </c>
      <c r="R16" s="71" t="s">
        <v>48</v>
      </c>
      <c r="S16" s="138" t="str">
        <f t="shared" si="12"/>
        <v>BPD2011</v>
      </c>
      <c r="T16" s="138" t="str">
        <f t="shared" si="4"/>
        <v>B1.5.4.12011</v>
      </c>
      <c r="U16" s="138" t="s">
        <v>195</v>
      </c>
      <c r="V16" s="138" t="str">
        <f t="shared" si="13"/>
        <v>Cables</v>
      </c>
      <c r="AB16" s="32">
        <v>2011</v>
      </c>
      <c r="AC16" s="132">
        <f t="shared" si="14"/>
        <v>0</v>
      </c>
      <c r="AD16" s="132">
        <f t="shared" si="14"/>
        <v>8</v>
      </c>
      <c r="AE16" s="132">
        <f t="shared" si="14"/>
        <v>0</v>
      </c>
      <c r="AF16" s="132">
        <f t="shared" si="14"/>
        <v>4</v>
      </c>
      <c r="AG16" s="132">
        <f t="shared" si="14"/>
        <v>0</v>
      </c>
      <c r="AH16" s="226">
        <f t="shared" si="15"/>
        <v>100</v>
      </c>
      <c r="AI16" s="227"/>
      <c r="AJ16" s="90"/>
      <c r="AK16" s="90"/>
      <c r="AL16" s="168"/>
      <c r="AM16" s="131">
        <f t="shared" si="16"/>
        <v>0</v>
      </c>
      <c r="AN16" s="132">
        <f t="shared" si="16"/>
        <v>0</v>
      </c>
      <c r="AO16" s="132">
        <f t="shared" si="16"/>
        <v>0</v>
      </c>
      <c r="AP16" s="132">
        <f t="shared" si="16"/>
        <v>0</v>
      </c>
      <c r="AQ16" s="132">
        <f t="shared" si="16"/>
        <v>0</v>
      </c>
      <c r="AR16" s="132">
        <f t="shared" si="17"/>
        <v>0</v>
      </c>
      <c r="AS16" s="227"/>
    </row>
    <row r="17" spans="1:45" s="133" customFormat="1">
      <c r="A17" s="45" t="s">
        <v>176</v>
      </c>
      <c r="B17" s="94" t="s">
        <v>9</v>
      </c>
      <c r="C17" s="167">
        <v>1</v>
      </c>
      <c r="D17" s="94" t="s">
        <v>9</v>
      </c>
      <c r="E17" s="170">
        <v>0</v>
      </c>
      <c r="F17" s="169">
        <v>400</v>
      </c>
      <c r="G17" s="170">
        <v>0</v>
      </c>
      <c r="H17" s="170">
        <v>16</v>
      </c>
      <c r="I17" s="170">
        <v>0</v>
      </c>
      <c r="J17" s="170">
        <v>0</v>
      </c>
      <c r="K17" s="170">
        <v>0</v>
      </c>
      <c r="L17" s="94" t="s">
        <v>8</v>
      </c>
      <c r="M17" s="168">
        <f t="shared" si="11"/>
        <v>1516.3200000000002</v>
      </c>
      <c r="N17" s="90">
        <v>1</v>
      </c>
      <c r="O17" s="172">
        <f>M17+(F17*N17)</f>
        <v>1916.3200000000002</v>
      </c>
      <c r="P17" s="172"/>
      <c r="Q17" s="51" t="s">
        <v>29</v>
      </c>
      <c r="R17" s="71" t="s">
        <v>48</v>
      </c>
      <c r="S17" s="138" t="str">
        <f t="shared" si="12"/>
        <v>BPD2011</v>
      </c>
      <c r="T17" s="138" t="str">
        <f>CONCATENATE(Q17,U17,AB17)</f>
        <v>B1.5.4.12011</v>
      </c>
      <c r="U17" s="138" t="s">
        <v>195</v>
      </c>
      <c r="V17" s="138" t="str">
        <f t="shared" si="13"/>
        <v>Cables</v>
      </c>
      <c r="W17" s="19"/>
      <c r="X17" s="19"/>
      <c r="Y17" s="19"/>
      <c r="Z17" s="19"/>
      <c r="AA17" s="19"/>
      <c r="AB17" s="32">
        <v>2011</v>
      </c>
      <c r="AC17" s="132">
        <f t="shared" ref="AC17:AG19" si="18">IF($Q17="B", (G17*$N17),0)</f>
        <v>0</v>
      </c>
      <c r="AD17" s="132">
        <f t="shared" si="18"/>
        <v>16</v>
      </c>
      <c r="AE17" s="132">
        <f t="shared" si="18"/>
        <v>0</v>
      </c>
      <c r="AF17" s="132">
        <f t="shared" si="18"/>
        <v>0</v>
      </c>
      <c r="AG17" s="132">
        <f t="shared" si="18"/>
        <v>0</v>
      </c>
      <c r="AH17" s="226">
        <f t="shared" si="15"/>
        <v>400</v>
      </c>
      <c r="AI17" s="227"/>
      <c r="AJ17" s="90"/>
      <c r="AK17" s="90"/>
      <c r="AL17" s="168"/>
      <c r="AM17" s="131">
        <f t="shared" ref="AM17:AQ19" si="19">IF($Q17="C", (G17*$N17),0)</f>
        <v>0</v>
      </c>
      <c r="AN17" s="132">
        <f t="shared" si="19"/>
        <v>0</v>
      </c>
      <c r="AO17" s="132">
        <f t="shared" si="19"/>
        <v>0</v>
      </c>
      <c r="AP17" s="132">
        <f t="shared" si="19"/>
        <v>0</v>
      </c>
      <c r="AQ17" s="132">
        <f t="shared" si="19"/>
        <v>0</v>
      </c>
      <c r="AR17" s="132">
        <f t="shared" si="17"/>
        <v>0</v>
      </c>
      <c r="AS17" s="228"/>
    </row>
    <row r="18" spans="1:45" s="19" customFormat="1">
      <c r="A18" s="45" t="s">
        <v>178</v>
      </c>
      <c r="B18" s="94" t="s">
        <v>9</v>
      </c>
      <c r="C18" s="167">
        <v>1</v>
      </c>
      <c r="D18" s="94" t="s">
        <v>9</v>
      </c>
      <c r="E18" s="170">
        <v>0</v>
      </c>
      <c r="F18" s="169">
        <f t="shared" si="10"/>
        <v>0</v>
      </c>
      <c r="G18" s="170">
        <v>0</v>
      </c>
      <c r="H18" s="170">
        <v>8</v>
      </c>
      <c r="I18" s="170">
        <v>0</v>
      </c>
      <c r="J18" s="170">
        <v>4</v>
      </c>
      <c r="K18" s="170">
        <v>0</v>
      </c>
      <c r="L18" s="94" t="s">
        <v>8</v>
      </c>
      <c r="M18" s="168">
        <f t="shared" si="11"/>
        <v>1244.1600000000001</v>
      </c>
      <c r="N18" s="90">
        <v>1</v>
      </c>
      <c r="O18" s="172">
        <f>M18+(F18*N18)</f>
        <v>1244.1600000000001</v>
      </c>
      <c r="P18" s="172"/>
      <c r="Q18" s="51" t="s">
        <v>29</v>
      </c>
      <c r="R18" s="71" t="s">
        <v>48</v>
      </c>
      <c r="S18" s="138" t="str">
        <f t="shared" si="12"/>
        <v>BPD2011</v>
      </c>
      <c r="T18" s="138" t="str">
        <f>CONCATENATE(Q18,U18,AB18)</f>
        <v>B1.5.4.12011</v>
      </c>
      <c r="U18" s="138" t="s">
        <v>195</v>
      </c>
      <c r="V18" s="138" t="str">
        <f t="shared" si="13"/>
        <v>Cables</v>
      </c>
      <c r="AB18" s="32">
        <v>2011</v>
      </c>
      <c r="AC18" s="132">
        <f t="shared" si="18"/>
        <v>0</v>
      </c>
      <c r="AD18" s="132">
        <f t="shared" si="18"/>
        <v>8</v>
      </c>
      <c r="AE18" s="132">
        <f t="shared" si="18"/>
        <v>0</v>
      </c>
      <c r="AF18" s="132">
        <f t="shared" si="18"/>
        <v>4</v>
      </c>
      <c r="AG18" s="132">
        <f t="shared" si="18"/>
        <v>0</v>
      </c>
      <c r="AH18" s="226">
        <f t="shared" si="15"/>
        <v>0</v>
      </c>
      <c r="AI18" s="227"/>
      <c r="AJ18" s="90"/>
      <c r="AK18" s="90"/>
      <c r="AL18" s="168"/>
      <c r="AM18" s="131">
        <f t="shared" si="19"/>
        <v>0</v>
      </c>
      <c r="AN18" s="132">
        <f t="shared" si="19"/>
        <v>0</v>
      </c>
      <c r="AO18" s="132">
        <f t="shared" si="19"/>
        <v>0</v>
      </c>
      <c r="AP18" s="132">
        <f t="shared" si="19"/>
        <v>0</v>
      </c>
      <c r="AQ18" s="132">
        <f t="shared" si="19"/>
        <v>0</v>
      </c>
      <c r="AR18" s="132">
        <f t="shared" si="17"/>
        <v>0</v>
      </c>
      <c r="AS18" s="227"/>
    </row>
    <row r="19" spans="1:45" s="19" customFormat="1">
      <c r="A19" s="45" t="s">
        <v>192</v>
      </c>
      <c r="B19" s="19" t="s">
        <v>9</v>
      </c>
      <c r="C19" s="167">
        <v>1</v>
      </c>
      <c r="D19" s="94" t="s">
        <v>9</v>
      </c>
      <c r="E19" s="170">
        <v>0</v>
      </c>
      <c r="F19" s="169">
        <f>E19*C19</f>
        <v>0</v>
      </c>
      <c r="G19" s="170">
        <v>0</v>
      </c>
      <c r="H19" s="170">
        <v>16</v>
      </c>
      <c r="I19" s="170">
        <v>8</v>
      </c>
      <c r="J19" s="170">
        <v>8</v>
      </c>
      <c r="K19" s="170">
        <v>0</v>
      </c>
      <c r="L19" s="94" t="s">
        <v>8</v>
      </c>
      <c r="M19" s="168">
        <f>IF(R19="PD",((Shop*G19)+(M_Tech*H19)+(CMM*I19)+(ENG*J19)+(DES*K19))*N19,((Shop_RD*G19)+(MTECH_RD*H19)+(CMM_RD*I19)+(ENG_RD*J19)+(DES_RD*K19))*N19)</f>
        <v>2488.3200000000002</v>
      </c>
      <c r="N19" s="90">
        <v>1</v>
      </c>
      <c r="O19" s="172">
        <f>M19+(F19*N19)</f>
        <v>2488.3200000000002</v>
      </c>
      <c r="P19" s="172"/>
      <c r="Q19" s="51" t="s">
        <v>29</v>
      </c>
      <c r="R19" s="71" t="s">
        <v>48</v>
      </c>
      <c r="S19" s="138" t="str">
        <f>CONCATENATE(Q19,R19,AB19)</f>
        <v>BPDSTAR</v>
      </c>
      <c r="T19" s="138" t="str">
        <f>CONCATENATE(Q19,U19,AB19)</f>
        <v>B1.5.4.1STAR</v>
      </c>
      <c r="U19" s="138" t="s">
        <v>195</v>
      </c>
      <c r="V19" s="138" t="str">
        <f t="shared" si="13"/>
        <v>Cables</v>
      </c>
      <c r="AB19" s="32" t="s">
        <v>132</v>
      </c>
      <c r="AC19" s="132">
        <f t="shared" si="18"/>
        <v>0</v>
      </c>
      <c r="AD19" s="132">
        <f t="shared" si="18"/>
        <v>16</v>
      </c>
      <c r="AE19" s="132">
        <f t="shared" si="18"/>
        <v>8</v>
      </c>
      <c r="AF19" s="132">
        <f t="shared" si="18"/>
        <v>8</v>
      </c>
      <c r="AG19" s="132">
        <f t="shared" si="18"/>
        <v>0</v>
      </c>
      <c r="AH19" s="226">
        <f>IF($Q19="B", (F19*$N19),0)</f>
        <v>0</v>
      </c>
      <c r="AI19" s="227"/>
      <c r="AJ19" s="90"/>
      <c r="AK19" s="90"/>
      <c r="AL19" s="168"/>
      <c r="AM19" s="131">
        <f t="shared" si="19"/>
        <v>0</v>
      </c>
      <c r="AN19" s="132">
        <f t="shared" si="19"/>
        <v>0</v>
      </c>
      <c r="AO19" s="132">
        <f t="shared" si="19"/>
        <v>0</v>
      </c>
      <c r="AP19" s="132">
        <f t="shared" si="19"/>
        <v>0</v>
      </c>
      <c r="AQ19" s="132">
        <f t="shared" si="19"/>
        <v>0</v>
      </c>
      <c r="AR19" s="132">
        <f>IF($Q19="C", (F19*$N19),0)</f>
        <v>0</v>
      </c>
      <c r="AS19" s="227"/>
    </row>
    <row r="20" spans="1:45" s="19" customFormat="1">
      <c r="A20" s="45" t="s">
        <v>175</v>
      </c>
      <c r="B20" s="94" t="s">
        <v>9</v>
      </c>
      <c r="C20" s="167">
        <v>1</v>
      </c>
      <c r="D20" s="94" t="s">
        <v>9</v>
      </c>
      <c r="E20" s="170">
        <v>500</v>
      </c>
      <c r="F20" s="169">
        <f t="shared" si="10"/>
        <v>500</v>
      </c>
      <c r="G20" s="170">
        <v>0</v>
      </c>
      <c r="H20" s="170">
        <v>8</v>
      </c>
      <c r="I20" s="170">
        <v>0</v>
      </c>
      <c r="J20" s="170">
        <v>8</v>
      </c>
      <c r="K20" s="170">
        <v>0</v>
      </c>
      <c r="L20" s="94" t="s">
        <v>8</v>
      </c>
      <c r="M20" s="168">
        <f t="shared" si="11"/>
        <v>1730.1600000000003</v>
      </c>
      <c r="N20" s="90">
        <v>1</v>
      </c>
      <c r="O20" s="172">
        <f t="shared" si="2"/>
        <v>2230.1600000000003</v>
      </c>
      <c r="P20" s="172"/>
      <c r="Q20" s="51" t="s">
        <v>30</v>
      </c>
      <c r="R20" s="71" t="s">
        <v>48</v>
      </c>
      <c r="S20" s="138" t="str">
        <f t="shared" si="12"/>
        <v>CPDSTAR</v>
      </c>
      <c r="T20" s="138" t="str">
        <f t="shared" si="4"/>
        <v>C1.5.4.1STAR</v>
      </c>
      <c r="U20" s="138" t="s">
        <v>195</v>
      </c>
      <c r="V20" s="138" t="str">
        <f t="shared" si="13"/>
        <v>Cables</v>
      </c>
      <c r="AB20" s="32" t="s">
        <v>132</v>
      </c>
      <c r="AC20" s="132">
        <f t="shared" si="14"/>
        <v>0</v>
      </c>
      <c r="AD20" s="132">
        <f t="shared" si="14"/>
        <v>0</v>
      </c>
      <c r="AE20" s="132">
        <f t="shared" si="14"/>
        <v>0</v>
      </c>
      <c r="AF20" s="132">
        <f t="shared" si="14"/>
        <v>0</v>
      </c>
      <c r="AG20" s="132">
        <f t="shared" si="14"/>
        <v>0</v>
      </c>
      <c r="AH20" s="226">
        <f t="shared" si="15"/>
        <v>0</v>
      </c>
      <c r="AI20" s="227"/>
      <c r="AJ20" s="90"/>
      <c r="AK20" s="90"/>
      <c r="AL20" s="168"/>
      <c r="AM20" s="131">
        <f t="shared" si="16"/>
        <v>0</v>
      </c>
      <c r="AN20" s="132">
        <f t="shared" si="16"/>
        <v>8</v>
      </c>
      <c r="AO20" s="132">
        <f t="shared" si="16"/>
        <v>0</v>
      </c>
      <c r="AP20" s="132">
        <f t="shared" si="16"/>
        <v>8</v>
      </c>
      <c r="AQ20" s="132">
        <f t="shared" si="16"/>
        <v>0</v>
      </c>
      <c r="AR20" s="132">
        <f t="shared" si="17"/>
        <v>500</v>
      </c>
      <c r="AS20" s="227"/>
    </row>
    <row r="21" spans="1:45" s="19" customFormat="1">
      <c r="A21" s="46"/>
      <c r="C21" s="167"/>
      <c r="D21" s="94"/>
      <c r="E21" s="60"/>
      <c r="F21" s="61"/>
      <c r="G21" s="62"/>
      <c r="H21" s="62"/>
      <c r="I21" s="62"/>
      <c r="J21" s="62"/>
      <c r="K21" s="63"/>
      <c r="L21" s="209" t="s">
        <v>41</v>
      </c>
      <c r="M21" s="180">
        <f>SUMIF(Q14:Q20,"B",M14:M20)</f>
        <v>8436.9600000000009</v>
      </c>
      <c r="N21" s="65" t="s">
        <v>40</v>
      </c>
      <c r="O21" s="172"/>
      <c r="P21" s="172"/>
      <c r="Q21" s="51"/>
      <c r="R21" s="71"/>
      <c r="S21" s="138"/>
      <c r="T21" s="138"/>
      <c r="U21" s="138"/>
      <c r="V21" s="138"/>
      <c r="AB21" s="32"/>
      <c r="AC21" s="132"/>
      <c r="AD21" s="132"/>
      <c r="AE21" s="135"/>
      <c r="AF21" s="132"/>
      <c r="AG21" s="132"/>
      <c r="AH21" s="226"/>
      <c r="AI21" s="227"/>
      <c r="AJ21" s="132"/>
      <c r="AK21" s="132"/>
      <c r="AL21" s="168"/>
      <c r="AM21" s="131"/>
      <c r="AN21" s="132"/>
      <c r="AO21" s="132"/>
      <c r="AP21" s="132"/>
      <c r="AQ21" s="132"/>
      <c r="AR21" s="132"/>
      <c r="AS21" s="227"/>
    </row>
    <row r="22" spans="1:45">
      <c r="A22" s="20" t="s">
        <v>172</v>
      </c>
      <c r="B22" s="3"/>
      <c r="C22" s="173"/>
      <c r="D22" s="14"/>
      <c r="E22" s="174"/>
      <c r="F22" s="175"/>
      <c r="G22" s="173"/>
      <c r="H22" s="173"/>
      <c r="I22" s="173"/>
      <c r="J22" s="173"/>
      <c r="K22" s="176"/>
      <c r="L22" s="14"/>
      <c r="M22" s="174">
        <f>SUMIF(Q6:Q21,"B",M6:M21)</f>
        <v>20236.980000000003</v>
      </c>
      <c r="N22" s="296" t="s">
        <v>40</v>
      </c>
      <c r="O22" s="297"/>
      <c r="P22" s="298"/>
      <c r="Q22" s="52"/>
      <c r="R22" s="73"/>
      <c r="S22" s="139"/>
      <c r="T22" s="139"/>
      <c r="U22" s="139"/>
      <c r="V22" s="139"/>
      <c r="W22" s="3"/>
      <c r="X22" s="3"/>
      <c r="Y22" s="3"/>
      <c r="Z22" s="3"/>
      <c r="AA22" s="3"/>
      <c r="AB22" s="33"/>
      <c r="AC22" s="5">
        <f>SUM(AC6:AC21)</f>
        <v>0.5</v>
      </c>
      <c r="AD22" s="5">
        <f>SUM(AD6:AD21)</f>
        <v>82</v>
      </c>
      <c r="AE22" s="5">
        <f>SUM(AE6:AE21)</f>
        <v>36</v>
      </c>
      <c r="AF22" s="5">
        <f>SUM(AF6:AF21)</f>
        <v>100.5</v>
      </c>
      <c r="AG22" s="5">
        <f>SUM(AG6:AG21)</f>
        <v>56</v>
      </c>
      <c r="AH22" s="174"/>
      <c r="AI22" s="175">
        <f>SUM(AH6:AH21)</f>
        <v>2200</v>
      </c>
      <c r="AJ22" s="174">
        <f>(Shop*AC22)+M_Tech*AD22+CMM*AE22+ENG*AF22+DES*AG22+AI22</f>
        <v>22232.920000000002</v>
      </c>
      <c r="AK22" s="174"/>
      <c r="AL22" s="175">
        <f>Shop*AM22+M_Tech*AN22+CMM*AO22+ENG*AP22+DES*AQ22+AS22</f>
        <v>7679.1200000000008</v>
      </c>
      <c r="AM22" s="5">
        <f>SUM(AM6:AM21)</f>
        <v>8</v>
      </c>
      <c r="AN22" s="5">
        <f>SUM(AN6:AN21)</f>
        <v>32</v>
      </c>
      <c r="AO22" s="5">
        <f>SUM(AO6:AO21)</f>
        <v>4</v>
      </c>
      <c r="AP22" s="5">
        <f>SUM(AP6:AP21)</f>
        <v>20</v>
      </c>
      <c r="AQ22" s="5">
        <f>SUM(AQ6:AQ21)</f>
        <v>8</v>
      </c>
      <c r="AR22" s="174"/>
      <c r="AS22" s="175">
        <f>SUM(AR6:AR21)</f>
        <v>1400</v>
      </c>
    </row>
    <row r="23" spans="1:45">
      <c r="F23" s="162"/>
      <c r="G23" s="160"/>
      <c r="H23" s="160"/>
      <c r="I23" s="160"/>
      <c r="J23" s="160"/>
      <c r="K23" s="177"/>
      <c r="M23" s="110"/>
      <c r="N23" s="7"/>
      <c r="O23" s="178"/>
      <c r="P23" s="178"/>
      <c r="Q23" s="34"/>
      <c r="R23" s="72"/>
      <c r="S23" s="140"/>
      <c r="T23" s="140"/>
      <c r="U23" s="140"/>
      <c r="V23" s="140"/>
      <c r="W23"/>
      <c r="X23"/>
      <c r="Y23"/>
      <c r="Z23"/>
      <c r="AA23"/>
      <c r="AB23" s="35"/>
      <c r="AC23" s="30"/>
      <c r="AD23" s="30"/>
      <c r="AE23" s="30"/>
      <c r="AF23" s="30"/>
      <c r="AG23" s="30"/>
      <c r="AH23" s="229"/>
      <c r="AI23" s="230"/>
      <c r="AJ23" s="6"/>
      <c r="AK23" s="6"/>
      <c r="AM23" s="31"/>
      <c r="AN23" s="4"/>
      <c r="AO23" s="4"/>
      <c r="AP23" s="4"/>
      <c r="AQ23" s="4"/>
      <c r="AR23" s="4"/>
      <c r="AS23" s="231"/>
    </row>
    <row r="24" spans="1:45" s="19" customFormat="1" ht="15.75">
      <c r="A24" s="48" t="s">
        <v>197</v>
      </c>
      <c r="C24" s="167"/>
      <c r="D24" s="94"/>
      <c r="E24" s="168"/>
      <c r="F24" s="169"/>
      <c r="G24" s="170"/>
      <c r="H24" s="170"/>
      <c r="I24" s="170"/>
      <c r="J24" s="170"/>
      <c r="K24" s="171"/>
      <c r="L24" s="94"/>
      <c r="M24" s="168"/>
      <c r="N24" s="90"/>
      <c r="O24" s="172"/>
      <c r="P24" s="172"/>
      <c r="Q24" s="51"/>
      <c r="R24" s="71"/>
      <c r="S24" s="138"/>
      <c r="T24" s="138"/>
      <c r="U24" s="138"/>
      <c r="V24" s="138"/>
      <c r="AB24" s="32"/>
      <c r="AC24" s="132"/>
      <c r="AD24" s="132"/>
      <c r="AE24" s="132"/>
      <c r="AF24" s="132"/>
      <c r="AG24" s="132"/>
      <c r="AH24" s="226"/>
      <c r="AI24" s="227"/>
      <c r="AJ24" s="132"/>
      <c r="AK24" s="132"/>
      <c r="AL24" s="168"/>
      <c r="AM24" s="131"/>
      <c r="AN24" s="132"/>
      <c r="AO24" s="132"/>
      <c r="AP24" s="132"/>
      <c r="AQ24" s="132"/>
      <c r="AR24" s="132"/>
      <c r="AS24" s="227"/>
    </row>
    <row r="25" spans="1:45" s="19" customFormat="1" ht="15.75">
      <c r="A25" s="46" t="s">
        <v>212</v>
      </c>
      <c r="C25" s="167"/>
      <c r="D25" s="94"/>
      <c r="E25" s="60"/>
      <c r="F25" s="61"/>
      <c r="G25" s="62"/>
      <c r="H25" s="62"/>
      <c r="I25" s="62"/>
      <c r="J25" s="62"/>
      <c r="K25" s="63"/>
      <c r="L25" s="109"/>
      <c r="M25" s="58"/>
      <c r="N25" s="179">
        <v>1</v>
      </c>
      <c r="O25" s="172"/>
      <c r="P25" s="172"/>
      <c r="Q25" s="51"/>
      <c r="R25" s="71"/>
      <c r="S25" s="138"/>
      <c r="T25" s="138"/>
      <c r="U25" s="138"/>
      <c r="V25" s="138"/>
      <c r="AB25" s="32"/>
      <c r="AC25" s="132"/>
      <c r="AD25" s="132"/>
      <c r="AE25" s="135"/>
      <c r="AF25" s="132"/>
      <c r="AG25" s="132"/>
      <c r="AH25" s="226"/>
      <c r="AI25" s="227"/>
      <c r="AJ25" s="132"/>
      <c r="AK25" s="132"/>
      <c r="AL25" s="168"/>
      <c r="AM25" s="131"/>
      <c r="AN25" s="132"/>
      <c r="AO25" s="132"/>
      <c r="AP25" s="132"/>
      <c r="AQ25" s="132"/>
      <c r="AR25" s="132"/>
      <c r="AS25" s="227"/>
    </row>
    <row r="26" spans="1:45" s="19" customFormat="1">
      <c r="A26" s="45" t="s">
        <v>184</v>
      </c>
      <c r="B26" s="94" t="s">
        <v>9</v>
      </c>
      <c r="C26" s="167">
        <v>1</v>
      </c>
      <c r="D26" s="94" t="s">
        <v>9</v>
      </c>
      <c r="E26" s="170">
        <v>0</v>
      </c>
      <c r="F26" s="169">
        <f t="shared" ref="F26:F32" si="20">E26*C26</f>
        <v>0</v>
      </c>
      <c r="G26" s="170">
        <v>0</v>
      </c>
      <c r="H26" s="170">
        <v>0</v>
      </c>
      <c r="I26" s="170">
        <v>0</v>
      </c>
      <c r="J26" s="170">
        <v>80</v>
      </c>
      <c r="K26" s="170">
        <v>0</v>
      </c>
      <c r="L26" s="94" t="s">
        <v>8</v>
      </c>
      <c r="M26" s="168">
        <f t="shared" ref="M26:M32" si="21">IF(R26="PD",((Shop*G26)+(M_Tech*H26)+(CMM*I26)+(ENG*J26)+(DES*K26))*N26,((Shop_RD*G26)+(MTECH_RD*H26)+(CMM_RD*I26)+(ENG_RD*J26)+(DES_RD*K26))*N26)</f>
        <v>9720.0000000000018</v>
      </c>
      <c r="N26" s="90">
        <v>1</v>
      </c>
      <c r="O26" s="172">
        <f t="shared" ref="O26:O32" si="22">M26+(F26*N26)</f>
        <v>9720.0000000000018</v>
      </c>
      <c r="P26" s="172"/>
      <c r="Q26" s="51" t="s">
        <v>29</v>
      </c>
      <c r="R26" s="71" t="s">
        <v>48</v>
      </c>
      <c r="S26" s="138" t="str">
        <f t="shared" ref="S26:S32" si="23">CONCATENATE(Q26,R26,AB26)</f>
        <v>BPDSTAR</v>
      </c>
      <c r="T26" s="138" t="str">
        <f t="shared" ref="T26:T32" si="24">CONCATENATE(Q26,U26,AB26)</f>
        <v>B1.5.4.2STAR</v>
      </c>
      <c r="U26" s="138" t="s">
        <v>196</v>
      </c>
      <c r="V26" s="138" t="str">
        <f t="shared" ref="V26:V32" si="25">LOOKUP(U26,$B$79:$B$105,$A$79:$A$105)</f>
        <v>Dry Gas Services</v>
      </c>
      <c r="AB26" s="32" t="s">
        <v>132</v>
      </c>
      <c r="AC26" s="132">
        <f t="shared" ref="AC26:AG32" si="26">IF($Q26="B", (G26*$N26),0)</f>
        <v>0</v>
      </c>
      <c r="AD26" s="132">
        <f t="shared" si="26"/>
        <v>0</v>
      </c>
      <c r="AE26" s="132">
        <f t="shared" si="26"/>
        <v>0</v>
      </c>
      <c r="AF26" s="132">
        <f t="shared" si="26"/>
        <v>80</v>
      </c>
      <c r="AG26" s="132">
        <f t="shared" si="26"/>
        <v>0</v>
      </c>
      <c r="AH26" s="226">
        <f t="shared" ref="AH26:AH32" si="27">IF($Q26="B", (F26*$N26),0)</f>
        <v>0</v>
      </c>
      <c r="AI26" s="227"/>
      <c r="AJ26" s="132"/>
      <c r="AK26" s="132"/>
      <c r="AL26" s="168"/>
      <c r="AM26" s="131">
        <f t="shared" ref="AM26:AQ32" si="28">IF($Q26="C", (G26*$N26),0)</f>
        <v>0</v>
      </c>
      <c r="AN26" s="132">
        <f t="shared" si="28"/>
        <v>0</v>
      </c>
      <c r="AO26" s="132">
        <f t="shared" si="28"/>
        <v>0</v>
      </c>
      <c r="AP26" s="132">
        <f t="shared" si="28"/>
        <v>0</v>
      </c>
      <c r="AQ26" s="132">
        <f t="shared" si="28"/>
        <v>0</v>
      </c>
      <c r="AR26" s="132">
        <f t="shared" ref="AR26:AR32" si="29">IF($Q26="C", (F26*$N26),0)</f>
        <v>0</v>
      </c>
      <c r="AS26" s="227"/>
    </row>
    <row r="27" spans="1:45" s="19" customFormat="1">
      <c r="A27" s="45" t="s">
        <v>185</v>
      </c>
      <c r="B27" s="94" t="s">
        <v>9</v>
      </c>
      <c r="C27" s="167">
        <v>1</v>
      </c>
      <c r="D27" s="94" t="s">
        <v>9</v>
      </c>
      <c r="E27" s="170">
        <v>0</v>
      </c>
      <c r="F27" s="169">
        <f t="shared" si="20"/>
        <v>0</v>
      </c>
      <c r="G27" s="170">
        <v>0</v>
      </c>
      <c r="H27" s="170">
        <v>0</v>
      </c>
      <c r="I27" s="170">
        <v>0</v>
      </c>
      <c r="J27" s="170">
        <v>0</v>
      </c>
      <c r="K27" s="170">
        <v>0</v>
      </c>
      <c r="L27" s="94" t="s">
        <v>8</v>
      </c>
      <c r="M27" s="168">
        <f t="shared" si="21"/>
        <v>0</v>
      </c>
      <c r="N27" s="90">
        <v>1</v>
      </c>
      <c r="O27" s="172">
        <f t="shared" si="22"/>
        <v>0</v>
      </c>
      <c r="P27" s="172"/>
      <c r="Q27" s="51" t="s">
        <v>29</v>
      </c>
      <c r="R27" s="71" t="s">
        <v>48</v>
      </c>
      <c r="S27" s="138" t="str">
        <f t="shared" si="23"/>
        <v>BPDSTAR</v>
      </c>
      <c r="T27" s="138" t="str">
        <f t="shared" si="24"/>
        <v>B1.5.4.2STAR</v>
      </c>
      <c r="U27" s="138" t="s">
        <v>196</v>
      </c>
      <c r="V27" s="138" t="str">
        <f t="shared" si="25"/>
        <v>Dry Gas Services</v>
      </c>
      <c r="AB27" s="32" t="s">
        <v>132</v>
      </c>
      <c r="AC27" s="132">
        <f t="shared" si="26"/>
        <v>0</v>
      </c>
      <c r="AD27" s="132">
        <f t="shared" si="26"/>
        <v>0</v>
      </c>
      <c r="AE27" s="132">
        <f t="shared" si="26"/>
        <v>0</v>
      </c>
      <c r="AF27" s="132">
        <f t="shared" si="26"/>
        <v>0</v>
      </c>
      <c r="AG27" s="132">
        <f t="shared" si="26"/>
        <v>0</v>
      </c>
      <c r="AH27" s="226">
        <f t="shared" si="27"/>
        <v>0</v>
      </c>
      <c r="AI27" s="227"/>
      <c r="AJ27" s="132"/>
      <c r="AK27" s="132"/>
      <c r="AL27" s="168"/>
      <c r="AM27" s="131">
        <f t="shared" si="28"/>
        <v>0</v>
      </c>
      <c r="AN27" s="132">
        <f t="shared" si="28"/>
        <v>0</v>
      </c>
      <c r="AO27" s="132">
        <f t="shared" si="28"/>
        <v>0</v>
      </c>
      <c r="AP27" s="132">
        <f t="shared" si="28"/>
        <v>0</v>
      </c>
      <c r="AQ27" s="132">
        <f t="shared" si="28"/>
        <v>0</v>
      </c>
      <c r="AR27" s="132">
        <f t="shared" si="29"/>
        <v>0</v>
      </c>
      <c r="AS27" s="227"/>
    </row>
    <row r="28" spans="1:45" s="19" customFormat="1">
      <c r="A28" s="45" t="s">
        <v>214</v>
      </c>
      <c r="B28" s="94" t="s">
        <v>9</v>
      </c>
      <c r="C28" s="167">
        <v>0</v>
      </c>
      <c r="D28" s="94" t="s">
        <v>9</v>
      </c>
      <c r="E28" s="170">
        <v>0</v>
      </c>
      <c r="F28" s="169">
        <f t="shared" si="20"/>
        <v>0</v>
      </c>
      <c r="G28" s="170">
        <v>0</v>
      </c>
      <c r="H28" s="170">
        <v>60</v>
      </c>
      <c r="I28" s="170">
        <v>0</v>
      </c>
      <c r="J28" s="170">
        <v>0</v>
      </c>
      <c r="K28" s="170">
        <v>0</v>
      </c>
      <c r="L28" s="94" t="s">
        <v>8</v>
      </c>
      <c r="M28" s="168">
        <f t="shared" si="21"/>
        <v>5686.2000000000007</v>
      </c>
      <c r="N28" s="90">
        <v>1</v>
      </c>
      <c r="O28" s="172">
        <f t="shared" si="22"/>
        <v>5686.2000000000007</v>
      </c>
      <c r="P28" s="172"/>
      <c r="Q28" s="51" t="s">
        <v>30</v>
      </c>
      <c r="R28" s="71" t="s">
        <v>48</v>
      </c>
      <c r="S28" s="138" t="str">
        <f t="shared" si="23"/>
        <v>CPDSTAR</v>
      </c>
      <c r="T28" s="138" t="str">
        <f t="shared" si="24"/>
        <v>C1.5.4.2STAR</v>
      </c>
      <c r="U28" s="138" t="s">
        <v>196</v>
      </c>
      <c r="V28" s="138" t="str">
        <f t="shared" si="25"/>
        <v>Dry Gas Services</v>
      </c>
      <c r="AB28" s="32" t="s">
        <v>132</v>
      </c>
      <c r="AC28" s="132">
        <f t="shared" si="26"/>
        <v>0</v>
      </c>
      <c r="AD28" s="132">
        <f t="shared" si="26"/>
        <v>0</v>
      </c>
      <c r="AE28" s="132">
        <f t="shared" si="26"/>
        <v>0</v>
      </c>
      <c r="AF28" s="132">
        <f t="shared" si="26"/>
        <v>0</v>
      </c>
      <c r="AG28" s="132">
        <f t="shared" si="26"/>
        <v>0</v>
      </c>
      <c r="AH28" s="226">
        <f t="shared" si="27"/>
        <v>0</v>
      </c>
      <c r="AI28" s="227"/>
      <c r="AJ28" s="132"/>
      <c r="AK28" s="132"/>
      <c r="AL28" s="168"/>
      <c r="AM28" s="131">
        <f t="shared" si="28"/>
        <v>0</v>
      </c>
      <c r="AN28" s="132">
        <f t="shared" si="28"/>
        <v>60</v>
      </c>
      <c r="AO28" s="132">
        <f t="shared" si="28"/>
        <v>0</v>
      </c>
      <c r="AP28" s="132">
        <f t="shared" si="28"/>
        <v>0</v>
      </c>
      <c r="AQ28" s="132">
        <f t="shared" si="28"/>
        <v>0</v>
      </c>
      <c r="AR28" s="132">
        <f t="shared" si="29"/>
        <v>0</v>
      </c>
      <c r="AS28" s="227"/>
    </row>
    <row r="29" spans="1:45" s="19" customFormat="1">
      <c r="A29" s="45" t="s">
        <v>213</v>
      </c>
      <c r="B29" s="94" t="s">
        <v>9</v>
      </c>
      <c r="C29" s="167">
        <v>0</v>
      </c>
      <c r="D29" s="94" t="s">
        <v>9</v>
      </c>
      <c r="E29" s="170">
        <v>0</v>
      </c>
      <c r="F29" s="169">
        <f t="shared" si="20"/>
        <v>0</v>
      </c>
      <c r="G29" s="170">
        <v>0</v>
      </c>
      <c r="H29" s="170">
        <v>120</v>
      </c>
      <c r="I29" s="170">
        <v>0</v>
      </c>
      <c r="J29" s="170">
        <v>80</v>
      </c>
      <c r="K29" s="170">
        <v>0</v>
      </c>
      <c r="L29" s="94" t="s">
        <v>8</v>
      </c>
      <c r="M29" s="168">
        <f t="shared" si="21"/>
        <v>21092.400000000001</v>
      </c>
      <c r="N29" s="90">
        <v>1</v>
      </c>
      <c r="O29" s="172">
        <f t="shared" si="22"/>
        <v>21092.400000000001</v>
      </c>
      <c r="P29" s="172"/>
      <c r="Q29" s="51" t="s">
        <v>30</v>
      </c>
      <c r="R29" s="71" t="s">
        <v>48</v>
      </c>
      <c r="S29" s="138" t="str">
        <f t="shared" si="23"/>
        <v>CPDSTAR</v>
      </c>
      <c r="T29" s="138" t="str">
        <f t="shared" si="24"/>
        <v>C1.5.4.2STAR</v>
      </c>
      <c r="U29" s="138" t="s">
        <v>196</v>
      </c>
      <c r="V29" s="138" t="str">
        <f t="shared" si="25"/>
        <v>Dry Gas Services</v>
      </c>
      <c r="AB29" s="32" t="s">
        <v>132</v>
      </c>
      <c r="AC29" s="132">
        <f>IF($Q29="B", (G29*$N29),0)</f>
        <v>0</v>
      </c>
      <c r="AD29" s="132">
        <f>IF($Q29="B", (H29*$N29),0)</f>
        <v>0</v>
      </c>
      <c r="AE29" s="132">
        <f>IF($Q29="B", (I29*$N29),0)</f>
        <v>0</v>
      </c>
      <c r="AF29" s="132">
        <f>IF($Q29="B", (J29*$N29),0)</f>
        <v>0</v>
      </c>
      <c r="AG29" s="132">
        <f>IF($Q29="B", (K29*$N29),0)</f>
        <v>0</v>
      </c>
      <c r="AH29" s="226">
        <f t="shared" si="27"/>
        <v>0</v>
      </c>
      <c r="AI29" s="227"/>
      <c r="AJ29" s="132"/>
      <c r="AK29" s="132"/>
      <c r="AL29" s="168"/>
      <c r="AM29" s="131">
        <f>IF($Q29="C", (G29*$N29),0)</f>
        <v>0</v>
      </c>
      <c r="AN29" s="132">
        <f>IF($Q29="C", (H29*$N29),0)</f>
        <v>120</v>
      </c>
      <c r="AO29" s="132">
        <f>IF($Q29="C", (I29*$N29),0)</f>
        <v>0</v>
      </c>
      <c r="AP29" s="132">
        <f>IF($Q29="C", (J29*$N29),0)</f>
        <v>80</v>
      </c>
      <c r="AQ29" s="132">
        <f>IF($Q29="C", (K29*$N29),0)</f>
        <v>0</v>
      </c>
      <c r="AR29" s="132">
        <f t="shared" si="29"/>
        <v>0</v>
      </c>
      <c r="AS29" s="227"/>
    </row>
    <row r="30" spans="1:45" s="19" customFormat="1">
      <c r="A30" s="45" t="s">
        <v>214</v>
      </c>
      <c r="B30" s="94" t="s">
        <v>9</v>
      </c>
      <c r="C30" s="167">
        <v>6000</v>
      </c>
      <c r="D30" s="94" t="s">
        <v>9</v>
      </c>
      <c r="E30" s="170">
        <v>0</v>
      </c>
      <c r="F30" s="169">
        <f t="shared" si="20"/>
        <v>0</v>
      </c>
      <c r="G30" s="170">
        <v>0</v>
      </c>
      <c r="H30" s="170">
        <v>0</v>
      </c>
      <c r="I30" s="170">
        <v>0</v>
      </c>
      <c r="J30" s="170">
        <v>0</v>
      </c>
      <c r="K30" s="170">
        <v>0</v>
      </c>
      <c r="L30" s="94" t="s">
        <v>8</v>
      </c>
      <c r="M30" s="168">
        <f t="shared" si="21"/>
        <v>0</v>
      </c>
      <c r="N30" s="90">
        <v>1</v>
      </c>
      <c r="O30" s="172">
        <f t="shared" si="22"/>
        <v>0</v>
      </c>
      <c r="P30" s="172"/>
      <c r="Q30" s="51" t="s">
        <v>30</v>
      </c>
      <c r="R30" s="71" t="s">
        <v>48</v>
      </c>
      <c r="S30" s="138" t="str">
        <f t="shared" si="23"/>
        <v>CPD2012</v>
      </c>
      <c r="T30" s="138" t="str">
        <f t="shared" si="24"/>
        <v>C1.5.4.22012</v>
      </c>
      <c r="U30" s="138" t="s">
        <v>196</v>
      </c>
      <c r="V30" s="138" t="str">
        <f t="shared" si="25"/>
        <v>Dry Gas Services</v>
      </c>
      <c r="AB30" s="32">
        <v>2012</v>
      </c>
      <c r="AC30" s="132">
        <f t="shared" ref="AC30" si="30">IF($Q30="B", (G30*$N30),0)</f>
        <v>0</v>
      </c>
      <c r="AD30" s="132">
        <f t="shared" ref="AD30" si="31">IF($Q30="B", (H30*$N30),0)</f>
        <v>0</v>
      </c>
      <c r="AE30" s="132">
        <f t="shared" ref="AE30" si="32">IF($Q30="B", (I30*$N30),0)</f>
        <v>0</v>
      </c>
      <c r="AF30" s="132">
        <f t="shared" ref="AF30" si="33">IF($Q30="B", (J30*$N30),0)</f>
        <v>0</v>
      </c>
      <c r="AG30" s="132">
        <f t="shared" ref="AG30" si="34">IF($Q30="B", (K30*$N30),0)</f>
        <v>0</v>
      </c>
      <c r="AH30" s="226">
        <f t="shared" si="27"/>
        <v>0</v>
      </c>
      <c r="AI30" s="227"/>
      <c r="AJ30" s="132"/>
      <c r="AK30" s="132"/>
      <c r="AL30" s="168"/>
      <c r="AM30" s="131">
        <f t="shared" ref="AM30" si="35">IF($Q30="C", (G30*$N30),0)</f>
        <v>0</v>
      </c>
      <c r="AN30" s="132">
        <f t="shared" ref="AN30" si="36">IF($Q30="C", (H30*$N30),0)</f>
        <v>0</v>
      </c>
      <c r="AO30" s="132">
        <f t="shared" ref="AO30" si="37">IF($Q30="C", (I30*$N30),0)</f>
        <v>0</v>
      </c>
      <c r="AP30" s="132">
        <f t="shared" ref="AP30" si="38">IF($Q30="C", (J30*$N30),0)</f>
        <v>0</v>
      </c>
      <c r="AQ30" s="132">
        <f t="shared" ref="AQ30" si="39">IF($Q30="C", (K30*$N30),0)</f>
        <v>0</v>
      </c>
      <c r="AR30" s="132">
        <f t="shared" si="29"/>
        <v>0</v>
      </c>
      <c r="AS30" s="227"/>
    </row>
    <row r="31" spans="1:45" s="19" customFormat="1">
      <c r="A31" s="45" t="s">
        <v>213</v>
      </c>
      <c r="B31" s="94" t="s">
        <v>9</v>
      </c>
      <c r="C31" s="167">
        <v>15000</v>
      </c>
      <c r="D31" s="94" t="s">
        <v>9</v>
      </c>
      <c r="E31" s="170">
        <v>0</v>
      </c>
      <c r="F31" s="169">
        <f t="shared" si="20"/>
        <v>0</v>
      </c>
      <c r="G31" s="170">
        <v>0</v>
      </c>
      <c r="H31" s="170">
        <v>0</v>
      </c>
      <c r="I31" s="170">
        <v>0</v>
      </c>
      <c r="J31" s="170">
        <v>80</v>
      </c>
      <c r="K31" s="170">
        <v>0</v>
      </c>
      <c r="L31" s="94" t="s">
        <v>8</v>
      </c>
      <c r="M31" s="168">
        <f t="shared" si="21"/>
        <v>9720.0000000000018</v>
      </c>
      <c r="N31" s="90">
        <v>1</v>
      </c>
      <c r="O31" s="172">
        <f t="shared" si="22"/>
        <v>9720.0000000000018</v>
      </c>
      <c r="P31" s="172"/>
      <c r="Q31" s="51" t="s">
        <v>30</v>
      </c>
      <c r="R31" s="71" t="s">
        <v>48</v>
      </c>
      <c r="S31" s="138" t="str">
        <f t="shared" si="23"/>
        <v>CPD2012</v>
      </c>
      <c r="T31" s="138" t="str">
        <f t="shared" si="24"/>
        <v>C1.5.4.22012</v>
      </c>
      <c r="U31" s="138" t="s">
        <v>196</v>
      </c>
      <c r="V31" s="138" t="str">
        <f t="shared" si="25"/>
        <v>Dry Gas Services</v>
      </c>
      <c r="AB31" s="32">
        <v>2012</v>
      </c>
      <c r="AC31" s="132">
        <f>IF($Q31="B", (G31*$N31),0)</f>
        <v>0</v>
      </c>
      <c r="AD31" s="132">
        <f>IF($Q31="B", (H31*$N31),0)</f>
        <v>0</v>
      </c>
      <c r="AE31" s="132">
        <f>IF($Q31="B", (I31*$N31),0)</f>
        <v>0</v>
      </c>
      <c r="AF31" s="132">
        <f>IF($Q31="B", (J31*$N31),0)</f>
        <v>0</v>
      </c>
      <c r="AG31" s="132">
        <f>IF($Q31="B", (K31*$N31),0)</f>
        <v>0</v>
      </c>
      <c r="AH31" s="226">
        <f t="shared" si="27"/>
        <v>0</v>
      </c>
      <c r="AI31" s="227"/>
      <c r="AJ31" s="132"/>
      <c r="AK31" s="132"/>
      <c r="AL31" s="168"/>
      <c r="AM31" s="131">
        <f>IF($Q31="C", (G31*$N31),0)</f>
        <v>0</v>
      </c>
      <c r="AN31" s="132">
        <f>IF($Q31="C", (H31*$N31),0)</f>
        <v>0</v>
      </c>
      <c r="AO31" s="132">
        <f>IF($Q31="C", (I31*$N31),0)</f>
        <v>0</v>
      </c>
      <c r="AP31" s="132">
        <f>IF($Q31="C", (J31*$N31),0)</f>
        <v>80</v>
      </c>
      <c r="AQ31" s="132">
        <f>IF($Q31="C", (K31*$N31),0)</f>
        <v>0</v>
      </c>
      <c r="AR31" s="132">
        <f t="shared" si="29"/>
        <v>0</v>
      </c>
      <c r="AS31" s="227"/>
    </row>
    <row r="32" spans="1:45" s="19" customFormat="1">
      <c r="A32" s="45" t="s">
        <v>175</v>
      </c>
      <c r="B32" s="94" t="s">
        <v>9</v>
      </c>
      <c r="C32" s="167">
        <v>1</v>
      </c>
      <c r="D32" s="94" t="s">
        <v>9</v>
      </c>
      <c r="E32" s="170">
        <v>0</v>
      </c>
      <c r="F32" s="169">
        <f t="shared" si="20"/>
        <v>0</v>
      </c>
      <c r="G32" s="170">
        <v>0</v>
      </c>
      <c r="H32" s="170">
        <v>0</v>
      </c>
      <c r="I32" s="170">
        <v>0</v>
      </c>
      <c r="J32" s="170">
        <v>40</v>
      </c>
      <c r="K32" s="170">
        <v>0</v>
      </c>
      <c r="L32" s="94" t="s">
        <v>8</v>
      </c>
      <c r="M32" s="168">
        <f t="shared" si="21"/>
        <v>4860.0000000000009</v>
      </c>
      <c r="N32" s="90">
        <v>1</v>
      </c>
      <c r="O32" s="172">
        <f t="shared" si="22"/>
        <v>4860.0000000000009</v>
      </c>
      <c r="P32" s="172"/>
      <c r="Q32" s="51" t="s">
        <v>30</v>
      </c>
      <c r="R32" s="71" t="s">
        <v>48</v>
      </c>
      <c r="S32" s="138" t="str">
        <f t="shared" si="23"/>
        <v>CPDSTAR</v>
      </c>
      <c r="T32" s="138" t="str">
        <f t="shared" si="24"/>
        <v>C1.5.4.2STAR</v>
      </c>
      <c r="U32" s="138" t="s">
        <v>196</v>
      </c>
      <c r="V32" s="138" t="str">
        <f t="shared" si="25"/>
        <v>Dry Gas Services</v>
      </c>
      <c r="AB32" s="32" t="s">
        <v>132</v>
      </c>
      <c r="AC32" s="132">
        <f t="shared" si="26"/>
        <v>0</v>
      </c>
      <c r="AD32" s="132">
        <f t="shared" si="26"/>
        <v>0</v>
      </c>
      <c r="AE32" s="132">
        <f t="shared" si="26"/>
        <v>0</v>
      </c>
      <c r="AF32" s="132">
        <f t="shared" si="26"/>
        <v>0</v>
      </c>
      <c r="AG32" s="132">
        <f t="shared" si="26"/>
        <v>0</v>
      </c>
      <c r="AH32" s="226">
        <f t="shared" si="27"/>
        <v>0</v>
      </c>
      <c r="AI32" s="227"/>
      <c r="AJ32" s="132"/>
      <c r="AK32" s="132"/>
      <c r="AL32" s="168"/>
      <c r="AM32" s="131">
        <f t="shared" si="28"/>
        <v>0</v>
      </c>
      <c r="AN32" s="132">
        <f t="shared" si="28"/>
        <v>0</v>
      </c>
      <c r="AO32" s="132">
        <f t="shared" si="28"/>
        <v>0</v>
      </c>
      <c r="AP32" s="132">
        <f t="shared" si="28"/>
        <v>40</v>
      </c>
      <c r="AQ32" s="132">
        <f t="shared" si="28"/>
        <v>0</v>
      </c>
      <c r="AR32" s="132">
        <f t="shared" si="29"/>
        <v>0</v>
      </c>
      <c r="AS32" s="227"/>
    </row>
    <row r="33" spans="1:45" s="19" customFormat="1">
      <c r="A33" s="46" t="s">
        <v>215</v>
      </c>
      <c r="C33" s="167"/>
      <c r="D33" s="94"/>
      <c r="E33" s="60"/>
      <c r="F33" s="61"/>
      <c r="G33" s="170"/>
      <c r="H33" s="170"/>
      <c r="I33" s="170"/>
      <c r="J33" s="170"/>
      <c r="K33" s="170"/>
      <c r="L33" s="209" t="s">
        <v>41</v>
      </c>
      <c r="M33" s="180">
        <f>SUMIF(Q26:Q32,"B",M26:M32)</f>
        <v>9720.0000000000018</v>
      </c>
      <c r="N33" s="65" t="s">
        <v>40</v>
      </c>
      <c r="O33" s="172"/>
      <c r="P33" s="172"/>
      <c r="Q33" s="51"/>
      <c r="R33" s="71"/>
      <c r="S33" s="138"/>
      <c r="T33" s="138"/>
      <c r="U33" s="138"/>
      <c r="V33" s="138"/>
      <c r="AB33" s="32"/>
      <c r="AC33" s="132"/>
      <c r="AD33" s="132"/>
      <c r="AE33" s="135"/>
      <c r="AF33" s="132"/>
      <c r="AG33" s="132"/>
      <c r="AH33" s="226"/>
      <c r="AI33" s="227"/>
      <c r="AJ33" s="132"/>
      <c r="AK33" s="132"/>
      <c r="AL33" s="168"/>
      <c r="AM33" s="131"/>
      <c r="AN33" s="132"/>
      <c r="AO33" s="132"/>
      <c r="AP33" s="132"/>
      <c r="AQ33" s="132"/>
      <c r="AR33" s="132"/>
      <c r="AS33" s="227"/>
    </row>
    <row r="34" spans="1:45" s="19" customFormat="1">
      <c r="A34" s="45" t="s">
        <v>186</v>
      </c>
      <c r="B34" s="94" t="s">
        <v>9</v>
      </c>
      <c r="C34" s="167">
        <v>1</v>
      </c>
      <c r="D34" s="94" t="s">
        <v>9</v>
      </c>
      <c r="E34" s="170">
        <v>0</v>
      </c>
      <c r="F34" s="169">
        <f t="shared" ref="F34:F39" si="40">E34*C34</f>
        <v>0</v>
      </c>
      <c r="G34" s="170">
        <v>8</v>
      </c>
      <c r="H34" s="170">
        <v>24</v>
      </c>
      <c r="I34" s="170">
        <v>0</v>
      </c>
      <c r="J34" s="170">
        <v>4</v>
      </c>
      <c r="K34" s="170">
        <v>0</v>
      </c>
      <c r="L34" s="94" t="s">
        <v>8</v>
      </c>
      <c r="M34" s="168">
        <f t="shared" ref="M34:M39" si="41">IF(R34="PD",((Shop*G34)+(M_Tech*H34)+(CMM*I34)+(ENG*J34)+(DES*K34))*N34,((Shop_RD*G34)+(MTECH_RD*H34)+(CMM_RD*I34)+(ENG_RD*J34)+(DES_RD*K34))*N34)</f>
        <v>4416</v>
      </c>
      <c r="N34" s="90">
        <v>1</v>
      </c>
      <c r="O34" s="172">
        <f t="shared" ref="O34:O39" si="42">M34+(F34*N34)</f>
        <v>4416</v>
      </c>
      <c r="P34" s="172"/>
      <c r="Q34" s="51" t="s">
        <v>29</v>
      </c>
      <c r="R34" s="71" t="s">
        <v>152</v>
      </c>
      <c r="S34" s="138" t="str">
        <f t="shared" ref="S34:S39" si="43">CONCATENATE(Q34,R34,AB34)</f>
        <v>BPTSTAR</v>
      </c>
      <c r="T34" s="138" t="str">
        <f t="shared" ref="T34:T39" si="44">CONCATENATE(Q34,U34,AB34)</f>
        <v>B1.5.4.2STAR</v>
      </c>
      <c r="U34" s="138" t="s">
        <v>196</v>
      </c>
      <c r="V34" s="138" t="str">
        <f t="shared" ref="V34:V39" si="45">LOOKUP(U34,$B$79:$B$105,$A$79:$A$105)</f>
        <v>Dry Gas Services</v>
      </c>
      <c r="AB34" s="32" t="s">
        <v>132</v>
      </c>
      <c r="AC34" s="132">
        <f t="shared" ref="AC34:AG39" si="46">IF($Q34="B", (G34*$N34),0)</f>
        <v>8</v>
      </c>
      <c r="AD34" s="132">
        <f t="shared" si="46"/>
        <v>24</v>
      </c>
      <c r="AE34" s="132">
        <f t="shared" si="46"/>
        <v>0</v>
      </c>
      <c r="AF34" s="132">
        <f t="shared" si="46"/>
        <v>4</v>
      </c>
      <c r="AG34" s="132">
        <f t="shared" si="46"/>
        <v>0</v>
      </c>
      <c r="AH34" s="226">
        <f t="shared" ref="AH34:AH39" si="47">IF($Q34="B", (F34*$N34),0)</f>
        <v>0</v>
      </c>
      <c r="AI34" s="227"/>
      <c r="AJ34" s="132"/>
      <c r="AK34" s="132"/>
      <c r="AL34" s="168"/>
      <c r="AM34" s="131">
        <f t="shared" ref="AM34:AQ39" si="48">IF($Q34="C", (G34*$N34),0)</f>
        <v>0</v>
      </c>
      <c r="AN34" s="132">
        <f t="shared" si="48"/>
        <v>0</v>
      </c>
      <c r="AO34" s="132">
        <f t="shared" si="48"/>
        <v>0</v>
      </c>
      <c r="AP34" s="132">
        <f t="shared" si="48"/>
        <v>0</v>
      </c>
      <c r="AQ34" s="132">
        <f t="shared" si="48"/>
        <v>0</v>
      </c>
      <c r="AR34" s="132">
        <f t="shared" ref="AR34:AR39" si="49">IF($Q34="C", (F34*$N34),0)</f>
        <v>0</v>
      </c>
      <c r="AS34" s="227"/>
    </row>
    <row r="35" spans="1:45" s="19" customFormat="1">
      <c r="A35" s="45" t="s">
        <v>187</v>
      </c>
      <c r="B35" s="94" t="s">
        <v>9</v>
      </c>
      <c r="C35" s="167">
        <v>1</v>
      </c>
      <c r="D35" s="94" t="s">
        <v>9</v>
      </c>
      <c r="E35" s="170">
        <v>0</v>
      </c>
      <c r="F35" s="169">
        <f t="shared" si="40"/>
        <v>0</v>
      </c>
      <c r="G35" s="170">
        <v>0</v>
      </c>
      <c r="H35" s="170">
        <v>8</v>
      </c>
      <c r="I35" s="170">
        <v>0</v>
      </c>
      <c r="J35" s="170">
        <v>8</v>
      </c>
      <c r="K35" s="170">
        <v>0</v>
      </c>
      <c r="L35" s="94" t="s">
        <v>8</v>
      </c>
      <c r="M35" s="168">
        <f t="shared" si="41"/>
        <v>2136</v>
      </c>
      <c r="N35" s="90">
        <v>1</v>
      </c>
      <c r="O35" s="172">
        <f t="shared" si="42"/>
        <v>2136</v>
      </c>
      <c r="P35" s="172"/>
      <c r="Q35" s="51" t="s">
        <v>29</v>
      </c>
      <c r="R35" s="71" t="s">
        <v>152</v>
      </c>
      <c r="S35" s="138" t="str">
        <f t="shared" si="43"/>
        <v>BPTSTAR</v>
      </c>
      <c r="T35" s="138" t="str">
        <f t="shared" si="44"/>
        <v>B1.5.4.2STAR</v>
      </c>
      <c r="U35" s="138" t="s">
        <v>196</v>
      </c>
      <c r="V35" s="138" t="str">
        <f t="shared" si="45"/>
        <v>Dry Gas Services</v>
      </c>
      <c r="AB35" s="32" t="s">
        <v>132</v>
      </c>
      <c r="AC35" s="132">
        <f t="shared" si="46"/>
        <v>0</v>
      </c>
      <c r="AD35" s="132">
        <f t="shared" si="46"/>
        <v>8</v>
      </c>
      <c r="AE35" s="132">
        <f t="shared" si="46"/>
        <v>0</v>
      </c>
      <c r="AF35" s="132">
        <f t="shared" si="46"/>
        <v>8</v>
      </c>
      <c r="AG35" s="132">
        <f t="shared" si="46"/>
        <v>0</v>
      </c>
      <c r="AH35" s="226">
        <f t="shared" si="47"/>
        <v>0</v>
      </c>
      <c r="AI35" s="227"/>
      <c r="AJ35" s="132"/>
      <c r="AK35" s="132"/>
      <c r="AL35" s="168"/>
      <c r="AM35" s="131">
        <f t="shared" si="48"/>
        <v>0</v>
      </c>
      <c r="AN35" s="132">
        <f t="shared" si="48"/>
        <v>0</v>
      </c>
      <c r="AO35" s="132">
        <f t="shared" si="48"/>
        <v>0</v>
      </c>
      <c r="AP35" s="132">
        <f t="shared" si="48"/>
        <v>0</v>
      </c>
      <c r="AQ35" s="132">
        <f t="shared" si="48"/>
        <v>0</v>
      </c>
      <c r="AR35" s="132">
        <f t="shared" si="49"/>
        <v>0</v>
      </c>
      <c r="AS35" s="227"/>
    </row>
    <row r="36" spans="1:45" s="19" customFormat="1">
      <c r="A36" s="45" t="s">
        <v>188</v>
      </c>
      <c r="B36" s="94" t="s">
        <v>9</v>
      </c>
      <c r="C36" s="167">
        <v>1</v>
      </c>
      <c r="D36" s="94" t="s">
        <v>9</v>
      </c>
      <c r="E36" s="170">
        <v>0</v>
      </c>
      <c r="F36" s="169">
        <f t="shared" si="40"/>
        <v>0</v>
      </c>
      <c r="G36" s="170">
        <v>0</v>
      </c>
      <c r="H36" s="170">
        <v>0</v>
      </c>
      <c r="I36" s="170">
        <v>0</v>
      </c>
      <c r="J36" s="170">
        <v>8</v>
      </c>
      <c r="K36" s="170">
        <v>0</v>
      </c>
      <c r="L36" s="94" t="s">
        <v>8</v>
      </c>
      <c r="M36" s="168">
        <f t="shared" si="41"/>
        <v>972.00000000000011</v>
      </c>
      <c r="N36" s="90">
        <v>1</v>
      </c>
      <c r="O36" s="172">
        <f t="shared" si="42"/>
        <v>972.00000000000011</v>
      </c>
      <c r="P36" s="172"/>
      <c r="Q36" s="51" t="s">
        <v>29</v>
      </c>
      <c r="R36" s="71" t="s">
        <v>48</v>
      </c>
      <c r="S36" s="138" t="str">
        <f t="shared" si="43"/>
        <v>BPDSTAR</v>
      </c>
      <c r="T36" s="138" t="str">
        <f t="shared" si="44"/>
        <v>B1.5.4.2STAR</v>
      </c>
      <c r="U36" s="138" t="s">
        <v>196</v>
      </c>
      <c r="V36" s="138" t="str">
        <f t="shared" si="45"/>
        <v>Dry Gas Services</v>
      </c>
      <c r="AB36" s="32" t="s">
        <v>132</v>
      </c>
      <c r="AC36" s="132">
        <f t="shared" si="46"/>
        <v>0</v>
      </c>
      <c r="AD36" s="132">
        <f t="shared" si="46"/>
        <v>0</v>
      </c>
      <c r="AE36" s="132">
        <f t="shared" si="46"/>
        <v>0</v>
      </c>
      <c r="AF36" s="132">
        <f t="shared" si="46"/>
        <v>8</v>
      </c>
      <c r="AG36" s="132">
        <f t="shared" si="46"/>
        <v>0</v>
      </c>
      <c r="AH36" s="226">
        <f t="shared" si="47"/>
        <v>0</v>
      </c>
      <c r="AI36" s="227"/>
      <c r="AJ36" s="132"/>
      <c r="AK36" s="132"/>
      <c r="AL36" s="168"/>
      <c r="AM36" s="131">
        <f t="shared" si="48"/>
        <v>0</v>
      </c>
      <c r="AN36" s="132">
        <f t="shared" si="48"/>
        <v>0</v>
      </c>
      <c r="AO36" s="132">
        <f t="shared" si="48"/>
        <v>0</v>
      </c>
      <c r="AP36" s="132">
        <f t="shared" si="48"/>
        <v>0</v>
      </c>
      <c r="AQ36" s="132">
        <f t="shared" si="48"/>
        <v>0</v>
      </c>
      <c r="AR36" s="132">
        <f t="shared" si="49"/>
        <v>0</v>
      </c>
      <c r="AS36" s="227"/>
    </row>
    <row r="37" spans="1:45" s="19" customFormat="1">
      <c r="A37" s="45" t="s">
        <v>189</v>
      </c>
      <c r="B37" s="94" t="s">
        <v>9</v>
      </c>
      <c r="C37" s="167">
        <v>1</v>
      </c>
      <c r="D37" s="94" t="s">
        <v>9</v>
      </c>
      <c r="E37" s="170">
        <v>0</v>
      </c>
      <c r="F37" s="169">
        <f t="shared" si="40"/>
        <v>0</v>
      </c>
      <c r="G37" s="170">
        <v>0</v>
      </c>
      <c r="H37" s="170">
        <v>24</v>
      </c>
      <c r="I37" s="170">
        <v>0</v>
      </c>
      <c r="J37" s="170">
        <v>0</v>
      </c>
      <c r="K37" s="170">
        <v>0</v>
      </c>
      <c r="L37" s="94" t="s">
        <v>8</v>
      </c>
      <c r="M37" s="168">
        <f t="shared" si="41"/>
        <v>2274.4800000000005</v>
      </c>
      <c r="N37" s="90">
        <v>1</v>
      </c>
      <c r="O37" s="172">
        <f t="shared" si="42"/>
        <v>2274.4800000000005</v>
      </c>
      <c r="P37" s="172"/>
      <c r="Q37" s="51" t="s">
        <v>29</v>
      </c>
      <c r="R37" s="71" t="s">
        <v>48</v>
      </c>
      <c r="S37" s="138" t="str">
        <f t="shared" si="43"/>
        <v>BPDSTAR</v>
      </c>
      <c r="T37" s="138" t="str">
        <f t="shared" si="44"/>
        <v>B1.5.4.2STAR</v>
      </c>
      <c r="U37" s="138" t="s">
        <v>196</v>
      </c>
      <c r="V37" s="138" t="str">
        <f t="shared" si="45"/>
        <v>Dry Gas Services</v>
      </c>
      <c r="AB37" s="32" t="s">
        <v>132</v>
      </c>
      <c r="AC37" s="132">
        <f>IF($Q37="B", (G37*$N37),0)</f>
        <v>0</v>
      </c>
      <c r="AD37" s="132">
        <f>IF($Q37="B", (H37*$N37),0)</f>
        <v>24</v>
      </c>
      <c r="AE37" s="132">
        <f>IF($Q37="B", (I37*$N37),0)</f>
        <v>0</v>
      </c>
      <c r="AF37" s="132">
        <f>IF($Q37="B", (J37*$N37),0)</f>
        <v>0</v>
      </c>
      <c r="AG37" s="132">
        <f>IF($Q37="B", (K37*$N37),0)</f>
        <v>0</v>
      </c>
      <c r="AH37" s="226">
        <f t="shared" si="47"/>
        <v>0</v>
      </c>
      <c r="AI37" s="227"/>
      <c r="AJ37" s="132"/>
      <c r="AK37" s="132"/>
      <c r="AL37" s="168"/>
      <c r="AM37" s="131">
        <f>IF($Q37="C", (G37*$N37),0)</f>
        <v>0</v>
      </c>
      <c r="AN37" s="132">
        <f>IF($Q37="C", (H37*$N37),0)</f>
        <v>0</v>
      </c>
      <c r="AO37" s="132">
        <f>IF($Q37="C", (I37*$N37),0)</f>
        <v>0</v>
      </c>
      <c r="AP37" s="132">
        <f>IF($Q37="C", (J37*$N37),0)</f>
        <v>0</v>
      </c>
      <c r="AQ37" s="132">
        <f>IF($Q37="C", (K37*$N37),0)</f>
        <v>0</v>
      </c>
      <c r="AR37" s="132">
        <f t="shared" si="49"/>
        <v>0</v>
      </c>
      <c r="AS37" s="227"/>
    </row>
    <row r="38" spans="1:45" s="19" customFormat="1">
      <c r="A38" s="45" t="s">
        <v>190</v>
      </c>
      <c r="B38" s="94" t="s">
        <v>9</v>
      </c>
      <c r="C38" s="167">
        <v>1</v>
      </c>
      <c r="D38" s="94" t="s">
        <v>9</v>
      </c>
      <c r="E38" s="170">
        <v>0</v>
      </c>
      <c r="F38" s="169">
        <f t="shared" si="40"/>
        <v>0</v>
      </c>
      <c r="G38" s="170">
        <v>4</v>
      </c>
      <c r="H38" s="170">
        <v>8</v>
      </c>
      <c r="I38" s="170">
        <v>0</v>
      </c>
      <c r="J38" s="170">
        <v>0</v>
      </c>
      <c r="K38" s="170">
        <v>0</v>
      </c>
      <c r="L38" s="94" t="s">
        <v>8</v>
      </c>
      <c r="M38" s="168">
        <f t="shared" si="41"/>
        <v>1166.4000000000001</v>
      </c>
      <c r="N38" s="90">
        <v>1</v>
      </c>
      <c r="O38" s="172">
        <f t="shared" si="42"/>
        <v>1166.4000000000001</v>
      </c>
      <c r="P38" s="172"/>
      <c r="Q38" s="51" t="s">
        <v>29</v>
      </c>
      <c r="R38" s="71" t="s">
        <v>48</v>
      </c>
      <c r="S38" s="138" t="str">
        <f t="shared" si="43"/>
        <v>BPDSTAR</v>
      </c>
      <c r="T38" s="138" t="str">
        <f t="shared" si="44"/>
        <v>B1.5.4.2STAR</v>
      </c>
      <c r="U38" s="138" t="s">
        <v>196</v>
      </c>
      <c r="V38" s="138" t="str">
        <f t="shared" si="45"/>
        <v>Dry Gas Services</v>
      </c>
      <c r="AB38" s="32" t="s">
        <v>132</v>
      </c>
      <c r="AC38" s="132">
        <f t="shared" si="46"/>
        <v>4</v>
      </c>
      <c r="AD38" s="132">
        <f t="shared" si="46"/>
        <v>8</v>
      </c>
      <c r="AE38" s="132">
        <f t="shared" si="46"/>
        <v>0</v>
      </c>
      <c r="AF38" s="132">
        <f t="shared" si="46"/>
        <v>0</v>
      </c>
      <c r="AG38" s="132">
        <f t="shared" si="46"/>
        <v>0</v>
      </c>
      <c r="AH38" s="226">
        <f t="shared" si="47"/>
        <v>0</v>
      </c>
      <c r="AI38" s="227"/>
      <c r="AJ38" s="132"/>
      <c r="AK38" s="132"/>
      <c r="AL38" s="168"/>
      <c r="AM38" s="131">
        <f t="shared" si="48"/>
        <v>0</v>
      </c>
      <c r="AN38" s="132">
        <f t="shared" si="48"/>
        <v>0</v>
      </c>
      <c r="AO38" s="132">
        <f t="shared" si="48"/>
        <v>0</v>
      </c>
      <c r="AP38" s="132">
        <f t="shared" si="48"/>
        <v>0</v>
      </c>
      <c r="AQ38" s="132">
        <f t="shared" si="48"/>
        <v>0</v>
      </c>
      <c r="AR38" s="132">
        <f t="shared" si="49"/>
        <v>0</v>
      </c>
      <c r="AS38" s="227"/>
    </row>
    <row r="39" spans="1:45" s="19" customFormat="1">
      <c r="A39" s="45" t="s">
        <v>175</v>
      </c>
      <c r="B39" s="94" t="s">
        <v>9</v>
      </c>
      <c r="C39" s="167">
        <v>1</v>
      </c>
      <c r="D39" s="94" t="s">
        <v>9</v>
      </c>
      <c r="E39" s="170">
        <v>0</v>
      </c>
      <c r="F39" s="169">
        <f t="shared" si="40"/>
        <v>0</v>
      </c>
      <c r="G39" s="170">
        <v>4</v>
      </c>
      <c r="H39" s="170">
        <v>12</v>
      </c>
      <c r="I39" s="170">
        <v>0</v>
      </c>
      <c r="J39" s="170">
        <v>0</v>
      </c>
      <c r="K39" s="170">
        <v>0</v>
      </c>
      <c r="L39" s="94" t="s">
        <v>8</v>
      </c>
      <c r="M39" s="168">
        <f t="shared" si="41"/>
        <v>1545.4800000000002</v>
      </c>
      <c r="N39" s="90">
        <v>1</v>
      </c>
      <c r="O39" s="172">
        <f t="shared" si="42"/>
        <v>1545.4800000000002</v>
      </c>
      <c r="P39" s="172"/>
      <c r="Q39" s="51" t="s">
        <v>30</v>
      </c>
      <c r="R39" s="71" t="s">
        <v>48</v>
      </c>
      <c r="S39" s="138" t="str">
        <f t="shared" si="43"/>
        <v>CPDSTAR</v>
      </c>
      <c r="T39" s="138" t="str">
        <f t="shared" si="44"/>
        <v>C1.5.4.2STAR</v>
      </c>
      <c r="U39" s="138" t="s">
        <v>196</v>
      </c>
      <c r="V39" s="138" t="str">
        <f t="shared" si="45"/>
        <v>Dry Gas Services</v>
      </c>
      <c r="AB39" s="32" t="s">
        <v>132</v>
      </c>
      <c r="AC39" s="132">
        <f t="shared" si="46"/>
        <v>0</v>
      </c>
      <c r="AD39" s="132">
        <f t="shared" si="46"/>
        <v>0</v>
      </c>
      <c r="AE39" s="132">
        <f t="shared" si="46"/>
        <v>0</v>
      </c>
      <c r="AF39" s="132">
        <f t="shared" si="46"/>
        <v>0</v>
      </c>
      <c r="AG39" s="132">
        <f t="shared" si="46"/>
        <v>0</v>
      </c>
      <c r="AH39" s="226">
        <f t="shared" si="47"/>
        <v>0</v>
      </c>
      <c r="AI39" s="227"/>
      <c r="AJ39" s="132"/>
      <c r="AK39" s="132"/>
      <c r="AL39" s="168"/>
      <c r="AM39" s="131">
        <f t="shared" si="48"/>
        <v>4</v>
      </c>
      <c r="AN39" s="132">
        <f t="shared" si="48"/>
        <v>12</v>
      </c>
      <c r="AO39" s="132">
        <f t="shared" si="48"/>
        <v>0</v>
      </c>
      <c r="AP39" s="132">
        <f t="shared" si="48"/>
        <v>0</v>
      </c>
      <c r="AQ39" s="132">
        <f t="shared" si="48"/>
        <v>0</v>
      </c>
      <c r="AR39" s="132">
        <f t="shared" si="49"/>
        <v>0</v>
      </c>
      <c r="AS39" s="227"/>
    </row>
    <row r="40" spans="1:45" s="19" customFormat="1">
      <c r="A40" s="46" t="s">
        <v>171</v>
      </c>
      <c r="C40" s="167"/>
      <c r="D40" s="94"/>
      <c r="E40" s="60"/>
      <c r="F40" s="61"/>
      <c r="G40" s="170"/>
      <c r="H40" s="170"/>
      <c r="I40" s="170"/>
      <c r="J40" s="170"/>
      <c r="K40" s="170"/>
      <c r="L40" s="209" t="s">
        <v>41</v>
      </c>
      <c r="M40" s="180">
        <f>SUMIF(Q34:Q39,"B",M34:M39)</f>
        <v>10964.88</v>
      </c>
      <c r="N40" s="65" t="s">
        <v>40</v>
      </c>
      <c r="O40" s="172"/>
      <c r="P40" s="172"/>
      <c r="Q40" s="51"/>
      <c r="R40" s="71"/>
      <c r="S40" s="138"/>
      <c r="T40" s="138"/>
      <c r="U40" s="138"/>
      <c r="V40" s="138"/>
      <c r="AB40" s="32"/>
      <c r="AC40" s="132"/>
      <c r="AD40" s="132"/>
      <c r="AE40" s="135"/>
      <c r="AF40" s="132"/>
      <c r="AG40" s="132"/>
      <c r="AH40" s="226"/>
      <c r="AI40" s="227"/>
      <c r="AJ40" s="132"/>
      <c r="AK40" s="132"/>
      <c r="AL40" s="168"/>
      <c r="AM40" s="131"/>
      <c r="AN40" s="132"/>
      <c r="AO40" s="132"/>
      <c r="AP40" s="132"/>
      <c r="AQ40" s="132"/>
      <c r="AR40" s="132"/>
      <c r="AS40" s="227"/>
    </row>
    <row r="41" spans="1:45" s="19" customFormat="1">
      <c r="A41" s="45" t="s">
        <v>216</v>
      </c>
      <c r="B41" s="94" t="s">
        <v>9</v>
      </c>
      <c r="C41" s="167">
        <v>1</v>
      </c>
      <c r="D41" s="94" t="s">
        <v>9</v>
      </c>
      <c r="E41" s="168">
        <v>0</v>
      </c>
      <c r="F41" s="169">
        <f>E41*C41</f>
        <v>0</v>
      </c>
      <c r="G41" s="170">
        <v>0</v>
      </c>
      <c r="H41" s="170">
        <v>0</v>
      </c>
      <c r="I41" s="170">
        <v>0</v>
      </c>
      <c r="J41" s="170">
        <v>0</v>
      </c>
      <c r="K41" s="170">
        <v>0</v>
      </c>
      <c r="L41" s="94" t="s">
        <v>8</v>
      </c>
      <c r="M41" s="168">
        <f>IF(R41="PD",((Shop*G41)+(M_Tech*H41)+(CMM*I41)+(ENG*J41)+(DES*K41))*N41,((Shop_RD*G41)+(MTECH_RD*H41)+(CMM_RD*I41)+(ENG_RD*J41)+(DES_RD*K41))*N41)</f>
        <v>0</v>
      </c>
      <c r="N41" s="90">
        <v>1</v>
      </c>
      <c r="O41" s="172">
        <f>M41+(F41*N41)</f>
        <v>0</v>
      </c>
      <c r="P41" s="172"/>
      <c r="Q41" s="51" t="s">
        <v>29</v>
      </c>
      <c r="R41" s="71" t="s">
        <v>48</v>
      </c>
      <c r="S41" s="138" t="str">
        <f>CONCATENATE(Q41,R41,AB41)</f>
        <v>BPDSTAR</v>
      </c>
      <c r="T41" s="138" t="str">
        <f>CONCATENATE(Q41,U41,AB41)</f>
        <v>B1.5.4.2STAR</v>
      </c>
      <c r="U41" s="138" t="s">
        <v>196</v>
      </c>
      <c r="V41" s="138" t="str">
        <f>LOOKUP(U41,$B$79:$B$105,$A$79:$A$105)</f>
        <v>Dry Gas Services</v>
      </c>
      <c r="AB41" s="32" t="s">
        <v>132</v>
      </c>
      <c r="AC41" s="132">
        <f>IF($Q41="B", (G41*$N41),0)</f>
        <v>0</v>
      </c>
      <c r="AD41" s="132">
        <f>IF($Q41="B", (H41*$N41),0)</f>
        <v>0</v>
      </c>
      <c r="AE41" s="132">
        <f>IF($Q41="B", (I41*$N41),0)</f>
        <v>0</v>
      </c>
      <c r="AF41" s="132">
        <f>IF($Q41="B", (J41*$N41),0)</f>
        <v>0</v>
      </c>
      <c r="AG41" s="132">
        <f>IF($Q41="B", (K41*$N41),0)</f>
        <v>0</v>
      </c>
      <c r="AH41" s="226">
        <f>IF($Q41="B", (F41*$N41),0)</f>
        <v>0</v>
      </c>
      <c r="AI41" s="227"/>
      <c r="AJ41" s="132"/>
      <c r="AK41" s="132"/>
      <c r="AL41" s="168"/>
      <c r="AM41" s="131">
        <f>IF($Q41="C", (G41*$N41),0)</f>
        <v>0</v>
      </c>
      <c r="AN41" s="132">
        <f>IF($Q41="C", (H41*$N41),0)</f>
        <v>0</v>
      </c>
      <c r="AO41" s="132">
        <f>IF($Q41="C", (I41*$N41),0)</f>
        <v>0</v>
      </c>
      <c r="AP41" s="132">
        <f>IF($Q41="C", (J41*$N41),0)</f>
        <v>0</v>
      </c>
      <c r="AQ41" s="132">
        <f>IF($Q41="C", (K41*$N41),0)</f>
        <v>0</v>
      </c>
      <c r="AR41" s="132">
        <f>IF($Q41="C", (F41*$N41),0)</f>
        <v>0</v>
      </c>
      <c r="AS41" s="227"/>
    </row>
    <row r="42" spans="1:45" s="19" customFormat="1">
      <c r="A42" s="45" t="s">
        <v>186</v>
      </c>
      <c r="B42" s="94" t="s">
        <v>9</v>
      </c>
      <c r="C42" s="167">
        <v>1</v>
      </c>
      <c r="D42" s="94" t="s">
        <v>9</v>
      </c>
      <c r="E42" s="168">
        <v>0</v>
      </c>
      <c r="F42" s="169">
        <f>E42*C42</f>
        <v>0</v>
      </c>
      <c r="G42" s="170">
        <v>0</v>
      </c>
      <c r="H42" s="170">
        <v>0</v>
      </c>
      <c r="I42" s="170">
        <v>0</v>
      </c>
      <c r="J42" s="170">
        <v>0</v>
      </c>
      <c r="K42" s="170">
        <v>0</v>
      </c>
      <c r="L42" s="94" t="s">
        <v>8</v>
      </c>
      <c r="M42" s="168">
        <f>IF(R42="PD",((Shop*G42)+(M_Tech*H42)+(CMM*I42)+(ENG*J42)+(DES*K42))*N42,((Shop_RD*G42)+(MTECH_RD*H42)+(CMM_RD*I42)+(ENG_RD*J42)+(DES_RD*K42))*N42)</f>
        <v>0</v>
      </c>
      <c r="N42" s="90">
        <v>1</v>
      </c>
      <c r="O42" s="172">
        <f>M42+(F42*N42)</f>
        <v>0</v>
      </c>
      <c r="P42" s="172"/>
      <c r="Q42" s="51" t="s">
        <v>29</v>
      </c>
      <c r="R42" s="71" t="s">
        <v>152</v>
      </c>
      <c r="S42" s="138" t="str">
        <f>CONCATENATE(Q42,R42,AB42)</f>
        <v>BPTSTAR</v>
      </c>
      <c r="T42" s="138" t="str">
        <f>CONCATENATE(Q42,U42,AB42)</f>
        <v>B1.5.4.2STAR</v>
      </c>
      <c r="U42" s="138" t="s">
        <v>196</v>
      </c>
      <c r="V42" s="138" t="str">
        <f>LOOKUP(U42,$B$79:$B$105,$A$79:$A$105)</f>
        <v>Dry Gas Services</v>
      </c>
      <c r="AB42" s="32" t="s">
        <v>132</v>
      </c>
      <c r="AC42" s="132">
        <f t="shared" ref="AC42:AG45" si="50">IF($Q42="B", (G42*$N42),0)</f>
        <v>0</v>
      </c>
      <c r="AD42" s="132">
        <f t="shared" si="50"/>
        <v>0</v>
      </c>
      <c r="AE42" s="132">
        <f t="shared" si="50"/>
        <v>0</v>
      </c>
      <c r="AF42" s="132">
        <f t="shared" si="50"/>
        <v>0</v>
      </c>
      <c r="AG42" s="132">
        <f t="shared" si="50"/>
        <v>0</v>
      </c>
      <c r="AH42" s="226">
        <f>IF($Q42="B", (F42*$N42),0)</f>
        <v>0</v>
      </c>
      <c r="AI42" s="227"/>
      <c r="AJ42" s="132"/>
      <c r="AK42" s="132"/>
      <c r="AL42" s="168"/>
      <c r="AM42" s="131">
        <f t="shared" ref="AM42:AQ45" si="51">IF($Q42="C", (G42*$N42),0)</f>
        <v>0</v>
      </c>
      <c r="AN42" s="132">
        <f t="shared" si="51"/>
        <v>0</v>
      </c>
      <c r="AO42" s="132">
        <f t="shared" si="51"/>
        <v>0</v>
      </c>
      <c r="AP42" s="132">
        <f t="shared" si="51"/>
        <v>0</v>
      </c>
      <c r="AQ42" s="132">
        <f t="shared" si="51"/>
        <v>0</v>
      </c>
      <c r="AR42" s="132">
        <f>IF($Q42="C", (F42*$N42),0)</f>
        <v>0</v>
      </c>
      <c r="AS42" s="227"/>
    </row>
    <row r="43" spans="1:45" s="19" customFormat="1">
      <c r="A43" s="45" t="s">
        <v>187</v>
      </c>
      <c r="B43" s="94" t="s">
        <v>9</v>
      </c>
      <c r="C43" s="167">
        <v>1</v>
      </c>
      <c r="D43" s="94" t="s">
        <v>9</v>
      </c>
      <c r="E43" s="170">
        <v>0</v>
      </c>
      <c r="F43" s="169">
        <f>E43*C43</f>
        <v>0</v>
      </c>
      <c r="G43" s="170">
        <v>0</v>
      </c>
      <c r="H43" s="170">
        <v>0</v>
      </c>
      <c r="I43" s="170">
        <v>0</v>
      </c>
      <c r="J43" s="170">
        <v>0</v>
      </c>
      <c r="K43" s="170">
        <v>0</v>
      </c>
      <c r="L43" s="94" t="s">
        <v>8</v>
      </c>
      <c r="M43" s="168">
        <f>IF(R43="PD",((Shop*G43)+(M_Tech*H43)+(CMM*I43)+(ENG*J43)+(DES*K43))*N43,((Shop_RD*G43)+(MTECH_RD*H43)+(CMM_RD*I43)+(ENG_RD*J43)+(DES_RD*K43))*N43)</f>
        <v>0</v>
      </c>
      <c r="N43" s="90">
        <v>1</v>
      </c>
      <c r="O43" s="172">
        <f>M43+(F43*N43)</f>
        <v>0</v>
      </c>
      <c r="P43" s="172"/>
      <c r="Q43" s="51" t="s">
        <v>29</v>
      </c>
      <c r="R43" s="71" t="s">
        <v>152</v>
      </c>
      <c r="S43" s="138" t="str">
        <f>CONCATENATE(Q43,R43,AB43)</f>
        <v>BPTSTAR</v>
      </c>
      <c r="T43" s="138" t="str">
        <f>CONCATENATE(Q43,U43,AB43)</f>
        <v>B1.5.4.2STAR</v>
      </c>
      <c r="U43" s="138" t="s">
        <v>196</v>
      </c>
      <c r="V43" s="138" t="str">
        <f>LOOKUP(U43,$B$79:$B$105,$A$79:$A$105)</f>
        <v>Dry Gas Services</v>
      </c>
      <c r="AB43" s="32" t="s">
        <v>132</v>
      </c>
      <c r="AC43" s="132">
        <f t="shared" si="50"/>
        <v>0</v>
      </c>
      <c r="AD43" s="132">
        <f t="shared" si="50"/>
        <v>0</v>
      </c>
      <c r="AE43" s="132">
        <f t="shared" si="50"/>
        <v>0</v>
      </c>
      <c r="AF43" s="132">
        <f t="shared" si="50"/>
        <v>0</v>
      </c>
      <c r="AG43" s="132">
        <f t="shared" si="50"/>
        <v>0</v>
      </c>
      <c r="AH43" s="226">
        <f>IF($Q43="B", (F43*$N43),0)</f>
        <v>0</v>
      </c>
      <c r="AI43" s="227"/>
      <c r="AJ43" s="132"/>
      <c r="AK43" s="132"/>
      <c r="AL43" s="168"/>
      <c r="AM43" s="131">
        <f t="shared" si="51"/>
        <v>0</v>
      </c>
      <c r="AN43" s="132">
        <f t="shared" si="51"/>
        <v>0</v>
      </c>
      <c r="AO43" s="132">
        <f t="shared" si="51"/>
        <v>0</v>
      </c>
      <c r="AP43" s="132">
        <f t="shared" si="51"/>
        <v>0</v>
      </c>
      <c r="AQ43" s="132">
        <f t="shared" si="51"/>
        <v>0</v>
      </c>
      <c r="AR43" s="132">
        <f>IF($Q43="C", (F43*$N43),0)</f>
        <v>0</v>
      </c>
      <c r="AS43" s="227"/>
    </row>
    <row r="44" spans="1:45" s="19" customFormat="1">
      <c r="A44" s="45" t="s">
        <v>188</v>
      </c>
      <c r="B44" s="94" t="s">
        <v>9</v>
      </c>
      <c r="C44" s="167">
        <v>1</v>
      </c>
      <c r="D44" s="94" t="s">
        <v>9</v>
      </c>
      <c r="E44" s="170">
        <v>0</v>
      </c>
      <c r="F44" s="169">
        <f>E44*C44</f>
        <v>0</v>
      </c>
      <c r="G44" s="170">
        <v>0</v>
      </c>
      <c r="H44" s="170">
        <v>0</v>
      </c>
      <c r="I44" s="170">
        <v>0</v>
      </c>
      <c r="J44" s="170">
        <v>0</v>
      </c>
      <c r="K44" s="170">
        <v>0</v>
      </c>
      <c r="L44" s="94" t="s">
        <v>8</v>
      </c>
      <c r="M44" s="168">
        <f>IF(R44="PD",((Shop*G44)+(M_Tech*H44)+(CMM*I44)+(ENG*J44)+(DES*K44))*N44,((Shop_RD*G44)+(MTECH_RD*H44)+(CMM_RD*I44)+(ENG_RD*J44)+(DES_RD*K44))*N44)</f>
        <v>0</v>
      </c>
      <c r="N44" s="90">
        <v>1</v>
      </c>
      <c r="O44" s="172">
        <f>M44+(F44*N44)</f>
        <v>0</v>
      </c>
      <c r="P44" s="172"/>
      <c r="Q44" s="51" t="s">
        <v>29</v>
      </c>
      <c r="R44" s="71" t="s">
        <v>48</v>
      </c>
      <c r="S44" s="138" t="str">
        <f>CONCATENATE(Q44,R44,AB44)</f>
        <v>BPDSTAR</v>
      </c>
      <c r="T44" s="138" t="str">
        <f>CONCATENATE(Q44,U44,AB44)</f>
        <v>B1.5.4.2STAR</v>
      </c>
      <c r="U44" s="138" t="s">
        <v>196</v>
      </c>
      <c r="V44" s="138" t="str">
        <f>LOOKUP(U44,$B$79:$B$105,$A$79:$A$105)</f>
        <v>Dry Gas Services</v>
      </c>
      <c r="AB44" s="32" t="s">
        <v>132</v>
      </c>
      <c r="AC44" s="132">
        <f t="shared" si="50"/>
        <v>0</v>
      </c>
      <c r="AD44" s="132">
        <f t="shared" si="50"/>
        <v>0</v>
      </c>
      <c r="AE44" s="132">
        <f t="shared" si="50"/>
        <v>0</v>
      </c>
      <c r="AF44" s="132">
        <f t="shared" si="50"/>
        <v>0</v>
      </c>
      <c r="AG44" s="132">
        <f t="shared" si="50"/>
        <v>0</v>
      </c>
      <c r="AH44" s="226">
        <f>IF($Q44="B", (F44*$N44),0)</f>
        <v>0</v>
      </c>
      <c r="AI44" s="227"/>
      <c r="AJ44" s="132"/>
      <c r="AK44" s="132"/>
      <c r="AL44" s="168"/>
      <c r="AM44" s="131">
        <f t="shared" si="51"/>
        <v>0</v>
      </c>
      <c r="AN44" s="132">
        <f t="shared" si="51"/>
        <v>0</v>
      </c>
      <c r="AO44" s="132">
        <f t="shared" si="51"/>
        <v>0</v>
      </c>
      <c r="AP44" s="132">
        <f t="shared" si="51"/>
        <v>0</v>
      </c>
      <c r="AQ44" s="132">
        <f t="shared" si="51"/>
        <v>0</v>
      </c>
      <c r="AR44" s="132">
        <f>IF($Q44="C", (F44*$N44),0)</f>
        <v>0</v>
      </c>
      <c r="AS44" s="227"/>
    </row>
    <row r="45" spans="1:45" s="19" customFormat="1">
      <c r="A45" s="45" t="s">
        <v>189</v>
      </c>
      <c r="B45" s="94" t="s">
        <v>9</v>
      </c>
      <c r="C45" s="167">
        <v>1</v>
      </c>
      <c r="D45" s="94" t="s">
        <v>9</v>
      </c>
      <c r="E45" s="168">
        <v>0</v>
      </c>
      <c r="F45" s="169">
        <f>E45*C45</f>
        <v>0</v>
      </c>
      <c r="G45" s="170">
        <v>0</v>
      </c>
      <c r="H45" s="170">
        <v>0</v>
      </c>
      <c r="I45" s="170">
        <v>0</v>
      </c>
      <c r="J45" s="170">
        <v>0</v>
      </c>
      <c r="K45" s="170">
        <v>0</v>
      </c>
      <c r="L45" s="94" t="s">
        <v>8</v>
      </c>
      <c r="M45" s="168">
        <f>IF(R45="PD",((Shop*G45)+(M_Tech*H45)+(CMM*I45)+(ENG*J45)+(DES*K45))*N45,((Shop_RD*G45)+(MTECH_RD*H45)+(CMM_RD*I45)+(ENG_RD*J45)+(DES_RD*K45))*N45)</f>
        <v>0</v>
      </c>
      <c r="N45" s="90">
        <v>1</v>
      </c>
      <c r="O45" s="172">
        <f>M45+(F45*N45)</f>
        <v>0</v>
      </c>
      <c r="P45" s="172"/>
      <c r="Q45" s="51" t="s">
        <v>29</v>
      </c>
      <c r="R45" s="71" t="s">
        <v>48</v>
      </c>
      <c r="S45" s="138" t="str">
        <f>CONCATENATE(Q45,R45,AB45)</f>
        <v>BPDSTAR</v>
      </c>
      <c r="T45" s="138" t="str">
        <f>CONCATENATE(Q45,U45,AB45)</f>
        <v>B1.5.4.2STAR</v>
      </c>
      <c r="U45" s="138" t="s">
        <v>196</v>
      </c>
      <c r="V45" s="138" t="str">
        <f>LOOKUP(U45,$B$79:$B$105,$A$79:$A$105)</f>
        <v>Dry Gas Services</v>
      </c>
      <c r="AB45" s="32" t="s">
        <v>132</v>
      </c>
      <c r="AC45" s="132">
        <f t="shared" si="50"/>
        <v>0</v>
      </c>
      <c r="AD45" s="132">
        <f t="shared" si="50"/>
        <v>0</v>
      </c>
      <c r="AE45" s="132">
        <f t="shared" si="50"/>
        <v>0</v>
      </c>
      <c r="AF45" s="132">
        <f t="shared" si="50"/>
        <v>0</v>
      </c>
      <c r="AG45" s="132">
        <f t="shared" si="50"/>
        <v>0</v>
      </c>
      <c r="AH45" s="226">
        <f>IF($Q45="B", (F45*$N45),0)</f>
        <v>0</v>
      </c>
      <c r="AI45" s="227"/>
      <c r="AJ45" s="132"/>
      <c r="AK45" s="132"/>
      <c r="AL45" s="168"/>
      <c r="AM45" s="131">
        <f t="shared" si="51"/>
        <v>0</v>
      </c>
      <c r="AN45" s="132">
        <f t="shared" si="51"/>
        <v>0</v>
      </c>
      <c r="AO45" s="132">
        <f t="shared" si="51"/>
        <v>0</v>
      </c>
      <c r="AP45" s="132">
        <f t="shared" si="51"/>
        <v>0</v>
      </c>
      <c r="AQ45" s="132">
        <f t="shared" si="51"/>
        <v>0</v>
      </c>
      <c r="AR45" s="132">
        <f>IF($Q45="C", (F45*$N45),0)</f>
        <v>0</v>
      </c>
      <c r="AS45" s="227"/>
    </row>
    <row r="46" spans="1:45" s="19" customFormat="1">
      <c r="A46" s="46"/>
      <c r="C46" s="167"/>
      <c r="D46" s="94"/>
      <c r="E46" s="60"/>
      <c r="F46" s="61"/>
      <c r="G46" s="170"/>
      <c r="H46" s="170"/>
      <c r="I46" s="170"/>
      <c r="J46" s="170"/>
      <c r="K46" s="170"/>
      <c r="L46" s="209" t="s">
        <v>41</v>
      </c>
      <c r="M46" s="180">
        <f>SUMIF(Q41:Q45,"B",M41:M45)</f>
        <v>0</v>
      </c>
      <c r="N46" s="65" t="s">
        <v>40</v>
      </c>
      <c r="O46" s="172"/>
      <c r="P46" s="172"/>
      <c r="Q46" s="51"/>
      <c r="R46" s="71"/>
      <c r="S46" s="138"/>
      <c r="T46" s="138"/>
      <c r="U46" s="138"/>
      <c r="V46" s="138"/>
      <c r="AB46" s="32"/>
      <c r="AC46" s="132"/>
      <c r="AD46" s="132"/>
      <c r="AE46" s="135"/>
      <c r="AF46" s="132"/>
      <c r="AG46" s="132"/>
      <c r="AH46" s="226"/>
      <c r="AI46" s="227"/>
      <c r="AJ46" s="132"/>
      <c r="AK46" s="132"/>
      <c r="AL46" s="168"/>
      <c r="AM46" s="131"/>
      <c r="AN46" s="132"/>
      <c r="AO46" s="132"/>
      <c r="AP46" s="132"/>
      <c r="AQ46" s="132"/>
      <c r="AR46" s="132"/>
      <c r="AS46" s="227"/>
    </row>
    <row r="47" spans="1:45">
      <c r="A47" s="20" t="s">
        <v>191</v>
      </c>
      <c r="B47" s="3"/>
      <c r="C47" s="173"/>
      <c r="D47" s="14"/>
      <c r="E47" s="174"/>
      <c r="F47" s="175"/>
      <c r="G47" s="173"/>
      <c r="H47" s="173"/>
      <c r="I47" s="173"/>
      <c r="J47" s="173"/>
      <c r="K47" s="176"/>
      <c r="L47" s="14"/>
      <c r="M47" s="174">
        <f>SUMIF(Q26:Q46,"B",M26:M46)</f>
        <v>20684.880000000005</v>
      </c>
      <c r="N47" s="296" t="s">
        <v>40</v>
      </c>
      <c r="O47" s="297"/>
      <c r="P47" s="298"/>
      <c r="Q47" s="52"/>
      <c r="R47" s="73"/>
      <c r="S47" s="139"/>
      <c r="T47" s="139"/>
      <c r="U47" s="139"/>
      <c r="V47" s="139"/>
      <c r="W47" s="3"/>
      <c r="X47" s="3"/>
      <c r="Y47" s="3"/>
      <c r="Z47" s="3"/>
      <c r="AA47" s="3"/>
      <c r="AB47" s="33"/>
      <c r="AC47" s="5">
        <f>SUM(AC22:AC46)</f>
        <v>12.5</v>
      </c>
      <c r="AD47" s="5">
        <f>SUM(AD22:AD46)</f>
        <v>146</v>
      </c>
      <c r="AE47" s="5">
        <f>SUM(AE22:AE46)</f>
        <v>36</v>
      </c>
      <c r="AF47" s="5">
        <f>SUM(AF22:AF46)</f>
        <v>200.5</v>
      </c>
      <c r="AG47" s="5">
        <f>SUM(AG22:AG46)</f>
        <v>56</v>
      </c>
      <c r="AH47" s="174"/>
      <c r="AI47" s="175">
        <f>SUM(AH22:AH46)</f>
        <v>0</v>
      </c>
      <c r="AJ47" s="174">
        <f>(Shop*AC47)+M_Tech*AD47+CMM*AE47+ENG*AF47+DES*AG47+AI47</f>
        <v>39472.920000000006</v>
      </c>
      <c r="AK47" s="174"/>
      <c r="AL47" s="175">
        <f>Shop*AM47+M_Tech*AN47+CMM*AO47+ENG*AP47+DES*AQ47+AS47</f>
        <v>49183.200000000012</v>
      </c>
      <c r="AM47" s="5">
        <f>SUM(AM22:AM46)</f>
        <v>12</v>
      </c>
      <c r="AN47" s="5">
        <f>SUM(AN22:AN46)</f>
        <v>224</v>
      </c>
      <c r="AO47" s="5">
        <f>SUM(AO22:AO46)</f>
        <v>4</v>
      </c>
      <c r="AP47" s="5">
        <f>SUM(AP22:AP46)</f>
        <v>220</v>
      </c>
      <c r="AQ47" s="5">
        <f>SUM(AQ22:AQ46)</f>
        <v>8</v>
      </c>
      <c r="AR47" s="174"/>
      <c r="AS47" s="175">
        <f>SUM(AR22:AR46)</f>
        <v>0</v>
      </c>
    </row>
    <row r="48" spans="1:45">
      <c r="F48" s="162"/>
      <c r="G48" s="160"/>
      <c r="H48" s="160"/>
      <c r="I48" s="160"/>
      <c r="J48" s="160"/>
      <c r="K48" s="177"/>
      <c r="M48" s="110"/>
      <c r="N48" s="7"/>
      <c r="O48" s="178"/>
      <c r="P48" s="178"/>
      <c r="Q48" s="34"/>
      <c r="R48" s="72"/>
      <c r="S48" s="140"/>
      <c r="T48" s="140"/>
      <c r="U48" s="140"/>
      <c r="V48" s="140"/>
      <c r="W48"/>
      <c r="X48"/>
      <c r="Y48"/>
      <c r="Z48"/>
      <c r="AA48"/>
      <c r="AB48" s="35"/>
      <c r="AC48" s="30"/>
      <c r="AD48" s="30"/>
      <c r="AE48" s="30"/>
      <c r="AF48" s="30"/>
      <c r="AG48" s="30"/>
      <c r="AH48" s="229"/>
      <c r="AI48" s="230"/>
      <c r="AJ48" s="6"/>
      <c r="AK48" s="6"/>
      <c r="AM48" s="31"/>
      <c r="AN48" s="4"/>
      <c r="AO48" s="4"/>
      <c r="AP48" s="4"/>
      <c r="AQ48" s="4"/>
      <c r="AR48" s="4"/>
      <c r="AS48" s="231"/>
    </row>
    <row r="49" spans="1:45" ht="15.75">
      <c r="A49" s="48" t="s">
        <v>208</v>
      </c>
      <c r="F49" s="162"/>
      <c r="G49" s="160"/>
      <c r="H49" s="160"/>
      <c r="I49" s="160"/>
      <c r="J49" s="160"/>
      <c r="K49" s="177"/>
      <c r="M49" s="110"/>
      <c r="N49" s="7"/>
      <c r="O49" s="178"/>
      <c r="P49" s="178"/>
      <c r="Q49" s="51"/>
      <c r="R49" s="71"/>
      <c r="S49" s="138"/>
      <c r="T49" s="138"/>
      <c r="U49" s="138"/>
      <c r="V49" s="138"/>
      <c r="W49"/>
      <c r="X49"/>
      <c r="Y49"/>
      <c r="Z49"/>
      <c r="AA49"/>
      <c r="AB49" s="32"/>
      <c r="AC49" s="4"/>
      <c r="AD49" s="4"/>
      <c r="AE49" s="4"/>
      <c r="AF49" s="4"/>
      <c r="AG49" s="4"/>
      <c r="AH49" s="161"/>
      <c r="AI49" s="231"/>
      <c r="AJ49" s="4"/>
      <c r="AK49" s="4"/>
      <c r="AM49" s="31"/>
      <c r="AN49" s="4"/>
      <c r="AO49" s="4"/>
      <c r="AP49" s="4"/>
      <c r="AQ49" s="4"/>
      <c r="AR49" s="4"/>
      <c r="AS49" s="231"/>
    </row>
    <row r="50" spans="1:45" s="18" customFormat="1">
      <c r="A50" s="46" t="s">
        <v>209</v>
      </c>
      <c r="B50" s="19"/>
      <c r="C50" s="153"/>
      <c r="D50" s="94"/>
      <c r="E50" s="110"/>
      <c r="F50" s="162"/>
      <c r="G50" s="170"/>
      <c r="H50" s="160"/>
      <c r="I50" s="160"/>
      <c r="J50" s="160"/>
      <c r="K50" s="177"/>
      <c r="L50" s="209"/>
      <c r="M50" s="180"/>
      <c r="N50" s="65"/>
      <c r="O50" s="180"/>
      <c r="P50" s="178"/>
      <c r="Q50" s="51"/>
      <c r="R50" s="71"/>
      <c r="S50" s="138"/>
      <c r="T50" s="138"/>
      <c r="U50" s="138"/>
      <c r="V50" s="138"/>
      <c r="W50"/>
      <c r="X50"/>
      <c r="Y50"/>
      <c r="Z50"/>
      <c r="AA50"/>
      <c r="AB50" s="32"/>
      <c r="AC50" s="4"/>
      <c r="AD50" s="4"/>
      <c r="AE50" s="4"/>
      <c r="AF50" s="4"/>
      <c r="AG50" s="4"/>
      <c r="AH50" s="161"/>
      <c r="AI50" s="232"/>
      <c r="AJ50" s="233"/>
      <c r="AK50" s="233"/>
      <c r="AL50" s="110"/>
      <c r="AM50" s="31"/>
      <c r="AN50" s="4"/>
      <c r="AO50" s="4"/>
      <c r="AP50" s="4"/>
      <c r="AQ50" s="4"/>
      <c r="AR50" s="4"/>
      <c r="AS50" s="232"/>
    </row>
    <row r="51" spans="1:45" s="133" customFormat="1">
      <c r="A51" s="45" t="s">
        <v>221</v>
      </c>
      <c r="B51" s="94" t="s">
        <v>9</v>
      </c>
      <c r="C51" s="167">
        <v>1</v>
      </c>
      <c r="D51" s="94" t="s">
        <v>9</v>
      </c>
      <c r="E51" s="170">
        <v>0</v>
      </c>
      <c r="F51" s="169">
        <f>E51*C51</f>
        <v>0</v>
      </c>
      <c r="G51" s="170">
        <v>0</v>
      </c>
      <c r="H51" s="170">
        <v>80</v>
      </c>
      <c r="I51" s="170">
        <v>0</v>
      </c>
      <c r="J51" s="170">
        <v>24</v>
      </c>
      <c r="K51" s="170">
        <v>0</v>
      </c>
      <c r="L51" s="94" t="s">
        <v>8</v>
      </c>
      <c r="M51" s="168">
        <f>IF(R51="PD",((Shop*G51)+(M_Tech*H51)+(CMM*I51)+(ENG*J51)+(DES*K51))*N51,((Shop_RD*G51)+(MTECH_RD*H51)+(CMM_RD*I51)+(ENG_RD*J51)+(DES_RD*K51))*N51)</f>
        <v>12960</v>
      </c>
      <c r="N51" s="90">
        <v>1</v>
      </c>
      <c r="O51" s="172">
        <f>M51+(F51*N51)</f>
        <v>12960</v>
      </c>
      <c r="P51" s="172"/>
      <c r="Q51" s="51" t="s">
        <v>29</v>
      </c>
      <c r="R51" s="71" t="s">
        <v>152</v>
      </c>
      <c r="S51" s="138" t="str">
        <f>CONCATENATE(Q51,R51,AB51)</f>
        <v>BPTSTAR</v>
      </c>
      <c r="T51" s="138" t="str">
        <f>CONCATENATE(Q51,U51,AB51)</f>
        <v>B1.5.4.3STAR</v>
      </c>
      <c r="U51" s="138" t="s">
        <v>198</v>
      </c>
      <c r="V51" s="138" t="str">
        <f>LOOKUP(U51,$B$79:$B$105,$A$79:$A$105)</f>
        <v>Hall Modifications and Integrated Safety</v>
      </c>
      <c r="W51" s="19"/>
      <c r="X51" s="19"/>
      <c r="Y51" s="19"/>
      <c r="Z51" s="19"/>
      <c r="AA51" s="19"/>
      <c r="AB51" s="32" t="s">
        <v>132</v>
      </c>
      <c r="AC51" s="132">
        <f t="shared" ref="AC51:AG55" si="52">IF($Q51="B", (G51*$N51),0)</f>
        <v>0</v>
      </c>
      <c r="AD51" s="132">
        <f t="shared" si="52"/>
        <v>80</v>
      </c>
      <c r="AE51" s="132">
        <f t="shared" si="52"/>
        <v>0</v>
      </c>
      <c r="AF51" s="132">
        <f t="shared" si="52"/>
        <v>24</v>
      </c>
      <c r="AG51" s="132">
        <f t="shared" si="52"/>
        <v>0</v>
      </c>
      <c r="AH51" s="226">
        <f>IF($Q51="B", (F51*$N51),0)</f>
        <v>0</v>
      </c>
      <c r="AI51" s="228"/>
      <c r="AJ51" s="234"/>
      <c r="AK51" s="234"/>
      <c r="AL51" s="168"/>
      <c r="AM51" s="131">
        <f t="shared" ref="AM51:AQ55" si="53">IF($Q51="C", (G51*$N51),0)</f>
        <v>0</v>
      </c>
      <c r="AN51" s="132">
        <f t="shared" si="53"/>
        <v>0</v>
      </c>
      <c r="AO51" s="132">
        <f t="shared" si="53"/>
        <v>0</v>
      </c>
      <c r="AP51" s="132">
        <f t="shared" si="53"/>
        <v>0</v>
      </c>
      <c r="AQ51" s="132">
        <f t="shared" si="53"/>
        <v>0</v>
      </c>
      <c r="AR51" s="132">
        <f>IF($Q51="C", (F51*$N51),0)</f>
        <v>0</v>
      </c>
      <c r="AS51" s="228"/>
    </row>
    <row r="52" spans="1:45" s="133" customFormat="1">
      <c r="A52" s="45" t="s">
        <v>222</v>
      </c>
      <c r="B52" s="94" t="s">
        <v>9</v>
      </c>
      <c r="C52" s="167">
        <v>1</v>
      </c>
      <c r="D52" s="94" t="s">
        <v>9</v>
      </c>
      <c r="E52" s="170">
        <v>10000</v>
      </c>
      <c r="F52" s="169">
        <f>E52*C52</f>
        <v>10000</v>
      </c>
      <c r="G52" s="170">
        <v>0</v>
      </c>
      <c r="H52" s="170">
        <v>0</v>
      </c>
      <c r="I52" s="170">
        <v>0</v>
      </c>
      <c r="J52" s="170">
        <v>0</v>
      </c>
      <c r="K52" s="170">
        <v>0</v>
      </c>
      <c r="L52" s="94" t="s">
        <v>8</v>
      </c>
      <c r="M52" s="168">
        <f>IF(R52="PD",((Shop*G52)+(M_Tech*H52)+(CMM*I52)+(ENG*J52)+(DES*K52))*N52,((Shop_RD*G52)+(MTECH_RD*H52)+(CMM_RD*I52)+(ENG_RD*J52)+(DES_RD*K52))*N52)</f>
        <v>0</v>
      </c>
      <c r="N52" s="90">
        <v>1</v>
      </c>
      <c r="O52" s="172">
        <f>M52+(F52*N52)</f>
        <v>10000</v>
      </c>
      <c r="P52" s="172"/>
      <c r="Q52" s="51" t="s">
        <v>29</v>
      </c>
      <c r="R52" s="71" t="s">
        <v>152</v>
      </c>
      <c r="S52" s="138" t="str">
        <f>CONCATENATE(Q52,R52,AB52)</f>
        <v>BPT2012</v>
      </c>
      <c r="T52" s="138" t="str">
        <f>CONCATENATE(Q52,U52,AB52)</f>
        <v>B1.5.4.32012</v>
      </c>
      <c r="U52" s="138" t="s">
        <v>198</v>
      </c>
      <c r="V52" s="138" t="str">
        <f>LOOKUP(U52,$B$79:$B$105,$A$79:$A$105)</f>
        <v>Hall Modifications and Integrated Safety</v>
      </c>
      <c r="W52" s="19"/>
      <c r="X52" s="19"/>
      <c r="Y52" s="19"/>
      <c r="Z52" s="19"/>
      <c r="AA52" s="19"/>
      <c r="AB52" s="32">
        <v>2012</v>
      </c>
      <c r="AC52" s="132">
        <f t="shared" ref="AC52" si="54">IF($Q52="B", (G52*$N52),0)</f>
        <v>0</v>
      </c>
      <c r="AD52" s="132">
        <f t="shared" ref="AD52" si="55">IF($Q52="B", (H52*$N52),0)</f>
        <v>0</v>
      </c>
      <c r="AE52" s="132">
        <f t="shared" ref="AE52" si="56">IF($Q52="B", (I52*$N52),0)</f>
        <v>0</v>
      </c>
      <c r="AF52" s="132">
        <f t="shared" ref="AF52" si="57">IF($Q52="B", (J52*$N52),0)</f>
        <v>0</v>
      </c>
      <c r="AG52" s="132">
        <f t="shared" ref="AG52" si="58">IF($Q52="B", (K52*$N52),0)</f>
        <v>0</v>
      </c>
      <c r="AH52" s="226">
        <f>IF($Q52="B", (F52*$N52),0)</f>
        <v>10000</v>
      </c>
      <c r="AI52" s="228"/>
      <c r="AJ52" s="234"/>
      <c r="AK52" s="234"/>
      <c r="AL52" s="168"/>
      <c r="AM52" s="131">
        <f t="shared" ref="AM52" si="59">IF($Q52="C", (G52*$N52),0)</f>
        <v>0</v>
      </c>
      <c r="AN52" s="132">
        <f t="shared" ref="AN52" si="60">IF($Q52="C", (H52*$N52),0)</f>
        <v>0</v>
      </c>
      <c r="AO52" s="132">
        <f t="shared" ref="AO52" si="61">IF($Q52="C", (I52*$N52),0)</f>
        <v>0</v>
      </c>
      <c r="AP52" s="132">
        <f t="shared" ref="AP52" si="62">IF($Q52="C", (J52*$N52),0)</f>
        <v>0</v>
      </c>
      <c r="AQ52" s="132">
        <f t="shared" ref="AQ52" si="63">IF($Q52="C", (K52*$N52),0)</f>
        <v>0</v>
      </c>
      <c r="AR52" s="132">
        <f>IF($Q52="C", (F52*$N52),0)</f>
        <v>0</v>
      </c>
      <c r="AS52" s="228"/>
    </row>
    <row r="53" spans="1:45" s="133" customFormat="1">
      <c r="A53" s="45" t="s">
        <v>217</v>
      </c>
      <c r="B53" s="94" t="s">
        <v>9</v>
      </c>
      <c r="C53" s="167">
        <v>1</v>
      </c>
      <c r="D53" s="94" t="s">
        <v>9</v>
      </c>
      <c r="E53" s="170">
        <v>0</v>
      </c>
      <c r="F53" s="169">
        <f>E53*C53</f>
        <v>0</v>
      </c>
      <c r="G53" s="170">
        <v>0</v>
      </c>
      <c r="H53" s="170">
        <v>0</v>
      </c>
      <c r="I53" s="170">
        <v>0</v>
      </c>
      <c r="J53" s="170">
        <v>0</v>
      </c>
      <c r="K53" s="170">
        <v>0</v>
      </c>
      <c r="L53" s="94" t="s">
        <v>8</v>
      </c>
      <c r="M53" s="168">
        <f>IF(R53="PD",((Shop*G53)+(M_Tech*H53)+(CMM*I53)+(ENG*J53)+(DES*K53))*N53,((Shop_RD*G53)+(MTECH_RD*H53)+(CMM_RD*I53)+(ENG_RD*J53)+(DES_RD*K53))*N53)</f>
        <v>0</v>
      </c>
      <c r="N53" s="90">
        <v>1</v>
      </c>
      <c r="O53" s="172">
        <f>M53+(F53*N53)</f>
        <v>0</v>
      </c>
      <c r="P53" s="172"/>
      <c r="Q53" s="51" t="s">
        <v>29</v>
      </c>
      <c r="R53" s="71" t="s">
        <v>152</v>
      </c>
      <c r="S53" s="138" t="str">
        <f>CONCATENATE(Q53,R53,AB53)</f>
        <v>BPTSTAR</v>
      </c>
      <c r="T53" s="138" t="str">
        <f>CONCATENATE(Q53,U53,AB53)</f>
        <v>B1.5.4.3STAR</v>
      </c>
      <c r="U53" s="138" t="s">
        <v>198</v>
      </c>
      <c r="V53" s="138" t="str">
        <f>LOOKUP(U53,$B$79:$B$105,$A$79:$A$105)</f>
        <v>Hall Modifications and Integrated Safety</v>
      </c>
      <c r="W53" s="19"/>
      <c r="X53" s="19"/>
      <c r="Y53" s="19"/>
      <c r="Z53" s="19"/>
      <c r="AA53" s="19"/>
      <c r="AB53" s="32" t="s">
        <v>132</v>
      </c>
      <c r="AC53" s="132">
        <f t="shared" si="52"/>
        <v>0</v>
      </c>
      <c r="AD53" s="132">
        <f t="shared" si="52"/>
        <v>0</v>
      </c>
      <c r="AE53" s="132">
        <f t="shared" si="52"/>
        <v>0</v>
      </c>
      <c r="AF53" s="132">
        <f t="shared" si="52"/>
        <v>0</v>
      </c>
      <c r="AG53" s="132">
        <f t="shared" si="52"/>
        <v>0</v>
      </c>
      <c r="AH53" s="226">
        <f>IF($Q53="B", (F53*$N53),0)</f>
        <v>0</v>
      </c>
      <c r="AI53" s="228"/>
      <c r="AJ53" s="234"/>
      <c r="AK53" s="234"/>
      <c r="AL53" s="168"/>
      <c r="AM53" s="131">
        <f t="shared" si="53"/>
        <v>0</v>
      </c>
      <c r="AN53" s="132">
        <f t="shared" si="53"/>
        <v>0</v>
      </c>
      <c r="AO53" s="132">
        <f t="shared" si="53"/>
        <v>0</v>
      </c>
      <c r="AP53" s="132">
        <f t="shared" si="53"/>
        <v>0</v>
      </c>
      <c r="AQ53" s="132">
        <f t="shared" si="53"/>
        <v>0</v>
      </c>
      <c r="AR53" s="132">
        <f>IF($Q53="C", (F53*$N53),0)</f>
        <v>0</v>
      </c>
      <c r="AS53" s="228"/>
    </row>
    <row r="54" spans="1:45" s="133" customFormat="1">
      <c r="A54" s="45" t="s">
        <v>217</v>
      </c>
      <c r="B54" s="94" t="s">
        <v>9</v>
      </c>
      <c r="C54" s="167">
        <v>1</v>
      </c>
      <c r="D54" s="94" t="s">
        <v>9</v>
      </c>
      <c r="E54" s="170">
        <v>0</v>
      </c>
      <c r="F54" s="169">
        <f>E54*C54</f>
        <v>0</v>
      </c>
      <c r="G54" s="170">
        <v>0</v>
      </c>
      <c r="H54" s="170">
        <v>0</v>
      </c>
      <c r="I54" s="170">
        <v>0</v>
      </c>
      <c r="J54" s="170">
        <v>0</v>
      </c>
      <c r="K54" s="170">
        <v>0</v>
      </c>
      <c r="L54" s="94" t="s">
        <v>8</v>
      </c>
      <c r="M54" s="168">
        <f>IF(R54="PD",((Shop*G54)+(M_Tech*H54)+(CMM*I54)+(ENG*J54)+(DES*K54))*N54,((Shop_RD*G54)+(MTECH_RD*H54)+(CMM_RD*I54)+(ENG_RD*J54)+(DES_RD*K54))*N54)</f>
        <v>0</v>
      </c>
      <c r="N54" s="90">
        <v>1</v>
      </c>
      <c r="O54" s="172">
        <f>M54+(F54*N54)</f>
        <v>0</v>
      </c>
      <c r="P54" s="172"/>
      <c r="Q54" s="51" t="s">
        <v>29</v>
      </c>
      <c r="R54" s="71" t="s">
        <v>152</v>
      </c>
      <c r="S54" s="138" t="str">
        <f>CONCATENATE(Q54,R54,AB54)</f>
        <v>BPTSTAR</v>
      </c>
      <c r="T54" s="138" t="str">
        <f>CONCATENATE(Q54,U54,AB54)</f>
        <v>B1.5.4.3STAR</v>
      </c>
      <c r="U54" s="138" t="s">
        <v>198</v>
      </c>
      <c r="V54" s="138" t="str">
        <f>LOOKUP(U54,$B$79:$B$105,$A$79:$A$105)</f>
        <v>Hall Modifications and Integrated Safety</v>
      </c>
      <c r="W54" s="19"/>
      <c r="X54" s="19"/>
      <c r="Y54" s="19"/>
      <c r="Z54" s="19"/>
      <c r="AA54" s="19"/>
      <c r="AB54" s="32" t="s">
        <v>132</v>
      </c>
      <c r="AC54" s="132">
        <f t="shared" si="52"/>
        <v>0</v>
      </c>
      <c r="AD54" s="132">
        <f t="shared" si="52"/>
        <v>0</v>
      </c>
      <c r="AE54" s="132">
        <f t="shared" si="52"/>
        <v>0</v>
      </c>
      <c r="AF54" s="132">
        <f t="shared" si="52"/>
        <v>0</v>
      </c>
      <c r="AG54" s="132">
        <f t="shared" si="52"/>
        <v>0</v>
      </c>
      <c r="AH54" s="226">
        <f>IF($Q54="B", (F54*$N54),0)</f>
        <v>0</v>
      </c>
      <c r="AI54" s="228"/>
      <c r="AJ54" s="234"/>
      <c r="AK54" s="234"/>
      <c r="AL54" s="168"/>
      <c r="AM54" s="131">
        <f t="shared" si="53"/>
        <v>0</v>
      </c>
      <c r="AN54" s="132">
        <f t="shared" si="53"/>
        <v>0</v>
      </c>
      <c r="AO54" s="132">
        <f t="shared" si="53"/>
        <v>0</v>
      </c>
      <c r="AP54" s="132">
        <f t="shared" si="53"/>
        <v>0</v>
      </c>
      <c r="AQ54" s="132">
        <f t="shared" si="53"/>
        <v>0</v>
      </c>
      <c r="AR54" s="132">
        <f>IF($Q54="C", (F54*$N54),0)</f>
        <v>0</v>
      </c>
      <c r="AS54" s="228"/>
    </row>
    <row r="55" spans="1:45" s="133" customFormat="1">
      <c r="A55" s="45" t="s">
        <v>175</v>
      </c>
      <c r="B55" s="94" t="s">
        <v>9</v>
      </c>
      <c r="C55" s="167">
        <v>1</v>
      </c>
      <c r="D55" s="94" t="s">
        <v>9</v>
      </c>
      <c r="E55" s="170">
        <v>10000</v>
      </c>
      <c r="F55" s="169">
        <f>E55*C55</f>
        <v>10000</v>
      </c>
      <c r="G55" s="170">
        <v>0</v>
      </c>
      <c r="H55" s="170">
        <v>0</v>
      </c>
      <c r="I55" s="170">
        <v>0</v>
      </c>
      <c r="J55" s="170">
        <v>0</v>
      </c>
      <c r="K55" s="170">
        <v>0</v>
      </c>
      <c r="L55" s="94" t="s">
        <v>8</v>
      </c>
      <c r="M55" s="168">
        <f>IF(R55="PD",((Shop*G55)+(M_Tech*H55)+(CMM*I55)+(ENG*J55)+(DES*K55))*N55,((Shop_RD*G55)+(MTECH_RD*H55)+(CMM_RD*I55)+(ENG_RD*J55)+(DES_RD*K55))*N55)</f>
        <v>0</v>
      </c>
      <c r="N55" s="90">
        <v>1</v>
      </c>
      <c r="O55" s="172">
        <f>M55+(F55*N55)</f>
        <v>10000</v>
      </c>
      <c r="P55" s="172"/>
      <c r="Q55" s="51" t="s">
        <v>30</v>
      </c>
      <c r="R55" s="71" t="s">
        <v>152</v>
      </c>
      <c r="S55" s="138" t="str">
        <f>CONCATENATE(Q55,R55,AB55)</f>
        <v>CPT2013</v>
      </c>
      <c r="T55" s="138" t="str">
        <f>CONCATENATE(Q55,U55,AB55)</f>
        <v>C1.5.4.32013</v>
      </c>
      <c r="U55" s="138" t="s">
        <v>198</v>
      </c>
      <c r="V55" s="138" t="str">
        <f>LOOKUP(U55,$B$79:$B$105,$A$79:$A$105)</f>
        <v>Hall Modifications and Integrated Safety</v>
      </c>
      <c r="W55" s="19"/>
      <c r="X55" s="19"/>
      <c r="Y55" s="19"/>
      <c r="Z55" s="19"/>
      <c r="AA55" s="19"/>
      <c r="AB55" s="32">
        <v>2013</v>
      </c>
      <c r="AC55" s="132">
        <f t="shared" si="52"/>
        <v>0</v>
      </c>
      <c r="AD55" s="132">
        <f t="shared" si="52"/>
        <v>0</v>
      </c>
      <c r="AE55" s="132">
        <f t="shared" si="52"/>
        <v>0</v>
      </c>
      <c r="AF55" s="132">
        <f t="shared" si="52"/>
        <v>0</v>
      </c>
      <c r="AG55" s="132">
        <f t="shared" si="52"/>
        <v>0</v>
      </c>
      <c r="AH55" s="226">
        <f>IF($Q55="B", (F55*$N55),0)</f>
        <v>0</v>
      </c>
      <c r="AI55" s="228"/>
      <c r="AJ55" s="234"/>
      <c r="AK55" s="234"/>
      <c r="AL55" s="168"/>
      <c r="AM55" s="131">
        <f t="shared" si="53"/>
        <v>0</v>
      </c>
      <c r="AN55" s="132">
        <f t="shared" si="53"/>
        <v>0</v>
      </c>
      <c r="AO55" s="132">
        <f t="shared" si="53"/>
        <v>0</v>
      </c>
      <c r="AP55" s="132">
        <f t="shared" si="53"/>
        <v>0</v>
      </c>
      <c r="AQ55" s="132">
        <f t="shared" si="53"/>
        <v>0</v>
      </c>
      <c r="AR55" s="132">
        <f>IF($Q55="C", (F55*$N55),0)</f>
        <v>10000</v>
      </c>
      <c r="AS55" s="228"/>
    </row>
    <row r="56" spans="1:45" s="49" customFormat="1">
      <c r="A56" s="46" t="s">
        <v>203</v>
      </c>
      <c r="C56" s="181"/>
      <c r="D56" s="109"/>
      <c r="E56" s="60"/>
      <c r="F56" s="61"/>
      <c r="G56" s="170"/>
      <c r="H56" s="170"/>
      <c r="I56" s="170"/>
      <c r="J56" s="170"/>
      <c r="K56" s="170"/>
      <c r="L56" s="209" t="s">
        <v>41</v>
      </c>
      <c r="M56" s="180">
        <f>SUMIF(Q51:Q55,"B",M51:M55)</f>
        <v>12960</v>
      </c>
      <c r="N56" s="65" t="s">
        <v>41</v>
      </c>
      <c r="O56" s="182"/>
      <c r="P56" s="182"/>
      <c r="Q56" s="51"/>
      <c r="R56" s="71"/>
      <c r="S56" s="138"/>
      <c r="T56" s="138"/>
      <c r="U56" s="138"/>
      <c r="V56" s="138"/>
      <c r="W56" s="19"/>
      <c r="X56" s="19"/>
      <c r="Y56" s="19"/>
      <c r="Z56" s="19"/>
      <c r="AA56" s="19"/>
      <c r="AB56" s="54"/>
      <c r="AC56" s="55"/>
      <c r="AD56" s="55"/>
      <c r="AE56" s="56"/>
      <c r="AF56" s="55"/>
      <c r="AG56" s="55"/>
      <c r="AH56" s="38"/>
      <c r="AI56" s="235"/>
      <c r="AJ56" s="55"/>
      <c r="AK56" s="55"/>
      <c r="AL56" s="168"/>
      <c r="AM56" s="57"/>
      <c r="AN56" s="55"/>
      <c r="AO56" s="55"/>
      <c r="AP56" s="55"/>
      <c r="AQ56" s="55"/>
      <c r="AR56" s="55"/>
      <c r="AS56" s="235"/>
    </row>
    <row r="57" spans="1:45" s="19" customFormat="1">
      <c r="A57" s="45" t="s">
        <v>218</v>
      </c>
      <c r="B57" s="94" t="s">
        <v>9</v>
      </c>
      <c r="C57" s="167">
        <v>1</v>
      </c>
      <c r="D57" s="94" t="s">
        <v>9</v>
      </c>
      <c r="E57" s="170">
        <v>0</v>
      </c>
      <c r="F57" s="169">
        <f t="shared" ref="F57:F62" si="64">E57*C57</f>
        <v>0</v>
      </c>
      <c r="G57" s="170">
        <v>0</v>
      </c>
      <c r="H57" s="170">
        <v>0</v>
      </c>
      <c r="I57" s="170">
        <v>0</v>
      </c>
      <c r="J57" s="170">
        <v>60</v>
      </c>
      <c r="K57" s="170">
        <v>0</v>
      </c>
      <c r="L57" s="94" t="s">
        <v>8</v>
      </c>
      <c r="M57" s="168">
        <f t="shared" ref="M57:M62" si="65">IF(R57="PD",((Shop*G57)+(M_Tech*H57)+(CMM*I57)+(ENG*J57)+(DES*K57))*N57,((Shop_RD*G57)+(MTECH_RD*H57)+(CMM_RD*I57)+(ENG_RD*J57)+(DES_RD*K57))*N57)</f>
        <v>9000</v>
      </c>
      <c r="N57" s="90">
        <v>1</v>
      </c>
      <c r="O57" s="172">
        <f t="shared" ref="O57:O62" si="66">M57+(F57*N57)</f>
        <v>9000</v>
      </c>
      <c r="P57" s="172"/>
      <c r="Q57" s="51" t="s">
        <v>29</v>
      </c>
      <c r="R57" s="71" t="s">
        <v>152</v>
      </c>
      <c r="S57" s="138" t="str">
        <f t="shared" ref="S57:S62" si="67">CONCATENATE(Q57,R57,AB57)</f>
        <v>BPT2012</v>
      </c>
      <c r="T57" s="138" t="str">
        <f t="shared" ref="T57:T62" si="68">CONCATENATE(Q57,U57,AB57)</f>
        <v>B1.5.4.32012</v>
      </c>
      <c r="U57" s="138" t="s">
        <v>198</v>
      </c>
      <c r="V57" s="138" t="str">
        <f t="shared" ref="V57:V62" si="69">LOOKUP(U57,$B$79:$B$105,$A$79:$A$105)</f>
        <v>Hall Modifications and Integrated Safety</v>
      </c>
      <c r="AB57" s="32">
        <v>2012</v>
      </c>
      <c r="AC57" s="132">
        <f t="shared" ref="AC57:AG58" si="70">IF($Q57="B", (G57*$N57),0)</f>
        <v>0</v>
      </c>
      <c r="AD57" s="132">
        <f t="shared" si="70"/>
        <v>0</v>
      </c>
      <c r="AE57" s="132">
        <f t="shared" si="70"/>
        <v>0</v>
      </c>
      <c r="AF57" s="132">
        <f t="shared" si="70"/>
        <v>60</v>
      </c>
      <c r="AG57" s="132">
        <f t="shared" si="70"/>
        <v>0</v>
      </c>
      <c r="AH57" s="226">
        <f t="shared" ref="AH57:AH62" si="71">IF($Q57="B", (F57*$N57),0)</f>
        <v>0</v>
      </c>
      <c r="AI57" s="227"/>
      <c r="AJ57" s="132"/>
      <c r="AK57" s="132"/>
      <c r="AL57" s="168"/>
      <c r="AM57" s="131">
        <f t="shared" ref="AM57:AQ58" si="72">IF($Q57="C", (G57*$N57),0)</f>
        <v>0</v>
      </c>
      <c r="AN57" s="132">
        <f t="shared" si="72"/>
        <v>0</v>
      </c>
      <c r="AO57" s="132">
        <f t="shared" si="72"/>
        <v>0</v>
      </c>
      <c r="AP57" s="132">
        <f t="shared" si="72"/>
        <v>0</v>
      </c>
      <c r="AQ57" s="132">
        <f t="shared" si="72"/>
        <v>0</v>
      </c>
      <c r="AR57" s="132">
        <f t="shared" ref="AR57:AR62" si="73">IF($Q57="C", (F57*$N57),0)</f>
        <v>0</v>
      </c>
      <c r="AS57" s="227"/>
    </row>
    <row r="58" spans="1:45" s="19" customFormat="1">
      <c r="A58" s="45" t="s">
        <v>219</v>
      </c>
      <c r="B58" s="94" t="s">
        <v>9</v>
      </c>
      <c r="C58" s="167">
        <v>1</v>
      </c>
      <c r="D58" s="94" t="s">
        <v>9</v>
      </c>
      <c r="E58" s="170">
        <v>0</v>
      </c>
      <c r="F58" s="169">
        <f t="shared" si="64"/>
        <v>0</v>
      </c>
      <c r="G58" s="170">
        <v>0</v>
      </c>
      <c r="H58" s="170">
        <v>8</v>
      </c>
      <c r="I58" s="170">
        <v>0</v>
      </c>
      <c r="J58" s="170">
        <v>16</v>
      </c>
      <c r="K58" s="170">
        <v>0</v>
      </c>
      <c r="L58" s="94" t="s">
        <v>8</v>
      </c>
      <c r="M58" s="168">
        <f t="shared" si="65"/>
        <v>3336</v>
      </c>
      <c r="N58" s="90">
        <v>1</v>
      </c>
      <c r="O58" s="172">
        <f t="shared" si="66"/>
        <v>3336</v>
      </c>
      <c r="P58" s="172"/>
      <c r="Q58" s="51" t="s">
        <v>29</v>
      </c>
      <c r="R58" s="71" t="s">
        <v>152</v>
      </c>
      <c r="S58" s="138" t="str">
        <f t="shared" si="67"/>
        <v>BPTSTAR</v>
      </c>
      <c r="T58" s="138" t="str">
        <f t="shared" si="68"/>
        <v>B1.5.4.3STAR</v>
      </c>
      <c r="U58" s="138" t="s">
        <v>198</v>
      </c>
      <c r="V58" s="138" t="str">
        <f t="shared" si="69"/>
        <v>Hall Modifications and Integrated Safety</v>
      </c>
      <c r="AB58" s="32" t="s">
        <v>132</v>
      </c>
      <c r="AC58" s="132">
        <f t="shared" si="70"/>
        <v>0</v>
      </c>
      <c r="AD58" s="132">
        <f t="shared" si="70"/>
        <v>8</v>
      </c>
      <c r="AE58" s="132">
        <f t="shared" si="70"/>
        <v>0</v>
      </c>
      <c r="AF58" s="132">
        <f t="shared" si="70"/>
        <v>16</v>
      </c>
      <c r="AG58" s="132">
        <f t="shared" si="70"/>
        <v>0</v>
      </c>
      <c r="AH58" s="226">
        <f t="shared" si="71"/>
        <v>0</v>
      </c>
      <c r="AI58" s="227"/>
      <c r="AJ58" s="132"/>
      <c r="AK58" s="132"/>
      <c r="AL58" s="168"/>
      <c r="AM58" s="131">
        <f t="shared" si="72"/>
        <v>0</v>
      </c>
      <c r="AN58" s="132">
        <f t="shared" si="72"/>
        <v>0</v>
      </c>
      <c r="AO58" s="132">
        <f t="shared" si="72"/>
        <v>0</v>
      </c>
      <c r="AP58" s="132">
        <f t="shared" si="72"/>
        <v>0</v>
      </c>
      <c r="AQ58" s="132">
        <f t="shared" si="72"/>
        <v>0</v>
      </c>
      <c r="AR58" s="132">
        <f t="shared" si="73"/>
        <v>0</v>
      </c>
      <c r="AS58" s="227"/>
    </row>
    <row r="59" spans="1:45" s="19" customFormat="1">
      <c r="A59" s="45" t="s">
        <v>192</v>
      </c>
      <c r="B59" s="94" t="s">
        <v>9</v>
      </c>
      <c r="C59" s="167">
        <v>1</v>
      </c>
      <c r="D59" s="94" t="s">
        <v>9</v>
      </c>
      <c r="E59" s="170">
        <v>0</v>
      </c>
      <c r="F59" s="169">
        <f t="shared" si="64"/>
        <v>0</v>
      </c>
      <c r="G59" s="170">
        <v>0</v>
      </c>
      <c r="H59" s="170">
        <v>16</v>
      </c>
      <c r="I59" s="170">
        <v>0</v>
      </c>
      <c r="J59" s="170">
        <v>8</v>
      </c>
      <c r="K59" s="170">
        <v>0</v>
      </c>
      <c r="L59" s="94" t="s">
        <v>8</v>
      </c>
      <c r="M59" s="168">
        <f t="shared" si="65"/>
        <v>3072</v>
      </c>
      <c r="N59" s="90">
        <v>1</v>
      </c>
      <c r="O59" s="172">
        <f t="shared" si="66"/>
        <v>3072</v>
      </c>
      <c r="P59" s="172"/>
      <c r="Q59" s="51" t="s">
        <v>29</v>
      </c>
      <c r="R59" s="71" t="s">
        <v>152</v>
      </c>
      <c r="S59" s="138" t="str">
        <f t="shared" si="67"/>
        <v>BPTSTAR</v>
      </c>
      <c r="T59" s="138" t="str">
        <f t="shared" si="68"/>
        <v>B1.5.4.3STAR</v>
      </c>
      <c r="U59" s="138" t="s">
        <v>198</v>
      </c>
      <c r="V59" s="138" t="str">
        <f t="shared" si="69"/>
        <v>Hall Modifications and Integrated Safety</v>
      </c>
      <c r="AB59" s="32" t="s">
        <v>132</v>
      </c>
      <c r="AC59" s="132">
        <f t="shared" ref="AC59:AG62" si="74">IF($Q59="B", (G59*$N59),0)</f>
        <v>0</v>
      </c>
      <c r="AD59" s="132">
        <f t="shared" si="74"/>
        <v>16</v>
      </c>
      <c r="AE59" s="132">
        <f t="shared" si="74"/>
        <v>0</v>
      </c>
      <c r="AF59" s="132">
        <f t="shared" si="74"/>
        <v>8</v>
      </c>
      <c r="AG59" s="132">
        <f t="shared" si="74"/>
        <v>0</v>
      </c>
      <c r="AH59" s="226">
        <f t="shared" si="71"/>
        <v>0</v>
      </c>
      <c r="AI59" s="227"/>
      <c r="AJ59" s="132"/>
      <c r="AK59" s="132"/>
      <c r="AL59" s="168"/>
      <c r="AM59" s="131">
        <f t="shared" ref="AM59:AQ62" si="75">IF($Q59="C", (G59*$N59),0)</f>
        <v>0</v>
      </c>
      <c r="AN59" s="132">
        <f t="shared" si="75"/>
        <v>0</v>
      </c>
      <c r="AO59" s="132">
        <f t="shared" si="75"/>
        <v>0</v>
      </c>
      <c r="AP59" s="132">
        <f t="shared" si="75"/>
        <v>0</v>
      </c>
      <c r="AQ59" s="132">
        <f t="shared" si="75"/>
        <v>0</v>
      </c>
      <c r="AR59" s="132">
        <f t="shared" si="73"/>
        <v>0</v>
      </c>
      <c r="AS59" s="227"/>
    </row>
    <row r="60" spans="1:45" s="19" customFormat="1">
      <c r="A60" s="45" t="s">
        <v>219</v>
      </c>
      <c r="B60" s="94" t="s">
        <v>9</v>
      </c>
      <c r="C60" s="167">
        <v>1</v>
      </c>
      <c r="D60" s="94" t="s">
        <v>9</v>
      </c>
      <c r="E60" s="170">
        <v>20000</v>
      </c>
      <c r="F60" s="169">
        <f t="shared" si="64"/>
        <v>20000</v>
      </c>
      <c r="G60" s="170">
        <v>0</v>
      </c>
      <c r="H60" s="170">
        <v>8</v>
      </c>
      <c r="I60" s="170">
        <v>0</v>
      </c>
      <c r="J60" s="170">
        <v>16</v>
      </c>
      <c r="K60" s="170">
        <v>0</v>
      </c>
      <c r="L60" s="94" t="s">
        <v>8</v>
      </c>
      <c r="M60" s="168">
        <f t="shared" si="65"/>
        <v>3336</v>
      </c>
      <c r="N60" s="90">
        <v>1</v>
      </c>
      <c r="O60" s="172">
        <f t="shared" si="66"/>
        <v>23336</v>
      </c>
      <c r="P60" s="172"/>
      <c r="Q60" s="51" t="s">
        <v>29</v>
      </c>
      <c r="R60" s="71" t="s">
        <v>152</v>
      </c>
      <c r="S60" s="138" t="str">
        <f t="shared" si="67"/>
        <v>BPT2012</v>
      </c>
      <c r="T60" s="138" t="str">
        <f t="shared" si="68"/>
        <v>B1.5.4.32012</v>
      </c>
      <c r="U60" s="138" t="s">
        <v>198</v>
      </c>
      <c r="V60" s="138" t="str">
        <f t="shared" si="69"/>
        <v>Hall Modifications and Integrated Safety</v>
      </c>
      <c r="AB60" s="32">
        <v>2012</v>
      </c>
      <c r="AC60" s="132">
        <f t="shared" si="74"/>
        <v>0</v>
      </c>
      <c r="AD60" s="132">
        <f t="shared" si="74"/>
        <v>8</v>
      </c>
      <c r="AE60" s="132">
        <f t="shared" si="74"/>
        <v>0</v>
      </c>
      <c r="AF60" s="132">
        <f t="shared" si="74"/>
        <v>16</v>
      </c>
      <c r="AG60" s="132">
        <f t="shared" si="74"/>
        <v>0</v>
      </c>
      <c r="AH60" s="226">
        <f t="shared" si="71"/>
        <v>20000</v>
      </c>
      <c r="AI60" s="227"/>
      <c r="AJ60" s="132"/>
      <c r="AK60" s="132"/>
      <c r="AL60" s="168"/>
      <c r="AM60" s="131">
        <f t="shared" si="75"/>
        <v>0</v>
      </c>
      <c r="AN60" s="132">
        <f t="shared" si="75"/>
        <v>0</v>
      </c>
      <c r="AO60" s="132">
        <f t="shared" si="75"/>
        <v>0</v>
      </c>
      <c r="AP60" s="132">
        <f t="shared" si="75"/>
        <v>0</v>
      </c>
      <c r="AQ60" s="132">
        <f t="shared" si="75"/>
        <v>0</v>
      </c>
      <c r="AR60" s="132">
        <f t="shared" si="73"/>
        <v>0</v>
      </c>
      <c r="AS60" s="227"/>
    </row>
    <row r="61" spans="1:45" s="19" customFormat="1">
      <c r="A61" s="45" t="s">
        <v>192</v>
      </c>
      <c r="B61" s="94" t="s">
        <v>9</v>
      </c>
      <c r="C61" s="167">
        <v>1</v>
      </c>
      <c r="D61" s="94" t="s">
        <v>9</v>
      </c>
      <c r="E61" s="170">
        <v>5000</v>
      </c>
      <c r="F61" s="169">
        <f t="shared" si="64"/>
        <v>5000</v>
      </c>
      <c r="G61" s="170">
        <v>0</v>
      </c>
      <c r="H61" s="170">
        <v>16</v>
      </c>
      <c r="I61" s="170">
        <v>0</v>
      </c>
      <c r="J61" s="170">
        <v>8</v>
      </c>
      <c r="K61" s="170">
        <v>0</v>
      </c>
      <c r="L61" s="94" t="s">
        <v>8</v>
      </c>
      <c r="M61" s="168">
        <f t="shared" si="65"/>
        <v>3072</v>
      </c>
      <c r="N61" s="90">
        <v>1</v>
      </c>
      <c r="O61" s="172">
        <f t="shared" si="66"/>
        <v>8072</v>
      </c>
      <c r="P61" s="172"/>
      <c r="Q61" s="51" t="s">
        <v>29</v>
      </c>
      <c r="R61" s="71" t="s">
        <v>152</v>
      </c>
      <c r="S61" s="138" t="str">
        <f t="shared" si="67"/>
        <v>BPT2012</v>
      </c>
      <c r="T61" s="138" t="str">
        <f t="shared" si="68"/>
        <v>B1.5.4.32012</v>
      </c>
      <c r="U61" s="138" t="s">
        <v>198</v>
      </c>
      <c r="V61" s="138" t="str">
        <f t="shared" si="69"/>
        <v>Hall Modifications and Integrated Safety</v>
      </c>
      <c r="AB61" s="32">
        <v>2012</v>
      </c>
      <c r="AC61" s="132">
        <f t="shared" ref="AC61" si="76">IF($Q61="B", (G61*$N61),0)</f>
        <v>0</v>
      </c>
      <c r="AD61" s="132">
        <f t="shared" ref="AD61" si="77">IF($Q61="B", (H61*$N61),0)</f>
        <v>16</v>
      </c>
      <c r="AE61" s="132">
        <f t="shared" ref="AE61" si="78">IF($Q61="B", (I61*$N61),0)</f>
        <v>0</v>
      </c>
      <c r="AF61" s="132">
        <f t="shared" ref="AF61" si="79">IF($Q61="B", (J61*$N61),0)</f>
        <v>8</v>
      </c>
      <c r="AG61" s="132">
        <f t="shared" ref="AG61" si="80">IF($Q61="B", (K61*$N61),0)</f>
        <v>0</v>
      </c>
      <c r="AH61" s="226">
        <f t="shared" si="71"/>
        <v>5000</v>
      </c>
      <c r="AI61" s="227"/>
      <c r="AJ61" s="132"/>
      <c r="AK61" s="132"/>
      <c r="AL61" s="168"/>
      <c r="AM61" s="131">
        <f t="shared" ref="AM61" si="81">IF($Q61="C", (G61*$N61),0)</f>
        <v>0</v>
      </c>
      <c r="AN61" s="132">
        <f t="shared" ref="AN61" si="82">IF($Q61="C", (H61*$N61),0)</f>
        <v>0</v>
      </c>
      <c r="AO61" s="132">
        <f t="shared" ref="AO61" si="83">IF($Q61="C", (I61*$N61),0)</f>
        <v>0</v>
      </c>
      <c r="AP61" s="132">
        <f t="shared" ref="AP61" si="84">IF($Q61="C", (J61*$N61),0)</f>
        <v>0</v>
      </c>
      <c r="AQ61" s="132">
        <f t="shared" ref="AQ61" si="85">IF($Q61="C", (K61*$N61),0)</f>
        <v>0</v>
      </c>
      <c r="AR61" s="132">
        <f t="shared" si="73"/>
        <v>0</v>
      </c>
      <c r="AS61" s="227"/>
    </row>
    <row r="62" spans="1:45" s="19" customFormat="1">
      <c r="A62" s="45" t="s">
        <v>175</v>
      </c>
      <c r="B62" s="94" t="s">
        <v>9</v>
      </c>
      <c r="C62" s="167">
        <v>1</v>
      </c>
      <c r="D62" s="94" t="s">
        <v>9</v>
      </c>
      <c r="E62" s="170">
        <v>10000</v>
      </c>
      <c r="F62" s="169">
        <f t="shared" si="64"/>
        <v>10000</v>
      </c>
      <c r="G62" s="170">
        <v>0</v>
      </c>
      <c r="H62" s="170">
        <v>32</v>
      </c>
      <c r="I62" s="170">
        <v>0</v>
      </c>
      <c r="J62" s="170">
        <v>32</v>
      </c>
      <c r="K62" s="170">
        <v>0</v>
      </c>
      <c r="L62" s="94" t="s">
        <v>8</v>
      </c>
      <c r="M62" s="168">
        <f t="shared" si="65"/>
        <v>8544</v>
      </c>
      <c r="N62" s="90">
        <v>1</v>
      </c>
      <c r="O62" s="172">
        <f t="shared" si="66"/>
        <v>18544</v>
      </c>
      <c r="P62" s="172"/>
      <c r="Q62" s="51" t="s">
        <v>30</v>
      </c>
      <c r="R62" s="71" t="s">
        <v>152</v>
      </c>
      <c r="S62" s="138" t="str">
        <f t="shared" si="67"/>
        <v>CPT2012</v>
      </c>
      <c r="T62" s="138" t="str">
        <f t="shared" si="68"/>
        <v>C1.5.4.32012</v>
      </c>
      <c r="U62" s="138" t="s">
        <v>198</v>
      </c>
      <c r="V62" s="138" t="str">
        <f t="shared" si="69"/>
        <v>Hall Modifications and Integrated Safety</v>
      </c>
      <c r="AB62" s="32">
        <v>2012</v>
      </c>
      <c r="AC62" s="132">
        <f t="shared" si="74"/>
        <v>0</v>
      </c>
      <c r="AD62" s="132">
        <f t="shared" si="74"/>
        <v>0</v>
      </c>
      <c r="AE62" s="132">
        <f t="shared" si="74"/>
        <v>0</v>
      </c>
      <c r="AF62" s="132">
        <f t="shared" si="74"/>
        <v>0</v>
      </c>
      <c r="AG62" s="132">
        <f t="shared" si="74"/>
        <v>0</v>
      </c>
      <c r="AH62" s="226">
        <f t="shared" si="71"/>
        <v>0</v>
      </c>
      <c r="AI62" s="227"/>
      <c r="AJ62" s="132"/>
      <c r="AK62" s="132"/>
      <c r="AL62" s="168"/>
      <c r="AM62" s="131">
        <f t="shared" si="75"/>
        <v>0</v>
      </c>
      <c r="AN62" s="132">
        <f t="shared" si="75"/>
        <v>32</v>
      </c>
      <c r="AO62" s="132">
        <f t="shared" si="75"/>
        <v>0</v>
      </c>
      <c r="AP62" s="132">
        <f t="shared" si="75"/>
        <v>32</v>
      </c>
      <c r="AQ62" s="132">
        <f t="shared" si="75"/>
        <v>0</v>
      </c>
      <c r="AR62" s="132">
        <f t="shared" si="73"/>
        <v>10000</v>
      </c>
      <c r="AS62" s="227"/>
    </row>
    <row r="63" spans="1:45" s="49" customFormat="1">
      <c r="A63" s="46" t="s">
        <v>220</v>
      </c>
      <c r="C63" s="181"/>
      <c r="D63" s="109"/>
      <c r="E63" s="60"/>
      <c r="F63" s="61"/>
      <c r="G63" s="170"/>
      <c r="H63" s="170"/>
      <c r="I63" s="170"/>
      <c r="J63" s="170"/>
      <c r="K63" s="170"/>
      <c r="L63" s="209" t="s">
        <v>41</v>
      </c>
      <c r="M63" s="180">
        <f>SUMIF(Q57:Q62,"B",M57:M62)</f>
        <v>21816</v>
      </c>
      <c r="N63" s="65" t="s">
        <v>41</v>
      </c>
      <c r="O63" s="182"/>
      <c r="P63" s="182"/>
      <c r="Q63" s="51"/>
      <c r="R63" s="71"/>
      <c r="S63" s="138"/>
      <c r="T63" s="138"/>
      <c r="U63" s="138"/>
      <c r="V63" s="138"/>
      <c r="W63" s="19"/>
      <c r="X63" s="19"/>
      <c r="Y63" s="19"/>
      <c r="Z63" s="19"/>
      <c r="AA63" s="19"/>
      <c r="AB63" s="54"/>
      <c r="AC63" s="55"/>
      <c r="AD63" s="55"/>
      <c r="AE63" s="56"/>
      <c r="AF63" s="55"/>
      <c r="AG63" s="55"/>
      <c r="AH63" s="38"/>
      <c r="AI63" s="235"/>
      <c r="AJ63" s="55"/>
      <c r="AK63" s="55"/>
      <c r="AL63" s="168"/>
      <c r="AM63" s="57"/>
      <c r="AN63" s="55"/>
      <c r="AO63" s="55"/>
      <c r="AP63" s="55"/>
      <c r="AQ63" s="55"/>
      <c r="AR63" s="55"/>
      <c r="AS63" s="235"/>
    </row>
    <row r="64" spans="1:45" s="19" customFormat="1">
      <c r="A64" s="45" t="s">
        <v>217</v>
      </c>
      <c r="B64" s="94" t="s">
        <v>9</v>
      </c>
      <c r="C64" s="167">
        <v>1</v>
      </c>
      <c r="D64" s="94" t="s">
        <v>9</v>
      </c>
      <c r="E64" s="170">
        <v>0</v>
      </c>
      <c r="F64" s="169">
        <f t="shared" ref="F64:F69" si="86">E64*C64</f>
        <v>0</v>
      </c>
      <c r="G64" s="170">
        <v>0</v>
      </c>
      <c r="H64" s="170">
        <v>0</v>
      </c>
      <c r="I64" s="170">
        <v>0</v>
      </c>
      <c r="J64" s="170">
        <v>0</v>
      </c>
      <c r="K64" s="170">
        <v>0</v>
      </c>
      <c r="L64" s="94" t="s">
        <v>8</v>
      </c>
      <c r="M64" s="168">
        <f t="shared" ref="M64:M69" si="87">IF(R64="PD",((Shop*G64)+(M_Tech*H64)+(CMM*I64)+(ENG*J64)+(DES*K64))*N64,((Shop_RD*G64)+(MTECH_RD*H64)+(CMM_RD*I64)+(ENG_RD*J64)+(DES_RD*K64))*N64)</f>
        <v>0</v>
      </c>
      <c r="N64" s="90">
        <v>1</v>
      </c>
      <c r="O64" s="172">
        <f t="shared" ref="O64:O69" si="88">M64+(F64*N64)</f>
        <v>0</v>
      </c>
      <c r="P64" s="172"/>
      <c r="Q64" s="51" t="s">
        <v>29</v>
      </c>
      <c r="R64" s="71" t="s">
        <v>48</v>
      </c>
      <c r="S64" s="138" t="str">
        <f t="shared" ref="S64:S69" si="89">CONCATENATE(Q64,R64,AB64)</f>
        <v>BPDSTAR</v>
      </c>
      <c r="T64" s="138" t="str">
        <f t="shared" ref="T64:T69" si="90">CONCATENATE(Q64,U64,AB64)</f>
        <v>B1.5.4.3STAR</v>
      </c>
      <c r="U64" s="138" t="s">
        <v>198</v>
      </c>
      <c r="V64" s="138" t="str">
        <f t="shared" ref="V64:V69" si="91">LOOKUP(U64,$B$79:$B$105,$A$79:$A$105)</f>
        <v>Hall Modifications and Integrated Safety</v>
      </c>
      <c r="AB64" s="32" t="s">
        <v>132</v>
      </c>
      <c r="AC64" s="132">
        <f t="shared" ref="AC64:AC69" si="92">IF($Q64="B", (G64*$N64),0)</f>
        <v>0</v>
      </c>
      <c r="AD64" s="132">
        <f t="shared" ref="AD64:AD69" si="93">IF($Q64="B", (H64*$N64),0)</f>
        <v>0</v>
      </c>
      <c r="AE64" s="132">
        <f t="shared" ref="AE64:AE69" si="94">IF($Q64="B", (I64*$N64),0)</f>
        <v>0</v>
      </c>
      <c r="AF64" s="132">
        <f t="shared" ref="AF64:AF69" si="95">IF($Q64="B", (J64*$N64),0)</f>
        <v>0</v>
      </c>
      <c r="AG64" s="132">
        <f t="shared" ref="AG64:AG69" si="96">IF($Q64="B", (K64*$N64),0)</f>
        <v>0</v>
      </c>
      <c r="AH64" s="226">
        <f t="shared" ref="AH64:AH69" si="97">IF($Q64="B", (F64*$N64),0)</f>
        <v>0</v>
      </c>
      <c r="AI64" s="227"/>
      <c r="AJ64" s="132"/>
      <c r="AK64" s="132"/>
      <c r="AL64" s="168"/>
      <c r="AM64" s="131">
        <f t="shared" ref="AM64:AM69" si="98">IF($Q64="C", (G64*$N64),0)</f>
        <v>0</v>
      </c>
      <c r="AN64" s="132">
        <f t="shared" ref="AN64:AN69" si="99">IF($Q64="C", (H64*$N64),0)</f>
        <v>0</v>
      </c>
      <c r="AO64" s="132">
        <f t="shared" ref="AO64:AO69" si="100">IF($Q64="C", (I64*$N64),0)</f>
        <v>0</v>
      </c>
      <c r="AP64" s="132">
        <f t="shared" ref="AP64:AP69" si="101">IF($Q64="C", (J64*$N64),0)</f>
        <v>0</v>
      </c>
      <c r="AQ64" s="132">
        <f t="shared" ref="AQ64:AQ69" si="102">IF($Q64="C", (K64*$N64),0)</f>
        <v>0</v>
      </c>
      <c r="AR64" s="132">
        <f t="shared" ref="AR64:AR69" si="103">IF($Q64="C", (F64*$N64),0)</f>
        <v>0</v>
      </c>
      <c r="AS64" s="227"/>
    </row>
    <row r="65" spans="1:46" s="19" customFormat="1">
      <c r="A65" s="45" t="s">
        <v>217</v>
      </c>
      <c r="B65" s="94" t="s">
        <v>9</v>
      </c>
      <c r="C65" s="167">
        <v>1</v>
      </c>
      <c r="D65" s="94" t="s">
        <v>9</v>
      </c>
      <c r="E65" s="170">
        <v>0</v>
      </c>
      <c r="F65" s="169">
        <f t="shared" si="86"/>
        <v>0</v>
      </c>
      <c r="G65" s="170">
        <v>0</v>
      </c>
      <c r="H65" s="170">
        <v>0</v>
      </c>
      <c r="I65" s="170">
        <v>0</v>
      </c>
      <c r="J65" s="170">
        <v>0</v>
      </c>
      <c r="K65" s="170">
        <v>0</v>
      </c>
      <c r="L65" s="94" t="s">
        <v>8</v>
      </c>
      <c r="M65" s="168">
        <f t="shared" si="87"/>
        <v>0</v>
      </c>
      <c r="N65" s="90">
        <v>1</v>
      </c>
      <c r="O65" s="172">
        <f t="shared" si="88"/>
        <v>0</v>
      </c>
      <c r="P65" s="172"/>
      <c r="Q65" s="51" t="s">
        <v>29</v>
      </c>
      <c r="R65" s="71" t="s">
        <v>48</v>
      </c>
      <c r="S65" s="138" t="str">
        <f t="shared" si="89"/>
        <v>BPDSTAR</v>
      </c>
      <c r="T65" s="138" t="str">
        <f t="shared" si="90"/>
        <v>B1.5.4.3STAR</v>
      </c>
      <c r="U65" s="138" t="s">
        <v>198</v>
      </c>
      <c r="V65" s="138" t="str">
        <f t="shared" si="91"/>
        <v>Hall Modifications and Integrated Safety</v>
      </c>
      <c r="AB65" s="32" t="s">
        <v>132</v>
      </c>
      <c r="AC65" s="132">
        <f t="shared" si="92"/>
        <v>0</v>
      </c>
      <c r="AD65" s="132">
        <f t="shared" si="93"/>
        <v>0</v>
      </c>
      <c r="AE65" s="132">
        <f t="shared" si="94"/>
        <v>0</v>
      </c>
      <c r="AF65" s="132">
        <f t="shared" si="95"/>
        <v>0</v>
      </c>
      <c r="AG65" s="132">
        <f t="shared" si="96"/>
        <v>0</v>
      </c>
      <c r="AH65" s="226">
        <f t="shared" si="97"/>
        <v>0</v>
      </c>
      <c r="AI65" s="227"/>
      <c r="AJ65" s="132"/>
      <c r="AK65" s="132"/>
      <c r="AL65" s="168"/>
      <c r="AM65" s="131">
        <f t="shared" si="98"/>
        <v>0</v>
      </c>
      <c r="AN65" s="132">
        <f t="shared" si="99"/>
        <v>0</v>
      </c>
      <c r="AO65" s="132">
        <f t="shared" si="100"/>
        <v>0</v>
      </c>
      <c r="AP65" s="132">
        <f t="shared" si="101"/>
        <v>0</v>
      </c>
      <c r="AQ65" s="132">
        <f t="shared" si="102"/>
        <v>0</v>
      </c>
      <c r="AR65" s="132">
        <f t="shared" si="103"/>
        <v>0</v>
      </c>
      <c r="AS65" s="227"/>
    </row>
    <row r="66" spans="1:46" s="19" customFormat="1">
      <c r="A66" s="45" t="s">
        <v>217</v>
      </c>
      <c r="B66" s="94" t="s">
        <v>9</v>
      </c>
      <c r="C66" s="167">
        <v>1</v>
      </c>
      <c r="D66" s="94" t="s">
        <v>9</v>
      </c>
      <c r="E66" s="170">
        <v>0</v>
      </c>
      <c r="F66" s="169">
        <f t="shared" si="86"/>
        <v>0</v>
      </c>
      <c r="G66" s="170">
        <v>0</v>
      </c>
      <c r="H66" s="170">
        <v>0</v>
      </c>
      <c r="I66" s="170">
        <v>0</v>
      </c>
      <c r="J66" s="170">
        <v>0</v>
      </c>
      <c r="K66" s="170">
        <v>0</v>
      </c>
      <c r="L66" s="94" t="s">
        <v>8</v>
      </c>
      <c r="M66" s="168">
        <f t="shared" si="87"/>
        <v>0</v>
      </c>
      <c r="N66" s="90">
        <v>1</v>
      </c>
      <c r="O66" s="172">
        <f t="shared" si="88"/>
        <v>0</v>
      </c>
      <c r="P66" s="172"/>
      <c r="Q66" s="51" t="s">
        <v>29</v>
      </c>
      <c r="R66" s="71" t="s">
        <v>48</v>
      </c>
      <c r="S66" s="138" t="str">
        <f t="shared" si="89"/>
        <v>BPDSTAR</v>
      </c>
      <c r="T66" s="138" t="str">
        <f t="shared" si="90"/>
        <v>B1.5.4.3STAR</v>
      </c>
      <c r="U66" s="138" t="s">
        <v>198</v>
      </c>
      <c r="V66" s="138" t="str">
        <f t="shared" si="91"/>
        <v>Hall Modifications and Integrated Safety</v>
      </c>
      <c r="AB66" s="32" t="s">
        <v>132</v>
      </c>
      <c r="AC66" s="132">
        <f t="shared" si="92"/>
        <v>0</v>
      </c>
      <c r="AD66" s="132">
        <f t="shared" si="93"/>
        <v>0</v>
      </c>
      <c r="AE66" s="132">
        <f t="shared" si="94"/>
        <v>0</v>
      </c>
      <c r="AF66" s="132">
        <f t="shared" si="95"/>
        <v>0</v>
      </c>
      <c r="AG66" s="132">
        <f t="shared" si="96"/>
        <v>0</v>
      </c>
      <c r="AH66" s="226">
        <f t="shared" si="97"/>
        <v>0</v>
      </c>
      <c r="AI66" s="227"/>
      <c r="AJ66" s="132"/>
      <c r="AK66" s="132"/>
      <c r="AL66" s="168"/>
      <c r="AM66" s="131">
        <f t="shared" si="98"/>
        <v>0</v>
      </c>
      <c r="AN66" s="132">
        <f t="shared" si="99"/>
        <v>0</v>
      </c>
      <c r="AO66" s="132">
        <f t="shared" si="100"/>
        <v>0</v>
      </c>
      <c r="AP66" s="132">
        <f t="shared" si="101"/>
        <v>0</v>
      </c>
      <c r="AQ66" s="132">
        <f t="shared" si="102"/>
        <v>0</v>
      </c>
      <c r="AR66" s="132">
        <f t="shared" si="103"/>
        <v>0</v>
      </c>
      <c r="AS66" s="227"/>
    </row>
    <row r="67" spans="1:46" s="19" customFormat="1">
      <c r="A67" s="45" t="s">
        <v>217</v>
      </c>
      <c r="B67" s="94" t="s">
        <v>9</v>
      </c>
      <c r="C67" s="167">
        <v>1</v>
      </c>
      <c r="D67" s="94" t="s">
        <v>9</v>
      </c>
      <c r="E67" s="170">
        <v>0</v>
      </c>
      <c r="F67" s="169">
        <f t="shared" si="86"/>
        <v>0</v>
      </c>
      <c r="G67" s="170">
        <v>0</v>
      </c>
      <c r="H67" s="170">
        <v>0</v>
      </c>
      <c r="I67" s="170">
        <v>0</v>
      </c>
      <c r="J67" s="170">
        <v>0</v>
      </c>
      <c r="K67" s="170">
        <v>0</v>
      </c>
      <c r="L67" s="94" t="s">
        <v>8</v>
      </c>
      <c r="M67" s="168">
        <f t="shared" si="87"/>
        <v>0</v>
      </c>
      <c r="N67" s="90">
        <v>1</v>
      </c>
      <c r="O67" s="172">
        <f t="shared" si="88"/>
        <v>0</v>
      </c>
      <c r="P67" s="172"/>
      <c r="Q67" s="51" t="s">
        <v>29</v>
      </c>
      <c r="R67" s="71" t="s">
        <v>48</v>
      </c>
      <c r="S67" s="138" t="str">
        <f t="shared" si="89"/>
        <v>BPDSTAR</v>
      </c>
      <c r="T67" s="138" t="str">
        <f t="shared" si="90"/>
        <v>B1.5.4.3STAR</v>
      </c>
      <c r="U67" s="138" t="s">
        <v>198</v>
      </c>
      <c r="V67" s="138" t="str">
        <f t="shared" si="91"/>
        <v>Hall Modifications and Integrated Safety</v>
      </c>
      <c r="AB67" s="32" t="s">
        <v>132</v>
      </c>
      <c r="AC67" s="132">
        <f t="shared" si="92"/>
        <v>0</v>
      </c>
      <c r="AD67" s="132">
        <f t="shared" si="93"/>
        <v>0</v>
      </c>
      <c r="AE67" s="132">
        <f t="shared" si="94"/>
        <v>0</v>
      </c>
      <c r="AF67" s="132">
        <f t="shared" si="95"/>
        <v>0</v>
      </c>
      <c r="AG67" s="132">
        <f t="shared" si="96"/>
        <v>0</v>
      </c>
      <c r="AH67" s="226">
        <f t="shared" si="97"/>
        <v>0</v>
      </c>
      <c r="AI67" s="227"/>
      <c r="AJ67" s="132"/>
      <c r="AK67" s="132"/>
      <c r="AL67" s="168"/>
      <c r="AM67" s="131">
        <f t="shared" si="98"/>
        <v>0</v>
      </c>
      <c r="AN67" s="132">
        <f t="shared" si="99"/>
        <v>0</v>
      </c>
      <c r="AO67" s="132">
        <f t="shared" si="100"/>
        <v>0</v>
      </c>
      <c r="AP67" s="132">
        <f t="shared" si="101"/>
        <v>0</v>
      </c>
      <c r="AQ67" s="132">
        <f t="shared" si="102"/>
        <v>0</v>
      </c>
      <c r="AR67" s="132">
        <f t="shared" si="103"/>
        <v>0</v>
      </c>
      <c r="AS67" s="227"/>
    </row>
    <row r="68" spans="1:46" s="19" customFormat="1">
      <c r="A68" s="45" t="s">
        <v>217</v>
      </c>
      <c r="B68" s="94" t="s">
        <v>9</v>
      </c>
      <c r="C68" s="167">
        <v>1</v>
      </c>
      <c r="D68" s="94" t="s">
        <v>9</v>
      </c>
      <c r="E68" s="170">
        <v>0</v>
      </c>
      <c r="F68" s="169">
        <f t="shared" si="86"/>
        <v>0</v>
      </c>
      <c r="G68" s="170">
        <v>0</v>
      </c>
      <c r="H68" s="170">
        <v>0</v>
      </c>
      <c r="I68" s="170">
        <v>0</v>
      </c>
      <c r="J68" s="170">
        <v>0</v>
      </c>
      <c r="K68" s="170">
        <v>0</v>
      </c>
      <c r="L68" s="94" t="s">
        <v>8</v>
      </c>
      <c r="M68" s="168">
        <f t="shared" si="87"/>
        <v>0</v>
      </c>
      <c r="N68" s="90">
        <v>3</v>
      </c>
      <c r="O68" s="172">
        <f t="shared" si="88"/>
        <v>0</v>
      </c>
      <c r="P68" s="172"/>
      <c r="Q68" s="51" t="s">
        <v>30</v>
      </c>
      <c r="R68" s="71" t="s">
        <v>48</v>
      </c>
      <c r="S68" s="138" t="str">
        <f t="shared" si="89"/>
        <v>CPDSTAR</v>
      </c>
      <c r="T68" s="138" t="str">
        <f t="shared" si="90"/>
        <v>C1.5.4.3STAR</v>
      </c>
      <c r="U68" s="138" t="s">
        <v>198</v>
      </c>
      <c r="V68" s="138" t="str">
        <f t="shared" si="91"/>
        <v>Hall Modifications and Integrated Safety</v>
      </c>
      <c r="AB68" s="32" t="s">
        <v>132</v>
      </c>
      <c r="AC68" s="132">
        <f t="shared" si="92"/>
        <v>0</v>
      </c>
      <c r="AD68" s="132">
        <f t="shared" si="93"/>
        <v>0</v>
      </c>
      <c r="AE68" s="132">
        <f t="shared" si="94"/>
        <v>0</v>
      </c>
      <c r="AF68" s="132">
        <f t="shared" si="95"/>
        <v>0</v>
      </c>
      <c r="AG68" s="132">
        <f t="shared" si="96"/>
        <v>0</v>
      </c>
      <c r="AH68" s="226">
        <f t="shared" si="97"/>
        <v>0</v>
      </c>
      <c r="AI68" s="227"/>
      <c r="AJ68" s="132"/>
      <c r="AK68" s="132"/>
      <c r="AL68" s="168"/>
      <c r="AM68" s="131">
        <f t="shared" si="98"/>
        <v>0</v>
      </c>
      <c r="AN68" s="132">
        <f t="shared" si="99"/>
        <v>0</v>
      </c>
      <c r="AO68" s="132">
        <f t="shared" si="100"/>
        <v>0</v>
      </c>
      <c r="AP68" s="132">
        <f t="shared" si="101"/>
        <v>0</v>
      </c>
      <c r="AQ68" s="132">
        <f t="shared" si="102"/>
        <v>0</v>
      </c>
      <c r="AR68" s="132">
        <f t="shared" si="103"/>
        <v>0</v>
      </c>
      <c r="AS68" s="227"/>
    </row>
    <row r="69" spans="1:46" s="19" customFormat="1">
      <c r="A69" s="45" t="s">
        <v>175</v>
      </c>
      <c r="B69" s="94" t="s">
        <v>9</v>
      </c>
      <c r="C69" s="167">
        <v>1</v>
      </c>
      <c r="D69" s="94" t="s">
        <v>9</v>
      </c>
      <c r="E69" s="170">
        <v>0</v>
      </c>
      <c r="F69" s="169">
        <f t="shared" si="86"/>
        <v>0</v>
      </c>
      <c r="G69" s="170">
        <v>0</v>
      </c>
      <c r="H69" s="170">
        <v>0</v>
      </c>
      <c r="I69" s="170">
        <v>0</v>
      </c>
      <c r="J69" s="170">
        <v>0</v>
      </c>
      <c r="K69" s="170">
        <v>0</v>
      </c>
      <c r="L69" s="94" t="s">
        <v>8</v>
      </c>
      <c r="M69" s="168">
        <f t="shared" si="87"/>
        <v>0</v>
      </c>
      <c r="N69" s="90">
        <v>1</v>
      </c>
      <c r="O69" s="172">
        <f t="shared" si="88"/>
        <v>0</v>
      </c>
      <c r="P69" s="172"/>
      <c r="Q69" s="51" t="s">
        <v>30</v>
      </c>
      <c r="R69" s="71" t="s">
        <v>48</v>
      </c>
      <c r="S69" s="138" t="str">
        <f t="shared" si="89"/>
        <v>CPDSTAR</v>
      </c>
      <c r="T69" s="138" t="str">
        <f t="shared" si="90"/>
        <v>C1.5.4.3STAR</v>
      </c>
      <c r="U69" s="138" t="s">
        <v>198</v>
      </c>
      <c r="V69" s="138" t="str">
        <f t="shared" si="91"/>
        <v>Hall Modifications and Integrated Safety</v>
      </c>
      <c r="AB69" s="32" t="s">
        <v>132</v>
      </c>
      <c r="AC69" s="132">
        <f t="shared" si="92"/>
        <v>0</v>
      </c>
      <c r="AD69" s="132">
        <f t="shared" si="93"/>
        <v>0</v>
      </c>
      <c r="AE69" s="132">
        <f t="shared" si="94"/>
        <v>0</v>
      </c>
      <c r="AF69" s="132">
        <f t="shared" si="95"/>
        <v>0</v>
      </c>
      <c r="AG69" s="132">
        <f t="shared" si="96"/>
        <v>0</v>
      </c>
      <c r="AH69" s="226">
        <f t="shared" si="97"/>
        <v>0</v>
      </c>
      <c r="AI69" s="227"/>
      <c r="AJ69" s="132"/>
      <c r="AK69" s="132"/>
      <c r="AL69" s="168"/>
      <c r="AM69" s="131">
        <f t="shared" si="98"/>
        <v>0</v>
      </c>
      <c r="AN69" s="132">
        <f t="shared" si="99"/>
        <v>0</v>
      </c>
      <c r="AO69" s="132">
        <f t="shared" si="100"/>
        <v>0</v>
      </c>
      <c r="AP69" s="132">
        <f t="shared" si="101"/>
        <v>0</v>
      </c>
      <c r="AQ69" s="132">
        <f t="shared" si="102"/>
        <v>0</v>
      </c>
      <c r="AR69" s="132">
        <f t="shared" si="103"/>
        <v>0</v>
      </c>
      <c r="AS69" s="227"/>
    </row>
    <row r="70" spans="1:46">
      <c r="A70" s="20" t="s">
        <v>156</v>
      </c>
      <c r="B70" s="3"/>
      <c r="C70" s="173"/>
      <c r="D70" s="14"/>
      <c r="E70" s="174"/>
      <c r="F70" s="175"/>
      <c r="G70" s="173"/>
      <c r="H70" s="173"/>
      <c r="I70" s="173"/>
      <c r="J70" s="173"/>
      <c r="K70" s="176"/>
      <c r="L70" s="14"/>
      <c r="M70" s="174">
        <f>SUMIF(Q51:Q69,"B",M51:M69)</f>
        <v>34776</v>
      </c>
      <c r="N70" s="296" t="s">
        <v>40</v>
      </c>
      <c r="O70" s="297"/>
      <c r="P70" s="298"/>
      <c r="Q70" s="52"/>
      <c r="R70" s="73"/>
      <c r="S70" s="139"/>
      <c r="T70" s="139"/>
      <c r="U70" s="139"/>
      <c r="V70" s="139"/>
      <c r="W70" s="3"/>
      <c r="X70" s="3"/>
      <c r="Y70" s="3"/>
      <c r="Z70" s="3"/>
      <c r="AA70" s="3"/>
      <c r="AB70" s="33"/>
      <c r="AC70" s="5">
        <f>SUM(AC51:AC69)</f>
        <v>0</v>
      </c>
      <c r="AD70" s="5">
        <f>SUM(AD51:AD69)</f>
        <v>128</v>
      </c>
      <c r="AE70" s="5">
        <f>SUM(AE51:AE69)</f>
        <v>0</v>
      </c>
      <c r="AF70" s="5">
        <f>SUM(AF51:AF69)</f>
        <v>132</v>
      </c>
      <c r="AG70" s="5">
        <f>SUM(AG51:AG69)</f>
        <v>0</v>
      </c>
      <c r="AH70" s="174"/>
      <c r="AI70" s="175">
        <f>SUM(AH51:AH69)</f>
        <v>35000</v>
      </c>
      <c r="AJ70" s="174">
        <f>(Shop*AC70)+M_Tech*AD70+CMM*AE70+ENG*AF70+DES*AG70+AI70</f>
        <v>63168.560000000005</v>
      </c>
      <c r="AK70" s="174"/>
      <c r="AL70" s="175">
        <f>Shop*AM70+M_Tech*AN70+CMM*AO70+ENG*AP70+DES*AQ70+AS70</f>
        <v>26920.639999999999</v>
      </c>
      <c r="AM70" s="5">
        <f>SUM(AM51:AM69)</f>
        <v>0</v>
      </c>
      <c r="AN70" s="5">
        <f>SUM(AN51:AN69)</f>
        <v>32</v>
      </c>
      <c r="AO70" s="5">
        <f>SUM(AO51:AO69)</f>
        <v>0</v>
      </c>
      <c r="AP70" s="5">
        <f>SUM(AP51:AP69)</f>
        <v>32</v>
      </c>
      <c r="AQ70" s="5">
        <f>SUM(AQ51:AQ69)</f>
        <v>0</v>
      </c>
      <c r="AR70" s="174"/>
      <c r="AS70" s="175">
        <f>SUM(AR51:AR69)</f>
        <v>20000</v>
      </c>
    </row>
    <row r="71" spans="1:46">
      <c r="F71" s="162"/>
      <c r="G71" s="160"/>
      <c r="H71" s="160"/>
      <c r="I71" s="160"/>
      <c r="J71" s="160"/>
      <c r="K71" s="177"/>
      <c r="L71" s="209" t="s">
        <v>41</v>
      </c>
      <c r="M71" s="180" t="e">
        <f>SUMIF(#REF!,"B",#REF!)</f>
        <v>#REF!</v>
      </c>
      <c r="N71" s="65" t="s">
        <v>41</v>
      </c>
      <c r="O71" s="65"/>
      <c r="P71" s="178"/>
      <c r="Q71" s="51"/>
      <c r="R71" s="71"/>
      <c r="S71" s="138"/>
      <c r="T71" s="138"/>
      <c r="U71" s="138"/>
      <c r="V71" s="138"/>
      <c r="W71"/>
      <c r="X71"/>
      <c r="Y71"/>
      <c r="Z71"/>
      <c r="AA71"/>
      <c r="AB71" s="32"/>
      <c r="AC71" s="4"/>
      <c r="AD71" s="4"/>
      <c r="AE71" s="4"/>
      <c r="AF71" s="4"/>
      <c r="AG71" s="4"/>
      <c r="AH71" s="161"/>
      <c r="AI71" s="231"/>
      <c r="AJ71" s="4"/>
      <c r="AK71" s="4"/>
      <c r="AM71" s="31"/>
      <c r="AN71" s="4"/>
      <c r="AO71" s="4"/>
      <c r="AP71" s="4"/>
      <c r="AQ71" s="4"/>
      <c r="AR71" s="4"/>
      <c r="AS71" s="231"/>
    </row>
    <row r="72" spans="1:46" ht="13.5" thickBot="1">
      <c r="F72" s="162"/>
      <c r="G72" s="160"/>
      <c r="H72" s="160"/>
      <c r="I72" s="160"/>
      <c r="J72" s="160"/>
      <c r="K72" s="177"/>
      <c r="M72" s="110"/>
      <c r="N72" s="7"/>
      <c r="O72" s="178"/>
      <c r="P72" s="178"/>
      <c r="Q72" s="34"/>
      <c r="R72" s="72"/>
      <c r="S72" s="140"/>
      <c r="T72" s="140"/>
      <c r="U72" s="140"/>
      <c r="V72" s="140"/>
      <c r="W72"/>
      <c r="X72"/>
      <c r="Y72"/>
      <c r="Z72"/>
      <c r="AA72"/>
      <c r="AB72" s="35"/>
      <c r="AC72" s="30"/>
      <c r="AD72" s="30"/>
      <c r="AE72" s="30"/>
      <c r="AF72" s="30"/>
      <c r="AG72" s="30"/>
      <c r="AH72" s="229"/>
      <c r="AI72" s="230"/>
      <c r="AJ72" s="6"/>
      <c r="AK72" s="6"/>
      <c r="AM72" s="31"/>
      <c r="AN72" s="4"/>
      <c r="AO72" s="4"/>
      <c r="AP72" s="4"/>
      <c r="AQ72" s="4"/>
      <c r="AR72" s="4"/>
      <c r="AS72" s="231"/>
    </row>
    <row r="73" spans="1:46" ht="13.5" thickBot="1">
      <c r="J73" s="153"/>
      <c r="K73" s="153"/>
      <c r="N73" s="7"/>
      <c r="O73" s="183"/>
      <c r="P73" s="55"/>
      <c r="Q73" s="37"/>
      <c r="R73" s="37"/>
      <c r="S73" s="141"/>
      <c r="T73" s="141"/>
      <c r="U73" s="141"/>
      <c r="V73" s="141"/>
      <c r="W73" s="38"/>
      <c r="X73" s="39"/>
      <c r="Y73" s="39"/>
      <c r="Z73" s="39"/>
      <c r="AA73" s="39">
        <f>SUM(AA6:AA72)</f>
        <v>0</v>
      </c>
      <c r="AB73" s="40"/>
      <c r="AC73" s="239">
        <f>SUMIF($Q6:$Q72,"B",AC6:AC72)</f>
        <v>12.5</v>
      </c>
      <c r="AD73" s="236">
        <f>SUMIF($Q6:$Q72,"B",AD6:AD72)</f>
        <v>274</v>
      </c>
      <c r="AE73" s="236">
        <f>SUMIF($Q6:$Q72,"B",AE6:AE72)</f>
        <v>36</v>
      </c>
      <c r="AF73" s="236">
        <f>SUMIF($Q6:$Q72,"B",AF6:AF72)</f>
        <v>332.5</v>
      </c>
      <c r="AG73" s="236">
        <f>SUMIF($Q6:$Q72,"B",AG6:AG72)</f>
        <v>56</v>
      </c>
      <c r="AH73" s="236"/>
      <c r="AI73" s="238">
        <f>SUM(AI5:AI72)</f>
        <v>37200</v>
      </c>
      <c r="AJ73" s="38"/>
      <c r="AK73" s="38"/>
      <c r="AM73" s="239">
        <f>SUMIF($Q6:$Q72,"C",AM6:AM72)</f>
        <v>12</v>
      </c>
      <c r="AN73" s="236">
        <f>SUMIF($Q6:$Q72,"C",AN6:AN72)</f>
        <v>256</v>
      </c>
      <c r="AO73" s="236">
        <f>SUMIF($Q6:$Q72,"C",AO6:AO72)</f>
        <v>4</v>
      </c>
      <c r="AP73" s="236">
        <f>SUMIF($Q6:$Q72,"C",AP6:AP72)</f>
        <v>252</v>
      </c>
      <c r="AQ73" s="236">
        <f>SUMIF($Q6:$Q72,"C",AQ6:AQ72)</f>
        <v>8</v>
      </c>
      <c r="AR73" s="260"/>
      <c r="AS73" s="238">
        <f>SUM(AS5:AS72)</f>
        <v>21400</v>
      </c>
    </row>
    <row r="74" spans="1:46" ht="13.5" thickBot="1">
      <c r="A74" s="16"/>
      <c r="B74" s="16"/>
      <c r="C74" s="184"/>
      <c r="D74" s="213"/>
      <c r="E74" s="185"/>
      <c r="F74" s="185"/>
      <c r="G74" s="184"/>
      <c r="H74" s="186"/>
      <c r="I74" s="186"/>
      <c r="J74" s="187"/>
      <c r="K74" s="187"/>
      <c r="L74" s="207"/>
      <c r="M74" s="6"/>
      <c r="N74" s="188"/>
      <c r="O74" s="6"/>
      <c r="P74" s="6"/>
      <c r="W74" s="6"/>
      <c r="X74" s="11"/>
      <c r="Y74" s="11"/>
      <c r="Z74" s="11"/>
      <c r="AA74" s="11"/>
      <c r="AB74" s="22"/>
      <c r="AC74" s="6" t="s">
        <v>11</v>
      </c>
      <c r="AD74" s="6" t="s">
        <v>10</v>
      </c>
      <c r="AE74" s="6" t="s">
        <v>181</v>
      </c>
      <c r="AF74" s="6" t="s">
        <v>17</v>
      </c>
      <c r="AG74" s="6" t="s">
        <v>180</v>
      </c>
      <c r="AH74" s="6"/>
      <c r="AI74" s="6" t="s">
        <v>15</v>
      </c>
      <c r="AJ74" s="6"/>
      <c r="AK74" s="6"/>
      <c r="AM74" s="6" t="s">
        <v>11</v>
      </c>
      <c r="AN74" s="6" t="s">
        <v>10</v>
      </c>
      <c r="AO74" s="6" t="s">
        <v>181</v>
      </c>
      <c r="AP74" s="6" t="s">
        <v>17</v>
      </c>
      <c r="AQ74" s="6" t="s">
        <v>180</v>
      </c>
      <c r="AR74" s="6"/>
      <c r="AS74" s="6" t="s">
        <v>15</v>
      </c>
    </row>
    <row r="75" spans="1:46" s="19" customFormat="1" ht="13.5" thickBot="1">
      <c r="A75" s="17"/>
      <c r="B75" s="17"/>
      <c r="C75" s="189"/>
      <c r="D75" s="214"/>
      <c r="E75" s="190"/>
      <c r="F75" s="190"/>
      <c r="G75" s="189"/>
      <c r="H75" s="191"/>
      <c r="I75" s="191"/>
      <c r="J75" s="192"/>
      <c r="K75" s="192"/>
      <c r="L75" s="210"/>
      <c r="M75" s="146"/>
      <c r="N75" s="193"/>
      <c r="O75" s="146"/>
      <c r="P75" s="146"/>
      <c r="Q75" s="74"/>
      <c r="R75" s="74"/>
      <c r="S75" s="94"/>
      <c r="T75" s="94"/>
      <c r="U75" s="94"/>
      <c r="V75" s="94"/>
      <c r="W75" s="146"/>
      <c r="X75" s="147"/>
      <c r="Y75" s="147"/>
      <c r="Z75" s="147"/>
      <c r="AA75" s="147"/>
      <c r="AB75" s="148" t="s">
        <v>157</v>
      </c>
      <c r="AC75" s="239" t="e">
        <f>AC22+AC47+AC70+#REF!+#REF!</f>
        <v>#REF!</v>
      </c>
      <c r="AD75" s="236" t="e">
        <f>AD22+AD47+AD70+#REF!+#REF!</f>
        <v>#REF!</v>
      </c>
      <c r="AE75" s="236" t="e">
        <f>AE22+AE47+AE70+#REF!+#REF!</f>
        <v>#REF!</v>
      </c>
      <c r="AF75" s="236" t="e">
        <f>AF22+AF47+AF70+#REF!+#REF!</f>
        <v>#REF!</v>
      </c>
      <c r="AG75" s="236" t="e">
        <f>AG22+AG47+AG70+#REF!+#REF!</f>
        <v>#REF!</v>
      </c>
      <c r="AH75" s="237"/>
      <c r="AI75" s="238">
        <f>SUM(AI5:AI72)</f>
        <v>37200</v>
      </c>
      <c r="AJ75" s="146"/>
      <c r="AK75" s="146"/>
      <c r="AL75" s="168"/>
      <c r="AM75" s="239" t="e">
        <f>AM22+AM47+AM70+#REF!+#REF!</f>
        <v>#REF!</v>
      </c>
      <c r="AN75" s="236" t="e">
        <f>AN22+AN47+AN70+#REF!+#REF!</f>
        <v>#REF!</v>
      </c>
      <c r="AO75" s="236" t="e">
        <f>AO22+AO47+AO70+#REF!+#REF!</f>
        <v>#REF!</v>
      </c>
      <c r="AP75" s="236" t="e">
        <f>AP22+AP47+AP70+#REF!+#REF!</f>
        <v>#REF!</v>
      </c>
      <c r="AQ75" s="236" t="e">
        <f>AQ22+AQ47+AQ70+#REF!+#REF!</f>
        <v>#REF!</v>
      </c>
      <c r="AR75" s="237"/>
      <c r="AS75" s="238">
        <f>SUM(AS5:AS72)</f>
        <v>21400</v>
      </c>
      <c r="AT75" s="149" t="s">
        <v>157</v>
      </c>
    </row>
    <row r="76" spans="1:46" ht="13.5" thickBot="1">
      <c r="A76" s="15"/>
      <c r="B76" s="16"/>
      <c r="C76" s="184"/>
      <c r="D76" s="213"/>
      <c r="E76" s="185"/>
      <c r="F76" s="185"/>
      <c r="G76" s="184"/>
      <c r="H76" s="186"/>
      <c r="I76" s="186"/>
      <c r="J76" s="187"/>
      <c r="K76" s="187"/>
      <c r="L76" s="207"/>
      <c r="M76" s="194"/>
      <c r="N76" s="188"/>
      <c r="O76" s="195"/>
      <c r="P76" s="195"/>
      <c r="W76" s="6"/>
      <c r="X76" s="11"/>
      <c r="Y76" s="11"/>
      <c r="Z76" s="11"/>
      <c r="AA76" s="11"/>
      <c r="AB76" s="22"/>
      <c r="AC76" s="6"/>
      <c r="AD76" s="6"/>
      <c r="AE76" s="6"/>
      <c r="AF76" s="6"/>
      <c r="AG76" s="6"/>
    </row>
    <row r="77" spans="1:46" ht="13.5" thickBot="1">
      <c r="A77" s="15"/>
      <c r="B77" s="9"/>
      <c r="C77" s="196"/>
      <c r="D77" s="215"/>
      <c r="E77" s="197"/>
      <c r="F77" s="197"/>
      <c r="G77" s="196"/>
      <c r="AH77" s="6" t="s">
        <v>43</v>
      </c>
      <c r="AI77" s="240" t="e">
        <f>(AC75*Shop)+(AD75*M_Tech)+(AE75*CMM)+(AF75*ENG)+(AG75*DES)+AI73+(Shop*AM75)+(M_Tech*AN75)+(CMM*AO75)+(ENG*AP75)+(DES*AQ75)+AS75</f>
        <v>#REF!</v>
      </c>
      <c r="AJ77" s="241">
        <f>AI97+AS97</f>
        <v>99284.34</v>
      </c>
      <c r="AK77" s="241"/>
      <c r="AL77" s="152" t="s">
        <v>133</v>
      </c>
    </row>
    <row r="78" spans="1:46" ht="13.5" thickBot="1">
      <c r="A78" s="15" t="str">
        <f>'WBS in Estimate'!E7</f>
        <v>Description</v>
      </c>
      <c r="B78" s="9" t="str">
        <f>'WBS in Estimate'!D7</f>
        <v>WBS</v>
      </c>
      <c r="C78" s="196"/>
      <c r="D78" s="215"/>
      <c r="E78" s="197"/>
      <c r="F78" s="197"/>
      <c r="G78" s="196"/>
      <c r="O78" s="32">
        <v>2009</v>
      </c>
      <c r="Q78" s="51" t="s">
        <v>29</v>
      </c>
      <c r="U78" s="138" t="s">
        <v>139</v>
      </c>
      <c r="W78" s="110">
        <f>SUMIF($T$6:$T$72,CONCATENATE(Q78,#REF!,O78),$O$6:$O$72)</f>
        <v>0</v>
      </c>
      <c r="X78" s="110">
        <f>SUMIF($T$6:$T$72,CONCATENATE(Q78,#REF!,Y78),$O$6:$O$72)</f>
        <v>0</v>
      </c>
      <c r="Y78" s="32">
        <v>2009</v>
      </c>
    </row>
    <row r="79" spans="1:46" ht="15.75" thickTop="1">
      <c r="A79" s="19" t="s">
        <v>169</v>
      </c>
      <c r="B79" s="19" t="s">
        <v>194</v>
      </c>
      <c r="C79" s="293" t="s">
        <v>143</v>
      </c>
      <c r="D79" s="294"/>
      <c r="E79" s="294"/>
      <c r="F79" s="294"/>
      <c r="G79" s="294"/>
      <c r="H79" s="294"/>
      <c r="I79" s="294"/>
      <c r="J79" s="294"/>
      <c r="K79" s="294"/>
      <c r="L79" s="294"/>
      <c r="O79" s="32">
        <v>2009</v>
      </c>
      <c r="Q79" s="51" t="s">
        <v>29</v>
      </c>
      <c r="U79" s="138" t="s">
        <v>139</v>
      </c>
      <c r="W79" s="110">
        <f>SUMIF($T$6:$T$72,CONCATENATE(Q79,#REF!,O79),$O$6:$O$72)</f>
        <v>0</v>
      </c>
      <c r="X79" s="110">
        <f>SUMIF($T$6:$T$72,CONCATENATE(Q79,#REF!,Y79),$O$6:$O$72)</f>
        <v>0</v>
      </c>
      <c r="Y79" s="32">
        <v>2009</v>
      </c>
      <c r="AC79" s="278" t="s">
        <v>31</v>
      </c>
      <c r="AD79" s="279"/>
      <c r="AE79" s="279"/>
      <c r="AF79" s="279"/>
      <c r="AG79" s="279"/>
      <c r="AH79" s="279"/>
      <c r="AI79" s="280"/>
      <c r="AJ79" s="219"/>
      <c r="AK79" s="219"/>
      <c r="AM79" s="289" t="s">
        <v>32</v>
      </c>
      <c r="AN79" s="290"/>
      <c r="AO79" s="290"/>
      <c r="AP79" s="290"/>
      <c r="AQ79" s="290"/>
      <c r="AR79" s="290"/>
      <c r="AS79" s="291"/>
    </row>
    <row r="80" spans="1:46">
      <c r="A80" s="19" t="s">
        <v>170</v>
      </c>
      <c r="B80" s="126" t="s">
        <v>195</v>
      </c>
      <c r="C80" s="198"/>
      <c r="D80" s="215"/>
      <c r="E80" s="197"/>
      <c r="F80" s="197"/>
      <c r="G80" s="198"/>
      <c r="L80" s="211"/>
      <c r="O80" s="32">
        <v>2009</v>
      </c>
      <c r="Q80" s="51" t="s">
        <v>29</v>
      </c>
      <c r="U80" s="138" t="s">
        <v>139</v>
      </c>
      <c r="W80" s="110">
        <f>SUMIF($T$6:$T$72,CONCATENATE(Q80,#REF!,O80),$O$6:$O$72)</f>
        <v>0</v>
      </c>
      <c r="X80" s="110">
        <f>SUMIF($T$6:$T$72,CONCATENATE(Q80,#REF!,Y80),$O$6:$O$72)</f>
        <v>0</v>
      </c>
      <c r="Y80" s="32">
        <v>2009</v>
      </c>
      <c r="AB80" s="23"/>
      <c r="AC80" s="24" t="s">
        <v>11</v>
      </c>
      <c r="AD80" s="13" t="s">
        <v>10</v>
      </c>
      <c r="AE80" s="6" t="s">
        <v>181</v>
      </c>
      <c r="AF80" s="13" t="s">
        <v>17</v>
      </c>
      <c r="AG80" s="6" t="s">
        <v>180</v>
      </c>
      <c r="AH80" s="13" t="s">
        <v>15</v>
      </c>
      <c r="AI80" s="242"/>
      <c r="AL80" s="76"/>
      <c r="AM80" s="27" t="s">
        <v>11</v>
      </c>
      <c r="AN80" s="13" t="s">
        <v>10</v>
      </c>
      <c r="AO80" s="6" t="s">
        <v>181</v>
      </c>
      <c r="AP80" s="13" t="s">
        <v>17</v>
      </c>
      <c r="AQ80" s="6" t="s">
        <v>180</v>
      </c>
      <c r="AR80" s="13" t="s">
        <v>15</v>
      </c>
      <c r="AS80" s="243"/>
    </row>
    <row r="81" spans="1:45">
      <c r="A81" s="19" t="s">
        <v>197</v>
      </c>
      <c r="B81" s="126" t="s">
        <v>196</v>
      </c>
      <c r="C81" s="198"/>
      <c r="D81" s="215"/>
      <c r="E81" s="197"/>
      <c r="F81" s="197"/>
      <c r="G81" s="198"/>
      <c r="L81" s="211"/>
      <c r="O81" s="32">
        <v>2009</v>
      </c>
      <c r="Q81" s="51" t="s">
        <v>29</v>
      </c>
      <c r="U81" s="138" t="s">
        <v>139</v>
      </c>
      <c r="W81" s="110">
        <f>SUMIF($T$6:$T$72,CONCATENATE(Q81,#REF!,O81),$O$6:$O$72)</f>
        <v>0</v>
      </c>
      <c r="X81" s="110">
        <f>SUMIF($T$6:$T$72,CONCATENATE(Q81,#REF!,Y81),$O$6:$O$72)</f>
        <v>0</v>
      </c>
      <c r="Y81" s="32">
        <v>2009</v>
      </c>
      <c r="AB81" s="21">
        <v>2009</v>
      </c>
      <c r="AC81" s="244">
        <f>SUMIF($AB$6:$AB72,$AB81,AC$6:AC72)</f>
        <v>0</v>
      </c>
      <c r="AD81" s="245">
        <f>SUMIF($AB$6:$AB72,$AB81,AD$6:AD72)</f>
        <v>0</v>
      </c>
      <c r="AE81" s="245">
        <f>SUMIF($AB$6:$AB72,$AB81,AE$6:AE72)</f>
        <v>0</v>
      </c>
      <c r="AF81" s="245">
        <f>SUMIF($AB$6:$AB72,$AB81,AF$6:AF72)</f>
        <v>0</v>
      </c>
      <c r="AG81" s="245">
        <f>SUMIF($AB$6:$AB72,$AB81,AG$6:AG72)</f>
        <v>0</v>
      </c>
      <c r="AH81" s="246">
        <f>SUMIF($AB$6:$AB72,$AB81,AH$6:AH72)</f>
        <v>0</v>
      </c>
      <c r="AI81" s="242"/>
      <c r="AL81" s="76">
        <f>AB81</f>
        <v>2009</v>
      </c>
      <c r="AM81" s="247">
        <f>SUMIF($AB$6:$AB72,$AB81,AM$6:AM72)</f>
        <v>0</v>
      </c>
      <c r="AN81" s="245">
        <f>SUMIF($AB$6:$AB72,$AB81,AN$6:AN72)</f>
        <v>0</v>
      </c>
      <c r="AO81" s="245">
        <f>SUMIF($AB$6:$AB72,$AB81,AO$6:AO72)</f>
        <v>0</v>
      </c>
      <c r="AP81" s="245">
        <f>SUMIF($AB$6:$AB72,$AB81,AP$6:AP72)</f>
        <v>0</v>
      </c>
      <c r="AQ81" s="245">
        <f>SUMIF($AB$6:$AB72,$AB81,AQ$6:AQ72)</f>
        <v>0</v>
      </c>
      <c r="AR81" s="246">
        <f>SUMIF($AB$6:$AB72,$AB81,AR$6:AR72)</f>
        <v>0</v>
      </c>
      <c r="AS81" s="243"/>
    </row>
    <row r="82" spans="1:45">
      <c r="A82" s="19" t="s">
        <v>199</v>
      </c>
      <c r="B82" s="126" t="s">
        <v>198</v>
      </c>
      <c r="C82" s="199"/>
      <c r="D82" s="216"/>
      <c r="E82" s="200"/>
      <c r="F82" s="200"/>
      <c r="G82" s="199"/>
      <c r="L82" s="211"/>
      <c r="O82" s="32">
        <v>2009</v>
      </c>
      <c r="Q82" s="51" t="s">
        <v>29</v>
      </c>
      <c r="U82" s="138" t="s">
        <v>139</v>
      </c>
      <c r="W82" s="110">
        <f>SUMIF($T$6:$T$72,CONCATENATE(Q82,#REF!,O82),$O$6:$O$72)</f>
        <v>0</v>
      </c>
      <c r="X82" s="110">
        <f>SUMIF($T$6:$T$72,CONCATENATE(Q82,#REF!,Y82),$O$6:$O$72)</f>
        <v>0</v>
      </c>
      <c r="Y82" s="32">
        <v>2009</v>
      </c>
      <c r="AB82" s="21">
        <v>2010</v>
      </c>
      <c r="AC82" s="244">
        <f>SUMIF($AB$6:$AB73,$AB82,AC$6:AC75)</f>
        <v>0</v>
      </c>
      <c r="AD82" s="245">
        <f>SUMIF($AB$6:$AB73,$AB82,AD$6:AD75)</f>
        <v>0</v>
      </c>
      <c r="AE82" s="245">
        <f>SUMIF($AB$6:$AB73,$AB82,AE$6:AE75)</f>
        <v>0</v>
      </c>
      <c r="AF82" s="245">
        <f>SUMIF($AB$6:$AB72,$AB82,AF$6:AF72)</f>
        <v>0</v>
      </c>
      <c r="AG82" s="245">
        <f>SUMIF($AB$6:$AB73,$AB82,AG$6:AG75)</f>
        <v>0</v>
      </c>
      <c r="AH82" s="246">
        <f>SUMIF($AB$6:$AB73,$AB82,AH$6:AH75)</f>
        <v>0</v>
      </c>
      <c r="AI82" s="242"/>
      <c r="AL82" s="76">
        <f t="shared" ref="AL82:AL88" si="104">AB82</f>
        <v>2010</v>
      </c>
      <c r="AM82" s="247">
        <f>SUMIF($AB$6:$AB73,$AB82,AM$6:AM75)</f>
        <v>0</v>
      </c>
      <c r="AN82" s="245">
        <f>SUMIF($AB$6:$AB73,$AB82,AN$6:AN75)</f>
        <v>0</v>
      </c>
      <c r="AO82" s="245">
        <f>SUMIF($AB$6:$AB73,$AB82,AO$6:AO75)</f>
        <v>0</v>
      </c>
      <c r="AP82" s="245">
        <f>SUMIF($AB$6:$AB73,$AB82,AP$6:AP75)</f>
        <v>0</v>
      </c>
      <c r="AQ82" s="245">
        <f>SUMIF($AB$6:$AB73,$AB82,AQ$6:AQ75)</f>
        <v>0</v>
      </c>
      <c r="AR82" s="246">
        <f>SUMIF($AB$6:$AB73,$AB82,AR$6:AR75)</f>
        <v>0</v>
      </c>
      <c r="AS82" s="243"/>
    </row>
    <row r="83" spans="1:45">
      <c r="A83" s="19" t="s">
        <v>201</v>
      </c>
      <c r="B83" s="45" t="s">
        <v>200</v>
      </c>
      <c r="C83" s="199"/>
      <c r="D83" s="216"/>
      <c r="E83" s="200"/>
      <c r="F83" s="200"/>
      <c r="G83" s="199"/>
      <c r="L83" s="211"/>
      <c r="O83" s="32">
        <v>2009</v>
      </c>
      <c r="Q83" s="51" t="s">
        <v>29</v>
      </c>
      <c r="U83" s="138" t="s">
        <v>139</v>
      </c>
      <c r="W83" s="110">
        <f>SUMIF($T$6:$T$72,CONCATENATE(Q83,#REF!,O83),$O$6:$O$72)</f>
        <v>0</v>
      </c>
      <c r="X83" s="110">
        <f>SUMIF($T$6:$T$72,CONCATENATE(Q83,#REF!,Y83),$O$6:$O$72)</f>
        <v>0</v>
      </c>
      <c r="Y83" s="32">
        <v>2009</v>
      </c>
      <c r="AB83" s="21">
        <v>2011</v>
      </c>
      <c r="AC83" s="244">
        <f>SUMIF($AB$6:$AB74,$AB83,AC$6:AC74)</f>
        <v>0.5</v>
      </c>
      <c r="AD83" s="245">
        <f>SUMIF($AB$6:$AB74,$AB83,AD$6:AD74)</f>
        <v>50</v>
      </c>
      <c r="AE83" s="245">
        <f>SUMIF($AB$6:$AB74,$AB83,AE$6:AE74)</f>
        <v>20</v>
      </c>
      <c r="AF83" s="245">
        <f>SUMIF($AB$6:$AB74,$AB83,AF$6:AF74)</f>
        <v>84.5</v>
      </c>
      <c r="AG83" s="245">
        <f>SUMIF($AB$6:$AB74,$AB83,AG$6:AG74)</f>
        <v>56</v>
      </c>
      <c r="AH83" s="246">
        <f>SUMIF($AB$6:$AB74,$AB83,AH$6:AH74)</f>
        <v>2200</v>
      </c>
      <c r="AI83" s="242"/>
      <c r="AL83" s="76">
        <f t="shared" si="104"/>
        <v>2011</v>
      </c>
      <c r="AM83" s="247">
        <f>SUMIF($AB$6:$AB74,$AB83,AM$6:AM74)</f>
        <v>0</v>
      </c>
      <c r="AN83" s="245">
        <f>SUMIF($AB$6:$AB74,$AB83,AN$6:AN74)</f>
        <v>16</v>
      </c>
      <c r="AO83" s="245">
        <f>SUMIF($AB$6:$AB74,$AB83,AO$6:AO74)</f>
        <v>0</v>
      </c>
      <c r="AP83" s="245">
        <f>SUMIF($AB$6:$AB74,$AB83,AP$6:AP74)</f>
        <v>4</v>
      </c>
      <c r="AQ83" s="245">
        <f>SUMIF($AB$6:$AB74,$AB83,AQ$6:AQ74)</f>
        <v>0</v>
      </c>
      <c r="AR83" s="246">
        <f>SUMIF($AB$6:$AB74,$AB83,AR$6:AR74)</f>
        <v>400</v>
      </c>
      <c r="AS83" s="243"/>
    </row>
    <row r="84" spans="1:45">
      <c r="A84" s="19" t="s">
        <v>203</v>
      </c>
      <c r="B84" s="45" t="s">
        <v>202</v>
      </c>
      <c r="C84" s="199"/>
      <c r="D84" s="216"/>
      <c r="E84" s="200"/>
      <c r="F84" s="200"/>
      <c r="G84" s="199"/>
      <c r="L84" s="211"/>
      <c r="O84" s="32">
        <v>2009</v>
      </c>
      <c r="Q84" s="51" t="s">
        <v>29</v>
      </c>
      <c r="U84" s="138" t="s">
        <v>139</v>
      </c>
      <c r="W84" s="110">
        <f>SUM(W78:W83)</f>
        <v>0</v>
      </c>
      <c r="X84" s="110">
        <f>SUM(X78:X83)</f>
        <v>0</v>
      </c>
      <c r="Y84" s="32">
        <v>2009</v>
      </c>
      <c r="AB84" s="23">
        <v>2012</v>
      </c>
      <c r="AC84" s="244">
        <f>SUMIF($AB$6:$AB76,$AB84,AC$6:AC76)</f>
        <v>0</v>
      </c>
      <c r="AD84" s="245">
        <f>SUMIF($AB$6:$AB76,$AB84,AD$6:AD76)</f>
        <v>24</v>
      </c>
      <c r="AE84" s="245">
        <f>SUMIF($AB$6:$AB76,$AB84,AE$6:AE76)</f>
        <v>0</v>
      </c>
      <c r="AF84" s="245">
        <f>SUMIF($AB$6:$AB76,$AB84,AF$6:AF76)</f>
        <v>84</v>
      </c>
      <c r="AG84" s="245">
        <f>SUMIF($AB$6:$AB76,$AB84,AG$6:AG76)</f>
        <v>0</v>
      </c>
      <c r="AH84" s="246">
        <f>SUMIF($AB$6:$AB76,$AB84,AH$6:AH76)</f>
        <v>35000</v>
      </c>
      <c r="AI84" s="242"/>
      <c r="AL84" s="76">
        <f t="shared" si="104"/>
        <v>2012</v>
      </c>
      <c r="AM84" s="247">
        <f>SUMIF($AB$6:$AB76,$AB84,AM$6:AM76)</f>
        <v>0</v>
      </c>
      <c r="AN84" s="245">
        <f>SUMIF($AB$6:$AB76,$AB84,AN$6:AN76)</f>
        <v>32</v>
      </c>
      <c r="AO84" s="245">
        <f>SUMIF($AB$6:$AB76,$AB84,AO$6:AO76)</f>
        <v>0</v>
      </c>
      <c r="AP84" s="245">
        <f>SUMIF($AB$6:$AB76,$AB84,AP$6:AP76)</f>
        <v>112</v>
      </c>
      <c r="AQ84" s="245">
        <f>SUMIF($AB$6:$AB76,$AB84,AQ$6:AQ76)</f>
        <v>0</v>
      </c>
      <c r="AR84" s="246">
        <f>SUMIF($AB$6:$AB76,$AB84,AR$6:AR76)</f>
        <v>10000</v>
      </c>
      <c r="AS84" s="243"/>
    </row>
    <row r="85" spans="1:45">
      <c r="A85" s="19" t="s">
        <v>205</v>
      </c>
      <c r="B85" s="45" t="s">
        <v>204</v>
      </c>
      <c r="C85" s="199"/>
      <c r="D85" s="216"/>
      <c r="E85" s="200"/>
      <c r="F85" s="200"/>
      <c r="G85" s="199"/>
      <c r="L85" s="211"/>
      <c r="O85" s="32">
        <v>2009</v>
      </c>
      <c r="Q85" s="51" t="s">
        <v>29</v>
      </c>
      <c r="U85" s="138" t="s">
        <v>139</v>
      </c>
      <c r="W85" s="110"/>
      <c r="X85" s="110"/>
      <c r="Y85" s="32">
        <v>2009</v>
      </c>
      <c r="AB85" s="23">
        <v>2013</v>
      </c>
      <c r="AC85" s="244">
        <f>SUMIF($AB$6:$AB77,$AB85,AC$6:AC77)</f>
        <v>0</v>
      </c>
      <c r="AD85" s="245">
        <f>SUMIF($AB$6:$AB77,$AB85,AD$6:AD77)</f>
        <v>0</v>
      </c>
      <c r="AE85" s="245">
        <f>SUMIF($AB$6:$AB77,$AB85,AE$6:AE77)</f>
        <v>0</v>
      </c>
      <c r="AF85" s="245">
        <f>SUMIF($AB$6:$AB77,$AB85,AF$6:AF77)</f>
        <v>0</v>
      </c>
      <c r="AG85" s="245">
        <f>SUMIF($AB$6:$AB77,$AB85,AG$6:AG77)</f>
        <v>0</v>
      </c>
      <c r="AH85" s="246">
        <f>SUMIF($AB$6:$AB77,$AB85,AH$6:AH77)</f>
        <v>0</v>
      </c>
      <c r="AI85" s="242"/>
      <c r="AL85" s="76">
        <f t="shared" si="104"/>
        <v>2013</v>
      </c>
      <c r="AM85" s="247">
        <f>SUMIF($AB$6:$AB77,$AB85,AM$6:AM77)</f>
        <v>0</v>
      </c>
      <c r="AN85" s="245">
        <f>SUMIF($AB$6:$AB77,$AB85,AN$6:AN77)</f>
        <v>0</v>
      </c>
      <c r="AO85" s="245">
        <f>SUMIF($AB$6:$AB77,$AB85,AO$6:AO77)</f>
        <v>0</v>
      </c>
      <c r="AP85" s="245">
        <f>SUMIF($AB$6:$AB77,$AB85,AP$6:AP77)</f>
        <v>0</v>
      </c>
      <c r="AQ85" s="245">
        <f>SUMIF($AB$6:$AB77,$AB85,AQ$6:AQ77)</f>
        <v>0</v>
      </c>
      <c r="AR85" s="246">
        <f>SUMIF($AB$6:$AB77,$AB85,AR$6:AR77)</f>
        <v>10000</v>
      </c>
      <c r="AS85" s="243"/>
    </row>
    <row r="86" spans="1:45">
      <c r="A86" s="19"/>
      <c r="B86" s="45"/>
      <c r="C86" s="199"/>
      <c r="D86" s="216"/>
      <c r="E86" s="200"/>
      <c r="F86" s="200"/>
      <c r="G86" s="199"/>
      <c r="L86" s="211"/>
      <c r="O86" s="32"/>
      <c r="Q86" s="51"/>
      <c r="U86" s="138"/>
      <c r="W86" s="110"/>
      <c r="X86" s="110"/>
      <c r="Y86" s="32"/>
      <c r="AB86" s="23">
        <v>2014</v>
      </c>
      <c r="AC86" s="244">
        <f>SUMIF($AB$6:$AB78,$AB86,AC$6:AC78)</f>
        <v>0</v>
      </c>
      <c r="AD86" s="245">
        <f>SUMIF($AB$6:$AB78,$AB86,AD$6:AD78)</f>
        <v>0</v>
      </c>
      <c r="AE86" s="245">
        <f>SUMIF($AB$6:$AB78,$AB86,AE$6:AE78)</f>
        <v>0</v>
      </c>
      <c r="AF86" s="245">
        <f>SUMIF($AB$6:$AB78,$AB86,AF$6:AF78)</f>
        <v>0</v>
      </c>
      <c r="AG86" s="245">
        <f>SUMIF($AB$6:$AB78,$AB86,AG$6:AG78)</f>
        <v>0</v>
      </c>
      <c r="AH86" s="246">
        <f>SUMIF($AB$6:$AB78,$AB86,AH$6:AH78)</f>
        <v>0</v>
      </c>
      <c r="AI86" s="242"/>
      <c r="AL86" s="76">
        <f t="shared" ref="AL86" si="105">AB86</f>
        <v>2014</v>
      </c>
      <c r="AM86" s="247">
        <f>SUMIF($AB$6:$AB78,$AB86,AM$6:AM78)</f>
        <v>0</v>
      </c>
      <c r="AN86" s="245">
        <f>SUMIF($AB$6:$AB78,$AB86,AN$6:AN78)</f>
        <v>0</v>
      </c>
      <c r="AO86" s="245">
        <f>SUMIF($AB$6:$AB78,$AB86,AO$6:AO78)</f>
        <v>0</v>
      </c>
      <c r="AP86" s="245">
        <f>SUMIF($AB$6:$AB78,$AB86,AP$6:AP78)</f>
        <v>0</v>
      </c>
      <c r="AQ86" s="245">
        <f>SUMIF($AB$6:$AB78,$AB86,AQ$6:AQ78)</f>
        <v>0</v>
      </c>
      <c r="AR86" s="246">
        <f>SUMIF($AB$6:$AB78,$AB86,AR$6:AR78)</f>
        <v>0</v>
      </c>
      <c r="AS86" s="243"/>
    </row>
    <row r="87" spans="1:45">
      <c r="A87" s="19"/>
      <c r="B87" s="64"/>
      <c r="C87" s="199"/>
      <c r="D87" s="216"/>
      <c r="E87" s="200"/>
      <c r="F87" s="200"/>
      <c r="G87" s="199"/>
      <c r="L87" s="211"/>
      <c r="O87" s="32">
        <v>2009</v>
      </c>
      <c r="Q87" s="51" t="s">
        <v>29</v>
      </c>
      <c r="U87" s="138" t="s">
        <v>139</v>
      </c>
      <c r="W87" s="110"/>
      <c r="X87" s="110"/>
      <c r="Y87" s="32">
        <v>2009</v>
      </c>
      <c r="AB87" s="23" t="s">
        <v>136</v>
      </c>
      <c r="AC87" s="244">
        <f>SUMIF($AB$6:$AB78,$AB87,AC$6:AC78)</f>
        <v>0</v>
      </c>
      <c r="AD87" s="245">
        <f>SUMIF($AB$6:$AB78,$AB87,AD$6:AD78)</f>
        <v>0</v>
      </c>
      <c r="AE87" s="245">
        <f>SUMIF($AB$6:$AB78,$AB87,AE$6:AE78)</f>
        <v>0</v>
      </c>
      <c r="AF87" s="245">
        <f>SUMIF($AB$6:$AB78,$AB87,AF$6:AF78)</f>
        <v>0</v>
      </c>
      <c r="AG87" s="245">
        <f>SUMIF($AB$6:$AB78,$AB87,AG$6:AG78)</f>
        <v>0</v>
      </c>
      <c r="AH87" s="246">
        <f>SUMIF($AB$6:$AB78,$AB87,AH$6:AH78)</f>
        <v>0</v>
      </c>
      <c r="AI87" s="242"/>
      <c r="AL87" s="76" t="str">
        <f t="shared" si="104"/>
        <v>CONT</v>
      </c>
      <c r="AM87" s="247">
        <f>SUMIF($AB$6:$AB78,$AB87,AM$6:AM78)</f>
        <v>0</v>
      </c>
      <c r="AN87" s="245">
        <f>SUMIF($AB$6:$AB78,$AB87,AN$6:AN78)</f>
        <v>0</v>
      </c>
      <c r="AO87" s="245">
        <f>SUMIF($AB$6:$AB78,$AB87,AO$6:AO78)</f>
        <v>0</v>
      </c>
      <c r="AP87" s="245">
        <f>SUMIF($AB$6:$AB78,$AB87,AP$6:AP78)</f>
        <v>0</v>
      </c>
      <c r="AQ87" s="245">
        <f>SUMIF($AB$6:$AB78,$AB87,AQ$6:AQ78)</f>
        <v>0</v>
      </c>
      <c r="AR87" s="246">
        <f>SUMIF($AB$6:$AB78,$AB87,AR$6:AR78)</f>
        <v>0</v>
      </c>
      <c r="AS87" s="243"/>
    </row>
    <row r="88" spans="1:45">
      <c r="A88" s="19"/>
      <c r="B88" s="64"/>
      <c r="C88" s="201"/>
      <c r="D88" s="214"/>
      <c r="E88" s="190"/>
      <c r="F88" s="197"/>
      <c r="G88" s="201"/>
      <c r="L88" s="211"/>
      <c r="O88" s="32">
        <v>2009</v>
      </c>
      <c r="Q88" s="51" t="s">
        <v>29</v>
      </c>
      <c r="U88" s="138" t="s">
        <v>139</v>
      </c>
      <c r="W88" s="110">
        <f>SUMIF($T$6:$T$72,CONCATENATE(Q88,#REF!,O88),$O$6:$O$72)</f>
        <v>0</v>
      </c>
      <c r="X88" s="110">
        <f>SUMIF($T$6:$T$72,CONCATENATE(Q88,#REF!,Y88),$O$6:$O$72)</f>
        <v>0</v>
      </c>
      <c r="Y88" s="32">
        <v>2009</v>
      </c>
      <c r="AB88" s="23" t="s">
        <v>132</v>
      </c>
      <c r="AC88" s="244">
        <f>SUMIF($AB$6:$AB74,$AB88,AC$6:AC74)</f>
        <v>12</v>
      </c>
      <c r="AD88" s="245">
        <f>SUMIF($AB$6:$AB74,$AB88,AD$6:AD74)</f>
        <v>200</v>
      </c>
      <c r="AE88" s="245">
        <f>SUMIF($AB$6:$AB74,$AB88,AE$6:AE74)</f>
        <v>16</v>
      </c>
      <c r="AF88" s="245">
        <f>SUMIF($AB$6:$AB74,$AB88,AF$6:AF74)</f>
        <v>164</v>
      </c>
      <c r="AG88" s="245">
        <f>SUMIF($AB$6:$AB74,$AB88,AG$6:AG74)</f>
        <v>0</v>
      </c>
      <c r="AH88" s="246">
        <f>SUMIF($AB$6:$AB74,$AB88,AH$6:AH74)</f>
        <v>0</v>
      </c>
      <c r="AI88" s="242"/>
      <c r="AL88" s="76" t="str">
        <f t="shared" si="104"/>
        <v>STAR</v>
      </c>
      <c r="AM88" s="247">
        <f>SUMIF($AB$6:$AB74,$AB88,AM$6:AM74)</f>
        <v>12</v>
      </c>
      <c r="AN88" s="245">
        <f>SUMIF($AB$6:$AB74,$AB88,AN$6:AN74)</f>
        <v>208</v>
      </c>
      <c r="AO88" s="245">
        <f>SUMIF($AB$6:$AB74,$AB88,AO$6:AO74)</f>
        <v>4</v>
      </c>
      <c r="AP88" s="245">
        <f>SUMIF($AB$6:$AB74,$AB88,AP$6:AP74)</f>
        <v>136</v>
      </c>
      <c r="AQ88" s="245">
        <f>SUMIF($AB$6:$AB74,$AB88,AQ$6:AQ74)</f>
        <v>8</v>
      </c>
      <c r="AR88" s="246">
        <f>SUMIF($AB$6:$AB74,$AB88,AR$6:AR74)</f>
        <v>1000</v>
      </c>
      <c r="AS88" s="243"/>
    </row>
    <row r="89" spans="1:45" ht="15.75">
      <c r="A89" s="19"/>
      <c r="B89" s="64"/>
      <c r="C89" s="198"/>
      <c r="D89" s="215"/>
      <c r="E89" s="197"/>
      <c r="F89" s="197"/>
      <c r="G89" s="202"/>
      <c r="L89" s="211"/>
      <c r="O89" s="32">
        <v>2009</v>
      </c>
      <c r="Q89" s="51" t="s">
        <v>29</v>
      </c>
      <c r="U89" s="138" t="s">
        <v>139</v>
      </c>
      <c r="W89" s="110">
        <f>SUMIF($T$6:$T$72,CONCATENATE(Q89,#REF!,O89),$O$6:$O$72)</f>
        <v>0</v>
      </c>
      <c r="X89" s="110">
        <f>SUMIF($T$6:$T$72,CONCATENATE(Q89,#REF!,Y89),$O$6:$O$72)</f>
        <v>0</v>
      </c>
      <c r="Y89" s="32">
        <v>2009</v>
      </c>
      <c r="AC89" s="275" t="s">
        <v>134</v>
      </c>
      <c r="AD89" s="276"/>
      <c r="AE89" s="276"/>
      <c r="AF89" s="276"/>
      <c r="AG89" s="276"/>
      <c r="AH89" s="276"/>
      <c r="AI89" s="277"/>
      <c r="AL89" s="76"/>
      <c r="AM89" s="281" t="s">
        <v>135</v>
      </c>
      <c r="AN89" s="276"/>
      <c r="AO89" s="276"/>
      <c r="AP89" s="276"/>
      <c r="AQ89" s="276"/>
      <c r="AR89" s="276"/>
      <c r="AS89" s="282"/>
    </row>
    <row r="90" spans="1:45">
      <c r="A90" s="19"/>
      <c r="B90" s="64"/>
      <c r="C90" s="198"/>
      <c r="D90" s="215"/>
      <c r="E90" s="197"/>
      <c r="F90" s="197"/>
      <c r="G90" s="202"/>
      <c r="L90" s="211"/>
      <c r="O90" s="32">
        <v>2009</v>
      </c>
      <c r="Q90" s="51" t="s">
        <v>29</v>
      </c>
      <c r="U90" s="138" t="s">
        <v>139</v>
      </c>
      <c r="W90" s="110">
        <f>SUMIF($T$6:$T$72,CONCATENATE(Q90,#REF!,O90),$O$6:$O$72)</f>
        <v>0</v>
      </c>
      <c r="X90" s="110">
        <f>SUMIF($T$6:$T$72,CONCATENATE(Q90,#REF!,Y90),$O$6:$O$72)</f>
        <v>0</v>
      </c>
      <c r="Y90" s="32">
        <v>2009</v>
      </c>
      <c r="AC90" s="24" t="s">
        <v>33</v>
      </c>
      <c r="AD90" s="13" t="s">
        <v>34</v>
      </c>
      <c r="AE90" s="6" t="s">
        <v>181</v>
      </c>
      <c r="AF90" s="13" t="s">
        <v>17</v>
      </c>
      <c r="AG90" s="6" t="s">
        <v>180</v>
      </c>
      <c r="AH90" s="13" t="s">
        <v>15</v>
      </c>
      <c r="AI90" s="26" t="s">
        <v>35</v>
      </c>
      <c r="AL90" s="76"/>
      <c r="AM90" s="27" t="s">
        <v>33</v>
      </c>
      <c r="AN90" s="13" t="s">
        <v>34</v>
      </c>
      <c r="AO90" s="6" t="s">
        <v>181</v>
      </c>
      <c r="AP90" s="13" t="s">
        <v>17</v>
      </c>
      <c r="AQ90" s="6" t="s">
        <v>180</v>
      </c>
      <c r="AR90" s="13" t="s">
        <v>15</v>
      </c>
      <c r="AS90" s="28" t="s">
        <v>35</v>
      </c>
    </row>
    <row r="91" spans="1:45">
      <c r="A91" s="19"/>
      <c r="B91" s="64"/>
      <c r="C91" s="198"/>
      <c r="D91" s="215"/>
      <c r="E91" s="197"/>
      <c r="F91" s="197"/>
      <c r="G91" s="198"/>
      <c r="L91" s="211"/>
      <c r="O91" s="32">
        <v>2009</v>
      </c>
      <c r="Q91" s="51" t="s">
        <v>29</v>
      </c>
      <c r="U91" s="138" t="s">
        <v>139</v>
      </c>
      <c r="W91" s="110">
        <f>SUMIF($T$6:$T$72,CONCATENATE(Q91,#REF!,O91),$O$6:$O$72)</f>
        <v>0</v>
      </c>
      <c r="X91" s="110">
        <f>SUMIF($T$6:$T$72,CONCATENATE(Q91,#REF!,Y91),$O$6:$O$72)</f>
        <v>0</v>
      </c>
      <c r="Y91" s="32">
        <v>2009</v>
      </c>
      <c r="AB91" s="21">
        <f>AB81</f>
        <v>2009</v>
      </c>
      <c r="AC91" s="248">
        <f>AC113+AC134</f>
        <v>0</v>
      </c>
      <c r="AD91" s="246">
        <f t="shared" ref="AD91:AI91" si="106">AD113+AD134</f>
        <v>0</v>
      </c>
      <c r="AE91" s="246">
        <f t="shared" si="106"/>
        <v>0</v>
      </c>
      <c r="AF91" s="246">
        <f t="shared" si="106"/>
        <v>0</v>
      </c>
      <c r="AG91" s="246">
        <f t="shared" si="106"/>
        <v>0</v>
      </c>
      <c r="AH91" s="246">
        <f t="shared" si="106"/>
        <v>0</v>
      </c>
      <c r="AI91" s="249">
        <f t="shared" si="106"/>
        <v>0</v>
      </c>
      <c r="AL91" s="76">
        <f>AL81</f>
        <v>2009</v>
      </c>
      <c r="AM91" s="250">
        <f t="shared" ref="AM91:AS91" si="107">AM113+AM134</f>
        <v>0</v>
      </c>
      <c r="AN91" s="246">
        <f t="shared" si="107"/>
        <v>0</v>
      </c>
      <c r="AO91" s="246">
        <f t="shared" si="107"/>
        <v>0</v>
      </c>
      <c r="AP91" s="246">
        <f t="shared" si="107"/>
        <v>0</v>
      </c>
      <c r="AQ91" s="246">
        <f t="shared" si="107"/>
        <v>0</v>
      </c>
      <c r="AR91" s="246">
        <f t="shared" si="107"/>
        <v>0</v>
      </c>
      <c r="AS91" s="251">
        <f t="shared" si="107"/>
        <v>0</v>
      </c>
    </row>
    <row r="92" spans="1:45">
      <c r="A92" s="19"/>
      <c r="B92" s="45"/>
      <c r="C92" s="198"/>
      <c r="D92" s="215"/>
      <c r="E92" s="197"/>
      <c r="F92" s="197"/>
      <c r="G92" s="198"/>
      <c r="L92" s="211"/>
      <c r="O92" s="32">
        <v>2009</v>
      </c>
      <c r="Q92" s="51" t="s">
        <v>29</v>
      </c>
      <c r="U92" s="138" t="s">
        <v>139</v>
      </c>
      <c r="W92" s="110"/>
      <c r="X92" s="110"/>
      <c r="Y92" s="32">
        <v>2009</v>
      </c>
      <c r="AB92" s="21">
        <v>2010</v>
      </c>
      <c r="AC92" s="248">
        <f t="shared" ref="AC92:AI92" si="108">AC114+AC135</f>
        <v>0</v>
      </c>
      <c r="AD92" s="246">
        <f t="shared" si="108"/>
        <v>0</v>
      </c>
      <c r="AE92" s="246">
        <f t="shared" si="108"/>
        <v>0</v>
      </c>
      <c r="AF92" s="246">
        <f t="shared" si="108"/>
        <v>0</v>
      </c>
      <c r="AG92" s="246">
        <f t="shared" si="108"/>
        <v>0</v>
      </c>
      <c r="AH92" s="246">
        <f t="shared" si="108"/>
        <v>0</v>
      </c>
      <c r="AI92" s="249">
        <f t="shared" si="108"/>
        <v>0</v>
      </c>
      <c r="AL92" s="76">
        <f>AL82</f>
        <v>2010</v>
      </c>
      <c r="AM92" s="250">
        <f t="shared" ref="AM92:AS92" si="109">AM114+AM135</f>
        <v>0</v>
      </c>
      <c r="AN92" s="246">
        <f t="shared" si="109"/>
        <v>0</v>
      </c>
      <c r="AO92" s="246">
        <f t="shared" si="109"/>
        <v>0</v>
      </c>
      <c r="AP92" s="246">
        <f t="shared" si="109"/>
        <v>0</v>
      </c>
      <c r="AQ92" s="246">
        <f t="shared" si="109"/>
        <v>0</v>
      </c>
      <c r="AR92" s="246">
        <f t="shared" si="109"/>
        <v>0</v>
      </c>
      <c r="AS92" s="251">
        <f t="shared" si="109"/>
        <v>0</v>
      </c>
    </row>
    <row r="93" spans="1:45">
      <c r="A93" s="19"/>
      <c r="B93" s="64"/>
      <c r="C93" s="198"/>
      <c r="D93" s="215"/>
      <c r="E93" s="197"/>
      <c r="F93" s="197"/>
      <c r="G93" s="198"/>
      <c r="L93" s="211"/>
      <c r="O93" s="32">
        <v>2009</v>
      </c>
      <c r="Q93" s="51" t="s">
        <v>29</v>
      </c>
      <c r="U93" s="138" t="s">
        <v>139</v>
      </c>
      <c r="W93" s="110"/>
      <c r="X93" s="110"/>
      <c r="Y93" s="32">
        <v>2009</v>
      </c>
      <c r="AB93" s="21">
        <v>2011</v>
      </c>
      <c r="AC93" s="248">
        <f t="shared" ref="AC93:AI93" si="110">AC115+AC136</f>
        <v>63</v>
      </c>
      <c r="AD93" s="246">
        <f t="shared" si="110"/>
        <v>4916.34</v>
      </c>
      <c r="AE93" s="246">
        <f t="shared" si="110"/>
        <v>0</v>
      </c>
      <c r="AF93" s="246">
        <f t="shared" si="110"/>
        <v>10281.000000000002</v>
      </c>
      <c r="AG93" s="246">
        <f t="shared" si="110"/>
        <v>0</v>
      </c>
      <c r="AH93" s="246">
        <f t="shared" si="110"/>
        <v>2200</v>
      </c>
      <c r="AI93" s="249">
        <f t="shared" si="110"/>
        <v>17460.340000000004</v>
      </c>
      <c r="AL93" s="76">
        <f>AL83</f>
        <v>2011</v>
      </c>
      <c r="AM93" s="250">
        <f t="shared" ref="AM93:AS93" si="111">AM115+AM136</f>
        <v>0</v>
      </c>
      <c r="AN93" s="246">
        <f t="shared" si="111"/>
        <v>1872</v>
      </c>
      <c r="AO93" s="246">
        <f t="shared" si="111"/>
        <v>0</v>
      </c>
      <c r="AP93" s="246">
        <f t="shared" si="111"/>
        <v>600</v>
      </c>
      <c r="AQ93" s="246">
        <f t="shared" si="111"/>
        <v>0</v>
      </c>
      <c r="AR93" s="246">
        <f t="shared" si="111"/>
        <v>400</v>
      </c>
      <c r="AS93" s="251">
        <f t="shared" si="111"/>
        <v>2872</v>
      </c>
    </row>
    <row r="94" spans="1:45">
      <c r="A94" s="19"/>
      <c r="B94" s="64"/>
      <c r="C94" s="198"/>
      <c r="D94" s="215"/>
      <c r="E94" s="197"/>
      <c r="F94" s="197"/>
      <c r="G94" s="198"/>
      <c r="L94" s="211"/>
      <c r="O94" s="32">
        <v>2009</v>
      </c>
      <c r="Q94" s="51" t="s">
        <v>29</v>
      </c>
      <c r="U94" s="138" t="s">
        <v>139</v>
      </c>
      <c r="W94" s="110">
        <f>SUMIF($T$6:$T$72,CONCATENATE(Q94,#REF!,O94),$O$6:$O$72)</f>
        <v>0</v>
      </c>
      <c r="X94" s="110">
        <f>SUMIF($T$6:$T$72,CONCATENATE(Q94,#REF!,Y94),$O$6:$O$72)</f>
        <v>0</v>
      </c>
      <c r="Y94" s="32">
        <v>2009</v>
      </c>
      <c r="AB94" s="21">
        <f>AB84</f>
        <v>2012</v>
      </c>
      <c r="AC94" s="248">
        <f t="shared" ref="AC94:AI95" si="112">AC116+AC137</f>
        <v>0</v>
      </c>
      <c r="AD94" s="246">
        <f t="shared" si="112"/>
        <v>2808</v>
      </c>
      <c r="AE94" s="246">
        <f t="shared" si="112"/>
        <v>0</v>
      </c>
      <c r="AF94" s="246">
        <f t="shared" si="112"/>
        <v>12600</v>
      </c>
      <c r="AG94" s="246">
        <f t="shared" si="112"/>
        <v>0</v>
      </c>
      <c r="AH94" s="246">
        <f t="shared" si="112"/>
        <v>35000</v>
      </c>
      <c r="AI94" s="249">
        <f t="shared" si="112"/>
        <v>50408</v>
      </c>
      <c r="AL94" s="76">
        <f>AL84</f>
        <v>2012</v>
      </c>
      <c r="AM94" s="250">
        <f t="shared" ref="AM94:AS95" si="113">AM116+AM137</f>
        <v>0</v>
      </c>
      <c r="AN94" s="246">
        <f t="shared" si="113"/>
        <v>3744</v>
      </c>
      <c r="AO94" s="246">
        <f t="shared" si="113"/>
        <v>0</v>
      </c>
      <c r="AP94" s="246">
        <f t="shared" si="113"/>
        <v>4800</v>
      </c>
      <c r="AQ94" s="246">
        <f t="shared" si="113"/>
        <v>0</v>
      </c>
      <c r="AR94" s="246">
        <f t="shared" si="113"/>
        <v>10000</v>
      </c>
      <c r="AS94" s="251">
        <f t="shared" si="113"/>
        <v>18544</v>
      </c>
    </row>
    <row r="95" spans="1:45">
      <c r="A95" s="19"/>
      <c r="B95" s="64"/>
      <c r="C95" s="198"/>
      <c r="D95" s="215"/>
      <c r="E95" s="197"/>
      <c r="F95" s="197"/>
      <c r="G95" s="198"/>
      <c r="L95" s="211"/>
      <c r="O95" s="32"/>
      <c r="Q95" s="51"/>
      <c r="U95" s="138"/>
      <c r="W95" s="110"/>
      <c r="X95" s="110"/>
      <c r="Y95" s="32"/>
      <c r="AB95" s="21">
        <f>AB85</f>
        <v>2013</v>
      </c>
      <c r="AC95" s="248">
        <f t="shared" si="112"/>
        <v>0</v>
      </c>
      <c r="AD95" s="246">
        <f t="shared" si="112"/>
        <v>0</v>
      </c>
      <c r="AE95" s="246">
        <f t="shared" si="112"/>
        <v>0</v>
      </c>
      <c r="AF95" s="246">
        <f t="shared" si="112"/>
        <v>0</v>
      </c>
      <c r="AG95" s="246">
        <f t="shared" si="112"/>
        <v>0</v>
      </c>
      <c r="AH95" s="246">
        <f t="shared" si="112"/>
        <v>0</v>
      </c>
      <c r="AI95" s="249">
        <f t="shared" si="112"/>
        <v>0</v>
      </c>
      <c r="AL95" s="76">
        <f>AL85</f>
        <v>2013</v>
      </c>
      <c r="AM95" s="250">
        <f t="shared" si="113"/>
        <v>0</v>
      </c>
      <c r="AN95" s="246">
        <f t="shared" si="113"/>
        <v>0</v>
      </c>
      <c r="AO95" s="246">
        <f t="shared" si="113"/>
        <v>0</v>
      </c>
      <c r="AP95" s="246">
        <f t="shared" si="113"/>
        <v>0</v>
      </c>
      <c r="AQ95" s="246">
        <f t="shared" si="113"/>
        <v>0</v>
      </c>
      <c r="AR95" s="246">
        <f t="shared" si="113"/>
        <v>10000</v>
      </c>
      <c r="AS95" s="251">
        <f t="shared" si="113"/>
        <v>10000</v>
      </c>
    </row>
    <row r="96" spans="1:45" ht="13.5" thickBot="1">
      <c r="A96" s="19"/>
      <c r="B96" s="64"/>
      <c r="C96" s="198"/>
      <c r="D96" s="215"/>
      <c r="E96" s="197"/>
      <c r="F96" s="197"/>
      <c r="G96" s="198"/>
      <c r="L96" s="211"/>
      <c r="O96" s="32">
        <v>2009</v>
      </c>
      <c r="Q96" s="51" t="s">
        <v>29</v>
      </c>
      <c r="U96" s="138" t="s">
        <v>139</v>
      </c>
      <c r="W96" s="110">
        <f>SUMIF($T$6:$T$72,CONCATENATE(Q96,#REF!,O96),$O$6:$O$72)</f>
        <v>0</v>
      </c>
      <c r="X96" s="110">
        <f>SUMIF($T$6:$T$72,CONCATENATE(Q96,#REF!,Y96),$O$6:$O$72)</f>
        <v>0</v>
      </c>
      <c r="Y96" s="32">
        <v>2009</v>
      </c>
      <c r="AB96" s="21">
        <f>AB86</f>
        <v>2014</v>
      </c>
      <c r="AC96" s="252">
        <f>AC118+AC139</f>
        <v>0</v>
      </c>
      <c r="AD96" s="253">
        <f t="shared" ref="AC96:AI96" si="114">AD118+AD139</f>
        <v>0</v>
      </c>
      <c r="AE96" s="253">
        <f t="shared" si="114"/>
        <v>0</v>
      </c>
      <c r="AF96" s="253">
        <f t="shared" si="114"/>
        <v>0</v>
      </c>
      <c r="AG96" s="253">
        <f t="shared" si="114"/>
        <v>0</v>
      </c>
      <c r="AH96" s="253">
        <f t="shared" si="114"/>
        <v>0</v>
      </c>
      <c r="AI96" s="254">
        <f t="shared" si="114"/>
        <v>0</v>
      </c>
      <c r="AL96" s="76">
        <f>AL86</f>
        <v>2014</v>
      </c>
      <c r="AM96" s="255">
        <f t="shared" ref="AM96:AS96" si="115">AM118+AM139</f>
        <v>0</v>
      </c>
      <c r="AN96" s="256">
        <f t="shared" si="115"/>
        <v>0</v>
      </c>
      <c r="AO96" s="256">
        <f t="shared" si="115"/>
        <v>0</v>
      </c>
      <c r="AP96" s="256">
        <f t="shared" si="115"/>
        <v>0</v>
      </c>
      <c r="AQ96" s="256">
        <f t="shared" si="115"/>
        <v>0</v>
      </c>
      <c r="AR96" s="256">
        <f t="shared" si="115"/>
        <v>0</v>
      </c>
      <c r="AS96" s="257">
        <f t="shared" si="115"/>
        <v>0</v>
      </c>
    </row>
    <row r="97" spans="1:47" ht="15.75" thickTop="1">
      <c r="A97" s="19"/>
      <c r="B97" s="64"/>
      <c r="C97" s="198"/>
      <c r="D97" s="215"/>
      <c r="E97" s="197"/>
      <c r="F97" s="197"/>
      <c r="G97" s="198"/>
      <c r="L97" s="211"/>
      <c r="O97" s="32">
        <v>2009</v>
      </c>
      <c r="Q97" s="51" t="s">
        <v>29</v>
      </c>
      <c r="U97" s="138" t="s">
        <v>139</v>
      </c>
      <c r="W97" s="110">
        <f>SUM(W88:W96)</f>
        <v>0</v>
      </c>
      <c r="X97" s="110">
        <f>SUM(X88:X96)</f>
        <v>0</v>
      </c>
      <c r="Y97" s="32">
        <v>2009</v>
      </c>
      <c r="AC97" s="110"/>
      <c r="AD97" s="110"/>
      <c r="AE97" s="110"/>
      <c r="AF97" s="110"/>
      <c r="AG97" s="110"/>
      <c r="AH97" s="67" t="s">
        <v>44</v>
      </c>
      <c r="AI97" s="67">
        <f>SUM(AI91:AI96)</f>
        <v>67868.34</v>
      </c>
      <c r="AM97" s="110"/>
      <c r="AN97" s="110"/>
      <c r="AO97" s="110"/>
      <c r="AP97" s="110"/>
      <c r="AQ97" s="110"/>
      <c r="AR97" s="67" t="s">
        <v>42</v>
      </c>
      <c r="AS97" s="67">
        <f>SUM(AS91:AS96)</f>
        <v>31416</v>
      </c>
    </row>
    <row r="98" spans="1:47" ht="15">
      <c r="A98" s="19"/>
      <c r="B98" s="45"/>
      <c r="C98" s="198"/>
      <c r="D98" s="215"/>
      <c r="E98" s="197"/>
      <c r="F98" s="197"/>
      <c r="G98" s="198"/>
      <c r="L98" s="211"/>
      <c r="O98" s="32">
        <v>2009</v>
      </c>
      <c r="Q98" s="51" t="s">
        <v>29</v>
      </c>
      <c r="U98" s="138" t="s">
        <v>139</v>
      </c>
      <c r="W98" s="110">
        <f>W84+W97</f>
        <v>0</v>
      </c>
      <c r="X98" s="110">
        <f>X84+X97</f>
        <v>0</v>
      </c>
      <c r="Y98" s="32">
        <v>2009</v>
      </c>
      <c r="AC98" s="110"/>
      <c r="AD98" s="110"/>
      <c r="AE98" s="110"/>
      <c r="AF98" s="110"/>
      <c r="AG98" s="110"/>
      <c r="AH98" s="67"/>
      <c r="AM98" s="110"/>
      <c r="AN98" s="110"/>
      <c r="AO98" s="110"/>
      <c r="AP98" s="110"/>
      <c r="AQ98" s="110"/>
      <c r="AR98" s="67" t="s">
        <v>58</v>
      </c>
      <c r="AS98" s="258">
        <f>AS97/AI97</f>
        <v>0.46289624882529912</v>
      </c>
    </row>
    <row r="99" spans="1:47" ht="15">
      <c r="A99" s="19"/>
      <c r="B99" s="64"/>
      <c r="C99" s="198"/>
      <c r="D99" s="215"/>
      <c r="E99" s="197"/>
      <c r="F99" s="197"/>
      <c r="G99" s="198"/>
      <c r="L99" s="211"/>
      <c r="O99" s="259"/>
      <c r="Q99" s="71"/>
      <c r="U99" s="138"/>
      <c r="W99" s="110"/>
      <c r="X99" s="110"/>
      <c r="Y99" s="259"/>
      <c r="AC99" s="110"/>
      <c r="AD99" s="110"/>
      <c r="AE99" s="110"/>
      <c r="AF99" s="110"/>
      <c r="AG99" s="110"/>
      <c r="AH99" s="67"/>
      <c r="AI99" s="110">
        <f>AI119+AI140</f>
        <v>67868.34</v>
      </c>
      <c r="AJ99" s="90" t="s">
        <v>55</v>
      </c>
      <c r="AM99" s="110"/>
      <c r="AN99" s="110"/>
      <c r="AO99" s="110"/>
      <c r="AP99" s="110"/>
      <c r="AQ99" s="110"/>
      <c r="AR99" s="67"/>
      <c r="AS99" s="110">
        <f>AS119+AS140</f>
        <v>31416</v>
      </c>
      <c r="AT99" s="19" t="s">
        <v>55</v>
      </c>
    </row>
    <row r="100" spans="1:47" ht="13.5" thickBot="1">
      <c r="A100" s="19"/>
      <c r="B100" s="64"/>
      <c r="C100" s="198"/>
      <c r="D100" s="215"/>
      <c r="E100" s="197"/>
      <c r="F100" s="197"/>
      <c r="G100" s="198"/>
      <c r="L100" s="211"/>
    </row>
    <row r="101" spans="1:47" ht="15.75" thickTop="1">
      <c r="A101" s="19"/>
      <c r="B101" s="64"/>
      <c r="C101" s="295" t="s">
        <v>144</v>
      </c>
      <c r="D101" s="295"/>
      <c r="E101" s="295"/>
      <c r="F101" s="295"/>
      <c r="G101" s="295"/>
      <c r="H101" s="295"/>
      <c r="I101" s="295"/>
      <c r="J101" s="295"/>
      <c r="K101" s="295"/>
      <c r="L101" s="295"/>
      <c r="AC101" s="278" t="s">
        <v>59</v>
      </c>
      <c r="AD101" s="279"/>
      <c r="AE101" s="279"/>
      <c r="AF101" s="279"/>
      <c r="AG101" s="279"/>
      <c r="AH101" s="279"/>
      <c r="AI101" s="280"/>
      <c r="AK101" s="90"/>
      <c r="AL101" s="78"/>
      <c r="AM101" s="278" t="s">
        <v>60</v>
      </c>
      <c r="AN101" s="279"/>
      <c r="AO101" s="279"/>
      <c r="AP101" s="279"/>
      <c r="AQ101" s="279"/>
      <c r="AR101" s="279"/>
      <c r="AS101" s="280"/>
    </row>
    <row r="102" spans="1:47">
      <c r="A102" s="19"/>
      <c r="B102" s="64"/>
      <c r="C102" s="295"/>
      <c r="D102" s="295"/>
      <c r="E102" s="295"/>
      <c r="F102" s="295"/>
      <c r="G102" s="295"/>
      <c r="H102" s="295"/>
      <c r="I102" s="295"/>
      <c r="J102" s="295"/>
      <c r="K102" s="295"/>
      <c r="L102" s="295"/>
      <c r="AC102" s="24" t="s">
        <v>11</v>
      </c>
      <c r="AD102" s="13" t="s">
        <v>10</v>
      </c>
      <c r="AE102" s="6" t="s">
        <v>181</v>
      </c>
      <c r="AF102" s="13" t="s">
        <v>17</v>
      </c>
      <c r="AG102" s="6" t="s">
        <v>180</v>
      </c>
      <c r="AH102" s="13" t="s">
        <v>15</v>
      </c>
      <c r="AI102" s="242"/>
      <c r="AK102" s="90"/>
      <c r="AL102" s="78"/>
      <c r="AM102" s="24" t="s">
        <v>11</v>
      </c>
      <c r="AN102" s="13" t="s">
        <v>10</v>
      </c>
      <c r="AO102" s="6" t="s">
        <v>181</v>
      </c>
      <c r="AP102" s="13" t="s">
        <v>17</v>
      </c>
      <c r="AQ102" s="6" t="s">
        <v>180</v>
      </c>
      <c r="AR102" s="13" t="s">
        <v>15</v>
      </c>
      <c r="AS102" s="242"/>
    </row>
    <row r="103" spans="1:47">
      <c r="A103" s="19"/>
      <c r="B103" s="64"/>
      <c r="C103" s="196"/>
      <c r="D103" s="215"/>
      <c r="E103" s="203"/>
      <c r="F103" s="197"/>
      <c r="G103" s="196"/>
      <c r="S103" s="94" t="s">
        <v>52</v>
      </c>
      <c r="AB103" s="21">
        <v>2009</v>
      </c>
      <c r="AC103" s="244">
        <f>SUMIF($S$6:$S72,CONCATENATE($S103,$AB103),AC$6:AC72)</f>
        <v>0</v>
      </c>
      <c r="AD103" s="245">
        <f>SUMIF($S$6:$S72,CONCATENATE($S103,$AB103),AD$6:AD72)</f>
        <v>0</v>
      </c>
      <c r="AE103" s="245">
        <f>SUMIF($S$6:$S72,CONCATENATE($S103,$AB103),AE$6:AE72)</f>
        <v>0</v>
      </c>
      <c r="AF103" s="245">
        <f>SUMIF($S$6:$S72,CONCATENATE($S103,$AB103),AF$6:AF72)</f>
        <v>0</v>
      </c>
      <c r="AG103" s="245">
        <f>SUMIF($S$6:$S72,CONCATENATE($S103,$AB103),AG$6:AG72)</f>
        <v>0</v>
      </c>
      <c r="AH103" s="245">
        <f>SUMIF($S$6:$S72,CONCATENATE($S103,$AB103),AH$6:AH72)</f>
        <v>0</v>
      </c>
      <c r="AI103" s="242"/>
      <c r="AK103" s="90" t="s">
        <v>53</v>
      </c>
      <c r="AL103" s="76">
        <f>AB103</f>
        <v>2009</v>
      </c>
      <c r="AM103" s="244">
        <f>SUMIF($S$6:$S72,CONCATENATE($AK103,$AL103),AM$6:AM72)</f>
        <v>0</v>
      </c>
      <c r="AN103" s="245">
        <f>SUMIF($S$6:$S72,CONCATENATE($AK103,$AL103),AN$6:AN72)</f>
        <v>0</v>
      </c>
      <c r="AO103" s="245">
        <f>SUMIF($S$6:$S72,CONCATENATE($AK103,$AL103),AO$6:AO72)</f>
        <v>0</v>
      </c>
      <c r="AP103" s="245">
        <f>SUMIF($S$6:$S72,CONCATENATE($AK103,$AL103),AP$6:AP72)</f>
        <v>0</v>
      </c>
      <c r="AQ103" s="245">
        <f>SUMIF($S$6:$S72,CONCATENATE($AK103,$AL103),AQ$6:AQ72)</f>
        <v>0</v>
      </c>
      <c r="AR103" s="245">
        <f>SUMIF($S$6:$S72,CONCATENATE($AK103,$AL103),AR$6:AR72)</f>
        <v>0</v>
      </c>
      <c r="AS103" s="242"/>
    </row>
    <row r="104" spans="1:47">
      <c r="A104" s="19"/>
      <c r="B104" s="64"/>
      <c r="C104" s="196"/>
      <c r="D104" s="215"/>
      <c r="E104" s="203"/>
      <c r="F104" s="197"/>
      <c r="G104" s="196"/>
      <c r="S104" s="94" t="s">
        <v>52</v>
      </c>
      <c r="AB104" s="21">
        <v>2010</v>
      </c>
      <c r="AC104" s="244">
        <f>SUMIF($S$6:$S72,CONCATENATE($S104,$AB104),AC$6:AC72)</f>
        <v>0</v>
      </c>
      <c r="AD104" s="245">
        <f>SUMIF($S$6:$S72,CONCATENATE($S104,$AB104),AD$6:AD72)</f>
        <v>0</v>
      </c>
      <c r="AE104" s="245">
        <f>SUMIF($S$6:$S72,CONCATENATE($S104,$AB104),AE$6:AE72)</f>
        <v>0</v>
      </c>
      <c r="AF104" s="245">
        <f>SUMIF($S$6:$S72,CONCATENATE($S104,$AB104),AF$6:AF72)</f>
        <v>0</v>
      </c>
      <c r="AG104" s="245">
        <f>SUMIF($S$6:$S72,CONCATENATE($S104,$AB104),AG$6:AG72)</f>
        <v>0</v>
      </c>
      <c r="AH104" s="245">
        <f>SUMIF($S$6:$S72,CONCATENATE($S104,$AB104),AH$6:AH72)</f>
        <v>0</v>
      </c>
      <c r="AI104" s="242"/>
      <c r="AK104" s="90" t="s">
        <v>53</v>
      </c>
      <c r="AL104" s="76">
        <f t="shared" ref="AL104:AL110" si="116">AB104</f>
        <v>2010</v>
      </c>
      <c r="AM104" s="244">
        <f>SUMIF($S$6:$S72,CONCATENATE($AK104,$AL104),AM$6:AM72)</f>
        <v>0</v>
      </c>
      <c r="AN104" s="245">
        <f>SUMIF($S$6:$S72,CONCATENATE($AK104,$AL104),AN$6:AN72)</f>
        <v>0</v>
      </c>
      <c r="AO104" s="245">
        <f>SUMIF($S$6:$S72,CONCATENATE($AK104,$AL104),AO$6:AO72)</f>
        <v>0</v>
      </c>
      <c r="AP104" s="245">
        <f>SUMIF($S$6:$S72,CONCATENATE($AK104,$AL104),AP$6:AP72)</f>
        <v>0</v>
      </c>
      <c r="AQ104" s="245">
        <f>SUMIF($S$6:$S72,CONCATENATE($AK104,$AL104),AQ$6:AQ72)</f>
        <v>0</v>
      </c>
      <c r="AR104" s="245">
        <f>SUMIF($S$6:$S72,CONCATENATE($AK104,$AL104),AR$6:AR72)</f>
        <v>0</v>
      </c>
      <c r="AS104" s="242"/>
    </row>
    <row r="105" spans="1:47">
      <c r="A105" s="19"/>
      <c r="B105" s="64"/>
      <c r="C105" s="196"/>
      <c r="D105" s="215"/>
      <c r="E105" s="203"/>
      <c r="F105" s="197"/>
      <c r="G105" s="196"/>
      <c r="S105" s="94" t="s">
        <v>52</v>
      </c>
      <c r="AB105" s="21">
        <v>2011</v>
      </c>
      <c r="AC105" s="244">
        <f>SUMIF($S$6:$S73,CONCATENATE($S105,$AB105),AC$6:AC75)</f>
        <v>0.5</v>
      </c>
      <c r="AD105" s="245">
        <f>SUMIF($S$6:$S73,CONCATENATE($S105,$AB105),AD$6:AD75)</f>
        <v>8</v>
      </c>
      <c r="AE105" s="245">
        <f>SUMIF($S$6:$S73,CONCATENATE($S105,$AB105),AE$6:AE75)</f>
        <v>0</v>
      </c>
      <c r="AF105" s="245">
        <f>SUMIF($S$6:$S73,CONCATENATE($S105,$AB105),AF$6:AF75)</f>
        <v>0.5</v>
      </c>
      <c r="AG105" s="245">
        <f>SUMIF($S$6:$S73,CONCATENATE($S105,$AB105),AG$6:AG75)</f>
        <v>0</v>
      </c>
      <c r="AH105" s="245">
        <f>SUMIF($S$6:$S73,CONCATENATE($S105,$AB105),AH$6:AH75)</f>
        <v>600</v>
      </c>
      <c r="AI105" s="242"/>
      <c r="AK105" s="90" t="s">
        <v>53</v>
      </c>
      <c r="AL105" s="76">
        <f t="shared" si="116"/>
        <v>2011</v>
      </c>
      <c r="AM105" s="244">
        <f>SUMIF($S$6:$S73,CONCATENATE($AK105,$AL105),AM$6:AM75)</f>
        <v>0</v>
      </c>
      <c r="AN105" s="245">
        <f>SUMIF($S$6:$S73,CONCATENATE($AK105,$AL105),AN$6:AN75)</f>
        <v>16</v>
      </c>
      <c r="AO105" s="245">
        <f>SUMIF($S$6:$S73,CONCATENATE($AK105,$AL105),AO$6:AO75)</f>
        <v>0</v>
      </c>
      <c r="AP105" s="245">
        <f>SUMIF($S$6:$S73,CONCATENATE($AK105,$AL105),AP$6:AP75)</f>
        <v>4</v>
      </c>
      <c r="AQ105" s="245">
        <f>SUMIF($S$6:$S73,CONCATENATE($AK105,$AL105),AQ$6:AQ75)</f>
        <v>0</v>
      </c>
      <c r="AR105" s="245">
        <f>SUMIF($S$6:$S73,CONCATENATE($AK105,$AL105),AR$6:AR75)</f>
        <v>400</v>
      </c>
      <c r="AS105" s="242"/>
    </row>
    <row r="106" spans="1:47">
      <c r="A106" s="9"/>
      <c r="B106" s="9"/>
      <c r="C106" s="196"/>
      <c r="D106" s="215"/>
      <c r="E106" s="197"/>
      <c r="F106" s="197"/>
      <c r="G106" s="196"/>
      <c r="S106" s="94" t="s">
        <v>52</v>
      </c>
      <c r="AB106" s="21">
        <v>2012</v>
      </c>
      <c r="AC106" s="244">
        <f>SUMIF($S$6:$S72,CONCATENATE($S106,$AB106),AC$6:AC72)</f>
        <v>0</v>
      </c>
      <c r="AD106" s="245">
        <f>SUMIF($S$6:$S72,CONCATENATE($S106,$AB106),AD$6:AD72)</f>
        <v>24</v>
      </c>
      <c r="AE106" s="245">
        <f>SUMIF($S$6:$S72,CONCATENATE($S106,$AB106),AE$6:AE72)</f>
        <v>0</v>
      </c>
      <c r="AF106" s="245">
        <f>SUMIF($S$6:$S72,CONCATENATE($S106,$AB106),AF$6:AF72)</f>
        <v>84</v>
      </c>
      <c r="AG106" s="245">
        <f>SUMIF($S$6:$S72,CONCATENATE($S106,$AB106),AG$6:AG72)</f>
        <v>0</v>
      </c>
      <c r="AH106" s="245">
        <f>SUMIF($S$6:$S72,CONCATENATE($S106,$AB106),AH$6:AH72)</f>
        <v>35000</v>
      </c>
      <c r="AI106" s="242"/>
      <c r="AK106" s="90" t="s">
        <v>53</v>
      </c>
      <c r="AL106" s="76">
        <f t="shared" si="116"/>
        <v>2012</v>
      </c>
      <c r="AM106" s="244">
        <f>SUMIF($S$6:$S72,CONCATENATE($AK106,$AL106),AM$6:AM72)</f>
        <v>0</v>
      </c>
      <c r="AN106" s="245">
        <f>SUMIF($S$6:$S72,CONCATENATE($AK106,$AL106),AN$6:AN72)</f>
        <v>32</v>
      </c>
      <c r="AO106" s="245">
        <f>SUMIF($S$6:$S72,CONCATENATE($AK106,$AL106),AO$6:AO72)</f>
        <v>0</v>
      </c>
      <c r="AP106" s="245">
        <f>SUMIF($S$6:$S72,CONCATENATE($AK106,$AL106),AP$6:AP72)</f>
        <v>32</v>
      </c>
      <c r="AQ106" s="245">
        <f>SUMIF($S$6:$S72,CONCATENATE($AK106,$AL106),AQ$6:AQ72)</f>
        <v>0</v>
      </c>
      <c r="AR106" s="245">
        <f>SUMIF($S$6:$S72,CONCATENATE($AK106,$AL106),AR$6:AR72)</f>
        <v>10000</v>
      </c>
      <c r="AS106" s="242"/>
    </row>
    <row r="107" spans="1:47">
      <c r="A107" s="9"/>
      <c r="B107" s="9"/>
      <c r="C107" s="196"/>
      <c r="D107" s="215"/>
      <c r="E107" s="203"/>
      <c r="F107" s="197"/>
      <c r="G107" s="196"/>
      <c r="S107" s="94" t="s">
        <v>52</v>
      </c>
      <c r="AB107" s="21">
        <v>2013</v>
      </c>
      <c r="AC107" s="244">
        <f>SUMIF($S$6:$S72,CONCATENATE($S107,$AB107),AC$6:AC72)</f>
        <v>0</v>
      </c>
      <c r="AD107" s="245">
        <f>SUMIF($S$6:$S72,CONCATENATE($S107,$AB107),AD$6:AD72)</f>
        <v>0</v>
      </c>
      <c r="AE107" s="245">
        <f>SUMIF($S$6:$S72,CONCATENATE($S107,$AB107),AE$6:AE72)</f>
        <v>0</v>
      </c>
      <c r="AF107" s="245">
        <f>SUMIF($S$6:$S72,CONCATENATE($S107,$AB107),AF$6:AF72)</f>
        <v>0</v>
      </c>
      <c r="AG107" s="245">
        <f>SUMIF($S$6:$S72,CONCATENATE($S107,$AB107),AG$6:AG72)</f>
        <v>0</v>
      </c>
      <c r="AH107" s="245">
        <f>SUMIF($S$6:$S72,CONCATENATE($S107,$AB107),AH$6:AH72)</f>
        <v>0</v>
      </c>
      <c r="AI107" s="242"/>
      <c r="AK107" s="90" t="s">
        <v>53</v>
      </c>
      <c r="AL107" s="76">
        <f t="shared" si="116"/>
        <v>2013</v>
      </c>
      <c r="AM107" s="244">
        <f>SUMIF($S$6:$S72,CONCATENATE($AK107,$AL107),AM$6:AM72)</f>
        <v>0</v>
      </c>
      <c r="AN107" s="245">
        <f>SUMIF($S$6:$S72,CONCATENATE($AK107,$AL107),AN$6:AN72)</f>
        <v>0</v>
      </c>
      <c r="AO107" s="245">
        <f>SUMIF($S$6:$S72,CONCATENATE($AK107,$AL107),AO$6:AO72)</f>
        <v>0</v>
      </c>
      <c r="AP107" s="245">
        <f>SUMIF($S$6:$S72,CONCATENATE($AK107,$AL107),AP$6:AP72)</f>
        <v>0</v>
      </c>
      <c r="AQ107" s="245">
        <f>SUMIF($S$6:$S72,CONCATENATE($AK107,$AL107),AQ$6:AQ72)</f>
        <v>0</v>
      </c>
      <c r="AR107" s="245">
        <f>SUMIF($S$6:$S72,CONCATENATE($AK107,$AL107),AR$6:AR72)</f>
        <v>10000</v>
      </c>
      <c r="AS107" s="242"/>
    </row>
    <row r="108" spans="1:47">
      <c r="A108" s="9"/>
      <c r="B108" s="9"/>
      <c r="C108" s="196"/>
      <c r="D108" s="215"/>
      <c r="E108" s="203"/>
      <c r="F108" s="197"/>
      <c r="G108" s="196"/>
      <c r="S108" s="94" t="s">
        <v>52</v>
      </c>
      <c r="AB108" s="21">
        <v>2014</v>
      </c>
      <c r="AC108" s="244">
        <f>SUMIF($S$6:$S73,CONCATENATE($S108,$AB108),AC$6:AC73)</f>
        <v>0</v>
      </c>
      <c r="AD108" s="245">
        <f>SUMIF($S$6:$S73,CONCATENATE($S108,$AB108),AD$6:AD73)</f>
        <v>0</v>
      </c>
      <c r="AE108" s="245">
        <f>SUMIF($S$6:$S73,CONCATENATE($S108,$AB108),AE$6:AE73)</f>
        <v>0</v>
      </c>
      <c r="AF108" s="245">
        <f>SUMIF($S$6:$S73,CONCATENATE($S108,$AB108),AF$6:AF73)</f>
        <v>0</v>
      </c>
      <c r="AG108" s="245">
        <f>SUMIF($S$6:$S73,CONCATENATE($S108,$AB108),AG$6:AG73)</f>
        <v>0</v>
      </c>
      <c r="AH108" s="245">
        <f>SUMIF($S$6:$S73,CONCATENATE($S108,$AB108),AH$6:AH73)</f>
        <v>0</v>
      </c>
      <c r="AI108" s="242"/>
      <c r="AK108" s="90" t="s">
        <v>53</v>
      </c>
      <c r="AL108" s="76">
        <f t="shared" ref="AL108" si="117">AB108</f>
        <v>2014</v>
      </c>
      <c r="AM108" s="244">
        <f>SUMIF($S$6:$S73,CONCATENATE($AK108,$AL108),AM$6:AM73)</f>
        <v>0</v>
      </c>
      <c r="AN108" s="245">
        <f>SUMIF($S$6:$S73,CONCATENATE($AK108,$AL108),AN$6:AN73)</f>
        <v>0</v>
      </c>
      <c r="AO108" s="245">
        <f>SUMIF($S$6:$S73,CONCATENATE($AK108,$AL108),AO$6:AO73)</f>
        <v>0</v>
      </c>
      <c r="AP108" s="245">
        <f>SUMIF($S$6:$S73,CONCATENATE($AK108,$AL108),AP$6:AP73)</f>
        <v>0</v>
      </c>
      <c r="AQ108" s="245">
        <f>SUMIF($S$6:$S73,CONCATENATE($AK108,$AL108),AQ$6:AQ73)</f>
        <v>0</v>
      </c>
      <c r="AR108" s="245">
        <f>SUMIF($S$6:$S73,CONCATENATE($AK108,$AL108),AR$6:AR73)</f>
        <v>0</v>
      </c>
      <c r="AS108" s="242"/>
    </row>
    <row r="109" spans="1:47">
      <c r="A109" s="9"/>
      <c r="B109" s="9"/>
      <c r="C109" s="196"/>
      <c r="D109" s="215"/>
      <c r="E109" s="197"/>
      <c r="F109" s="197"/>
      <c r="G109" s="196"/>
      <c r="S109" s="94" t="s">
        <v>52</v>
      </c>
      <c r="AB109" s="23" t="s">
        <v>136</v>
      </c>
      <c r="AC109" s="244">
        <f>SUMIF($S$6:$S72,CONCATENATE($S109,$AB109),AC$6:AC72)</f>
        <v>0</v>
      </c>
      <c r="AD109" s="245">
        <f>SUMIF($S$6:$S72,CONCATENATE($S109,$AB109),AD$6:AD72)</f>
        <v>0</v>
      </c>
      <c r="AE109" s="245">
        <f>SUMIF($S$6:$S72,CONCATENATE($S109,$AB109),AE$6:AE72)</f>
        <v>0</v>
      </c>
      <c r="AF109" s="245">
        <f>SUMIF($S$6:$S72,CONCATENATE($S109,$AB109),AF$6:AF72)</f>
        <v>0</v>
      </c>
      <c r="AG109" s="245">
        <f>SUMIF($S$6:$S72,CONCATENATE($S109,$AB109),AG$6:AG72)</f>
        <v>0</v>
      </c>
      <c r="AH109" s="245">
        <f>SUMIF($S$6:$S72,CONCATENATE($S109,$AB109),AH$6:AH72)</f>
        <v>0</v>
      </c>
      <c r="AI109" s="242"/>
      <c r="AK109" s="90" t="s">
        <v>53</v>
      </c>
      <c r="AL109" s="76" t="str">
        <f t="shared" si="116"/>
        <v>CONT</v>
      </c>
      <c r="AM109" s="244">
        <f>SUMIF($S$6:$S72,CONCATENATE($AK109,$AL109),AM$6:AM72)</f>
        <v>0</v>
      </c>
      <c r="AN109" s="245">
        <f>SUMIF($S$6:$S72,CONCATENATE($AK109,$AL109),AN$6:AN72)</f>
        <v>0</v>
      </c>
      <c r="AO109" s="245">
        <f>SUMIF($S$6:$S72,CONCATENATE($AK109,$AL109),AO$6:AO72)</f>
        <v>0</v>
      </c>
      <c r="AP109" s="245">
        <f>SUMIF($S$6:$S72,CONCATENATE($AK109,$AL109),AP$6:AP72)</f>
        <v>0</v>
      </c>
      <c r="AQ109" s="245">
        <f>SUMIF($S$6:$S72,CONCATENATE($AK109,$AL109),AQ$6:AQ72)</f>
        <v>0</v>
      </c>
      <c r="AR109" s="245">
        <f>SUMIF($S$6:$S72,CONCATENATE($AK109,$AL109),AR$6:AR72)</f>
        <v>0</v>
      </c>
      <c r="AS109" s="242"/>
    </row>
    <row r="110" spans="1:47">
      <c r="A110" s="9"/>
      <c r="B110" s="9"/>
      <c r="C110" s="196"/>
      <c r="D110" s="217"/>
      <c r="E110" s="203"/>
      <c r="F110" s="197"/>
      <c r="G110" s="204"/>
      <c r="S110" s="94" t="s">
        <v>52</v>
      </c>
      <c r="AB110" s="23" t="s">
        <v>132</v>
      </c>
      <c r="AC110" s="244">
        <f>SUMIF($S$6:$S72,CONCATENATE($S110,$AB110),AC$6:AC72)</f>
        <v>8</v>
      </c>
      <c r="AD110" s="245">
        <f>SUMIF($S$6:$S72,CONCATENATE($S110,$AB110),AD$6:AD72)</f>
        <v>136</v>
      </c>
      <c r="AE110" s="245">
        <f>SUMIF($S$6:$S72,CONCATENATE($S110,$AB110),AE$6:AE72)</f>
        <v>0</v>
      </c>
      <c r="AF110" s="245">
        <f>SUMIF($S$6:$S72,CONCATENATE($S110,$AB110),AF$6:AF72)</f>
        <v>60</v>
      </c>
      <c r="AG110" s="245">
        <f>SUMIF($S$6:$S72,CONCATENATE($S110,$AB110),AG$6:AG72)</f>
        <v>0</v>
      </c>
      <c r="AH110" s="245">
        <f>SUMIF($S$6:$S72,CONCATENATE($S110,$AB110),AH$6:AH72)</f>
        <v>0</v>
      </c>
      <c r="AI110" s="242"/>
      <c r="AK110" s="90" t="s">
        <v>53</v>
      </c>
      <c r="AL110" s="76" t="str">
        <f t="shared" si="116"/>
        <v>STAR</v>
      </c>
      <c r="AM110" s="244">
        <f>SUMIF($S$6:$S72,CONCATENATE($AK110,$AL110),AM$6:AM72)</f>
        <v>0</v>
      </c>
      <c r="AN110" s="245">
        <f>SUMIF($S$6:$S72,CONCATENATE($AK110,$AL110),AN$6:AN72)</f>
        <v>0</v>
      </c>
      <c r="AO110" s="245">
        <f>SUMIF($S$6:$S72,CONCATENATE($AK110,$AL110),AO$6:AO72)</f>
        <v>0</v>
      </c>
      <c r="AP110" s="245">
        <f>SUMIF($S$6:$S72,CONCATENATE($AK110,$AL110),AP$6:AP72)</f>
        <v>0</v>
      </c>
      <c r="AQ110" s="245">
        <f>SUMIF($S$6:$S72,CONCATENATE($AK110,$AL110),AQ$6:AQ72)</f>
        <v>0</v>
      </c>
      <c r="AR110" s="245">
        <f>SUMIF($S$6:$S72,CONCATENATE($AK110,$AL110),AR$6:AR72)</f>
        <v>0</v>
      </c>
      <c r="AS110" s="242"/>
    </row>
    <row r="111" spans="1:47" ht="15.75">
      <c r="A111" s="9"/>
      <c r="B111" s="9"/>
      <c r="C111" s="196"/>
      <c r="D111" s="218"/>
      <c r="E111" s="197"/>
      <c r="F111" s="197"/>
      <c r="G111" s="196"/>
      <c r="AC111" s="275" t="s">
        <v>134</v>
      </c>
      <c r="AD111" s="276"/>
      <c r="AE111" s="276"/>
      <c r="AF111" s="276"/>
      <c r="AG111" s="276"/>
      <c r="AH111" s="276"/>
      <c r="AI111" s="277"/>
      <c r="AK111" s="90"/>
      <c r="AL111" s="78"/>
      <c r="AM111" s="275" t="s">
        <v>134</v>
      </c>
      <c r="AN111" s="276"/>
      <c r="AO111" s="276"/>
      <c r="AP111" s="276"/>
      <c r="AQ111" s="276"/>
      <c r="AR111" s="276"/>
      <c r="AS111" s="277"/>
      <c r="AU111" s="25"/>
    </row>
    <row r="112" spans="1:47">
      <c r="A112" s="9"/>
      <c r="B112" s="9"/>
      <c r="C112" s="196"/>
      <c r="D112" s="218"/>
      <c r="E112" s="205"/>
      <c r="F112" s="206"/>
      <c r="G112" s="196"/>
      <c r="AC112" s="24" t="s">
        <v>33</v>
      </c>
      <c r="AD112" s="13" t="s">
        <v>34</v>
      </c>
      <c r="AE112" s="6" t="s">
        <v>181</v>
      </c>
      <c r="AF112" s="13" t="s">
        <v>17</v>
      </c>
      <c r="AG112" s="6" t="s">
        <v>180</v>
      </c>
      <c r="AH112" s="13" t="s">
        <v>15</v>
      </c>
      <c r="AI112" s="26" t="s">
        <v>35</v>
      </c>
      <c r="AK112" s="90"/>
      <c r="AL112" s="78"/>
      <c r="AM112" s="24" t="s">
        <v>33</v>
      </c>
      <c r="AN112" s="13" t="s">
        <v>34</v>
      </c>
      <c r="AO112" s="6" t="s">
        <v>181</v>
      </c>
      <c r="AP112" s="13" t="s">
        <v>17</v>
      </c>
      <c r="AQ112" s="6" t="s">
        <v>180</v>
      </c>
      <c r="AR112" s="13" t="s">
        <v>15</v>
      </c>
      <c r="AS112" s="26" t="s">
        <v>35</v>
      </c>
    </row>
    <row r="113" spans="1:50">
      <c r="A113" s="9"/>
      <c r="B113" s="9"/>
      <c r="C113" s="196"/>
      <c r="D113" s="215"/>
      <c r="E113" s="205"/>
      <c r="F113" s="197"/>
      <c r="G113" s="196"/>
      <c r="S113" s="94" t="s">
        <v>52</v>
      </c>
      <c r="AB113" s="21">
        <f>AB103</f>
        <v>2009</v>
      </c>
      <c r="AC113" s="248">
        <f>Shop_RD*AC103</f>
        <v>0</v>
      </c>
      <c r="AD113" s="246">
        <f>MTECH_RD*AD103</f>
        <v>0</v>
      </c>
      <c r="AE113" s="246">
        <f>CMM_RD*AE103</f>
        <v>0</v>
      </c>
      <c r="AF113" s="246">
        <f>ENG_RD*AF103</f>
        <v>0</v>
      </c>
      <c r="AG113" s="246">
        <f>DES_RD*AG103</f>
        <v>0</v>
      </c>
      <c r="AH113" s="246">
        <f>AH103</f>
        <v>0</v>
      </c>
      <c r="AI113" s="249">
        <f>SUM(AC113:AH113)</f>
        <v>0</v>
      </c>
      <c r="AK113" s="90" t="s">
        <v>53</v>
      </c>
      <c r="AL113" s="76">
        <f>AB113</f>
        <v>2009</v>
      </c>
      <c r="AM113" s="248">
        <f>Shop_RD*AM103</f>
        <v>0</v>
      </c>
      <c r="AN113" s="246">
        <f>MTECH_RD*AN103</f>
        <v>0</v>
      </c>
      <c r="AO113" s="246">
        <f>CMM_RD*AO103</f>
        <v>0</v>
      </c>
      <c r="AP113" s="246">
        <f>ENG_RD*AP103</f>
        <v>0</v>
      </c>
      <c r="AQ113" s="246">
        <f>DES_RD*AQ103</f>
        <v>0</v>
      </c>
      <c r="AR113" s="246">
        <f>AR103</f>
        <v>0</v>
      </c>
      <c r="AS113" s="249">
        <f>SUM(AM113:AR113)</f>
        <v>0</v>
      </c>
    </row>
    <row r="114" spans="1:50">
      <c r="A114" s="9"/>
      <c r="B114" s="9"/>
      <c r="C114" s="196"/>
      <c r="D114" s="215"/>
      <c r="E114" s="205"/>
      <c r="F114" s="197"/>
      <c r="G114" s="196"/>
      <c r="S114" s="94" t="s">
        <v>52</v>
      </c>
      <c r="AB114" s="21">
        <v>2010</v>
      </c>
      <c r="AC114" s="248">
        <f>Shop_RD*AC104</f>
        <v>0</v>
      </c>
      <c r="AD114" s="246">
        <f>MTECH_RD*AD104</f>
        <v>0</v>
      </c>
      <c r="AE114" s="246">
        <f>CMM_RD*AE104</f>
        <v>0</v>
      </c>
      <c r="AF114" s="246">
        <f>ENG_RD*AF104</f>
        <v>0</v>
      </c>
      <c r="AG114" s="246">
        <f>DES_RD*AG104</f>
        <v>0</v>
      </c>
      <c r="AH114" s="246">
        <f>AH104</f>
        <v>0</v>
      </c>
      <c r="AI114" s="249">
        <f>SUM(AC114:AH114)</f>
        <v>0</v>
      </c>
      <c r="AK114" s="90" t="s">
        <v>53</v>
      </c>
      <c r="AL114" s="76">
        <f>AB114</f>
        <v>2010</v>
      </c>
      <c r="AM114" s="248">
        <f>Shop_RD*AM104</f>
        <v>0</v>
      </c>
      <c r="AN114" s="246">
        <f>MTECH_RD*AN104</f>
        <v>0</v>
      </c>
      <c r="AO114" s="246">
        <f>CMM_RD*AO104</f>
        <v>0</v>
      </c>
      <c r="AP114" s="246">
        <f>ENG_RD*AP104</f>
        <v>0</v>
      </c>
      <c r="AQ114" s="246">
        <f>DES_RD*AQ104</f>
        <v>0</v>
      </c>
      <c r="AR114" s="246">
        <f>AR104</f>
        <v>0</v>
      </c>
      <c r="AS114" s="249">
        <f>SUM(AM114:AR114)</f>
        <v>0</v>
      </c>
    </row>
    <row r="115" spans="1:50">
      <c r="A115" s="9"/>
      <c r="B115" s="9"/>
      <c r="C115" s="196"/>
      <c r="D115" s="215"/>
      <c r="E115" s="205"/>
      <c r="F115" s="197"/>
      <c r="G115" s="196"/>
      <c r="S115" s="94" t="s">
        <v>52</v>
      </c>
      <c r="AB115" s="21">
        <v>2011</v>
      </c>
      <c r="AC115" s="248">
        <f>Shop_RD*AC105</f>
        <v>63</v>
      </c>
      <c r="AD115" s="246">
        <f>MTECH_RD*AD105</f>
        <v>936</v>
      </c>
      <c r="AE115" s="246">
        <f>CMM_RD*AE105</f>
        <v>0</v>
      </c>
      <c r="AF115" s="246">
        <f>ENG_RD*AF105</f>
        <v>75</v>
      </c>
      <c r="AG115" s="246">
        <f>DES_RD*AG105</f>
        <v>0</v>
      </c>
      <c r="AH115" s="246">
        <f>AH105</f>
        <v>600</v>
      </c>
      <c r="AI115" s="249">
        <f>SUM(AC115:AH115)</f>
        <v>1674</v>
      </c>
      <c r="AK115" s="90" t="s">
        <v>53</v>
      </c>
      <c r="AL115" s="76">
        <f>AB115</f>
        <v>2011</v>
      </c>
      <c r="AM115" s="248">
        <f>Shop_RD*AM105</f>
        <v>0</v>
      </c>
      <c r="AN115" s="246">
        <f>MTECH_RD*AN105</f>
        <v>1872</v>
      </c>
      <c r="AO115" s="246">
        <f>CMM_RD*AO105</f>
        <v>0</v>
      </c>
      <c r="AP115" s="246">
        <f>ENG_RD*AP105</f>
        <v>600</v>
      </c>
      <c r="AQ115" s="246">
        <f>DES_RD*AQ105</f>
        <v>0</v>
      </c>
      <c r="AR115" s="246">
        <f>AR105</f>
        <v>400</v>
      </c>
      <c r="AS115" s="249">
        <f>SUM(AM115:AR115)</f>
        <v>2872</v>
      </c>
    </row>
    <row r="116" spans="1:50">
      <c r="S116" s="94" t="s">
        <v>52</v>
      </c>
      <c r="AB116" s="21">
        <f>AB106</f>
        <v>2012</v>
      </c>
      <c r="AC116" s="248">
        <f>Shop_RD*AC106</f>
        <v>0</v>
      </c>
      <c r="AD116" s="246">
        <f>MTECH_RD*AD106</f>
        <v>2808</v>
      </c>
      <c r="AE116" s="246">
        <f>CMM_RD*AE106</f>
        <v>0</v>
      </c>
      <c r="AF116" s="246">
        <f>ENG_RD*AF106</f>
        <v>12600</v>
      </c>
      <c r="AG116" s="246">
        <f>DES_RD*AG106</f>
        <v>0</v>
      </c>
      <c r="AH116" s="246">
        <f>AH106</f>
        <v>35000</v>
      </c>
      <c r="AI116" s="249">
        <f>SUM(AC116:AH116)</f>
        <v>50408</v>
      </c>
      <c r="AK116" s="90" t="s">
        <v>53</v>
      </c>
      <c r="AL116" s="76">
        <f>AB116</f>
        <v>2012</v>
      </c>
      <c r="AM116" s="248">
        <f>Shop_RD*AM106</f>
        <v>0</v>
      </c>
      <c r="AN116" s="246">
        <f>MTECH_RD*AN106</f>
        <v>3744</v>
      </c>
      <c r="AO116" s="246">
        <f>CMM_RD*AO106</f>
        <v>0</v>
      </c>
      <c r="AP116" s="246">
        <f>ENG_RD*AP106</f>
        <v>4800</v>
      </c>
      <c r="AQ116" s="246">
        <f>DES_RD*AQ106</f>
        <v>0</v>
      </c>
      <c r="AR116" s="246">
        <f>AR106</f>
        <v>10000</v>
      </c>
      <c r="AS116" s="249">
        <f>SUM(AM116:AR116)</f>
        <v>18544</v>
      </c>
    </row>
    <row r="117" spans="1:50">
      <c r="S117" s="94" t="s">
        <v>52</v>
      </c>
      <c r="AB117" s="21">
        <f>AB107</f>
        <v>2013</v>
      </c>
      <c r="AC117" s="248">
        <f>Shop_RD*AC107</f>
        <v>0</v>
      </c>
      <c r="AD117" s="246">
        <f>MTECH_RD*AD107</f>
        <v>0</v>
      </c>
      <c r="AE117" s="246">
        <f>CMM_RD*AE107</f>
        <v>0</v>
      </c>
      <c r="AF117" s="246">
        <f>ENG_RD*AF107</f>
        <v>0</v>
      </c>
      <c r="AG117" s="246">
        <f>DES_RD*AG107</f>
        <v>0</v>
      </c>
      <c r="AH117" s="246">
        <f>AH107</f>
        <v>0</v>
      </c>
      <c r="AI117" s="249">
        <f>SUM(AC117:AH117)</f>
        <v>0</v>
      </c>
      <c r="AK117" s="90" t="s">
        <v>53</v>
      </c>
      <c r="AL117" s="76">
        <f>AB117</f>
        <v>2013</v>
      </c>
      <c r="AM117" s="248">
        <f>Shop_RD*AM107</f>
        <v>0</v>
      </c>
      <c r="AN117" s="246">
        <f>MTECH_RD*AN107</f>
        <v>0</v>
      </c>
      <c r="AO117" s="246">
        <f>CMM_RD*AO107</f>
        <v>0</v>
      </c>
      <c r="AP117" s="246">
        <f>ENG_RD*AP107</f>
        <v>0</v>
      </c>
      <c r="AQ117" s="246">
        <f>DES_RD*AQ107</f>
        <v>0</v>
      </c>
      <c r="AR117" s="246">
        <f>AR107</f>
        <v>10000</v>
      </c>
      <c r="AS117" s="249">
        <f>SUM(AM117:AR117)</f>
        <v>10000</v>
      </c>
    </row>
    <row r="118" spans="1:50" ht="13.5" thickBot="1">
      <c r="S118" s="94" t="s">
        <v>52</v>
      </c>
      <c r="AB118" s="21">
        <v>2014</v>
      </c>
      <c r="AC118" s="252">
        <f>Shop_RD*AC108</f>
        <v>0</v>
      </c>
      <c r="AD118" s="253">
        <f>Shop_RD*AD108</f>
        <v>0</v>
      </c>
      <c r="AE118" s="253">
        <f>Shop_RD*AE108</f>
        <v>0</v>
      </c>
      <c r="AF118" s="253">
        <f>Shop_RD*AF108</f>
        <v>0</v>
      </c>
      <c r="AG118" s="253">
        <f>Shop_RD*AG108</f>
        <v>0</v>
      </c>
      <c r="AH118" s="253">
        <f>Shop_RD*AH108</f>
        <v>0</v>
      </c>
      <c r="AI118" s="254">
        <f>SUM(AC118:AH118)</f>
        <v>0</v>
      </c>
      <c r="AK118" s="90" t="s">
        <v>53</v>
      </c>
      <c r="AL118" s="76">
        <f>AB118</f>
        <v>2014</v>
      </c>
      <c r="AM118" s="252">
        <f>Shop_RD*AM108</f>
        <v>0</v>
      </c>
      <c r="AN118" s="253">
        <f>Shop_RD*AN108</f>
        <v>0</v>
      </c>
      <c r="AO118" s="253">
        <f>Shop_RD*AO108</f>
        <v>0</v>
      </c>
      <c r="AP118" s="253">
        <f>Shop_RD*AP108</f>
        <v>0</v>
      </c>
      <c r="AQ118" s="253">
        <f>Shop_RD*AQ108</f>
        <v>0</v>
      </c>
      <c r="AR118" s="253">
        <f>Shop_RD*AR108</f>
        <v>0</v>
      </c>
      <c r="AS118" s="254">
        <f>SUM(AM118:AR118)</f>
        <v>0</v>
      </c>
    </row>
    <row r="119" spans="1:50" ht="15.75" thickTop="1">
      <c r="AH119" s="67" t="s">
        <v>44</v>
      </c>
      <c r="AI119" s="67">
        <f>SUM(AI113:AI118)</f>
        <v>52082</v>
      </c>
      <c r="AK119" s="90"/>
      <c r="AL119" s="7"/>
      <c r="AM119" s="144"/>
      <c r="AN119" s="144"/>
      <c r="AO119" s="144"/>
      <c r="AP119" s="144"/>
      <c r="AQ119" s="78"/>
      <c r="AR119" s="67" t="s">
        <v>42</v>
      </c>
      <c r="AS119" s="67">
        <f>SUM(AS113:AS118)</f>
        <v>31416</v>
      </c>
      <c r="AW119" s="66"/>
      <c r="AX119" s="66"/>
    </row>
    <row r="120" spans="1:50">
      <c r="AR120" s="77" t="s">
        <v>58</v>
      </c>
      <c r="AS120" s="258">
        <f>AS119/AI119</f>
        <v>0.60320264198763485</v>
      </c>
    </row>
    <row r="121" spans="1:50" ht="13.5" thickBot="1"/>
    <row r="122" spans="1:50" ht="15.75" thickTop="1">
      <c r="AC122" s="278" t="s">
        <v>56</v>
      </c>
      <c r="AD122" s="279"/>
      <c r="AE122" s="279"/>
      <c r="AF122" s="279"/>
      <c r="AG122" s="279"/>
      <c r="AH122" s="279"/>
      <c r="AI122" s="280"/>
      <c r="AK122" s="90"/>
      <c r="AL122" s="78"/>
      <c r="AM122" s="278" t="s">
        <v>57</v>
      </c>
      <c r="AN122" s="279"/>
      <c r="AO122" s="279"/>
      <c r="AP122" s="279"/>
      <c r="AQ122" s="279"/>
      <c r="AR122" s="279"/>
      <c r="AS122" s="280"/>
    </row>
    <row r="123" spans="1:50">
      <c r="AC123" s="24" t="s">
        <v>11</v>
      </c>
      <c r="AD123" s="13" t="s">
        <v>10</v>
      </c>
      <c r="AE123" s="6" t="s">
        <v>181</v>
      </c>
      <c r="AF123" s="13" t="s">
        <v>17</v>
      </c>
      <c r="AG123" s="6" t="s">
        <v>180</v>
      </c>
      <c r="AH123" s="13" t="s">
        <v>15</v>
      </c>
      <c r="AI123" s="242"/>
      <c r="AK123" s="90"/>
      <c r="AL123" s="78"/>
      <c r="AM123" s="24" t="s">
        <v>11</v>
      </c>
      <c r="AN123" s="13" t="s">
        <v>10</v>
      </c>
      <c r="AO123" s="6" t="s">
        <v>181</v>
      </c>
      <c r="AP123" s="13" t="s">
        <v>17</v>
      </c>
      <c r="AQ123" s="6" t="s">
        <v>180</v>
      </c>
      <c r="AR123" s="13" t="s">
        <v>15</v>
      </c>
      <c r="AS123" s="242"/>
    </row>
    <row r="124" spans="1:50">
      <c r="S124" s="94" t="s">
        <v>51</v>
      </c>
      <c r="AB124" s="21">
        <v>2009</v>
      </c>
      <c r="AC124" s="244">
        <f>SUMIF($S$6:$S72,CONCATENATE($S124,$AB124),AC$6:AC72)</f>
        <v>0</v>
      </c>
      <c r="AD124" s="245">
        <f>SUMIF($S$6:$S72,CONCATENATE($S124,$AB124),AD$6:AD72)</f>
        <v>0</v>
      </c>
      <c r="AE124" s="245">
        <f>SUMIF($S$6:$S72,CONCATENATE($S124,$AB124),AE$6:AE72)</f>
        <v>0</v>
      </c>
      <c r="AF124" s="245">
        <f>SUMIF($S$6:$S72,CONCATENATE($S124,$AB124),AF$6:AF72)</f>
        <v>0</v>
      </c>
      <c r="AG124" s="245">
        <f>SUMIF($S$6:$S72,CONCATENATE($S124,$AB124),AG$6:AG72)</f>
        <v>0</v>
      </c>
      <c r="AH124" s="245">
        <f>SUMIF($S$6:$S72,CONCATENATE($S124,$AB124),AH$6:AH72)</f>
        <v>0</v>
      </c>
      <c r="AI124" s="242"/>
      <c r="AK124" s="90" t="s">
        <v>54</v>
      </c>
      <c r="AL124" s="76">
        <f>AB124</f>
        <v>2009</v>
      </c>
      <c r="AM124" s="244">
        <f>SUMIF($S$6:$S72,CONCATENATE($AK124,$AL124),AM$6:AM72)</f>
        <v>0</v>
      </c>
      <c r="AN124" s="245">
        <f>SUMIF($S$6:$S72,CONCATENATE($AK124,$AL124),AN$6:AN72)</f>
        <v>0</v>
      </c>
      <c r="AO124" s="245">
        <f>SUMIF($S$6:$S72,CONCATENATE($AK124,$AL124),AO$6:AO72)</f>
        <v>0</v>
      </c>
      <c r="AP124" s="245">
        <f>SUMIF($S$6:$S72,CONCATENATE($AK124,$AL124),AP$6:AP72)</f>
        <v>0</v>
      </c>
      <c r="AQ124" s="245">
        <f>SUMIF($S$6:$S72,CONCATENATE($AK124,$AL124),AQ$6:AQ72)</f>
        <v>0</v>
      </c>
      <c r="AR124" s="245">
        <f>SUMIF($S$6:$S72,CONCATENATE($AK124,$AL124),AR$6:AR72)</f>
        <v>0</v>
      </c>
      <c r="AS124" s="242"/>
    </row>
    <row r="125" spans="1:50">
      <c r="S125" s="94" t="s">
        <v>51</v>
      </c>
      <c r="AB125" s="21">
        <v>2010</v>
      </c>
      <c r="AC125" s="244">
        <f>SUMIF($S$5:$S72,CONCATENATE($S125,$AB125),AC$5:AC72)</f>
        <v>0</v>
      </c>
      <c r="AD125" s="245">
        <f>SUMIF($S$5:$S72,CONCATENATE($S125,$AB125),AD$5:AD72)</f>
        <v>0</v>
      </c>
      <c r="AE125" s="245">
        <f>SUMIF($S$5:$S72,CONCATENATE($S125,$AB125),AE$5:AE72)</f>
        <v>0</v>
      </c>
      <c r="AF125" s="245">
        <f>SUMIF($S$5:$S72,CONCATENATE($S125,$AB125),AF$5:AF72)</f>
        <v>0</v>
      </c>
      <c r="AG125" s="245">
        <f>SUMIF($S$5:$S72,CONCATENATE($S125,$AB125),AG$5:AG72)</f>
        <v>0</v>
      </c>
      <c r="AH125" s="245">
        <f>SUMIF($S$5:$S72,CONCATENATE($S125,$AB125),AH$5:AH72)</f>
        <v>0</v>
      </c>
      <c r="AI125" s="242"/>
      <c r="AK125" s="90" t="s">
        <v>54</v>
      </c>
      <c r="AL125" s="76">
        <f t="shared" ref="AL125:AL131" si="118">AB125</f>
        <v>2010</v>
      </c>
      <c r="AM125" s="244">
        <f>SUMIF($S$6:$S72,CONCATENATE($AK125,$AL125),AM$6:AM72)</f>
        <v>0</v>
      </c>
      <c r="AN125" s="245">
        <f>SUMIF($S$6:$S72,CONCATENATE($AK125,$AL125),AN$6:AN72)</f>
        <v>0</v>
      </c>
      <c r="AO125" s="245">
        <f>SUMIF($S$6:$S72,CONCATENATE($AK125,$AL125),AO$6:AO72)</f>
        <v>0</v>
      </c>
      <c r="AP125" s="245">
        <f>SUMIF($S$6:$S72,CONCATENATE($AK125,$AL125),AP$6:AP72)</f>
        <v>0</v>
      </c>
      <c r="AQ125" s="245">
        <f>SUMIF($S$6:$S72,CONCATENATE($AK125,$AL125),AQ$6:AQ72)</f>
        <v>0</v>
      </c>
      <c r="AR125" s="245">
        <f>SUMIF($S$6:$S72,CONCATENATE($AK125,$AL125),AR$6:AR72)</f>
        <v>0</v>
      </c>
      <c r="AS125" s="242"/>
    </row>
    <row r="126" spans="1:50">
      <c r="S126" s="94" t="s">
        <v>51</v>
      </c>
      <c r="AB126" s="21">
        <v>2011</v>
      </c>
      <c r="AC126" s="244">
        <f>SUMIF($S$5:$S72,CONCATENATE($S126,$AB126),AC$5:AC72)</f>
        <v>0</v>
      </c>
      <c r="AD126" s="245">
        <f>SUMIF($S$5:$S72,CONCATENATE($S126,$AB126),AD$5:AD72)</f>
        <v>42</v>
      </c>
      <c r="AE126" s="245">
        <f>SUMIF($S$5:$S72,CONCATENATE($S126,$AB126),AE$5:AE72)</f>
        <v>20</v>
      </c>
      <c r="AF126" s="245">
        <f>SUMIF($S$5:$S72,CONCATENATE($S126,$AB126),AF$5:AF72)</f>
        <v>84</v>
      </c>
      <c r="AG126" s="245">
        <f>SUMIF($S$5:$S72,CONCATENATE($S126,$AB126),AG$5:AG72)</f>
        <v>56</v>
      </c>
      <c r="AH126" s="245">
        <f>SUMIF($S$5:$S72,CONCATENATE($S126,$AB126),AH$5:AH72)</f>
        <v>1600</v>
      </c>
      <c r="AI126" s="242"/>
      <c r="AK126" s="90" t="s">
        <v>54</v>
      </c>
      <c r="AL126" s="76">
        <f t="shared" si="118"/>
        <v>2011</v>
      </c>
      <c r="AM126" s="244">
        <f>SUMIF($S$5:$S72,CONCATENATE($AK126,$AL126),AM$5:AM72)</f>
        <v>0</v>
      </c>
      <c r="AN126" s="245">
        <f>SUMIF($S$5:$S72,CONCATENATE($AK126,$AL126),AN$5:AN72)</f>
        <v>0</v>
      </c>
      <c r="AO126" s="245">
        <f>SUMIF($S$5:$S72,CONCATENATE($AK126,$AL126),AO$5:AO72)</f>
        <v>0</v>
      </c>
      <c r="AP126" s="245">
        <f>SUMIF($S$5:$S72,CONCATENATE($AK126,$AL126),AP$5:AP72)</f>
        <v>0</v>
      </c>
      <c r="AQ126" s="245">
        <f>SUMIF($S$5:$S72,CONCATENATE($AK126,$AL126),AQ$5:AQ72)</f>
        <v>0</v>
      </c>
      <c r="AR126" s="245">
        <f>SUMIF($S$5:$S72,CONCATENATE($AK126,$AL126),AR$5:AR72)</f>
        <v>0</v>
      </c>
      <c r="AS126" s="242"/>
    </row>
    <row r="127" spans="1:50">
      <c r="S127" s="94" t="s">
        <v>51</v>
      </c>
      <c r="AB127" s="21">
        <v>2012</v>
      </c>
      <c r="AC127" s="244">
        <f>SUMIF($S$5:$S73,CONCATENATE($S127,$AB127),AC$5:AC75)</f>
        <v>0</v>
      </c>
      <c r="AD127" s="245">
        <f>SUMIF($S$5:$S73,CONCATENATE($S127,$AB127),AD$5:AD75)</f>
        <v>0</v>
      </c>
      <c r="AE127" s="245">
        <f>SUMIF($S$5:$S73,CONCATENATE($S127,$AB127),AE$5:AE75)</f>
        <v>0</v>
      </c>
      <c r="AF127" s="245">
        <f>SUMIF($S$5:$S73,CONCATENATE($S127,$AB127),AF$5:AF75)</f>
        <v>0</v>
      </c>
      <c r="AG127" s="245">
        <f>SUMIF($S$5:$S73,CONCATENATE($S127,$AB127),AG$5:AG75)</f>
        <v>0</v>
      </c>
      <c r="AH127" s="245">
        <f>SUMIF($S$5:$S73,CONCATENATE($S127,$AB127),AH$5:AH75)</f>
        <v>0</v>
      </c>
      <c r="AI127" s="242"/>
      <c r="AK127" s="90" t="s">
        <v>54</v>
      </c>
      <c r="AL127" s="76">
        <f t="shared" si="118"/>
        <v>2012</v>
      </c>
      <c r="AM127" s="244">
        <f>SUMIF($S$5:$S73,CONCATENATE($AK127,$AL127),AM$5:AM75)</f>
        <v>0</v>
      </c>
      <c r="AN127" s="245">
        <f>SUMIF($S$5:$S73,CONCATENATE($AK127,$AL127),AN$5:AN75)</f>
        <v>0</v>
      </c>
      <c r="AO127" s="245">
        <f>SUMIF($S$5:$S73,CONCATENATE($AK127,$AL127),AO$5:AO75)</f>
        <v>0</v>
      </c>
      <c r="AP127" s="245">
        <f>SUMIF($S$5:$S73,CONCATENATE($AK127,$AL127),AP$5:AP75)</f>
        <v>80</v>
      </c>
      <c r="AQ127" s="245">
        <f>SUMIF($S$5:$S73,CONCATENATE($AK127,$AL127),AQ$5:AQ75)</f>
        <v>0</v>
      </c>
      <c r="AR127" s="245">
        <f>SUMIF($S$5:$S73,CONCATENATE($AK127,$AL127),AR$5:AR75)</f>
        <v>0</v>
      </c>
      <c r="AS127" s="242"/>
    </row>
    <row r="128" spans="1:50">
      <c r="S128" s="94" t="s">
        <v>51</v>
      </c>
      <c r="AB128" s="21">
        <v>2013</v>
      </c>
      <c r="AC128" s="244">
        <f>SUMIF($S$5:$S74,CONCATENATE($S128,$AB128),AC$5:AC74)</f>
        <v>0</v>
      </c>
      <c r="AD128" s="245">
        <f>SUMIF($S$5:$S74,CONCATENATE($S128,$AB128),AD$5:AD74)</f>
        <v>0</v>
      </c>
      <c r="AE128" s="245">
        <f>SUMIF($S$5:$S74,CONCATENATE($S128,$AB128),AE$5:AE74)</f>
        <v>0</v>
      </c>
      <c r="AF128" s="245">
        <f>SUMIF($S$5:$S74,CONCATENATE($S128,$AB128),AF$5:AF74)</f>
        <v>0</v>
      </c>
      <c r="AG128" s="245">
        <f>SUMIF($S$5:$S74,CONCATENATE($S128,$AB128),AG$5:AG74)</f>
        <v>0</v>
      </c>
      <c r="AH128" s="245">
        <f>SUMIF($S$5:$S74,CONCATENATE($S128,$AB128),AH$5:AH74)</f>
        <v>0</v>
      </c>
      <c r="AI128" s="242"/>
      <c r="AK128" s="90" t="s">
        <v>54</v>
      </c>
      <c r="AL128" s="76">
        <f t="shared" si="118"/>
        <v>2013</v>
      </c>
      <c r="AM128" s="244">
        <f>SUMIF($S$5:$S74,CONCATENATE($AK128,$AL128),AM$5:AM74)</f>
        <v>0</v>
      </c>
      <c r="AN128" s="245">
        <f>SUMIF($S$5:$S74,CONCATENATE($AK128,$AL128),AN$5:AN74)</f>
        <v>0</v>
      </c>
      <c r="AO128" s="245">
        <f>SUMIF($S$5:$S74,CONCATENATE($AK128,$AL128),AO$5:AO74)</f>
        <v>0</v>
      </c>
      <c r="AP128" s="245">
        <f>SUMIF($S$5:$S74,CONCATENATE($AK128,$AL128),AP$5:AP74)</f>
        <v>0</v>
      </c>
      <c r="AQ128" s="245">
        <f>SUMIF($S$5:$S74,CONCATENATE($AK128,$AL128),AQ$5:AQ74)</f>
        <v>0</v>
      </c>
      <c r="AR128" s="245">
        <f>SUMIF($S$5:$S74,CONCATENATE($AK128,$AL128),AR$5:AR74)</f>
        <v>0</v>
      </c>
      <c r="AS128" s="242"/>
    </row>
    <row r="129" spans="19:45">
      <c r="S129" s="94" t="s">
        <v>51</v>
      </c>
      <c r="AB129" s="21">
        <v>2014</v>
      </c>
      <c r="AC129" s="244">
        <f>SUMIF($S$5:$S75,CONCATENATE($S129,$AB129),AC$5:AC75)</f>
        <v>0</v>
      </c>
      <c r="AD129" s="245">
        <f>SUMIF($S$5:$S75,CONCATENATE($S129,$AB129),AD$5:AD75)</f>
        <v>0</v>
      </c>
      <c r="AE129" s="245">
        <f>SUMIF($S$5:$S75,CONCATENATE($S129,$AB129),AE$5:AE75)</f>
        <v>0</v>
      </c>
      <c r="AF129" s="245">
        <f>SUMIF($S$5:$S75,CONCATENATE($S129,$AB129),AF$5:AF75)</f>
        <v>0</v>
      </c>
      <c r="AG129" s="245">
        <f>SUMIF($S$5:$S75,CONCATENATE($S129,$AB129),AG$5:AG75)</f>
        <v>0</v>
      </c>
      <c r="AH129" s="245">
        <f>SUMIF($S$5:$S75,CONCATENATE($S129,$AB129),AH$5:AH75)</f>
        <v>0</v>
      </c>
      <c r="AI129" s="242"/>
      <c r="AK129" s="90" t="s">
        <v>54</v>
      </c>
      <c r="AL129" s="76">
        <f t="shared" ref="AL129" si="119">AB129</f>
        <v>2014</v>
      </c>
      <c r="AM129" s="244">
        <f>SUMIF($S$5:$S75,CONCATENATE($AK129,$AL129),AM$5:AM75)</f>
        <v>0</v>
      </c>
      <c r="AN129" s="245">
        <f>SUMIF($S$5:$S75,CONCATENATE($AK129,$AL129),AN$5:AN75)</f>
        <v>0</v>
      </c>
      <c r="AO129" s="245">
        <f>SUMIF($S$5:$S75,CONCATENATE($AK129,$AL129),AO$5:AO75)</f>
        <v>0</v>
      </c>
      <c r="AP129" s="245">
        <f>SUMIF($S$5:$S75,CONCATENATE($AK129,$AL129),AP$5:AP75)</f>
        <v>0</v>
      </c>
      <c r="AQ129" s="245">
        <f>SUMIF($S$5:$S75,CONCATENATE($AK129,$AL129),AQ$5:AQ75)</f>
        <v>0</v>
      </c>
      <c r="AR129" s="245">
        <f>SUMIF($S$5:$S75,CONCATENATE($AK129,$AL129),AR$5:AR75)</f>
        <v>0</v>
      </c>
      <c r="AS129" s="242"/>
    </row>
    <row r="130" spans="19:45">
      <c r="S130" s="94" t="s">
        <v>51</v>
      </c>
      <c r="AB130" s="23" t="s">
        <v>136</v>
      </c>
      <c r="AC130" s="244">
        <f>SUMIF($S$5:$S72,CONCATENATE($S130,$AB130),AC$5:AC72)</f>
        <v>0</v>
      </c>
      <c r="AD130" s="245">
        <f>SUMIF($S$5:$S72,CONCATENATE($S130,$AB130),AD$5:AD72)</f>
        <v>0</v>
      </c>
      <c r="AE130" s="245">
        <f>SUMIF($S$5:$S72,CONCATENATE($S130,$AB130),AE$5:AE72)</f>
        <v>0</v>
      </c>
      <c r="AF130" s="245">
        <f>SUMIF($S$5:$S72,CONCATENATE($S130,$AB130),AF$5:AF72)</f>
        <v>0</v>
      </c>
      <c r="AG130" s="245">
        <f>SUMIF($S$5:$S72,CONCATENATE($S130,$AB130),AG$5:AG72)</f>
        <v>0</v>
      </c>
      <c r="AH130" s="245">
        <f>SUMIF($S$5:$S72,CONCATENATE($S130,$AB130),AH$5:AH72)</f>
        <v>0</v>
      </c>
      <c r="AI130" s="242"/>
      <c r="AK130" s="90" t="s">
        <v>54</v>
      </c>
      <c r="AL130" s="76" t="str">
        <f t="shared" si="118"/>
        <v>CONT</v>
      </c>
      <c r="AM130" s="244">
        <f>SUMIF($S$5:$S72,CONCATENATE($AK130,$AL130),AM$5:AM72)</f>
        <v>0</v>
      </c>
      <c r="AN130" s="245">
        <f>SUMIF($S$5:$S72,CONCATENATE($AK130,$AL130),AN$5:AN72)</f>
        <v>0</v>
      </c>
      <c r="AO130" s="245">
        <f>SUMIF($S$5:$S72,CONCATENATE($AK130,$AL130),AO$5:AO72)</f>
        <v>0</v>
      </c>
      <c r="AP130" s="245">
        <f>SUMIF($S$5:$S72,CONCATENATE($AK130,$AL130),AP$5:AP72)</f>
        <v>0</v>
      </c>
      <c r="AQ130" s="245">
        <f>SUMIF($S$5:$S72,CONCATENATE($AK130,$AL130),AQ$5:AQ72)</f>
        <v>0</v>
      </c>
      <c r="AR130" s="245">
        <f>SUMIF($S$5:$S72,CONCATENATE($AK130,$AL130),AR$5:AR72)</f>
        <v>0</v>
      </c>
      <c r="AS130" s="242"/>
    </row>
    <row r="131" spans="19:45">
      <c r="S131" s="94" t="s">
        <v>51</v>
      </c>
      <c r="AB131" s="23" t="s">
        <v>132</v>
      </c>
      <c r="AC131" s="244">
        <f>SUMIF($S$5:$S72,CONCATENATE($S131,$AB131),AC$5:AC72)</f>
        <v>4</v>
      </c>
      <c r="AD131" s="245">
        <f>SUMIF($S$5:$S72,CONCATENATE($S131,$AB131),AD$5:AD72)</f>
        <v>64</v>
      </c>
      <c r="AE131" s="245">
        <f>SUMIF($S$5:$S72,CONCATENATE($S131,$AB131),AE$5:AE72)</f>
        <v>16</v>
      </c>
      <c r="AF131" s="245">
        <f>SUMIF($S$5:$S72,CONCATENATE($S131,$AB131),AF$5:AF72)</f>
        <v>104</v>
      </c>
      <c r="AG131" s="245">
        <f>SUMIF($S$5:$S72,CONCATENATE($S131,$AB131),AG$5:AG72)</f>
        <v>0</v>
      </c>
      <c r="AH131" s="245">
        <f>SUMIF($S$5:$S72,CONCATENATE($S131,$AB131),AH$5:AH72)</f>
        <v>0</v>
      </c>
      <c r="AI131" s="242"/>
      <c r="AK131" s="90" t="s">
        <v>54</v>
      </c>
      <c r="AL131" s="76" t="str">
        <f t="shared" si="118"/>
        <v>STAR</v>
      </c>
      <c r="AM131" s="244">
        <f>SUMIF($S$5:$S72,CONCATENATE($AK131,$AL131),AM$5:AM72)</f>
        <v>12</v>
      </c>
      <c r="AN131" s="245">
        <f>SUMIF($S$5:$S72,CONCATENATE($AK131,$AL131),AN$5:AN72)</f>
        <v>208</v>
      </c>
      <c r="AO131" s="245">
        <f>SUMIF($S$5:$S72,CONCATENATE($AK131,$AL131),AO$5:AO72)</f>
        <v>4</v>
      </c>
      <c r="AP131" s="245">
        <f>SUMIF($S$5:$S72,CONCATENATE($AK131,$AL131),AP$5:AP72)</f>
        <v>136</v>
      </c>
      <c r="AQ131" s="245">
        <f>SUMIF($S$5:$S72,CONCATENATE($AK131,$AL131),AQ$5:AQ72)</f>
        <v>8</v>
      </c>
      <c r="AR131" s="245">
        <f>SUMIF($S$5:$S72,CONCATENATE($AK131,$AL131),AR$5:AR72)</f>
        <v>1000</v>
      </c>
      <c r="AS131" s="242"/>
    </row>
    <row r="132" spans="19:45" ht="15.75">
      <c r="AC132" s="275" t="s">
        <v>134</v>
      </c>
      <c r="AD132" s="276"/>
      <c r="AE132" s="276"/>
      <c r="AF132" s="276"/>
      <c r="AG132" s="276"/>
      <c r="AH132" s="276"/>
      <c r="AI132" s="277"/>
      <c r="AK132" s="90"/>
      <c r="AL132" s="78"/>
      <c r="AM132" s="275" t="s">
        <v>134</v>
      </c>
      <c r="AN132" s="276"/>
      <c r="AO132" s="276"/>
      <c r="AP132" s="276"/>
      <c r="AQ132" s="276"/>
      <c r="AR132" s="276"/>
      <c r="AS132" s="277"/>
    </row>
    <row r="133" spans="19:45">
      <c r="AC133" s="24" t="s">
        <v>33</v>
      </c>
      <c r="AD133" s="13" t="s">
        <v>34</v>
      </c>
      <c r="AE133" s="6" t="s">
        <v>181</v>
      </c>
      <c r="AF133" s="13" t="s">
        <v>17</v>
      </c>
      <c r="AG133" s="6" t="s">
        <v>180</v>
      </c>
      <c r="AH133" s="13" t="s">
        <v>15</v>
      </c>
      <c r="AI133" s="26" t="s">
        <v>35</v>
      </c>
      <c r="AK133" s="90"/>
      <c r="AL133" s="78"/>
      <c r="AM133" s="24" t="s">
        <v>33</v>
      </c>
      <c r="AN133" s="13" t="s">
        <v>34</v>
      </c>
      <c r="AO133" s="6" t="s">
        <v>181</v>
      </c>
      <c r="AP133" s="13" t="s">
        <v>17</v>
      </c>
      <c r="AQ133" s="6" t="s">
        <v>180</v>
      </c>
      <c r="AR133" s="13" t="s">
        <v>15</v>
      </c>
      <c r="AS133" s="26" t="s">
        <v>35</v>
      </c>
    </row>
    <row r="134" spans="19:45">
      <c r="S134" s="94" t="s">
        <v>51</v>
      </c>
      <c r="AB134" s="21">
        <f>AB124</f>
        <v>2009</v>
      </c>
      <c r="AC134" s="248">
        <f>Shop*AC124</f>
        <v>0</v>
      </c>
      <c r="AD134" s="246">
        <f>M_Tech*AD124</f>
        <v>0</v>
      </c>
      <c r="AE134" s="246">
        <f>CMM*AE124</f>
        <v>0</v>
      </c>
      <c r="AF134" s="246">
        <f>ENG*AF124</f>
        <v>0</v>
      </c>
      <c r="AG134" s="246">
        <f>DES*AG124</f>
        <v>0</v>
      </c>
      <c r="AH134" s="246">
        <f>AH124</f>
        <v>0</v>
      </c>
      <c r="AI134" s="249">
        <f>SUM(AC134:AH134)</f>
        <v>0</v>
      </c>
      <c r="AK134" s="90" t="s">
        <v>54</v>
      </c>
      <c r="AL134" s="76">
        <f>AB134</f>
        <v>2009</v>
      </c>
      <c r="AM134" s="248">
        <f>Shop*AM124</f>
        <v>0</v>
      </c>
      <c r="AN134" s="246">
        <f>M_Tech*AN124</f>
        <v>0</v>
      </c>
      <c r="AO134" s="246">
        <f>CMM*AO124</f>
        <v>0</v>
      </c>
      <c r="AP134" s="246">
        <f>ENG*AP124</f>
        <v>0</v>
      </c>
      <c r="AQ134" s="246">
        <f>DES*AQ124</f>
        <v>0</v>
      </c>
      <c r="AR134" s="246">
        <f>AR124</f>
        <v>0</v>
      </c>
      <c r="AS134" s="249">
        <f>SUM(AM134:AR134)</f>
        <v>0</v>
      </c>
    </row>
    <row r="135" spans="19:45">
      <c r="S135" s="94" t="s">
        <v>51</v>
      </c>
      <c r="AB135" s="21">
        <v>2010</v>
      </c>
      <c r="AC135" s="248">
        <f>Shop*AC125</f>
        <v>0</v>
      </c>
      <c r="AD135" s="246">
        <f>M_Tech*AD125</f>
        <v>0</v>
      </c>
      <c r="AE135" s="246">
        <f>CMM*AE125</f>
        <v>0</v>
      </c>
      <c r="AF135" s="246">
        <f>ENG*AF125</f>
        <v>0</v>
      </c>
      <c r="AG135" s="246">
        <f>DES*AG125</f>
        <v>0</v>
      </c>
      <c r="AH135" s="246">
        <f>AH125</f>
        <v>0</v>
      </c>
      <c r="AI135" s="249">
        <f>SUM(AC135:AH135)</f>
        <v>0</v>
      </c>
      <c r="AK135" s="90" t="s">
        <v>54</v>
      </c>
      <c r="AL135" s="76">
        <f>AB135</f>
        <v>2010</v>
      </c>
      <c r="AM135" s="248">
        <f>Shop*AM125</f>
        <v>0</v>
      </c>
      <c r="AN135" s="246">
        <f>M_Tech*AN125</f>
        <v>0</v>
      </c>
      <c r="AO135" s="246">
        <f>CMM*AO125</f>
        <v>0</v>
      </c>
      <c r="AP135" s="246">
        <f>ENG*AP125</f>
        <v>0</v>
      </c>
      <c r="AQ135" s="246">
        <f>DES*AQ125</f>
        <v>0</v>
      </c>
      <c r="AR135" s="246">
        <f>AR125</f>
        <v>0</v>
      </c>
      <c r="AS135" s="249">
        <f>SUM(AM135:AR135)</f>
        <v>0</v>
      </c>
    </row>
    <row r="136" spans="19:45">
      <c r="S136" s="94" t="s">
        <v>51</v>
      </c>
      <c r="AB136" s="21">
        <v>2011</v>
      </c>
      <c r="AC136" s="248">
        <f>Shop*AC126</f>
        <v>0</v>
      </c>
      <c r="AD136" s="246">
        <f>M_Tech*AD126</f>
        <v>3980.3400000000006</v>
      </c>
      <c r="AE136" s="246">
        <f>CMM*AE126</f>
        <v>0</v>
      </c>
      <c r="AF136" s="246">
        <f>ENG*AF126</f>
        <v>10206.000000000002</v>
      </c>
      <c r="AG136" s="246">
        <f>DES*AG126</f>
        <v>0</v>
      </c>
      <c r="AH136" s="246">
        <f>AH126</f>
        <v>1600</v>
      </c>
      <c r="AI136" s="249">
        <f>SUM(AC136:AH136)</f>
        <v>15786.340000000002</v>
      </c>
      <c r="AK136" s="90" t="s">
        <v>54</v>
      </c>
      <c r="AL136" s="76">
        <f>AB136</f>
        <v>2011</v>
      </c>
      <c r="AM136" s="248">
        <f>Shop*AM126</f>
        <v>0</v>
      </c>
      <c r="AN136" s="246">
        <f>M_Tech*AN126</f>
        <v>0</v>
      </c>
      <c r="AO136" s="246">
        <f>CMM*AO126</f>
        <v>0</v>
      </c>
      <c r="AP136" s="246">
        <f>ENG*AP126</f>
        <v>0</v>
      </c>
      <c r="AQ136" s="246">
        <f>DES*AQ126</f>
        <v>0</v>
      </c>
      <c r="AR136" s="246">
        <f>AR126</f>
        <v>0</v>
      </c>
      <c r="AS136" s="249">
        <f>SUM(AM136:AR136)</f>
        <v>0</v>
      </c>
    </row>
    <row r="137" spans="19:45">
      <c r="S137" s="94" t="s">
        <v>51</v>
      </c>
      <c r="AB137" s="21">
        <f>AB127</f>
        <v>2012</v>
      </c>
      <c r="AC137" s="248">
        <f>Shop*AC127</f>
        <v>0</v>
      </c>
      <c r="AD137" s="246">
        <f>M_Tech*AD127</f>
        <v>0</v>
      </c>
      <c r="AE137" s="246">
        <f>CMM*AE127</f>
        <v>0</v>
      </c>
      <c r="AF137" s="246">
        <f>ENG*AF127</f>
        <v>0</v>
      </c>
      <c r="AG137" s="246">
        <f>DES*AG127</f>
        <v>0</v>
      </c>
      <c r="AH137" s="246">
        <f>AH127</f>
        <v>0</v>
      </c>
      <c r="AI137" s="249">
        <f>SUM(AC137:AH137)</f>
        <v>0</v>
      </c>
      <c r="AK137" s="90" t="s">
        <v>54</v>
      </c>
      <c r="AL137" s="76">
        <f>AB137</f>
        <v>2012</v>
      </c>
      <c r="AM137" s="248">
        <f>Shop*AM127</f>
        <v>0</v>
      </c>
      <c r="AN137" s="246">
        <f>M_Tech*AN127</f>
        <v>0</v>
      </c>
      <c r="AO137" s="246">
        <f>CMM*AO127</f>
        <v>0</v>
      </c>
      <c r="AP137" s="246">
        <f>ENG*AP125</f>
        <v>0</v>
      </c>
      <c r="AQ137" s="246">
        <f>DES*AQ127</f>
        <v>0</v>
      </c>
      <c r="AR137" s="246">
        <f>AR127</f>
        <v>0</v>
      </c>
      <c r="AS137" s="249">
        <f>SUM(AM137:AR137)</f>
        <v>0</v>
      </c>
    </row>
    <row r="138" spans="19:45">
      <c r="S138" s="94" t="s">
        <v>51</v>
      </c>
      <c r="AB138" s="21">
        <f>AB128</f>
        <v>2013</v>
      </c>
      <c r="AC138" s="248">
        <f>Shop*AC128</f>
        <v>0</v>
      </c>
      <c r="AD138" s="246">
        <f>M_Tech*AD128</f>
        <v>0</v>
      </c>
      <c r="AE138" s="246">
        <f>CMM*AE128</f>
        <v>0</v>
      </c>
      <c r="AF138" s="246">
        <f>ENG*AF128</f>
        <v>0</v>
      </c>
      <c r="AG138" s="246">
        <f>DES*AG128</f>
        <v>0</v>
      </c>
      <c r="AH138" s="246">
        <f>AH128</f>
        <v>0</v>
      </c>
      <c r="AI138" s="249">
        <f>SUM(AC138:AH138)</f>
        <v>0</v>
      </c>
      <c r="AK138" s="90" t="s">
        <v>54</v>
      </c>
      <c r="AL138" s="76">
        <f>AB138</f>
        <v>2013</v>
      </c>
      <c r="AM138" s="248">
        <f>Shop*AM128</f>
        <v>0</v>
      </c>
      <c r="AN138" s="246">
        <f>M_Tech*AN128</f>
        <v>0</v>
      </c>
      <c r="AO138" s="246">
        <f>CMM*AO128</f>
        <v>0</v>
      </c>
      <c r="AP138" s="246">
        <f>ENG*AP126</f>
        <v>0</v>
      </c>
      <c r="AQ138" s="246">
        <f>DES*AQ128</f>
        <v>0</v>
      </c>
      <c r="AR138" s="246">
        <f>AR128</f>
        <v>0</v>
      </c>
      <c r="AS138" s="249">
        <f>SUM(AM138:AR138)</f>
        <v>0</v>
      </c>
    </row>
    <row r="139" spans="19:45" ht="13.5" thickBot="1">
      <c r="S139" s="94" t="s">
        <v>51</v>
      </c>
      <c r="AB139" s="21">
        <v>2014</v>
      </c>
      <c r="AC139" s="252">
        <f>Shop*AC129</f>
        <v>0</v>
      </c>
      <c r="AD139" s="253">
        <f>Shop*AD129</f>
        <v>0</v>
      </c>
      <c r="AE139" s="253">
        <f>Shop*AE129</f>
        <v>0</v>
      </c>
      <c r="AF139" s="253">
        <f>Shop*AF129</f>
        <v>0</v>
      </c>
      <c r="AG139" s="253">
        <f>Shop*AG129</f>
        <v>0</v>
      </c>
      <c r="AH139" s="253">
        <f>Shop*AH129</f>
        <v>0</v>
      </c>
      <c r="AI139" s="254">
        <f>SUM(AC139:AH139)</f>
        <v>0</v>
      </c>
      <c r="AK139" s="90" t="s">
        <v>54</v>
      </c>
      <c r="AL139" s="76">
        <f>AB139</f>
        <v>2014</v>
      </c>
      <c r="AM139" s="252">
        <f>Shop*AM129</f>
        <v>0</v>
      </c>
      <c r="AN139" s="253">
        <f>Shop*AN129</f>
        <v>0</v>
      </c>
      <c r="AO139" s="253">
        <f>Shop*AO129</f>
        <v>0</v>
      </c>
      <c r="AP139" s="253">
        <f>Shop*AP129</f>
        <v>0</v>
      </c>
      <c r="AQ139" s="253">
        <f>Shop*AQ129</f>
        <v>0</v>
      </c>
      <c r="AR139" s="253">
        <f>Shop*AR129</f>
        <v>0</v>
      </c>
      <c r="AS139" s="254">
        <f>SUM(AM139:AR139)</f>
        <v>0</v>
      </c>
    </row>
    <row r="140" spans="19:45" ht="15.75" thickTop="1">
      <c r="AH140" s="67" t="s">
        <v>44</v>
      </c>
      <c r="AI140" s="67">
        <f>SUM(AI134:AI139)</f>
        <v>15786.340000000002</v>
      </c>
      <c r="AK140" s="90"/>
      <c r="AL140" s="7"/>
      <c r="AM140" s="144"/>
      <c r="AN140" s="144"/>
      <c r="AO140" s="144"/>
      <c r="AP140" s="144"/>
      <c r="AQ140" s="78"/>
      <c r="AR140" s="67" t="s">
        <v>42</v>
      </c>
      <c r="AS140" s="67">
        <f>SUM(AS134:AS139)</f>
        <v>0</v>
      </c>
    </row>
    <row r="141" spans="19:45">
      <c r="AR141" s="77" t="s">
        <v>58</v>
      </c>
      <c r="AS141" s="258">
        <f>AS140/AI140</f>
        <v>0</v>
      </c>
    </row>
  </sheetData>
  <mergeCells count="22">
    <mergeCell ref="S1:T1"/>
    <mergeCell ref="W1:AA1"/>
    <mergeCell ref="C79:L79"/>
    <mergeCell ref="C101:L102"/>
    <mergeCell ref="N70:P70"/>
    <mergeCell ref="N22:P22"/>
    <mergeCell ref="N47:P47"/>
    <mergeCell ref="AC89:AI89"/>
    <mergeCell ref="AM89:AS89"/>
    <mergeCell ref="Q2:AB2"/>
    <mergeCell ref="AC2:AI2"/>
    <mergeCell ref="AM2:AS2"/>
    <mergeCell ref="AC79:AI79"/>
    <mergeCell ref="AM79:AS79"/>
    <mergeCell ref="AC132:AI132"/>
    <mergeCell ref="AM122:AS122"/>
    <mergeCell ref="AM132:AS132"/>
    <mergeCell ref="AC101:AI101"/>
    <mergeCell ref="AC111:AI111"/>
    <mergeCell ref="AM101:AS101"/>
    <mergeCell ref="AM111:AS111"/>
    <mergeCell ref="AC122:AI122"/>
  </mergeCells>
  <phoneticPr fontId="0" type="noConversion"/>
  <conditionalFormatting sqref="N48 N23 O50 L71:O71 A71:N73 A22:M23 A25 A46:N46 A33 B51:F55 A47:M48 G51:K69 L50:M57 N51:N57 A40 A5:A10 B6:N10 L58:N69 B64:F69 B57:F62 A11:N21 B52:N52 B60:N61 B25:N45">
    <cfRule type="expression" dxfId="8" priority="65" stopIfTrue="1">
      <formula>IF($N5=0,TRUE,FALSE)</formula>
    </cfRule>
  </conditionalFormatting>
  <conditionalFormatting sqref="A44">
    <cfRule type="expression" dxfId="7" priority="67" stopIfTrue="1">
      <formula>IF($N40=0,TRUE,FALSE)</formula>
    </cfRule>
  </conditionalFormatting>
  <conditionalFormatting sqref="A43 A55 A39 A34:A35 A26:A27 A69">
    <cfRule type="expression" dxfId="6" priority="75" stopIfTrue="1">
      <formula>IF($N25=0,TRUE,FALSE)</formula>
    </cfRule>
  </conditionalFormatting>
  <conditionalFormatting sqref="A56:F56">
    <cfRule type="expression" dxfId="5" priority="76" stopIfTrue="1">
      <formula>IF($N47=0,TRUE,FALSE)</formula>
    </cfRule>
  </conditionalFormatting>
  <conditionalFormatting sqref="A36:A38 A45 A62 A28:A31">
    <cfRule type="expression" dxfId="4" priority="79" stopIfTrue="1">
      <formula>IF($N25=0,TRUE,FALSE)</formula>
    </cfRule>
  </conditionalFormatting>
  <conditionalFormatting sqref="A41:A42">
    <cfRule type="expression" dxfId="3" priority="85" stopIfTrue="1">
      <formula>IF($N39=0,TRUE,FALSE)</formula>
    </cfRule>
  </conditionalFormatting>
  <conditionalFormatting sqref="A63:F63">
    <cfRule type="expression" dxfId="2" priority="86" stopIfTrue="1">
      <formula>IF($N56=0,TRUE,FALSE)</formula>
    </cfRule>
  </conditionalFormatting>
  <conditionalFormatting sqref="A64:A68 A51:A54 A57:A61">
    <cfRule type="expression" dxfId="1" priority="78" stopIfTrue="1">
      <formula>IF(#REF!=0,TRUE,FALSE)</formula>
    </cfRule>
  </conditionalFormatting>
  <conditionalFormatting sqref="A32">
    <cfRule type="expression" dxfId="0" priority="88" stopIfTrue="1">
      <formula>IF($N27=0,TRUE,FALSE)</formula>
    </cfRule>
  </conditionalFormatting>
  <dataValidations count="7">
    <dataValidation type="list" allowBlank="1" showInputMessage="1" showErrorMessage="1" sqref="Y78:Y99 O78:O99">
      <formula1>"2009, 2010, 2011, 2012, 2013, 2014, STAR, LBNL,"</formula1>
    </dataValidation>
    <dataValidation type="list" allowBlank="1" showInputMessage="1" showErrorMessage="1" sqref="Q78:Q99 R63:U63 R25:U25 R33:U33 R21:U21 R40:U40 Q6:Q21 R56:U56 Q50:U50 Q51:Q69 R46:U46 R13:U13 Q25:Q46">
      <formula1>"B,C"</formula1>
    </dataValidation>
    <dataValidation type="list" allowBlank="1" showInputMessage="1" showErrorMessage="1" sqref="U78:U99">
      <formula1>$B$79:$B$94</formula1>
    </dataValidation>
    <dataValidation type="list" allowBlank="1" showInputMessage="1" showErrorMessage="1" sqref="AB14:AB20 AB41:AB45 AB34:AB39 AB57:AB62 AB51:AB55 AB64:AB69 AB6:AB12 AB26:AB32">
      <formula1>"2009, 2010, 2011, 2012, 2013, 2014, STAR, CONT,"</formula1>
    </dataValidation>
    <dataValidation type="list" allowBlank="1" showInputMessage="1" showErrorMessage="1" sqref="R51:R55 R57:R62 R41:R45 R34:R39 R14:R20 R64:R69 R6:R12 R26:R32">
      <formula1>"PD, PT"</formula1>
    </dataValidation>
    <dataValidation type="list" allowBlank="1" showInputMessage="1" showErrorMessage="1" sqref="AB63 AB21 AB40 AB25 AB33 AB56 AB50 AB46 AB13">
      <formula1>"2007, 2008, 2009, 2010, Hytec, LANL"</formula1>
    </dataValidation>
    <dataValidation type="list" allowBlank="1" showInputMessage="1" showErrorMessage="1" sqref="U64:U69 U57:U62 U51:U55 U34:U39 U41:U45 U6:U12 U14:U20 U26:U32">
      <formula1>$B$79:$B$85</formula1>
    </dataValidation>
  </dataValidations>
  <pageMargins left="0.12" right="0.13" top="0.33" bottom="0.25" header="0.18" footer="0.12"/>
  <pageSetup paperSize="160" scale="31" orientation="portrait" r:id="rId1"/>
  <headerFooter alignWithMargins="0">
    <oddHeader xml:space="preserve">&amp;LPHENIX&amp;CFull Project Estimate&amp;R25-October 2007 </oddHeader>
    <oddFooter>&amp;RE Anderssen, LBNL</oddFooter>
  </headerFooter>
</worksheet>
</file>

<file path=xl/worksheets/sheet4.xml><?xml version="1.0" encoding="utf-8"?>
<worksheet xmlns="http://schemas.openxmlformats.org/spreadsheetml/2006/main" xmlns:r="http://schemas.openxmlformats.org/officeDocument/2006/relationships">
  <dimension ref="B2:M24"/>
  <sheetViews>
    <sheetView workbookViewId="0">
      <selection activeCell="B9" sqref="B9"/>
    </sheetView>
  </sheetViews>
  <sheetFormatPr defaultRowHeight="12.75"/>
  <cols>
    <col min="2" max="2" width="11.140625" customWidth="1"/>
    <col min="3" max="3" width="11.42578125" bestFit="1" customWidth="1"/>
    <col min="7" max="7" width="14.28515625" bestFit="1" customWidth="1"/>
    <col min="13" max="13" width="10.28515625" customWidth="1"/>
  </cols>
  <sheetData>
    <row r="2" spans="2:13">
      <c r="G2" s="299" t="s">
        <v>147</v>
      </c>
      <c r="H2" s="299"/>
      <c r="I2" s="299"/>
      <c r="J2" s="299"/>
      <c r="K2" s="299"/>
      <c r="L2" s="299"/>
      <c r="M2" s="299"/>
    </row>
    <row r="3" spans="2:13">
      <c r="C3" s="19" t="s">
        <v>148</v>
      </c>
      <c r="D3" s="74" t="s">
        <v>146</v>
      </c>
      <c r="H3" s="19" t="s">
        <v>103</v>
      </c>
      <c r="I3" s="19" t="s">
        <v>104</v>
      </c>
      <c r="J3" s="19" t="s">
        <v>105</v>
      </c>
      <c r="L3" s="106" t="s">
        <v>104</v>
      </c>
    </row>
    <row r="4" spans="2:13" ht="15">
      <c r="B4" s="19" t="s">
        <v>25</v>
      </c>
      <c r="C4" s="128">
        <f>D4*$C$14</f>
        <v>102.06</v>
      </c>
      <c r="D4" s="127">
        <v>126</v>
      </c>
      <c r="G4" s="19" t="s">
        <v>6</v>
      </c>
      <c r="H4" s="19" t="s">
        <v>106</v>
      </c>
      <c r="I4" s="19" t="s">
        <v>107</v>
      </c>
      <c r="J4" s="19" t="s">
        <v>108</v>
      </c>
      <c r="K4" s="19" t="s">
        <v>18</v>
      </c>
      <c r="L4" s="106" t="s">
        <v>108</v>
      </c>
      <c r="M4" s="19" t="s">
        <v>18</v>
      </c>
    </row>
    <row r="5" spans="2:13" ht="15">
      <c r="B5" s="19" t="s">
        <v>22</v>
      </c>
      <c r="C5" s="128">
        <f>D5*$C$14</f>
        <v>0</v>
      </c>
      <c r="D5" s="127">
        <v>0</v>
      </c>
      <c r="G5" s="19" t="s">
        <v>7</v>
      </c>
      <c r="H5" s="19">
        <v>9.8000000000000004E-2</v>
      </c>
      <c r="I5" s="107">
        <f t="shared" ref="I5:I22" si="0">H5*454/(2.54^3)</f>
        <v>2.7150684222628292</v>
      </c>
      <c r="J5">
        <v>8</v>
      </c>
      <c r="K5" s="19" t="s">
        <v>109</v>
      </c>
      <c r="L5" s="108">
        <f t="shared" ref="L5:L16" si="1">J5/484</f>
        <v>1.6528925619834711E-2</v>
      </c>
      <c r="M5" s="19" t="s">
        <v>110</v>
      </c>
    </row>
    <row r="6" spans="2:13" ht="15">
      <c r="B6" s="19" t="s">
        <v>26</v>
      </c>
      <c r="C6" s="128">
        <f>D6*$C$14</f>
        <v>94.77000000000001</v>
      </c>
      <c r="D6" s="127">
        <v>117</v>
      </c>
      <c r="G6" s="19" t="s">
        <v>111</v>
      </c>
      <c r="H6" s="19">
        <v>9.8000000000000004E-2</v>
      </c>
      <c r="I6" s="107">
        <f t="shared" si="0"/>
        <v>2.7150684222628292</v>
      </c>
      <c r="J6">
        <v>10</v>
      </c>
      <c r="K6" s="19" t="s">
        <v>109</v>
      </c>
      <c r="L6" s="108">
        <f t="shared" si="1"/>
        <v>2.0661157024793389E-2</v>
      </c>
      <c r="M6" s="19" t="s">
        <v>110</v>
      </c>
    </row>
    <row r="7" spans="2:13" ht="15">
      <c r="B7" s="19" t="s">
        <v>27</v>
      </c>
      <c r="C7" s="128">
        <f>D7*$C$14</f>
        <v>121.50000000000001</v>
      </c>
      <c r="D7" s="127">
        <v>150</v>
      </c>
      <c r="G7" s="19" t="s">
        <v>100</v>
      </c>
      <c r="H7" s="19">
        <v>9.8000000000000004E-2</v>
      </c>
      <c r="I7" s="107">
        <f t="shared" si="0"/>
        <v>2.7150684222628292</v>
      </c>
      <c r="J7">
        <v>8</v>
      </c>
      <c r="K7" s="19" t="s">
        <v>109</v>
      </c>
      <c r="L7" s="108">
        <f t="shared" si="1"/>
        <v>1.6528925619834711E-2</v>
      </c>
      <c r="M7" s="19" t="s">
        <v>110</v>
      </c>
    </row>
    <row r="8" spans="2:13" ht="15">
      <c r="B8" s="19" t="s">
        <v>183</v>
      </c>
      <c r="C8" s="128">
        <f>D8*$C$14</f>
        <v>0</v>
      </c>
      <c r="D8" s="127">
        <v>0</v>
      </c>
      <c r="G8" s="19" t="s">
        <v>112</v>
      </c>
      <c r="H8" s="19">
        <v>9.8000000000000004E-2</v>
      </c>
      <c r="I8" s="107">
        <f t="shared" si="0"/>
        <v>2.7150684222628292</v>
      </c>
      <c r="J8">
        <v>10</v>
      </c>
      <c r="K8" s="19" t="s">
        <v>109</v>
      </c>
      <c r="L8" s="108">
        <f t="shared" si="1"/>
        <v>2.0661157024793389E-2</v>
      </c>
      <c r="M8" s="19" t="s">
        <v>110</v>
      </c>
    </row>
    <row r="9" spans="2:13">
      <c r="G9" s="19" t="s">
        <v>113</v>
      </c>
      <c r="H9">
        <v>0.19800000000000001</v>
      </c>
      <c r="I9" s="107">
        <f t="shared" si="0"/>
        <v>5.4855464041636752</v>
      </c>
      <c r="J9">
        <v>15</v>
      </c>
      <c r="K9" s="19" t="s">
        <v>109</v>
      </c>
      <c r="L9" s="108">
        <f t="shared" si="1"/>
        <v>3.0991735537190084E-2</v>
      </c>
      <c r="M9" s="19" t="s">
        <v>110</v>
      </c>
    </row>
    <row r="10" spans="2:13">
      <c r="B10" s="264" t="s">
        <v>151</v>
      </c>
      <c r="C10" s="300"/>
      <c r="D10" s="300"/>
      <c r="G10" s="19" t="s">
        <v>114</v>
      </c>
      <c r="H10">
        <v>0.19800000000000001</v>
      </c>
      <c r="I10" s="107">
        <f t="shared" si="0"/>
        <v>5.4855464041636752</v>
      </c>
      <c r="J10">
        <v>20</v>
      </c>
      <c r="K10" s="19" t="s">
        <v>109</v>
      </c>
      <c r="L10" s="108">
        <f t="shared" si="1"/>
        <v>4.1322314049586778E-2</v>
      </c>
      <c r="M10" s="19" t="s">
        <v>110</v>
      </c>
    </row>
    <row r="11" spans="2:13">
      <c r="B11" s="300"/>
      <c r="C11" s="300"/>
      <c r="D11" s="300"/>
      <c r="G11" s="19" t="s">
        <v>63</v>
      </c>
      <c r="H11">
        <v>0.29799999999999999</v>
      </c>
      <c r="I11" s="107">
        <f t="shared" si="0"/>
        <v>8.2560243860645208</v>
      </c>
      <c r="J11">
        <v>3</v>
      </c>
      <c r="K11" s="19" t="s">
        <v>109</v>
      </c>
      <c r="L11" s="108">
        <f t="shared" si="1"/>
        <v>6.1983471074380167E-3</v>
      </c>
      <c r="M11" s="19" t="s">
        <v>110</v>
      </c>
    </row>
    <row r="12" spans="2:13">
      <c r="B12" s="300"/>
      <c r="C12" s="300"/>
      <c r="D12" s="300"/>
      <c r="G12" s="19" t="s">
        <v>115</v>
      </c>
      <c r="H12">
        <v>0.29799999999999999</v>
      </c>
      <c r="I12" s="107">
        <f t="shared" si="0"/>
        <v>8.2560243860645208</v>
      </c>
      <c r="J12">
        <v>15</v>
      </c>
      <c r="K12" s="19" t="s">
        <v>109</v>
      </c>
      <c r="L12" s="108">
        <f t="shared" si="1"/>
        <v>3.0991735537190084E-2</v>
      </c>
      <c r="M12" s="19" t="s">
        <v>110</v>
      </c>
    </row>
    <row r="13" spans="2:13">
      <c r="G13" s="19" t="s">
        <v>116</v>
      </c>
      <c r="H13">
        <v>6.5000000000000002E-2</v>
      </c>
      <c r="I13" s="107">
        <f t="shared" si="0"/>
        <v>1.8008106882355499</v>
      </c>
      <c r="J13">
        <v>100</v>
      </c>
      <c r="K13" s="19" t="s">
        <v>109</v>
      </c>
      <c r="L13" s="108">
        <f t="shared" si="1"/>
        <v>0.20661157024793389</v>
      </c>
      <c r="M13" s="19" t="s">
        <v>110</v>
      </c>
    </row>
    <row r="14" spans="2:13" ht="15">
      <c r="B14" s="19" t="s">
        <v>149</v>
      </c>
      <c r="C14" s="129">
        <v>0.81</v>
      </c>
      <c r="G14" s="19" t="s">
        <v>117</v>
      </c>
      <c r="H14">
        <v>6.5000000000000002E-2</v>
      </c>
      <c r="I14" s="107">
        <f t="shared" si="0"/>
        <v>1.8008106882355499</v>
      </c>
      <c r="J14">
        <v>800</v>
      </c>
      <c r="K14" s="19" t="s">
        <v>109</v>
      </c>
      <c r="L14" s="108">
        <f t="shared" si="1"/>
        <v>1.6528925619834711</v>
      </c>
      <c r="M14" s="19" t="s">
        <v>110</v>
      </c>
    </row>
    <row r="15" spans="2:13" ht="15">
      <c r="B15" s="301" t="s">
        <v>150</v>
      </c>
      <c r="C15" s="301"/>
      <c r="D15" s="301"/>
      <c r="G15" s="19" t="s">
        <v>118</v>
      </c>
      <c r="H15">
        <v>6.5000000000000002E-2</v>
      </c>
      <c r="I15" s="107">
        <f t="shared" si="0"/>
        <v>1.8008106882355499</v>
      </c>
      <c r="J15">
        <v>500</v>
      </c>
      <c r="K15" s="19" t="s">
        <v>109</v>
      </c>
      <c r="L15" s="108">
        <f t="shared" si="1"/>
        <v>1.0330578512396693</v>
      </c>
      <c r="M15" s="19" t="s">
        <v>110</v>
      </c>
    </row>
    <row r="16" spans="2:13">
      <c r="B16" s="19"/>
      <c r="G16" s="19" t="s">
        <v>119</v>
      </c>
      <c r="H16">
        <v>6.5000000000000002E-2</v>
      </c>
      <c r="I16" s="107">
        <f t="shared" si="0"/>
        <v>1.8008106882355499</v>
      </c>
      <c r="J16">
        <v>1200</v>
      </c>
      <c r="K16" s="19" t="s">
        <v>109</v>
      </c>
      <c r="L16" s="108">
        <f t="shared" si="1"/>
        <v>2.4793388429752068</v>
      </c>
      <c r="M16" s="19" t="s">
        <v>110</v>
      </c>
    </row>
    <row r="17" spans="7:13">
      <c r="G17" s="19" t="s">
        <v>97</v>
      </c>
      <c r="H17">
        <v>5.5E-2</v>
      </c>
      <c r="I17" s="107">
        <f>H17*454/(2.54^3)</f>
        <v>1.5237628900454652</v>
      </c>
      <c r="J17">
        <v>400</v>
      </c>
      <c r="K17" s="19" t="s">
        <v>120</v>
      </c>
      <c r="L17" s="108">
        <f>J17/946</f>
        <v>0.42283298097251587</v>
      </c>
      <c r="M17" s="19" t="s">
        <v>121</v>
      </c>
    </row>
    <row r="18" spans="7:13">
      <c r="G18" s="19" t="s">
        <v>96</v>
      </c>
      <c r="H18">
        <v>5.5E-2</v>
      </c>
      <c r="I18" s="107">
        <f t="shared" si="0"/>
        <v>1.5237628900454652</v>
      </c>
      <c r="J18">
        <v>350</v>
      </c>
      <c r="K18" s="19" t="s">
        <v>120</v>
      </c>
      <c r="L18" s="108">
        <f>J18/946</f>
        <v>0.3699788583509514</v>
      </c>
      <c r="M18" s="19" t="s">
        <v>121</v>
      </c>
    </row>
    <row r="19" spans="7:13">
      <c r="G19" s="19" t="s">
        <v>122</v>
      </c>
      <c r="H19">
        <v>7.4999999999999997E-2</v>
      </c>
      <c r="I19" s="107">
        <f t="shared" si="0"/>
        <v>2.0778584864256344</v>
      </c>
      <c r="J19">
        <v>450</v>
      </c>
      <c r="K19" s="19" t="s">
        <v>120</v>
      </c>
      <c r="L19" s="108">
        <f>J19/946</f>
        <v>0.47568710359408034</v>
      </c>
      <c r="M19" s="19" t="s">
        <v>121</v>
      </c>
    </row>
    <row r="20" spans="7:13">
      <c r="G20" s="19" t="s">
        <v>99</v>
      </c>
      <c r="H20">
        <f>3/12^3</f>
        <v>1.736111111111111E-3</v>
      </c>
      <c r="I20" s="107">
        <f t="shared" si="0"/>
        <v>4.8098576074667464E-2</v>
      </c>
      <c r="J20">
        <v>600</v>
      </c>
      <c r="K20" s="19" t="s">
        <v>123</v>
      </c>
      <c r="L20" s="108">
        <f>J20/2360</f>
        <v>0.25423728813559321</v>
      </c>
      <c r="M20" s="19" t="s">
        <v>121</v>
      </c>
    </row>
    <row r="21" spans="7:13">
      <c r="G21" s="19" t="s">
        <v>124</v>
      </c>
      <c r="H21">
        <f>3/12^3</f>
        <v>1.736111111111111E-3</v>
      </c>
      <c r="I21" s="107">
        <f t="shared" si="0"/>
        <v>4.8098576074667464E-2</v>
      </c>
      <c r="J21">
        <v>75</v>
      </c>
      <c r="K21" s="19" t="s">
        <v>123</v>
      </c>
      <c r="L21" s="108">
        <f>J21/2360</f>
        <v>3.1779661016949151E-2</v>
      </c>
      <c r="M21" s="19" t="s">
        <v>121</v>
      </c>
    </row>
    <row r="22" spans="7:13">
      <c r="G22" s="19" t="s">
        <v>125</v>
      </c>
      <c r="H22">
        <f>4/12^3</f>
        <v>2.3148148148148147E-3</v>
      </c>
      <c r="I22" s="107">
        <f t="shared" si="0"/>
        <v>6.413143476622328E-2</v>
      </c>
      <c r="J22">
        <v>100</v>
      </c>
      <c r="K22" s="19" t="s">
        <v>123</v>
      </c>
      <c r="L22" s="108">
        <f>J22/2360</f>
        <v>4.2372881355932202E-2</v>
      </c>
      <c r="M22" s="19" t="s">
        <v>121</v>
      </c>
    </row>
    <row r="23" spans="7:13">
      <c r="G23" s="19" t="s">
        <v>129</v>
      </c>
      <c r="H23">
        <v>5.5E-2</v>
      </c>
      <c r="I23" s="107">
        <f>H23*454/(2.54^3)</f>
        <v>1.5237628900454652</v>
      </c>
      <c r="J23">
        <v>400</v>
      </c>
      <c r="K23" s="19" t="s">
        <v>109</v>
      </c>
      <c r="L23" s="108">
        <f>J23/484</f>
        <v>0.82644628099173556</v>
      </c>
      <c r="M23" s="19" t="s">
        <v>110</v>
      </c>
    </row>
    <row r="24" spans="7:13">
      <c r="G24" s="19" t="s">
        <v>62</v>
      </c>
      <c r="H24">
        <v>5.5E-2</v>
      </c>
      <c r="I24" s="107">
        <f>H24*454/(2.54^3)</f>
        <v>1.5237628900454652</v>
      </c>
      <c r="J24">
        <v>600</v>
      </c>
      <c r="K24" s="19" t="s">
        <v>109</v>
      </c>
      <c r="L24" s="108">
        <f>J24/484</f>
        <v>1.2396694214876034</v>
      </c>
      <c r="M24" s="19" t="s">
        <v>110</v>
      </c>
    </row>
  </sheetData>
  <mergeCells count="3">
    <mergeCell ref="G2:M2"/>
    <mergeCell ref="B10:D12"/>
    <mergeCell ref="B15:D15"/>
  </mergeCells>
  <phoneticPr fontId="2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F32"/>
  <sheetViews>
    <sheetView workbookViewId="0">
      <selection activeCell="N35" sqref="N35"/>
    </sheetView>
  </sheetViews>
  <sheetFormatPr defaultRowHeight="12.75"/>
  <cols>
    <col min="1" max="1" width="30" bestFit="1" customWidth="1"/>
    <col min="2" max="2" width="14.28515625" bestFit="1" customWidth="1"/>
    <col min="3" max="3" width="11" bestFit="1" customWidth="1"/>
    <col min="4" max="4" width="9.85546875" style="97" bestFit="1" customWidth="1"/>
    <col min="5" max="5" width="11.140625" style="97" bestFit="1" customWidth="1"/>
    <col min="6" max="6" width="12" style="7" bestFit="1" customWidth="1"/>
    <col min="7" max="7" width="8" bestFit="1" customWidth="1"/>
    <col min="8" max="8" width="8.7109375" style="89" bestFit="1" customWidth="1"/>
    <col min="9" max="9" width="5.5703125" style="151" bestFit="1" customWidth="1"/>
    <col min="10" max="10" width="4.5703125" style="151" bestFit="1" customWidth="1"/>
    <col min="11" max="11" width="5.140625" style="151" bestFit="1" customWidth="1"/>
    <col min="12" max="12" width="11" style="100" bestFit="1" customWidth="1"/>
    <col min="13" max="13" width="9" style="100" bestFit="1" customWidth="1"/>
    <col min="14" max="14" width="10.42578125" style="101" bestFit="1" customWidth="1"/>
    <col min="15" max="15" width="8.28515625" style="102" bestFit="1" customWidth="1"/>
    <col min="16" max="16" width="7.28515625" style="89" bestFit="1" customWidth="1"/>
    <col min="17" max="17" width="11.140625" style="89" bestFit="1" customWidth="1"/>
    <col min="18" max="18" width="9" style="79" bestFit="1" customWidth="1"/>
    <col min="19" max="19" width="9" style="80" bestFit="1" customWidth="1"/>
    <col min="20" max="20" width="10.85546875" style="79" bestFit="1" customWidth="1"/>
    <col min="21" max="21" width="12.5703125" customWidth="1"/>
    <col min="22" max="22" width="4.85546875" style="81" bestFit="1" customWidth="1"/>
    <col min="23" max="23" width="6.28515625" style="81" bestFit="1" customWidth="1"/>
    <col min="24" max="24" width="2" style="81" bestFit="1" customWidth="1"/>
  </cols>
  <sheetData>
    <row r="1" spans="1:32" ht="18">
      <c r="A1" s="302" t="s">
        <v>64</v>
      </c>
      <c r="B1" s="265"/>
      <c r="C1" s="265"/>
      <c r="D1" s="303" t="s">
        <v>65</v>
      </c>
      <c r="E1" s="265"/>
      <c r="F1" s="265"/>
      <c r="G1" s="265"/>
      <c r="H1" s="265"/>
      <c r="I1" s="265"/>
      <c r="J1" s="265"/>
      <c r="K1" s="265"/>
      <c r="L1" s="265"/>
      <c r="M1" s="265"/>
      <c r="N1" s="265"/>
      <c r="O1" s="265"/>
      <c r="P1" s="265"/>
      <c r="Q1" s="265"/>
    </row>
    <row r="2" spans="1:32" ht="96.75">
      <c r="A2" s="19" t="s">
        <v>0</v>
      </c>
      <c r="B2" s="19" t="s">
        <v>6</v>
      </c>
      <c r="C2" s="19" t="s">
        <v>66</v>
      </c>
      <c r="D2" s="74" t="s">
        <v>67</v>
      </c>
      <c r="E2" s="82" t="s">
        <v>68</v>
      </c>
      <c r="F2" s="82" t="s">
        <v>69</v>
      </c>
      <c r="G2" s="82" t="s">
        <v>70</v>
      </c>
      <c r="H2" s="82" t="s">
        <v>71</v>
      </c>
      <c r="I2" s="150" t="s">
        <v>72</v>
      </c>
      <c r="J2" s="150" t="s">
        <v>73</v>
      </c>
      <c r="K2" s="150" t="s">
        <v>74</v>
      </c>
      <c r="L2" s="83" t="s">
        <v>75</v>
      </c>
      <c r="M2" s="83" t="s">
        <v>76</v>
      </c>
      <c r="N2" s="84" t="s">
        <v>77</v>
      </c>
      <c r="O2" s="85" t="s">
        <v>78</v>
      </c>
      <c r="P2" s="82" t="s">
        <v>79</v>
      </c>
      <c r="Q2" s="86" t="s">
        <v>80</v>
      </c>
      <c r="R2" s="87" t="s">
        <v>81</v>
      </c>
      <c r="S2" s="88" t="s">
        <v>82</v>
      </c>
      <c r="T2" s="87" t="s">
        <v>101</v>
      </c>
      <c r="U2" s="86"/>
      <c r="Y2" s="89"/>
      <c r="Z2" s="89"/>
      <c r="AA2" s="89"/>
      <c r="AB2" s="89"/>
      <c r="AC2" s="89"/>
      <c r="AD2" s="89"/>
      <c r="AE2" s="89"/>
      <c r="AF2" s="89"/>
    </row>
    <row r="3" spans="1:32" ht="15.75">
      <c r="A3" s="48" t="s">
        <v>153</v>
      </c>
      <c r="B3" s="19"/>
      <c r="C3" s="19"/>
      <c r="D3" s="74"/>
      <c r="E3" s="74"/>
      <c r="F3" s="90"/>
      <c r="G3" s="82"/>
      <c r="H3" s="86"/>
      <c r="I3" s="150"/>
      <c r="J3" s="150"/>
      <c r="K3" s="150"/>
      <c r="L3" s="91"/>
      <c r="M3" s="91"/>
      <c r="N3" s="92"/>
      <c r="O3" s="93"/>
      <c r="P3" s="86"/>
      <c r="Q3" s="86"/>
      <c r="U3" s="89"/>
      <c r="V3" s="94" t="s">
        <v>83</v>
      </c>
      <c r="W3" s="94" t="s">
        <v>84</v>
      </c>
      <c r="X3" s="81">
        <v>1</v>
      </c>
      <c r="Y3" s="89"/>
      <c r="Z3" s="89"/>
      <c r="AA3" s="89"/>
      <c r="AB3" s="89"/>
      <c r="AC3" s="89"/>
      <c r="AD3" s="89"/>
      <c r="AE3" s="89"/>
      <c r="AF3" s="89"/>
    </row>
    <row r="4" spans="1:32" ht="15">
      <c r="A4" s="95" t="s">
        <v>154</v>
      </c>
      <c r="B4" s="19"/>
      <c r="C4" s="19"/>
      <c r="D4" s="74"/>
      <c r="E4" s="74"/>
      <c r="F4" s="90"/>
      <c r="G4" s="82"/>
      <c r="H4" s="86"/>
      <c r="I4" s="150"/>
      <c r="J4" s="150"/>
      <c r="K4" s="150"/>
      <c r="L4" s="91"/>
      <c r="M4" s="91"/>
      <c r="N4" s="92"/>
      <c r="O4" s="93"/>
      <c r="P4" s="86"/>
      <c r="Q4" s="86"/>
      <c r="U4" s="89"/>
      <c r="V4" s="94" t="s">
        <v>85</v>
      </c>
      <c r="W4" s="94" t="s">
        <v>86</v>
      </c>
      <c r="X4" s="81">
        <v>2</v>
      </c>
      <c r="Y4" s="89"/>
      <c r="Z4" s="89"/>
      <c r="AA4" s="89"/>
      <c r="AB4" s="89"/>
      <c r="AC4" s="89"/>
      <c r="AD4" s="89"/>
      <c r="AE4" s="89"/>
      <c r="AF4" s="89"/>
    </row>
    <row r="5" spans="1:32">
      <c r="A5" s="46" t="s">
        <v>39</v>
      </c>
      <c r="B5" s="19"/>
      <c r="C5" s="19"/>
      <c r="D5" s="74"/>
      <c r="E5" s="74"/>
      <c r="F5" s="90"/>
      <c r="G5" s="82"/>
      <c r="H5" s="86"/>
      <c r="I5" s="150"/>
      <c r="J5" s="150"/>
      <c r="K5" s="150"/>
      <c r="L5" s="91"/>
      <c r="M5" s="91"/>
      <c r="N5" s="92"/>
      <c r="O5" s="93"/>
      <c r="P5" s="86"/>
      <c r="Q5" s="86"/>
      <c r="U5" s="89"/>
      <c r="V5" s="94" t="s">
        <v>87</v>
      </c>
      <c r="W5" s="94" t="s">
        <v>88</v>
      </c>
      <c r="X5" s="81">
        <v>3</v>
      </c>
      <c r="Y5" s="89"/>
      <c r="Z5" s="89"/>
      <c r="AA5" s="89"/>
      <c r="AB5" s="89"/>
      <c r="AC5" s="89"/>
      <c r="AD5" s="89"/>
      <c r="AE5" s="89"/>
      <c r="AF5" s="89"/>
    </row>
    <row r="6" spans="1:32" s="98" customFormat="1">
      <c r="A6" s="45" t="s">
        <v>89</v>
      </c>
      <c r="B6" s="96" t="s">
        <v>63</v>
      </c>
      <c r="C6" s="96" t="s">
        <v>90</v>
      </c>
      <c r="D6" s="97">
        <v>1</v>
      </c>
      <c r="E6" s="74" t="s">
        <v>91</v>
      </c>
      <c r="F6" s="7">
        <v>8.3000000000000007</v>
      </c>
      <c r="G6" s="98" t="s">
        <v>92</v>
      </c>
      <c r="H6" s="99">
        <v>0</v>
      </c>
      <c r="I6" s="151">
        <v>60</v>
      </c>
      <c r="J6" s="151">
        <v>20</v>
      </c>
      <c r="K6" s="151">
        <v>1.5</v>
      </c>
      <c r="L6" s="100">
        <f>CHOOSE(LOOKUP(G6,$W$3:$X$6), "Enter Value", I6*D6*J6*K6*(1+H6), (PI()/4)*D6*I6*(1+H6)*J6^2, PI()*(1+H6)*D6*I6*J6*K6)</f>
        <v>5654.8667764616275</v>
      </c>
      <c r="M6" s="100">
        <f>L6*F6</f>
        <v>46935.394244631512</v>
      </c>
      <c r="N6" s="101" t="e">
        <f>L6/E6</f>
        <v>#VALUE!</v>
      </c>
      <c r="O6" s="102">
        <v>6.0000000000000001E-3</v>
      </c>
      <c r="P6" s="89" t="s">
        <v>85</v>
      </c>
      <c r="Q6" s="103">
        <f>CHOOSE(LOOKUP(P6,$V$3:$V$5,$X$3:$X$5), O6*L6, O6*M6, O6*N6)</f>
        <v>281.61236546778906</v>
      </c>
      <c r="R6" s="104">
        <f>IF(C6="Test", M6, 0)</f>
        <v>0</v>
      </c>
      <c r="S6" s="104">
        <f>IF(C6="Test", N6, 0)</f>
        <v>0</v>
      </c>
      <c r="T6" s="79">
        <f t="shared" ref="T6:T20" si="0">IF(C6="Test", Q6, 0)</f>
        <v>0</v>
      </c>
      <c r="V6" s="81"/>
      <c r="W6" s="94" t="s">
        <v>92</v>
      </c>
      <c r="X6" s="81">
        <v>4</v>
      </c>
    </row>
    <row r="7" spans="1:32">
      <c r="A7" s="45" t="s">
        <v>93</v>
      </c>
      <c r="B7" s="96" t="s">
        <v>63</v>
      </c>
      <c r="C7" s="96" t="s">
        <v>86</v>
      </c>
      <c r="D7" s="97">
        <v>1</v>
      </c>
      <c r="E7" s="74" t="s">
        <v>91</v>
      </c>
      <c r="F7" s="7">
        <v>8.3000000000000007</v>
      </c>
      <c r="G7" s="98" t="s">
        <v>86</v>
      </c>
      <c r="H7" s="99">
        <v>0</v>
      </c>
      <c r="I7" s="151">
        <v>60</v>
      </c>
      <c r="J7" s="151">
        <v>25</v>
      </c>
      <c r="K7" s="151">
        <v>3</v>
      </c>
      <c r="L7" s="100">
        <f>CHOOSE(LOOKUP(G7,$W$3:$X$6), "Enter Value", I7*D7*J7*K7*(1+H7), (PI()/4)*D7*I7*(1+H7)*J7^2, PI()*(1+H7)*D7*I7*J7*K7)</f>
        <v>4500</v>
      </c>
      <c r="M7" s="100">
        <f>L7*F7</f>
        <v>37350</v>
      </c>
      <c r="N7" s="101" t="e">
        <f>L7/E7</f>
        <v>#VALUE!</v>
      </c>
      <c r="O7" s="102">
        <v>6.0000000000000001E-3</v>
      </c>
      <c r="P7" s="89" t="s">
        <v>85</v>
      </c>
      <c r="Q7" s="103">
        <f>CHOOSE(LOOKUP(P7,$V$3:$V$5,$X$3:$X$5), O7*L7, O7*M7, O7*N7)</f>
        <v>224.1</v>
      </c>
      <c r="R7" s="104">
        <f>IF(C7="Test", M7, 0)</f>
        <v>0</v>
      </c>
      <c r="S7" s="104">
        <f>IF(C7="Test", N7, 0)</f>
        <v>0</v>
      </c>
      <c r="T7" s="79">
        <f t="shared" si="0"/>
        <v>0</v>
      </c>
    </row>
    <row r="8" spans="1:32" ht="15">
      <c r="A8" s="95" t="s">
        <v>155</v>
      </c>
      <c r="B8" s="19"/>
      <c r="C8" s="19"/>
      <c r="D8" s="74"/>
      <c r="E8" s="74"/>
      <c r="F8" s="90"/>
      <c r="G8" s="82"/>
      <c r="H8" s="86"/>
      <c r="I8" s="150"/>
      <c r="J8" s="150"/>
      <c r="K8" s="150"/>
      <c r="L8" s="91"/>
      <c r="M8" s="91"/>
      <c r="N8" s="92"/>
      <c r="O8" s="93"/>
      <c r="P8" s="86"/>
      <c r="Q8" s="86"/>
      <c r="R8" s="104"/>
      <c r="S8" s="104"/>
    </row>
    <row r="9" spans="1:32">
      <c r="A9" s="46" t="s">
        <v>39</v>
      </c>
      <c r="B9" s="19"/>
      <c r="C9" s="19"/>
      <c r="D9" s="74"/>
      <c r="E9" s="74"/>
      <c r="F9" s="90"/>
      <c r="G9" s="82"/>
      <c r="H9" s="86"/>
      <c r="I9" s="150"/>
      <c r="J9" s="150"/>
      <c r="K9" s="150"/>
      <c r="L9" s="91"/>
      <c r="M9" s="91"/>
      <c r="N9" s="92"/>
      <c r="O9" s="93"/>
      <c r="P9" s="86"/>
      <c r="Q9" s="86"/>
      <c r="R9" s="104"/>
      <c r="S9" s="104"/>
    </row>
    <row r="10" spans="1:32">
      <c r="A10" s="45" t="s">
        <v>102</v>
      </c>
      <c r="B10" s="96" t="s">
        <v>7</v>
      </c>
      <c r="C10" s="96" t="s">
        <v>86</v>
      </c>
      <c r="D10" s="97">
        <v>1</v>
      </c>
      <c r="E10" s="74" t="s">
        <v>91</v>
      </c>
      <c r="F10" s="7">
        <v>2.7</v>
      </c>
      <c r="G10" s="98" t="s">
        <v>86</v>
      </c>
      <c r="H10" s="99">
        <v>0</v>
      </c>
      <c r="I10" s="151">
        <v>100</v>
      </c>
      <c r="J10" s="151">
        <v>30</v>
      </c>
      <c r="K10" s="151">
        <v>3</v>
      </c>
      <c r="L10" s="100">
        <f>CHOOSE(LOOKUP(G10,$W$3:$X$6), "Enter Value", I10*D10*J10*K10*(1+H10), (PI()/4)*D10*I10*(1+H10)*J10^2, PI()*(1+H10)*D10*I10*J10*K10)</f>
        <v>9000</v>
      </c>
      <c r="M10" s="100">
        <f>L10*F10</f>
        <v>24300</v>
      </c>
      <c r="N10" s="101" t="e">
        <f>L10/E10</f>
        <v>#VALUE!</v>
      </c>
      <c r="O10" s="102">
        <v>1.7000000000000001E-2</v>
      </c>
      <c r="P10" s="89" t="s">
        <v>85</v>
      </c>
      <c r="Q10" s="103">
        <f>CHOOSE(LOOKUP(P10,$V$3:$V$5,$X$3:$X$5), O10*L10, O10*M10, O10*N10)</f>
        <v>413.1</v>
      </c>
      <c r="R10" s="104">
        <f>IF(C10="Test", M10, 0)</f>
        <v>0</v>
      </c>
      <c r="S10" s="104">
        <f>IF(C10="Test", N10, 0)</f>
        <v>0</v>
      </c>
      <c r="T10" s="79">
        <f>IF(C10="Test", Q10, 0)</f>
        <v>0</v>
      </c>
    </row>
    <row r="11" spans="1:32">
      <c r="A11" s="45" t="s">
        <v>126</v>
      </c>
      <c r="B11" s="96" t="s">
        <v>7</v>
      </c>
      <c r="C11" s="96" t="s">
        <v>86</v>
      </c>
      <c r="D11" s="97">
        <v>2</v>
      </c>
      <c r="E11" s="74" t="s">
        <v>91</v>
      </c>
      <c r="F11" s="7">
        <v>2.7</v>
      </c>
      <c r="G11" s="98" t="s">
        <v>86</v>
      </c>
      <c r="H11" s="99">
        <v>0</v>
      </c>
      <c r="I11" s="151">
        <v>30</v>
      </c>
      <c r="J11" s="151">
        <v>15</v>
      </c>
      <c r="K11" s="151">
        <v>5</v>
      </c>
      <c r="L11" s="100">
        <f>CHOOSE(LOOKUP(G11,$W$3:$X$6), "Enter Value", I11*D11*J11*K11*(1+H11), (PI()/4)*D11*I11*(1+H11)*J11^2, PI()*(1+H11)*D11*I11*J11*K11)</f>
        <v>4500</v>
      </c>
      <c r="M11" s="100">
        <f>L11*F11</f>
        <v>12150</v>
      </c>
      <c r="N11" s="101" t="e">
        <f>L11/E11</f>
        <v>#VALUE!</v>
      </c>
      <c r="O11" s="102">
        <v>1.7000000000000001E-2</v>
      </c>
      <c r="P11" s="89" t="s">
        <v>85</v>
      </c>
      <c r="Q11" s="103">
        <f>CHOOSE(LOOKUP(P11,$V$3:$V$5,$X$3:$X$5), O11*L11, O11*M11, O11*N11)</f>
        <v>206.55</v>
      </c>
      <c r="R11" s="104">
        <f>IF(C11="Test", M11, 0)</f>
        <v>0</v>
      </c>
      <c r="S11" s="104">
        <f>IF(C11="Test", N11, 0)</f>
        <v>0</v>
      </c>
      <c r="T11" s="79">
        <f>IF(C11="Test", Q11, 0)</f>
        <v>0</v>
      </c>
    </row>
    <row r="12" spans="1:32" ht="15">
      <c r="A12" s="46" t="s">
        <v>98</v>
      </c>
      <c r="M12" s="145">
        <f>(M10+M11)/454</f>
        <v>80.286343612334804</v>
      </c>
      <c r="R12" s="104"/>
      <c r="S12" s="104"/>
    </row>
    <row r="13" spans="1:32">
      <c r="A13" s="45" t="s">
        <v>127</v>
      </c>
      <c r="B13" s="19" t="s">
        <v>94</v>
      </c>
      <c r="C13" s="96" t="s">
        <v>95</v>
      </c>
      <c r="D13" s="97">
        <v>5</v>
      </c>
      <c r="E13" s="97">
        <v>330</v>
      </c>
      <c r="F13" s="7">
        <v>1.8</v>
      </c>
      <c r="G13" s="98" t="s">
        <v>86</v>
      </c>
      <c r="H13" s="99">
        <v>0.3</v>
      </c>
      <c r="I13" s="151">
        <v>80</v>
      </c>
      <c r="J13" s="151">
        <v>2.5</v>
      </c>
      <c r="K13" s="151">
        <v>0.8</v>
      </c>
      <c r="L13" s="100">
        <f>CHOOSE(LOOKUP(G13,$W$3:$X$6), "Enter Value", I13*D13*J13*K13*(1+H13), (PI()/4)*D13*I13*(1+H13)*J13^2, PI()*(1+H13)*D13*I13*J13*K13)</f>
        <v>1040</v>
      </c>
      <c r="M13" s="100">
        <f>L13*F13</f>
        <v>1872</v>
      </c>
      <c r="N13" s="101">
        <f>L13/E13</f>
        <v>3.1515151515151514</v>
      </c>
      <c r="O13" s="102">
        <v>1.0329999999999999</v>
      </c>
      <c r="P13" s="89" t="s">
        <v>85</v>
      </c>
      <c r="Q13" s="103">
        <f>CHOOSE(LOOKUP(P13,$V$3:$V$5,$X$3:$X$5), O13*L13, O13*M13, O13*N13)</f>
        <v>1933.7759999999998</v>
      </c>
      <c r="R13" s="104">
        <f>IF(C13="Test", M13, 0)</f>
        <v>0</v>
      </c>
      <c r="S13" s="104">
        <f>IF(C13="Test", N13, 0)</f>
        <v>0</v>
      </c>
      <c r="T13" s="79">
        <f t="shared" si="0"/>
        <v>0</v>
      </c>
    </row>
    <row r="14" spans="1:32">
      <c r="A14" s="45" t="s">
        <v>128</v>
      </c>
      <c r="B14" s="19" t="s">
        <v>94</v>
      </c>
      <c r="C14" s="96" t="s">
        <v>36</v>
      </c>
      <c r="D14" s="97">
        <v>2</v>
      </c>
      <c r="E14" s="97">
        <v>330</v>
      </c>
      <c r="F14" s="7">
        <v>1.8</v>
      </c>
      <c r="G14" s="98" t="s">
        <v>86</v>
      </c>
      <c r="H14" s="99">
        <v>0.5</v>
      </c>
      <c r="I14" s="151">
        <v>20</v>
      </c>
      <c r="J14" s="151">
        <v>3</v>
      </c>
      <c r="K14" s="151">
        <v>0.8</v>
      </c>
      <c r="L14" s="100">
        <f>CHOOSE(LOOKUP(G14,$W$3:$X$6), "Enter Value", I14*D14*J14*K14*(1+H14), (PI()/4)*D14*I14*(1+H14)*J14^2, PI()*(1+H14)*D14*I14*J14*K14)</f>
        <v>144</v>
      </c>
      <c r="M14" s="100">
        <f>L14*F14</f>
        <v>259.2</v>
      </c>
      <c r="N14" s="101">
        <f>L14/E14</f>
        <v>0.43636363636363634</v>
      </c>
      <c r="O14" s="102">
        <v>1.0329999999999999</v>
      </c>
      <c r="P14" s="89" t="s">
        <v>85</v>
      </c>
      <c r="Q14" s="103">
        <f>CHOOSE(LOOKUP(P14,$V$3:$V$5,$X$3:$X$5), O14*L14, O14*M14, O14*N14)</f>
        <v>267.75359999999995</v>
      </c>
      <c r="R14" s="104">
        <f>IF(C14="Test", M14, 0)</f>
        <v>259.2</v>
      </c>
      <c r="S14" s="104">
        <f>IF(C14="Test", N14, 0)</f>
        <v>0.43636363636363634</v>
      </c>
      <c r="T14" s="79">
        <f t="shared" si="0"/>
        <v>267.75359999999995</v>
      </c>
    </row>
    <row r="15" spans="1:32" ht="15">
      <c r="A15" s="95" t="s">
        <v>140</v>
      </c>
      <c r="B15" s="19"/>
      <c r="C15" s="19"/>
      <c r="D15" s="74"/>
      <c r="E15" s="74"/>
      <c r="F15" s="90"/>
      <c r="G15" s="82"/>
      <c r="H15" s="86"/>
      <c r="I15" s="150"/>
      <c r="J15" s="150"/>
      <c r="K15" s="150"/>
      <c r="L15" s="91"/>
      <c r="M15" s="91"/>
      <c r="N15" s="92"/>
      <c r="O15" s="93"/>
      <c r="P15" s="86"/>
      <c r="Q15" s="86"/>
      <c r="R15" s="104"/>
      <c r="S15" s="104"/>
    </row>
    <row r="16" spans="1:32">
      <c r="A16" s="46" t="s">
        <v>163</v>
      </c>
      <c r="B16" s="19"/>
      <c r="C16" s="19"/>
      <c r="D16" s="74"/>
      <c r="E16" s="74"/>
      <c r="F16" s="90"/>
      <c r="G16" s="82"/>
      <c r="H16" s="86"/>
      <c r="I16" s="150"/>
      <c r="J16" s="150"/>
      <c r="K16" s="150"/>
      <c r="L16" s="91"/>
      <c r="M16" s="91"/>
      <c r="N16" s="92"/>
      <c r="O16" s="93"/>
      <c r="P16" s="86"/>
      <c r="Q16" s="86"/>
      <c r="R16" s="104"/>
      <c r="S16" s="104"/>
    </row>
    <row r="17" spans="1:20">
      <c r="A17" s="45" t="s">
        <v>158</v>
      </c>
      <c r="B17" s="96" t="s">
        <v>7</v>
      </c>
      <c r="C17" s="96" t="s">
        <v>86</v>
      </c>
      <c r="D17" s="97">
        <v>4</v>
      </c>
      <c r="E17" s="74" t="s">
        <v>91</v>
      </c>
      <c r="F17" s="7">
        <v>2.7</v>
      </c>
      <c r="G17" s="98" t="s">
        <v>86</v>
      </c>
      <c r="H17" s="99">
        <v>0.3</v>
      </c>
      <c r="I17" s="151">
        <v>250</v>
      </c>
      <c r="J17" s="151">
        <v>7.5</v>
      </c>
      <c r="K17" s="151">
        <v>7.5</v>
      </c>
      <c r="L17" s="100">
        <f>CHOOSE(LOOKUP(G17,$W$3:$X$6), "Enter Value", I17*D17*J17*K17*(1+H17), (PI()/4)*D17*I17*(1+H17)*J17^2, PI()*(1+H17)*D17*I17*J17*K17)</f>
        <v>73125</v>
      </c>
      <c r="M17" s="100">
        <f>L17*F17</f>
        <v>197437.5</v>
      </c>
      <c r="N17" s="101" t="e">
        <f>L17/E17</f>
        <v>#VALUE!</v>
      </c>
      <c r="O17" s="102">
        <v>1.7000000000000001E-2</v>
      </c>
      <c r="P17" s="89" t="s">
        <v>85</v>
      </c>
      <c r="Q17" s="103">
        <f>CHOOSE(LOOKUP(P17,$V$3:$V$5,$X$3:$X$5), O17*L17, O17*M17, O17*N17)</f>
        <v>3356.4375000000005</v>
      </c>
      <c r="R17" s="104">
        <f>IF(C17="Test", M17, 0)</f>
        <v>0</v>
      </c>
      <c r="S17" s="104">
        <f>IF(C17="Test", N17, 0)</f>
        <v>0</v>
      </c>
      <c r="T17" s="79">
        <f t="shared" si="0"/>
        <v>0</v>
      </c>
    </row>
    <row r="18" spans="1:20">
      <c r="A18" s="45" t="s">
        <v>159</v>
      </c>
      <c r="B18" s="96" t="s">
        <v>7</v>
      </c>
      <c r="C18" s="96" t="s">
        <v>86</v>
      </c>
      <c r="D18" s="97">
        <v>3</v>
      </c>
      <c r="E18" s="74" t="s">
        <v>91</v>
      </c>
      <c r="F18" s="7">
        <v>2.7</v>
      </c>
      <c r="G18" s="98" t="s">
        <v>86</v>
      </c>
      <c r="H18" s="99">
        <v>0.3</v>
      </c>
      <c r="I18" s="151">
        <v>50</v>
      </c>
      <c r="J18" s="151">
        <v>50</v>
      </c>
      <c r="K18" s="151">
        <v>5</v>
      </c>
      <c r="L18" s="100">
        <f>CHOOSE(LOOKUP(G18,$W$3:$X$6), "Enter Value", I18*D18*J18*K18*(1+H18), (PI()/4)*D18*I18*(1+H18)*J18^2, PI()*(1+H18)*D18*I18*J18*K18)</f>
        <v>48750</v>
      </c>
      <c r="M18" s="100">
        <f>L18*F18</f>
        <v>131625</v>
      </c>
      <c r="N18" s="101" t="e">
        <f>L18/E18</f>
        <v>#VALUE!</v>
      </c>
      <c r="O18" s="102">
        <v>1.7000000000000001E-2</v>
      </c>
      <c r="P18" s="89" t="s">
        <v>85</v>
      </c>
      <c r="Q18" s="103">
        <f>CHOOSE(LOOKUP(P18,$V$3:$V$5,$X$3:$X$5), O18*L18, O18*M18, O18*N18)</f>
        <v>2237.625</v>
      </c>
      <c r="R18" s="104">
        <f>IF(C18="Test", M18, 0)</f>
        <v>0</v>
      </c>
      <c r="S18" s="104">
        <f>IF(C18="Test", N18, 0)</f>
        <v>0</v>
      </c>
      <c r="T18" s="79">
        <f t="shared" si="0"/>
        <v>0</v>
      </c>
    </row>
    <row r="19" spans="1:20">
      <c r="A19" s="45" t="s">
        <v>160</v>
      </c>
      <c r="B19" s="96" t="s">
        <v>7</v>
      </c>
      <c r="C19" s="96" t="s">
        <v>86</v>
      </c>
      <c r="D19" s="97">
        <v>2</v>
      </c>
      <c r="E19" s="74" t="s">
        <v>91</v>
      </c>
      <c r="F19" s="7">
        <v>2.7</v>
      </c>
      <c r="G19" s="98" t="s">
        <v>86</v>
      </c>
      <c r="H19" s="99">
        <v>0.3</v>
      </c>
      <c r="I19" s="151">
        <v>50</v>
      </c>
      <c r="J19" s="151">
        <v>10</v>
      </c>
      <c r="K19" s="151">
        <v>5</v>
      </c>
      <c r="L19" s="100">
        <f>CHOOSE(LOOKUP(G19,$W$3:$X$6), "Enter Value", I19*D19*J19*K19*(1+H19), (PI()/4)*D19*I19*(1+H19)*J19^2, PI()*(1+H19)*D19*I19*J19*K19)</f>
        <v>6500</v>
      </c>
      <c r="M19" s="100">
        <f>L19*F19</f>
        <v>17550</v>
      </c>
      <c r="N19" s="101" t="e">
        <f>L19/E19</f>
        <v>#VALUE!</v>
      </c>
      <c r="O19" s="102">
        <v>1.7000000000000001E-2</v>
      </c>
      <c r="P19" s="89" t="s">
        <v>85</v>
      </c>
      <c r="Q19" s="103">
        <f>CHOOSE(LOOKUP(P19,$V$3:$V$5,$X$3:$X$5), O19*L19, O19*M19, O19*N19)</f>
        <v>298.35000000000002</v>
      </c>
      <c r="R19" s="104">
        <f>IF(C19="Test", M19, 0)</f>
        <v>0</v>
      </c>
      <c r="S19" s="104">
        <f>IF(C19="Test", N19, 0)</f>
        <v>0</v>
      </c>
      <c r="T19" s="79">
        <f>IF(C19="Test", Q19, 0)</f>
        <v>0</v>
      </c>
    </row>
    <row r="20" spans="1:20">
      <c r="A20" s="45" t="s">
        <v>161</v>
      </c>
      <c r="B20" s="96" t="s">
        <v>7</v>
      </c>
      <c r="C20" s="96" t="s">
        <v>86</v>
      </c>
      <c r="D20" s="97">
        <v>4</v>
      </c>
      <c r="E20" s="74" t="s">
        <v>91</v>
      </c>
      <c r="F20" s="7">
        <v>2.7</v>
      </c>
      <c r="G20" s="98" t="s">
        <v>86</v>
      </c>
      <c r="H20" s="99">
        <v>0.3</v>
      </c>
      <c r="I20" s="151">
        <v>50</v>
      </c>
      <c r="J20" s="151">
        <v>10</v>
      </c>
      <c r="K20" s="151">
        <v>5</v>
      </c>
      <c r="L20" s="100">
        <f>CHOOSE(LOOKUP(G20,$W$3:$X$6), "Enter Value", I20*D20*J20*K20*(1+H20), (PI()/4)*D20*I20*(1+H20)*J20^2, PI()*(1+H20)*D20*I20*J20*K20)</f>
        <v>13000</v>
      </c>
      <c r="M20" s="100">
        <f>L20*F20</f>
        <v>35100</v>
      </c>
      <c r="N20" s="101" t="e">
        <f>L20/E20</f>
        <v>#VALUE!</v>
      </c>
      <c r="O20" s="102">
        <v>1.7000000000000001E-2</v>
      </c>
      <c r="P20" s="89" t="s">
        <v>85</v>
      </c>
      <c r="Q20" s="103">
        <f>CHOOSE(LOOKUP(P20,$V$3:$V$5,$X$3:$X$5), O20*L20, O20*M20, O20*N20)</f>
        <v>596.70000000000005</v>
      </c>
      <c r="R20" s="104">
        <f>IF(C20="Test", M20, 0)</f>
        <v>0</v>
      </c>
      <c r="S20" s="104">
        <f>IF(C20="Test", N20, 0)</f>
        <v>0</v>
      </c>
      <c r="T20" s="79">
        <f t="shared" si="0"/>
        <v>0</v>
      </c>
    </row>
    <row r="21" spans="1:20" ht="15">
      <c r="A21" s="46" t="s">
        <v>162</v>
      </c>
      <c r="M21" s="145">
        <f>SUM(M17:M20)/454</f>
        <v>840.77643171806164</v>
      </c>
      <c r="Q21" s="145">
        <f>SUM(Q17:Q20)</f>
        <v>6489.1125000000002</v>
      </c>
      <c r="R21" s="104"/>
      <c r="S21" s="104"/>
    </row>
    <row r="22" spans="1:20">
      <c r="A22" s="45" t="s">
        <v>160</v>
      </c>
      <c r="B22" s="96" t="s">
        <v>7</v>
      </c>
      <c r="C22" s="96" t="s">
        <v>86</v>
      </c>
      <c r="D22" s="97">
        <v>2</v>
      </c>
      <c r="E22" s="74" t="s">
        <v>91</v>
      </c>
      <c r="F22" s="7">
        <v>2.7</v>
      </c>
      <c r="G22" s="98" t="s">
        <v>86</v>
      </c>
      <c r="H22" s="99">
        <v>0.3</v>
      </c>
      <c r="I22" s="151">
        <v>50</v>
      </c>
      <c r="J22" s="151">
        <v>10</v>
      </c>
      <c r="K22" s="151">
        <v>5</v>
      </c>
      <c r="L22" s="100">
        <f>CHOOSE(LOOKUP(G22,$W$3:$X$6), "Enter Value", I22*D22*J22*K22*(1+H22), (PI()/4)*D22*I22*(1+H22)*J22^2, PI()*(1+H22)*D22*I22*J22*K22)</f>
        <v>6500</v>
      </c>
      <c r="M22" s="100">
        <f>L22*F22</f>
        <v>17550</v>
      </c>
      <c r="N22" s="101" t="e">
        <f>L22/E22</f>
        <v>#VALUE!</v>
      </c>
      <c r="O22" s="102">
        <v>1.7000000000000001E-2</v>
      </c>
      <c r="P22" s="89" t="s">
        <v>85</v>
      </c>
      <c r="Q22" s="103">
        <f>CHOOSE(LOOKUP(P22,$V$3:$V$5,$X$3:$X$5), O22*L22, O22*M22, O22*N22)</f>
        <v>298.35000000000002</v>
      </c>
      <c r="R22" s="104">
        <f>IF(C22="Test", M22, 0)</f>
        <v>0</v>
      </c>
      <c r="S22" s="104">
        <f>IF(C22="Test", N22, 0)</f>
        <v>0</v>
      </c>
      <c r="T22" s="79">
        <f>IF(C22="Test", Q22, 0)</f>
        <v>0</v>
      </c>
    </row>
    <row r="23" spans="1:20">
      <c r="A23" s="45" t="s">
        <v>161</v>
      </c>
      <c r="B23" s="96" t="s">
        <v>7</v>
      </c>
      <c r="C23" s="96" t="s">
        <v>86</v>
      </c>
      <c r="D23" s="97">
        <v>4</v>
      </c>
      <c r="E23" s="74" t="s">
        <v>91</v>
      </c>
      <c r="F23" s="7">
        <v>2.7</v>
      </c>
      <c r="G23" s="98" t="s">
        <v>86</v>
      </c>
      <c r="H23" s="99">
        <v>0.3</v>
      </c>
      <c r="I23" s="151">
        <v>50</v>
      </c>
      <c r="J23" s="151">
        <v>10</v>
      </c>
      <c r="K23" s="151">
        <v>5</v>
      </c>
      <c r="L23" s="100">
        <f>CHOOSE(LOOKUP(G23,$W$3:$X$6), "Enter Value", I23*D23*J23*K23*(1+H23), (PI()/4)*D23*I23*(1+H23)*J23^2, PI()*(1+H23)*D23*I23*J23*K23)</f>
        <v>13000</v>
      </c>
      <c r="M23" s="100">
        <f>L23*F23</f>
        <v>35100</v>
      </c>
      <c r="N23" s="101" t="e">
        <f>L23/E23</f>
        <v>#VALUE!</v>
      </c>
      <c r="O23" s="102">
        <v>1.7000000000000001E-2</v>
      </c>
      <c r="P23" s="89" t="s">
        <v>85</v>
      </c>
      <c r="Q23" s="103">
        <f>CHOOSE(LOOKUP(P23,$V$3:$V$5,$X$3:$X$5), O23*L23, O23*M23, O23*N23)</f>
        <v>596.70000000000005</v>
      </c>
      <c r="R23" s="104">
        <f>IF(C23="Test", M23, 0)</f>
        <v>0</v>
      </c>
      <c r="S23" s="104">
        <f>IF(C23="Test", N23, 0)</f>
        <v>0</v>
      </c>
      <c r="T23" s="79">
        <f>IF(C23="Test", Q23, 0)</f>
        <v>0</v>
      </c>
    </row>
    <row r="24" spans="1:20" ht="15">
      <c r="A24" s="46" t="s">
        <v>164</v>
      </c>
      <c r="M24" s="145">
        <f>SUM(M22:M23)/454</f>
        <v>115.96916299559471</v>
      </c>
      <c r="Q24" s="145">
        <f>SUM(Q22:Q23)</f>
        <v>895.05000000000007</v>
      </c>
      <c r="R24" s="104"/>
      <c r="S24" s="104"/>
    </row>
    <row r="25" spans="1:20">
      <c r="A25" s="45" t="s">
        <v>165</v>
      </c>
      <c r="B25" s="19" t="s">
        <v>7</v>
      </c>
      <c r="C25" s="96" t="s">
        <v>86</v>
      </c>
      <c r="D25" s="97">
        <v>1</v>
      </c>
      <c r="E25" s="97">
        <v>330</v>
      </c>
      <c r="F25" s="7">
        <v>2.7</v>
      </c>
      <c r="G25" s="98" t="s">
        <v>86</v>
      </c>
      <c r="H25" s="99">
        <v>0.3</v>
      </c>
      <c r="I25" s="151">
        <v>50</v>
      </c>
      <c r="J25" s="151">
        <v>20</v>
      </c>
      <c r="K25" s="151">
        <v>10</v>
      </c>
      <c r="L25" s="100">
        <f>CHOOSE(LOOKUP(G25,$W$3:$X$6), "Enter Value", I25*D25*J25*K25*(1+H25), (PI()/4)*D25*I25*(1+H25)*J25^2, PI()*(1+H25)*D25*I25*J25*K25)</f>
        <v>13000</v>
      </c>
      <c r="M25" s="100">
        <f>L25*F25</f>
        <v>35100</v>
      </c>
      <c r="N25" s="101">
        <f>L25/E25</f>
        <v>39.393939393939391</v>
      </c>
      <c r="O25" s="102">
        <v>1.7000000000000001E-2</v>
      </c>
      <c r="P25" s="89" t="s">
        <v>85</v>
      </c>
      <c r="Q25" s="103">
        <f>CHOOSE(LOOKUP(P25,$V$3:$V$5,$X$3:$X$5), O25*L25, O25*M25, O25*N25)</f>
        <v>596.70000000000005</v>
      </c>
      <c r="R25" s="104">
        <f>IF(C25="Test", M25, 0)</f>
        <v>0</v>
      </c>
      <c r="S25" s="104">
        <f>IF(C25="Test", N25, 0)</f>
        <v>0</v>
      </c>
      <c r="T25" s="79">
        <f>IF(C25="Test", Q25, 0)</f>
        <v>0</v>
      </c>
    </row>
    <row r="26" spans="1:20">
      <c r="A26" s="45" t="s">
        <v>166</v>
      </c>
      <c r="B26" s="19" t="s">
        <v>7</v>
      </c>
      <c r="C26" s="96" t="s">
        <v>86</v>
      </c>
      <c r="D26" s="97">
        <v>1</v>
      </c>
      <c r="E26" s="97">
        <v>330</v>
      </c>
      <c r="F26" s="7">
        <v>2.7</v>
      </c>
      <c r="G26" s="98" t="s">
        <v>86</v>
      </c>
      <c r="H26" s="99">
        <v>0.3</v>
      </c>
      <c r="I26" s="151">
        <v>50</v>
      </c>
      <c r="J26" s="151">
        <v>20</v>
      </c>
      <c r="K26" s="151">
        <v>10</v>
      </c>
      <c r="L26" s="100">
        <f>CHOOSE(LOOKUP(G26,$W$3:$X$6), "Enter Value", I26*D26*J26*K26*(1+H26), (PI()/4)*D26*I26*(1+H26)*J26^2, PI()*(1+H26)*D26*I26*J26*K26)</f>
        <v>13000</v>
      </c>
      <c r="M26" s="100">
        <f>L26*F26</f>
        <v>35100</v>
      </c>
      <c r="N26" s="101">
        <f>L26/E26</f>
        <v>39.393939393939391</v>
      </c>
      <c r="O26" s="102">
        <v>1.7000000000000001E-2</v>
      </c>
      <c r="P26" s="89" t="s">
        <v>85</v>
      </c>
      <c r="Q26" s="103">
        <f>CHOOSE(LOOKUP(P26,$V$3:$V$5,$X$3:$X$5), O26*L26, O26*M26, O26*N26)</f>
        <v>596.70000000000005</v>
      </c>
      <c r="R26" s="104">
        <f>IF(C26="Test", M26, 0)</f>
        <v>0</v>
      </c>
      <c r="S26" s="104">
        <f>IF(C26="Test", N26, 0)</f>
        <v>0</v>
      </c>
      <c r="T26" s="79">
        <f>IF(C26="Test", Q26, 0)</f>
        <v>0</v>
      </c>
    </row>
    <row r="27" spans="1:20" ht="15">
      <c r="A27" s="46" t="s">
        <v>167</v>
      </c>
      <c r="M27" s="145">
        <f>SUM(M25:M26)/454</f>
        <v>154.62555066079295</v>
      </c>
      <c r="Q27" s="145">
        <f>SUM(Q25:Q26)</f>
        <v>1193.4000000000001</v>
      </c>
      <c r="R27" s="104"/>
      <c r="S27" s="104"/>
    </row>
    <row r="28" spans="1:20">
      <c r="A28" s="45" t="s">
        <v>168</v>
      </c>
      <c r="B28" s="19" t="s">
        <v>7</v>
      </c>
      <c r="C28" s="96" t="s">
        <v>86</v>
      </c>
      <c r="D28" s="97">
        <v>1</v>
      </c>
      <c r="E28" s="97">
        <v>330</v>
      </c>
      <c r="F28" s="7">
        <v>2.7</v>
      </c>
      <c r="G28" s="98" t="s">
        <v>86</v>
      </c>
      <c r="H28" s="99">
        <v>0.3</v>
      </c>
      <c r="I28" s="151">
        <v>10</v>
      </c>
      <c r="J28" s="151">
        <v>20</v>
      </c>
      <c r="K28" s="151">
        <v>10</v>
      </c>
      <c r="L28" s="100">
        <f>CHOOSE(LOOKUP(G28,$W$3:$X$6), "Enter Value", I28*D28*J28*K28*(1+H28), (PI()/4)*D28*I28*(1+H28)*J28^2, PI()*(1+H28)*D28*I28*J28*K28)</f>
        <v>2600</v>
      </c>
      <c r="M28" s="100">
        <f>L28*F28</f>
        <v>7020.0000000000009</v>
      </c>
      <c r="N28" s="101">
        <f>L28/E28</f>
        <v>7.8787878787878789</v>
      </c>
      <c r="O28" s="102">
        <v>1.7000000000000001E-2</v>
      </c>
      <c r="P28" s="89" t="s">
        <v>85</v>
      </c>
      <c r="Q28" s="103">
        <f>CHOOSE(LOOKUP(P28,$V$3:$V$5,$X$3:$X$5), O28*L28, O28*M28, O28*N28)</f>
        <v>119.34000000000002</v>
      </c>
      <c r="R28" s="104">
        <f>IF(C28="Test", M28, 0)</f>
        <v>0</v>
      </c>
      <c r="S28" s="104">
        <f>IF(C28="Test", N28, 0)</f>
        <v>0</v>
      </c>
      <c r="T28" s="79">
        <f>IF(C28="Test", Q28, 0)</f>
        <v>0</v>
      </c>
    </row>
    <row r="29" spans="1:20">
      <c r="A29" s="45" t="s">
        <v>166</v>
      </c>
      <c r="B29" s="19" t="s">
        <v>7</v>
      </c>
      <c r="C29" s="96" t="s">
        <v>86</v>
      </c>
      <c r="D29" s="97">
        <v>1</v>
      </c>
      <c r="E29" s="97">
        <v>330</v>
      </c>
      <c r="F29" s="7">
        <v>2.7</v>
      </c>
      <c r="G29" s="98" t="s">
        <v>86</v>
      </c>
      <c r="H29" s="99">
        <v>0.3</v>
      </c>
      <c r="I29" s="151">
        <v>10</v>
      </c>
      <c r="J29" s="151">
        <v>20</v>
      </c>
      <c r="K29" s="151">
        <v>10</v>
      </c>
      <c r="L29" s="100">
        <f>CHOOSE(LOOKUP(G29,$W$3:$X$6), "Enter Value", I29*D29*J29*K29*(1+H29), (PI()/4)*D29*I29*(1+H29)*J29^2, PI()*(1+H29)*D29*I29*J29*K29)</f>
        <v>2600</v>
      </c>
      <c r="M29" s="100">
        <f>L29*F29</f>
        <v>7020.0000000000009</v>
      </c>
      <c r="N29" s="101">
        <f>L29/E29</f>
        <v>7.8787878787878789</v>
      </c>
      <c r="O29" s="102">
        <v>1.7000000000000001E-2</v>
      </c>
      <c r="P29" s="89" t="s">
        <v>85</v>
      </c>
      <c r="Q29" s="103">
        <f>CHOOSE(LOOKUP(P29,$V$3:$V$5,$X$3:$X$5), O29*L29, O29*M29, O29*N29)</f>
        <v>119.34000000000002</v>
      </c>
      <c r="R29" s="104">
        <f>IF(C29="Test", M29, 0)</f>
        <v>0</v>
      </c>
      <c r="S29" s="104">
        <f>IF(C29="Test", N29, 0)</f>
        <v>0</v>
      </c>
      <c r="T29" s="79">
        <f>IF(C29="Test", Q29, 0)</f>
        <v>0</v>
      </c>
    </row>
    <row r="30" spans="1:20">
      <c r="A30" s="45" t="s">
        <v>39</v>
      </c>
      <c r="B30" s="19" t="s">
        <v>7</v>
      </c>
      <c r="C30" s="96" t="s">
        <v>86</v>
      </c>
      <c r="D30" s="97">
        <v>1</v>
      </c>
      <c r="E30" s="97">
        <v>330</v>
      </c>
      <c r="F30" s="7">
        <v>2.7</v>
      </c>
      <c r="G30" s="98" t="s">
        <v>86</v>
      </c>
      <c r="H30" s="99">
        <v>0.3</v>
      </c>
      <c r="I30" s="151">
        <v>60</v>
      </c>
      <c r="J30" s="151">
        <v>30</v>
      </c>
      <c r="K30" s="151">
        <v>5</v>
      </c>
      <c r="L30" s="100">
        <f>CHOOSE(LOOKUP(G30,$W$3:$X$6), "Enter Value", I30*D30*J30*K30*(1+H30), (PI()/4)*D30*I30*(1+H30)*J30^2, PI()*(1+H30)*D30*I30*J30*K30)</f>
        <v>11700</v>
      </c>
      <c r="M30" s="100">
        <f>L30*F30</f>
        <v>31590.000000000004</v>
      </c>
      <c r="N30" s="101">
        <f>L30/E30</f>
        <v>35.454545454545453</v>
      </c>
      <c r="O30" s="102">
        <v>1.7000000000000001E-2</v>
      </c>
      <c r="P30" s="89" t="s">
        <v>85</v>
      </c>
      <c r="Q30" s="103">
        <f>CHOOSE(LOOKUP(P30,$V$3:$V$5,$X$3:$X$5), O30*L30, O30*M30, O30*N30)</f>
        <v>537.03000000000009</v>
      </c>
      <c r="R30" s="104">
        <f>IF(C30="Test", M30, 0)</f>
        <v>0</v>
      </c>
      <c r="S30" s="104">
        <f>IF(C30="Test", N30, 0)</f>
        <v>0</v>
      </c>
      <c r="T30" s="79">
        <f>IF(C30="Test", Q30, 0)</f>
        <v>0</v>
      </c>
    </row>
    <row r="32" spans="1:20">
      <c r="P32" s="105"/>
      <c r="Q32" s="103"/>
    </row>
  </sheetData>
  <mergeCells count="2">
    <mergeCell ref="A1:C1"/>
    <mergeCell ref="D1:Q1"/>
  </mergeCells>
  <phoneticPr fontId="24" type="noConversion"/>
  <dataValidations count="2">
    <dataValidation type="list" allowBlank="1" showInputMessage="1" showErrorMessage="1" sqref="P22:P23 P10:P11 P13:P14 P17:P20 P6:P7 P25:P26 P28:P30">
      <formula1>$V$3:$V$5</formula1>
    </dataValidation>
    <dataValidation type="list" allowBlank="1" showInputMessage="1" showErrorMessage="1" sqref="G22:G23 G10:G11 G13:G14 G17:G20 G6:G7 G25:G26 G28:G30">
      <formula1>$W$3:$W$6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1</vt:i4>
      </vt:variant>
      <vt:variant>
        <vt:lpstr>Named Ranges</vt:lpstr>
      </vt:variant>
      <vt:variant>
        <vt:i4>12</vt:i4>
      </vt:variant>
    </vt:vector>
  </HeadingPairs>
  <TitlesOfParts>
    <vt:vector size="18" baseType="lpstr">
      <vt:lpstr>WBS in Estimate</vt:lpstr>
      <vt:lpstr>SUMMARY</vt:lpstr>
      <vt:lpstr>Pre- and Production</vt:lpstr>
      <vt:lpstr>Rates</vt:lpstr>
      <vt:lpstr>Material Estimates</vt:lpstr>
      <vt:lpstr>Cost Profile Chart</vt:lpstr>
      <vt:lpstr>CMM</vt:lpstr>
      <vt:lpstr>CMM_RD</vt:lpstr>
      <vt:lpstr>DES</vt:lpstr>
      <vt:lpstr>DES_RD</vt:lpstr>
      <vt:lpstr>ENG</vt:lpstr>
      <vt:lpstr>ENG_RD</vt:lpstr>
      <vt:lpstr>M_Tech</vt:lpstr>
      <vt:lpstr>MT</vt:lpstr>
      <vt:lpstr>MTECH_RD</vt:lpstr>
      <vt:lpstr>SUMMARY!Print_Area</vt:lpstr>
      <vt:lpstr>Shop</vt:lpstr>
      <vt:lpstr>Shop_RD</vt:lpstr>
    </vt:vector>
  </TitlesOfParts>
  <Company>LBNL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Anderssen</dc:creator>
  <cp:lastModifiedBy>ECAnderssen_local</cp:lastModifiedBy>
  <cp:lastPrinted>2009-08-13T02:34:43Z</cp:lastPrinted>
  <dcterms:created xsi:type="dcterms:W3CDTF">2000-10-18T16:25:26Z</dcterms:created>
  <dcterms:modified xsi:type="dcterms:W3CDTF">2009-10-13T02:40:42Z</dcterms:modified>
</cp:coreProperties>
</file>