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5" windowWidth="23130" windowHeight="14490"/>
  </bookViews>
  <sheets>
    <sheet name="SUMMARY" sheetId="16" r:id="rId1"/>
    <sheet name="Pre- and Production" sheetId="13" r:id="rId2"/>
    <sheet name="Rates" sheetId="15" r:id="rId3"/>
    <sheet name="Material Estimates" sheetId="17" r:id="rId4"/>
  </sheets>
  <definedNames>
    <definedName name="CMM">Rates!$C$5</definedName>
    <definedName name="DES">Rates!$C$8</definedName>
    <definedName name="ENG">Rates!$C$7</definedName>
    <definedName name="M_Tech">Rates!$C$6</definedName>
    <definedName name="MT">Rates!$C$6</definedName>
    <definedName name="_xlnm.Print_Area" localSheetId="0">SUMMARY!$B$5:$S$48</definedName>
    <definedName name="Shop">Rates!$C$4</definedName>
  </definedNames>
  <calcPr calcId="125725"/>
</workbook>
</file>

<file path=xl/calcChain.xml><?xml version="1.0" encoding="utf-8"?>
<calcChain xmlns="http://schemas.openxmlformats.org/spreadsheetml/2006/main">
  <c r="AO103" i="13"/>
  <c r="AN103"/>
  <c r="AM103"/>
  <c r="AL103"/>
  <c r="AK103"/>
  <c r="AJ103"/>
  <c r="AD103"/>
  <c r="AC103"/>
  <c r="AB103"/>
  <c r="AA103"/>
  <c r="Z103"/>
  <c r="S103"/>
  <c r="M103"/>
  <c r="F103"/>
  <c r="AE103" s="1"/>
  <c r="O103" l="1"/>
  <c r="E6"/>
  <c r="AN72" l="1"/>
  <c r="AM72"/>
  <c r="AL72"/>
  <c r="AK72"/>
  <c r="AJ72"/>
  <c r="AE72"/>
  <c r="AD72"/>
  <c r="AC72"/>
  <c r="AB72"/>
  <c r="AA72"/>
  <c r="Z72"/>
  <c r="S72"/>
  <c r="M72"/>
  <c r="F72"/>
  <c r="AO72" s="1"/>
  <c r="AO71"/>
  <c r="AN71"/>
  <c r="AM71"/>
  <c r="AL71"/>
  <c r="AK71"/>
  <c r="AJ71"/>
  <c r="AD71"/>
  <c r="AC71"/>
  <c r="AB71"/>
  <c r="AA71"/>
  <c r="Z71"/>
  <c r="S71"/>
  <c r="M71"/>
  <c r="F71"/>
  <c r="AE71" s="1"/>
  <c r="AO70"/>
  <c r="AN70"/>
  <c r="AM70"/>
  <c r="AL70"/>
  <c r="AK70"/>
  <c r="AJ70"/>
  <c r="AD70"/>
  <c r="AC70"/>
  <c r="AB70"/>
  <c r="AA70"/>
  <c r="Z70"/>
  <c r="S70"/>
  <c r="M70"/>
  <c r="F70"/>
  <c r="AE70" s="1"/>
  <c r="AN6"/>
  <c r="AM6"/>
  <c r="AL6"/>
  <c r="AK6"/>
  <c r="AJ6"/>
  <c r="AD6"/>
  <c r="AC6"/>
  <c r="AB6"/>
  <c r="AA6"/>
  <c r="Z6"/>
  <c r="S6"/>
  <c r="M6"/>
  <c r="F6"/>
  <c r="AE6" s="1"/>
  <c r="T30" i="17"/>
  <c r="S30"/>
  <c r="R30"/>
  <c r="L30"/>
  <c r="M30" s="1"/>
  <c r="Q30" s="1"/>
  <c r="T28"/>
  <c r="S28"/>
  <c r="R28"/>
  <c r="L28"/>
  <c r="N28" s="1"/>
  <c r="T27"/>
  <c r="S27"/>
  <c r="R27"/>
  <c r="L27"/>
  <c r="M27" s="1"/>
  <c r="Q27" s="1"/>
  <c r="M27" i="13"/>
  <c r="AO27"/>
  <c r="AN27"/>
  <c r="AM27"/>
  <c r="AL27"/>
  <c r="AK27"/>
  <c r="AJ27"/>
  <c r="AD27"/>
  <c r="AC27"/>
  <c r="AB27"/>
  <c r="AA27"/>
  <c r="Z27"/>
  <c r="S27"/>
  <c r="F27"/>
  <c r="AE27" s="1"/>
  <c r="AO24"/>
  <c r="AN24"/>
  <c r="AM24"/>
  <c r="AL24"/>
  <c r="AK24"/>
  <c r="AJ24"/>
  <c r="AD24"/>
  <c r="AC24"/>
  <c r="AB24"/>
  <c r="AA24"/>
  <c r="Z24"/>
  <c r="S24"/>
  <c r="M24"/>
  <c r="F24"/>
  <c r="AE24" s="1"/>
  <c r="L23" i="15"/>
  <c r="L24"/>
  <c r="I24"/>
  <c r="I23"/>
  <c r="L33" i="17"/>
  <c r="M33" s="1"/>
  <c r="L24"/>
  <c r="N24" s="1"/>
  <c r="S24" s="1"/>
  <c r="T23"/>
  <c r="S23"/>
  <c r="R23"/>
  <c r="L23"/>
  <c r="M23" s="1"/>
  <c r="Q23" s="1"/>
  <c r="T14"/>
  <c r="S14"/>
  <c r="R14"/>
  <c r="L14"/>
  <c r="M14" s="1"/>
  <c r="Q14" s="1"/>
  <c r="L22" i="15"/>
  <c r="I22"/>
  <c r="H22"/>
  <c r="L21"/>
  <c r="H21"/>
  <c r="I21" s="1"/>
  <c r="L20"/>
  <c r="H20"/>
  <c r="I20" s="1"/>
  <c r="L19"/>
  <c r="I19"/>
  <c r="L18"/>
  <c r="I18"/>
  <c r="L17"/>
  <c r="I17"/>
  <c r="L16"/>
  <c r="I16"/>
  <c r="L15"/>
  <c r="I15"/>
  <c r="L14"/>
  <c r="I14"/>
  <c r="L13"/>
  <c r="I13"/>
  <c r="L12"/>
  <c r="I12"/>
  <c r="L11"/>
  <c r="I11"/>
  <c r="L10"/>
  <c r="I10"/>
  <c r="L9"/>
  <c r="I9"/>
  <c r="L8"/>
  <c r="I8"/>
  <c r="L7"/>
  <c r="I7"/>
  <c r="L6"/>
  <c r="I6"/>
  <c r="L5"/>
  <c r="I5"/>
  <c r="T40" i="17"/>
  <c r="S40"/>
  <c r="R40"/>
  <c r="L40"/>
  <c r="N40" s="1"/>
  <c r="T38"/>
  <c r="S38"/>
  <c r="R38"/>
  <c r="L38"/>
  <c r="N38" s="1"/>
  <c r="T21"/>
  <c r="S21"/>
  <c r="R21"/>
  <c r="L21"/>
  <c r="N21" s="1"/>
  <c r="T20"/>
  <c r="S20"/>
  <c r="R20"/>
  <c r="L20"/>
  <c r="N20" s="1"/>
  <c r="L17"/>
  <c r="N17" s="1"/>
  <c r="S17" s="1"/>
  <c r="T16"/>
  <c r="S16"/>
  <c r="R16"/>
  <c r="L16"/>
  <c r="N16" s="1"/>
  <c r="L10"/>
  <c r="N10" s="1"/>
  <c r="T9"/>
  <c r="S9"/>
  <c r="R9"/>
  <c r="L9"/>
  <c r="N9" s="1"/>
  <c r="T37"/>
  <c r="S37"/>
  <c r="R37"/>
  <c r="L37"/>
  <c r="N37" s="1"/>
  <c r="T36"/>
  <c r="S36"/>
  <c r="R36"/>
  <c r="L36"/>
  <c r="N36" s="1"/>
  <c r="T13"/>
  <c r="S13"/>
  <c r="R13"/>
  <c r="L13"/>
  <c r="N13" s="1"/>
  <c r="T7"/>
  <c r="S7"/>
  <c r="R7"/>
  <c r="L7"/>
  <c r="N7" s="1"/>
  <c r="T6"/>
  <c r="S6"/>
  <c r="R6"/>
  <c r="L6"/>
  <c r="N6" s="1"/>
  <c r="O70" i="13" l="1"/>
  <c r="O71"/>
  <c r="AO6"/>
  <c r="O72"/>
  <c r="M73"/>
  <c r="O6"/>
  <c r="M28" i="17"/>
  <c r="Q28" s="1"/>
  <c r="N27"/>
  <c r="N30"/>
  <c r="O24" i="13"/>
  <c r="O27"/>
  <c r="Q33" i="17"/>
  <c r="T33" s="1"/>
  <c r="R33"/>
  <c r="N33"/>
  <c r="S33" s="1"/>
  <c r="M24"/>
  <c r="R24" s="1"/>
  <c r="N23"/>
  <c r="N14"/>
  <c r="M20"/>
  <c r="Q20" s="1"/>
  <c r="M36"/>
  <c r="Q36" s="1"/>
  <c r="D47"/>
  <c r="S10"/>
  <c r="D45" s="1"/>
  <c r="M7"/>
  <c r="Q7" s="1"/>
  <c r="M10"/>
  <c r="Q10" s="1"/>
  <c r="T10" s="1"/>
  <c r="C50"/>
  <c r="D50" s="1"/>
  <c r="M16"/>
  <c r="Q16" s="1"/>
  <c r="M21"/>
  <c r="Q21" s="1"/>
  <c r="M6"/>
  <c r="M13"/>
  <c r="Q13" s="1"/>
  <c r="M37"/>
  <c r="Q37" s="1"/>
  <c r="M9"/>
  <c r="Q9" s="1"/>
  <c r="M17"/>
  <c r="M38"/>
  <c r="Q38" s="1"/>
  <c r="M40"/>
  <c r="Q40" s="1"/>
  <c r="Q24" l="1"/>
  <c r="T24" s="1"/>
  <c r="R10"/>
  <c r="E50"/>
  <c r="D46"/>
  <c r="C53"/>
  <c r="Q6"/>
  <c r="R17"/>
  <c r="Q17"/>
  <c r="T17" s="1"/>
  <c r="C47"/>
  <c r="E47" l="1"/>
  <c r="E46" s="1"/>
  <c r="E45"/>
  <c r="C45"/>
  <c r="C46" s="1"/>
  <c r="E53"/>
  <c r="Q42"/>
  <c r="G47" l="1"/>
  <c r="F41" i="13"/>
  <c r="M41"/>
  <c r="S41"/>
  <c r="Z41"/>
  <c r="AA41"/>
  <c r="AB41"/>
  <c r="AC41"/>
  <c r="AD41"/>
  <c r="AE41"/>
  <c r="AJ41"/>
  <c r="AK41"/>
  <c r="AL41"/>
  <c r="AM41"/>
  <c r="AN41"/>
  <c r="AO41"/>
  <c r="F42"/>
  <c r="M42"/>
  <c r="S42"/>
  <c r="Z42"/>
  <c r="AA42"/>
  <c r="AB42"/>
  <c r="AC42"/>
  <c r="AD42"/>
  <c r="AE42"/>
  <c r="AJ42"/>
  <c r="AK42"/>
  <c r="AL42"/>
  <c r="AM42"/>
  <c r="AN42"/>
  <c r="AO42"/>
  <c r="AO74"/>
  <c r="AN74"/>
  <c r="AM74"/>
  <c r="AL74"/>
  <c r="AK74"/>
  <c r="AJ74"/>
  <c r="AD74"/>
  <c r="AC74"/>
  <c r="AB74"/>
  <c r="AA74"/>
  <c r="Z74"/>
  <c r="S74"/>
  <c r="M74"/>
  <c r="F74"/>
  <c r="AE74" s="1"/>
  <c r="O41" l="1"/>
  <c r="O74"/>
  <c r="O42"/>
  <c r="AO87"/>
  <c r="AN87"/>
  <c r="AM87"/>
  <c r="AL87"/>
  <c r="AK87"/>
  <c r="AJ87"/>
  <c r="AD87"/>
  <c r="AC87"/>
  <c r="AB87"/>
  <c r="AA87"/>
  <c r="Z87"/>
  <c r="S87"/>
  <c r="M87"/>
  <c r="F87"/>
  <c r="AE87" s="1"/>
  <c r="AN111"/>
  <c r="AM111"/>
  <c r="AL111"/>
  <c r="AK111"/>
  <c r="AJ111"/>
  <c r="AE111"/>
  <c r="AD111"/>
  <c r="AC111"/>
  <c r="AB111"/>
  <c r="AA111"/>
  <c r="Z111"/>
  <c r="S111"/>
  <c r="M111"/>
  <c r="F111"/>
  <c r="AO111" s="1"/>
  <c r="AN110"/>
  <c r="AM110"/>
  <c r="AL110"/>
  <c r="AK110"/>
  <c r="AJ110"/>
  <c r="AD110"/>
  <c r="AC110"/>
  <c r="AB110"/>
  <c r="AA110"/>
  <c r="Z110"/>
  <c r="S110"/>
  <c r="M110"/>
  <c r="F110"/>
  <c r="AE110" s="1"/>
  <c r="AN109"/>
  <c r="AM109"/>
  <c r="AL109"/>
  <c r="AK109"/>
  <c r="AJ109"/>
  <c r="AD109"/>
  <c r="AC109"/>
  <c r="AB109"/>
  <c r="AA109"/>
  <c r="Z109"/>
  <c r="S109"/>
  <c r="M109"/>
  <c r="F109"/>
  <c r="AE109" s="1"/>
  <c r="F50"/>
  <c r="AO50" s="1"/>
  <c r="M50"/>
  <c r="S50"/>
  <c r="Z50"/>
  <c r="AA50"/>
  <c r="AB50"/>
  <c r="AC50"/>
  <c r="AD50"/>
  <c r="AE50"/>
  <c r="AJ50"/>
  <c r="AK50"/>
  <c r="AL50"/>
  <c r="AM50"/>
  <c r="AN50"/>
  <c r="AN93"/>
  <c r="AM93"/>
  <c r="AL93"/>
  <c r="AK93"/>
  <c r="AJ93"/>
  <c r="AE93"/>
  <c r="AD93"/>
  <c r="AC93"/>
  <c r="AB93"/>
  <c r="AA93"/>
  <c r="Z93"/>
  <c r="S93"/>
  <c r="M93"/>
  <c r="F93"/>
  <c r="AO93" s="1"/>
  <c r="AO92"/>
  <c r="AN92"/>
  <c r="AM92"/>
  <c r="AL92"/>
  <c r="AK92"/>
  <c r="AJ92"/>
  <c r="AD92"/>
  <c r="AC92"/>
  <c r="AB92"/>
  <c r="AA92"/>
  <c r="Z92"/>
  <c r="S92"/>
  <c r="M92"/>
  <c r="F92"/>
  <c r="AE92" s="1"/>
  <c r="AN90"/>
  <c r="AM90"/>
  <c r="AL90"/>
  <c r="AK90"/>
  <c r="AJ90"/>
  <c r="AE90"/>
  <c r="AD90"/>
  <c r="AC90"/>
  <c r="AB90"/>
  <c r="AA90"/>
  <c r="Z90"/>
  <c r="S90"/>
  <c r="M90"/>
  <c r="F90"/>
  <c r="AO90" s="1"/>
  <c r="AO89"/>
  <c r="AN89"/>
  <c r="AM89"/>
  <c r="AL89"/>
  <c r="AK89"/>
  <c r="AJ89"/>
  <c r="AD89"/>
  <c r="AC89"/>
  <c r="AB89"/>
  <c r="AA89"/>
  <c r="Z89"/>
  <c r="S89"/>
  <c r="M89"/>
  <c r="F89"/>
  <c r="AE89" s="1"/>
  <c r="AO88"/>
  <c r="AN88"/>
  <c r="AM88"/>
  <c r="AL88"/>
  <c r="AK88"/>
  <c r="AJ88"/>
  <c r="AD88"/>
  <c r="AC88"/>
  <c r="AB88"/>
  <c r="AA88"/>
  <c r="Z88"/>
  <c r="S88"/>
  <c r="M88"/>
  <c r="F88"/>
  <c r="AE88" s="1"/>
  <c r="AN85"/>
  <c r="AM85"/>
  <c r="AL85"/>
  <c r="AK85"/>
  <c r="AJ85"/>
  <c r="AE85"/>
  <c r="AD85"/>
  <c r="AC85"/>
  <c r="AB85"/>
  <c r="AA85"/>
  <c r="Z85"/>
  <c r="S85"/>
  <c r="M85"/>
  <c r="F85"/>
  <c r="AO85" s="1"/>
  <c r="AO84"/>
  <c r="AN84"/>
  <c r="AM84"/>
  <c r="AL84"/>
  <c r="AK84"/>
  <c r="AJ84"/>
  <c r="AD84"/>
  <c r="AC84"/>
  <c r="AB84"/>
  <c r="AA84"/>
  <c r="Z84"/>
  <c r="S84"/>
  <c r="M84"/>
  <c r="F84"/>
  <c r="AE84" s="1"/>
  <c r="AN83"/>
  <c r="AM83"/>
  <c r="AL83"/>
  <c r="AK83"/>
  <c r="AJ83"/>
  <c r="AE83"/>
  <c r="AD83"/>
  <c r="AC83"/>
  <c r="AB83"/>
  <c r="AA83"/>
  <c r="Z83"/>
  <c r="S83"/>
  <c r="M83"/>
  <c r="F83"/>
  <c r="AO83" s="1"/>
  <c r="AO82"/>
  <c r="AN82"/>
  <c r="AM82"/>
  <c r="AL82"/>
  <c r="AK82"/>
  <c r="AJ82"/>
  <c r="AD82"/>
  <c r="AC82"/>
  <c r="AB82"/>
  <c r="AA82"/>
  <c r="Z82"/>
  <c r="S82"/>
  <c r="M82"/>
  <c r="F82"/>
  <c r="AE82" s="1"/>
  <c r="AO81"/>
  <c r="AN81"/>
  <c r="AM81"/>
  <c r="AL81"/>
  <c r="AK81"/>
  <c r="AJ81"/>
  <c r="AD81"/>
  <c r="AC81"/>
  <c r="AB81"/>
  <c r="AA81"/>
  <c r="Z81"/>
  <c r="S81"/>
  <c r="M81"/>
  <c r="F81"/>
  <c r="AE81" s="1"/>
  <c r="AN57"/>
  <c r="AM57"/>
  <c r="AL57"/>
  <c r="AK57"/>
  <c r="AJ57"/>
  <c r="AD57"/>
  <c r="AC57"/>
  <c r="AB57"/>
  <c r="AA57"/>
  <c r="Z57"/>
  <c r="S57"/>
  <c r="M57"/>
  <c r="F57"/>
  <c r="AE57" s="1"/>
  <c r="AN60"/>
  <c r="AM60"/>
  <c r="AL60"/>
  <c r="AK60"/>
  <c r="AJ60"/>
  <c r="AD60"/>
  <c r="AC60"/>
  <c r="AB60"/>
  <c r="AA60"/>
  <c r="Z60"/>
  <c r="S60"/>
  <c r="M60"/>
  <c r="F60"/>
  <c r="AE60" s="1"/>
  <c r="AN59"/>
  <c r="AM59"/>
  <c r="AL59"/>
  <c r="AK59"/>
  <c r="AJ59"/>
  <c r="AD59"/>
  <c r="AC59"/>
  <c r="AB59"/>
  <c r="AA59"/>
  <c r="Z59"/>
  <c r="S59"/>
  <c r="M59"/>
  <c r="F59"/>
  <c r="AE59" s="1"/>
  <c r="AO78"/>
  <c r="AN78"/>
  <c r="AM78"/>
  <c r="AL78"/>
  <c r="AK78"/>
  <c r="AJ78"/>
  <c r="AD78"/>
  <c r="AC78"/>
  <c r="AB78"/>
  <c r="AA78"/>
  <c r="Z78"/>
  <c r="S78"/>
  <c r="M78"/>
  <c r="F78"/>
  <c r="AE78" s="1"/>
  <c r="AO76"/>
  <c r="AN76"/>
  <c r="AM76"/>
  <c r="AL76"/>
  <c r="AK76"/>
  <c r="AJ76"/>
  <c r="AD76"/>
  <c r="AC76"/>
  <c r="AB76"/>
  <c r="AA76"/>
  <c r="Z76"/>
  <c r="S76"/>
  <c r="M76"/>
  <c r="F76"/>
  <c r="AE76" s="1"/>
  <c r="AO26"/>
  <c r="AN26"/>
  <c r="AM26"/>
  <c r="AL26"/>
  <c r="AK26"/>
  <c r="AJ26"/>
  <c r="AD26"/>
  <c r="AC26"/>
  <c r="AB26"/>
  <c r="AA26"/>
  <c r="Z26"/>
  <c r="S26"/>
  <c r="M26"/>
  <c r="F26"/>
  <c r="AE26" s="1"/>
  <c r="AO23"/>
  <c r="AN23"/>
  <c r="AM23"/>
  <c r="AL23"/>
  <c r="AK23"/>
  <c r="AJ23"/>
  <c r="AD23"/>
  <c r="AC23"/>
  <c r="AB23"/>
  <c r="AA23"/>
  <c r="Z23"/>
  <c r="S23"/>
  <c r="M23"/>
  <c r="F23"/>
  <c r="AE23" s="1"/>
  <c r="AO40"/>
  <c r="AN40"/>
  <c r="AM40"/>
  <c r="AL40"/>
  <c r="AK40"/>
  <c r="AJ40"/>
  <c r="AD40"/>
  <c r="AC40"/>
  <c r="AB40"/>
  <c r="AA40"/>
  <c r="Z40"/>
  <c r="S40"/>
  <c r="M40"/>
  <c r="F40"/>
  <c r="AE40" s="1"/>
  <c r="AO39"/>
  <c r="AN39"/>
  <c r="AM39"/>
  <c r="AL39"/>
  <c r="AK39"/>
  <c r="AJ39"/>
  <c r="AD39"/>
  <c r="AC39"/>
  <c r="AB39"/>
  <c r="AA39"/>
  <c r="Z39"/>
  <c r="S39"/>
  <c r="M39"/>
  <c r="F39"/>
  <c r="AE39" s="1"/>
  <c r="AN44"/>
  <c r="AM44"/>
  <c r="AL44"/>
  <c r="AK44"/>
  <c r="AJ44"/>
  <c r="AD44"/>
  <c r="AC44"/>
  <c r="AB44"/>
  <c r="AA44"/>
  <c r="Z44"/>
  <c r="S44"/>
  <c r="M44"/>
  <c r="F44"/>
  <c r="AE44" s="1"/>
  <c r="AN43"/>
  <c r="AM43"/>
  <c r="AL43"/>
  <c r="AK43"/>
  <c r="AJ43"/>
  <c r="AD43"/>
  <c r="AC43"/>
  <c r="AB43"/>
  <c r="AA43"/>
  <c r="Z43"/>
  <c r="S43"/>
  <c r="M43"/>
  <c r="F43"/>
  <c r="AE43" s="1"/>
  <c r="AO36"/>
  <c r="AN36"/>
  <c r="AM36"/>
  <c r="AL36"/>
  <c r="AK36"/>
  <c r="AJ36"/>
  <c r="AD36"/>
  <c r="AC36"/>
  <c r="AB36"/>
  <c r="AA36"/>
  <c r="Z36"/>
  <c r="S36"/>
  <c r="M36"/>
  <c r="F36"/>
  <c r="AE36" s="1"/>
  <c r="AO33"/>
  <c r="AN33"/>
  <c r="AM33"/>
  <c r="AL33"/>
  <c r="AK33"/>
  <c r="AJ33"/>
  <c r="AD33"/>
  <c r="AC33"/>
  <c r="AB33"/>
  <c r="AA33"/>
  <c r="Z33"/>
  <c r="S33"/>
  <c r="M33"/>
  <c r="F33"/>
  <c r="AE33" s="1"/>
  <c r="AO37"/>
  <c r="AN37"/>
  <c r="AM37"/>
  <c r="AL37"/>
  <c r="AK37"/>
  <c r="AJ37"/>
  <c r="AD37"/>
  <c r="AC37"/>
  <c r="AB37"/>
  <c r="AA37"/>
  <c r="Z37"/>
  <c r="S37"/>
  <c r="M37"/>
  <c r="F37"/>
  <c r="AE37" s="1"/>
  <c r="AO35"/>
  <c r="AN35"/>
  <c r="AM35"/>
  <c r="AL35"/>
  <c r="AK35"/>
  <c r="AJ35"/>
  <c r="AD35"/>
  <c r="AC35"/>
  <c r="AB35"/>
  <c r="AA35"/>
  <c r="Z35"/>
  <c r="S35"/>
  <c r="M35"/>
  <c r="F35"/>
  <c r="AE35" s="1"/>
  <c r="AO34"/>
  <c r="AN34"/>
  <c r="AM34"/>
  <c r="AL34"/>
  <c r="AK34"/>
  <c r="AJ34"/>
  <c r="AD34"/>
  <c r="AC34"/>
  <c r="AB34"/>
  <c r="AA34"/>
  <c r="Z34"/>
  <c r="S34"/>
  <c r="M34"/>
  <c r="F34"/>
  <c r="AE34" s="1"/>
  <c r="AO31"/>
  <c r="AN31"/>
  <c r="AM31"/>
  <c r="AL31"/>
  <c r="AK31"/>
  <c r="AJ31"/>
  <c r="AD31"/>
  <c r="AC31"/>
  <c r="AB31"/>
  <c r="AA31"/>
  <c r="Z31"/>
  <c r="S31"/>
  <c r="M31"/>
  <c r="F31"/>
  <c r="AE31" s="1"/>
  <c r="AN46"/>
  <c r="AM46"/>
  <c r="AL46"/>
  <c r="AK46"/>
  <c r="AJ46"/>
  <c r="S46"/>
  <c r="AD46"/>
  <c r="M46"/>
  <c r="F46"/>
  <c r="AE46" s="1"/>
  <c r="AN45"/>
  <c r="AM45"/>
  <c r="AL45"/>
  <c r="AK45"/>
  <c r="AJ45"/>
  <c r="S45"/>
  <c r="AD45"/>
  <c r="M45"/>
  <c r="F45"/>
  <c r="AE45" s="1"/>
  <c r="AO32"/>
  <c r="AN32"/>
  <c r="AM32"/>
  <c r="AL32"/>
  <c r="AK32"/>
  <c r="AJ32"/>
  <c r="AD32"/>
  <c r="AC32"/>
  <c r="AB32"/>
  <c r="AA32"/>
  <c r="Z32"/>
  <c r="S32"/>
  <c r="M32"/>
  <c r="F32"/>
  <c r="AE32" s="1"/>
  <c r="AO30"/>
  <c r="AN30"/>
  <c r="AM30"/>
  <c r="AL30"/>
  <c r="AK30"/>
  <c r="AJ30"/>
  <c r="AD30"/>
  <c r="AC30"/>
  <c r="AB30"/>
  <c r="AA30"/>
  <c r="Z30"/>
  <c r="S30"/>
  <c r="M30"/>
  <c r="F30"/>
  <c r="AE30" s="1"/>
  <c r="AO10"/>
  <c r="AN10"/>
  <c r="AM10"/>
  <c r="AL10"/>
  <c r="AK10"/>
  <c r="AJ10"/>
  <c r="AD10"/>
  <c r="AC10"/>
  <c r="AB10"/>
  <c r="AA10"/>
  <c r="Z10"/>
  <c r="S10"/>
  <c r="M10"/>
  <c r="F10"/>
  <c r="AE10" s="1"/>
  <c r="AO21"/>
  <c r="AN21"/>
  <c r="AM21"/>
  <c r="AL21"/>
  <c r="AK21"/>
  <c r="AJ21"/>
  <c r="S21"/>
  <c r="N21"/>
  <c r="AD21" s="1"/>
  <c r="F21"/>
  <c r="AO20"/>
  <c r="AN20"/>
  <c r="AM20"/>
  <c r="AL20"/>
  <c r="AK20"/>
  <c r="AJ20"/>
  <c r="S20"/>
  <c r="N20"/>
  <c r="AD20" s="1"/>
  <c r="F20"/>
  <c r="F17"/>
  <c r="M17"/>
  <c r="S17"/>
  <c r="Z17"/>
  <c r="AA17"/>
  <c r="AB17"/>
  <c r="AC17"/>
  <c r="AD17"/>
  <c r="AE17"/>
  <c r="AJ17"/>
  <c r="AK17"/>
  <c r="AL17"/>
  <c r="AM17"/>
  <c r="AN17"/>
  <c r="AO17"/>
  <c r="F18"/>
  <c r="AE18" s="1"/>
  <c r="M18"/>
  <c r="S18"/>
  <c r="Z18"/>
  <c r="AA18"/>
  <c r="AB18"/>
  <c r="AC18"/>
  <c r="AD18"/>
  <c r="AJ18"/>
  <c r="AK18"/>
  <c r="AL18"/>
  <c r="AM18"/>
  <c r="AN18"/>
  <c r="AO18"/>
  <c r="F25"/>
  <c r="AO25" s="1"/>
  <c r="M25"/>
  <c r="S25"/>
  <c r="Z25"/>
  <c r="AA25"/>
  <c r="AB25"/>
  <c r="AC25"/>
  <c r="AD25"/>
  <c r="AE25"/>
  <c r="AJ25"/>
  <c r="AK25"/>
  <c r="AL25"/>
  <c r="AM25"/>
  <c r="AN25"/>
  <c r="F28"/>
  <c r="AO28" s="1"/>
  <c r="M28"/>
  <c r="S28"/>
  <c r="Z28"/>
  <c r="AA28"/>
  <c r="AB28"/>
  <c r="AC28"/>
  <c r="AD28"/>
  <c r="AE28"/>
  <c r="AJ28"/>
  <c r="AK28"/>
  <c r="AL28"/>
  <c r="AM28"/>
  <c r="AN28"/>
  <c r="F117"/>
  <c r="AO104"/>
  <c r="AN104"/>
  <c r="AM104"/>
  <c r="AL104"/>
  <c r="AK104"/>
  <c r="AJ104"/>
  <c r="AD104"/>
  <c r="AC104"/>
  <c r="AB104"/>
  <c r="AA104"/>
  <c r="Z104"/>
  <c r="S104"/>
  <c r="M104"/>
  <c r="F104"/>
  <c r="AE104" s="1"/>
  <c r="AO102"/>
  <c r="AN102"/>
  <c r="AM102"/>
  <c r="AL102"/>
  <c r="AK102"/>
  <c r="AJ102"/>
  <c r="AD102"/>
  <c r="AC102"/>
  <c r="AB102"/>
  <c r="AA102"/>
  <c r="Z102"/>
  <c r="S102"/>
  <c r="M102"/>
  <c r="F102"/>
  <c r="AE102" s="1"/>
  <c r="AO101"/>
  <c r="AN101"/>
  <c r="AM101"/>
  <c r="AL101"/>
  <c r="AK101"/>
  <c r="AJ101"/>
  <c r="AD101"/>
  <c r="AC101"/>
  <c r="AB101"/>
  <c r="AA101"/>
  <c r="Z101"/>
  <c r="S101"/>
  <c r="M101"/>
  <c r="F101"/>
  <c r="AE101" s="1"/>
  <c r="AE21" l="1"/>
  <c r="AO57"/>
  <c r="AC20"/>
  <c r="AE20"/>
  <c r="M21"/>
  <c r="O21" s="1"/>
  <c r="M38"/>
  <c r="M29"/>
  <c r="M47"/>
  <c r="O50"/>
  <c r="O25"/>
  <c r="M105"/>
  <c r="O28"/>
  <c r="O18"/>
  <c r="O109"/>
  <c r="AO109"/>
  <c r="O110"/>
  <c r="AO110"/>
  <c r="O111"/>
  <c r="O87"/>
  <c r="M91"/>
  <c r="M86"/>
  <c r="O92"/>
  <c r="O93"/>
  <c r="O76"/>
  <c r="O78"/>
  <c r="O60"/>
  <c r="AO60"/>
  <c r="O84"/>
  <c r="O85"/>
  <c r="O90"/>
  <c r="O89"/>
  <c r="O88"/>
  <c r="O83"/>
  <c r="O82"/>
  <c r="O81"/>
  <c r="AO59"/>
  <c r="O57"/>
  <c r="O59"/>
  <c r="AO45"/>
  <c r="AO46"/>
  <c r="O35"/>
  <c r="O37"/>
  <c r="O33"/>
  <c r="O36"/>
  <c r="O43"/>
  <c r="AO43"/>
  <c r="O44"/>
  <c r="AO44"/>
  <c r="O39"/>
  <c r="O40"/>
  <c r="O23"/>
  <c r="O26"/>
  <c r="O34"/>
  <c r="O31"/>
  <c r="O30"/>
  <c r="O32"/>
  <c r="O45"/>
  <c r="O46"/>
  <c r="Z45"/>
  <c r="AA45"/>
  <c r="AB45"/>
  <c r="AC45"/>
  <c r="Z46"/>
  <c r="AA46"/>
  <c r="AB46"/>
  <c r="AC46"/>
  <c r="O10"/>
  <c r="M20"/>
  <c r="Z20"/>
  <c r="AA20"/>
  <c r="AB20"/>
  <c r="Z21"/>
  <c r="AA21"/>
  <c r="AB21"/>
  <c r="AC21"/>
  <c r="O17"/>
  <c r="O101"/>
  <c r="O102"/>
  <c r="O104"/>
  <c r="C5" i="16"/>
  <c r="M5"/>
  <c r="C6"/>
  <c r="D6"/>
  <c r="E6"/>
  <c r="F6"/>
  <c r="G6"/>
  <c r="H6"/>
  <c r="M6"/>
  <c r="N6"/>
  <c r="O6"/>
  <c r="P6"/>
  <c r="Q6"/>
  <c r="R6"/>
  <c r="C12"/>
  <c r="M12"/>
  <c r="C13"/>
  <c r="D13"/>
  <c r="E13"/>
  <c r="F13"/>
  <c r="G13"/>
  <c r="H13"/>
  <c r="I13"/>
  <c r="M13"/>
  <c r="N13"/>
  <c r="O13"/>
  <c r="P13"/>
  <c r="Q13"/>
  <c r="R13"/>
  <c r="S13"/>
  <c r="H17"/>
  <c r="R17"/>
  <c r="R18"/>
  <c r="C20"/>
  <c r="M20"/>
  <c r="C21"/>
  <c r="D21"/>
  <c r="E21"/>
  <c r="F21"/>
  <c r="G21"/>
  <c r="H21"/>
  <c r="M21"/>
  <c r="N21"/>
  <c r="O21"/>
  <c r="P21"/>
  <c r="Q21"/>
  <c r="R21"/>
  <c r="L22"/>
  <c r="L23"/>
  <c r="L24"/>
  <c r="L25"/>
  <c r="L26"/>
  <c r="C27"/>
  <c r="M27"/>
  <c r="C28"/>
  <c r="D28"/>
  <c r="E28"/>
  <c r="F28"/>
  <c r="G28"/>
  <c r="H28"/>
  <c r="I28"/>
  <c r="M28"/>
  <c r="N28"/>
  <c r="O28"/>
  <c r="P28"/>
  <c r="Q28"/>
  <c r="R28"/>
  <c r="S28"/>
  <c r="H32"/>
  <c r="R32"/>
  <c r="R33"/>
  <c r="C35"/>
  <c r="M35"/>
  <c r="C36"/>
  <c r="D36"/>
  <c r="E36"/>
  <c r="F36"/>
  <c r="G36"/>
  <c r="H36"/>
  <c r="M36"/>
  <c r="N36"/>
  <c r="O36"/>
  <c r="P36"/>
  <c r="Q36"/>
  <c r="R36"/>
  <c r="L37"/>
  <c r="L38"/>
  <c r="L39"/>
  <c r="L40"/>
  <c r="L41"/>
  <c r="C42"/>
  <c r="M42"/>
  <c r="C43"/>
  <c r="D43"/>
  <c r="E43"/>
  <c r="F43"/>
  <c r="G43"/>
  <c r="H43"/>
  <c r="I43"/>
  <c r="M43"/>
  <c r="N43"/>
  <c r="O43"/>
  <c r="P43"/>
  <c r="Q43"/>
  <c r="R43"/>
  <c r="S43"/>
  <c r="H47"/>
  <c r="R47"/>
  <c r="R48"/>
  <c r="B6"/>
  <c r="B7"/>
  <c r="B8"/>
  <c r="B9"/>
  <c r="B10"/>
  <c r="B11"/>
  <c r="B22"/>
  <c r="B23"/>
  <c r="B24"/>
  <c r="B25"/>
  <c r="B26"/>
  <c r="B37"/>
  <c r="B38"/>
  <c r="B39"/>
  <c r="B40"/>
  <c r="B41"/>
  <c r="AI169" i="13"/>
  <c r="L46" i="16" s="1"/>
  <c r="AI168" i="13"/>
  <c r="L45" i="16" s="1"/>
  <c r="AI167" i="13"/>
  <c r="L44" i="16" s="1"/>
  <c r="Y169" i="13"/>
  <c r="B46" i="16" s="1"/>
  <c r="Y168" i="13"/>
  <c r="B45" i="16" s="1"/>
  <c r="Y167" i="13"/>
  <c r="B44" i="16" s="1"/>
  <c r="AI154" i="13"/>
  <c r="L31" i="16" s="1"/>
  <c r="L30"/>
  <c r="AI152" i="13"/>
  <c r="L29" i="16" s="1"/>
  <c r="Y154" i="13"/>
  <c r="B31" i="16" s="1"/>
  <c r="Y153" i="13"/>
  <c r="B30" i="16" s="1"/>
  <c r="Y152" i="13"/>
  <c r="B29" i="16" s="1"/>
  <c r="S121" i="13"/>
  <c r="S120"/>
  <c r="S119"/>
  <c r="S118"/>
  <c r="S117"/>
  <c r="S116"/>
  <c r="S115"/>
  <c r="S49"/>
  <c r="S48"/>
  <c r="S108"/>
  <c r="S107"/>
  <c r="S106"/>
  <c r="S68"/>
  <c r="S66"/>
  <c r="S64"/>
  <c r="S63"/>
  <c r="S61"/>
  <c r="S58"/>
  <c r="S56"/>
  <c r="S95"/>
  <c r="S94"/>
  <c r="S79"/>
  <c r="S77"/>
  <c r="S75"/>
  <c r="S12"/>
  <c r="S11"/>
  <c r="S9"/>
  <c r="S8"/>
  <c r="S7"/>
  <c r="S5"/>
  <c r="AO106"/>
  <c r="AN106"/>
  <c r="AM106"/>
  <c r="AL106"/>
  <c r="AK106"/>
  <c r="AJ106"/>
  <c r="AD106"/>
  <c r="AC106"/>
  <c r="AB106"/>
  <c r="AA106"/>
  <c r="Z106"/>
  <c r="M106"/>
  <c r="F106"/>
  <c r="AE106" s="1"/>
  <c r="AD121"/>
  <c r="AC121"/>
  <c r="AB121"/>
  <c r="AA121"/>
  <c r="Z121"/>
  <c r="AD120"/>
  <c r="AC120"/>
  <c r="AB120"/>
  <c r="AA120"/>
  <c r="Z120"/>
  <c r="AD119"/>
  <c r="AC119"/>
  <c r="AB119"/>
  <c r="AA119"/>
  <c r="Z119"/>
  <c r="AD118"/>
  <c r="AC118"/>
  <c r="AB118"/>
  <c r="AA118"/>
  <c r="Z118"/>
  <c r="AD117"/>
  <c r="AC117"/>
  <c r="AB117"/>
  <c r="AA117"/>
  <c r="Z117"/>
  <c r="AD116"/>
  <c r="AC116"/>
  <c r="AB116"/>
  <c r="AA116"/>
  <c r="Z116"/>
  <c r="AD115"/>
  <c r="AC115"/>
  <c r="AB115"/>
  <c r="AA115"/>
  <c r="Z115"/>
  <c r="AD49"/>
  <c r="AC49"/>
  <c r="AB49"/>
  <c r="AA49"/>
  <c r="Z49"/>
  <c r="AD48"/>
  <c r="AC48"/>
  <c r="AB48"/>
  <c r="AA48"/>
  <c r="Z48"/>
  <c r="AE108"/>
  <c r="AD108"/>
  <c r="AC108"/>
  <c r="AB108"/>
  <c r="AA108"/>
  <c r="Z108"/>
  <c r="AD107"/>
  <c r="AC107"/>
  <c r="AB107"/>
  <c r="AA107"/>
  <c r="Z107"/>
  <c r="AD68"/>
  <c r="AC68"/>
  <c r="AB68"/>
  <c r="AA68"/>
  <c r="Z68"/>
  <c r="AD66"/>
  <c r="AC66"/>
  <c r="AB66"/>
  <c r="AA66"/>
  <c r="Z66"/>
  <c r="AD64"/>
  <c r="AC64"/>
  <c r="AB64"/>
  <c r="AA64"/>
  <c r="Z64"/>
  <c r="AD63"/>
  <c r="AC63"/>
  <c r="AB63"/>
  <c r="AA63"/>
  <c r="Z63"/>
  <c r="AD61"/>
  <c r="AC61"/>
  <c r="AB61"/>
  <c r="AA61"/>
  <c r="Z61"/>
  <c r="AD58"/>
  <c r="AC58"/>
  <c r="AB58"/>
  <c r="AA58"/>
  <c r="Z58"/>
  <c r="AD56"/>
  <c r="AC56"/>
  <c r="AB56"/>
  <c r="AA56"/>
  <c r="Z56"/>
  <c r="AD95"/>
  <c r="AC95"/>
  <c r="AB95"/>
  <c r="AA95"/>
  <c r="Z95"/>
  <c r="AD94"/>
  <c r="AC94"/>
  <c r="AB94"/>
  <c r="AA94"/>
  <c r="Z94"/>
  <c r="AD79"/>
  <c r="AC79"/>
  <c r="AB79"/>
  <c r="AA79"/>
  <c r="Z79"/>
  <c r="AD77"/>
  <c r="AC77"/>
  <c r="AB77"/>
  <c r="AA77"/>
  <c r="Z77"/>
  <c r="AD75"/>
  <c r="AC75"/>
  <c r="AB75"/>
  <c r="AA75"/>
  <c r="Z75"/>
  <c r="AE133"/>
  <c r="H10" i="16" s="1"/>
  <c r="AN49" i="13"/>
  <c r="AM49"/>
  <c r="AL49"/>
  <c r="AK49"/>
  <c r="AJ49"/>
  <c r="M49"/>
  <c r="F49"/>
  <c r="AO49" s="1"/>
  <c r="AN48"/>
  <c r="AM48"/>
  <c r="AL48"/>
  <c r="AK48"/>
  <c r="AJ48"/>
  <c r="M48"/>
  <c r="F48"/>
  <c r="AO48" s="1"/>
  <c r="AO11"/>
  <c r="AN11"/>
  <c r="AM11"/>
  <c r="AL11"/>
  <c r="AK11"/>
  <c r="AJ11"/>
  <c r="AD11"/>
  <c r="AC11"/>
  <c r="AB11"/>
  <c r="AA11"/>
  <c r="Z11"/>
  <c r="M11"/>
  <c r="F11"/>
  <c r="AE11" s="1"/>
  <c r="AN108"/>
  <c r="AM108"/>
  <c r="AL108"/>
  <c r="AK108"/>
  <c r="AJ108"/>
  <c r="M108"/>
  <c r="F108"/>
  <c r="AO108" s="1"/>
  <c r="AN107"/>
  <c r="AM107"/>
  <c r="AL107"/>
  <c r="AK107"/>
  <c r="AJ107"/>
  <c r="M107"/>
  <c r="F107"/>
  <c r="AE107" s="1"/>
  <c r="AO68"/>
  <c r="AN68"/>
  <c r="AM68"/>
  <c r="AL68"/>
  <c r="AK68"/>
  <c r="AJ68"/>
  <c r="M68"/>
  <c r="M69" s="1"/>
  <c r="F68"/>
  <c r="AE68" s="1"/>
  <c r="AN66"/>
  <c r="AM66"/>
  <c r="AL66"/>
  <c r="AK66"/>
  <c r="AJ66"/>
  <c r="M66"/>
  <c r="F66"/>
  <c r="AE66" s="1"/>
  <c r="AN64"/>
  <c r="AM64"/>
  <c r="AL64"/>
  <c r="AK64"/>
  <c r="AJ64"/>
  <c r="M64"/>
  <c r="F64"/>
  <c r="AE64" s="1"/>
  <c r="AN63"/>
  <c r="AM63"/>
  <c r="AL63"/>
  <c r="AK63"/>
  <c r="AJ63"/>
  <c r="M63"/>
  <c r="F63"/>
  <c r="AE63" s="1"/>
  <c r="M61"/>
  <c r="AO58"/>
  <c r="AN58"/>
  <c r="AM58"/>
  <c r="AL58"/>
  <c r="AK58"/>
  <c r="AJ58"/>
  <c r="M58"/>
  <c r="F58"/>
  <c r="AE58" s="1"/>
  <c r="AO61"/>
  <c r="AN61"/>
  <c r="AM61"/>
  <c r="AL61"/>
  <c r="AK61"/>
  <c r="AJ61"/>
  <c r="F61"/>
  <c r="AE61" s="1"/>
  <c r="AO56"/>
  <c r="AN56"/>
  <c r="AM56"/>
  <c r="AL56"/>
  <c r="AK56"/>
  <c r="AJ56"/>
  <c r="M56"/>
  <c r="F56"/>
  <c r="AE56" s="1"/>
  <c r="AN95"/>
  <c r="AM95"/>
  <c r="AL95"/>
  <c r="AK95"/>
  <c r="AJ95"/>
  <c r="M95"/>
  <c r="F95"/>
  <c r="AE95" s="1"/>
  <c r="AN94"/>
  <c r="M94"/>
  <c r="M97" s="1"/>
  <c r="F94"/>
  <c r="AO94" s="1"/>
  <c r="AN79"/>
  <c r="AM79"/>
  <c r="AL79"/>
  <c r="AK79"/>
  <c r="AJ79"/>
  <c r="M79"/>
  <c r="F79"/>
  <c r="AE79" s="1"/>
  <c r="AN77"/>
  <c r="AM77"/>
  <c r="AL77"/>
  <c r="AK77"/>
  <c r="AJ77"/>
  <c r="M77"/>
  <c r="F77"/>
  <c r="AE77" s="1"/>
  <c r="AO12"/>
  <c r="AN12"/>
  <c r="AM12"/>
  <c r="AL12"/>
  <c r="AK12"/>
  <c r="AJ12"/>
  <c r="AD12"/>
  <c r="AC12"/>
  <c r="AB12"/>
  <c r="AA12"/>
  <c r="Z12"/>
  <c r="M12"/>
  <c r="F12"/>
  <c r="AE12" s="1"/>
  <c r="AN9"/>
  <c r="AM9"/>
  <c r="AL9"/>
  <c r="AK9"/>
  <c r="AJ9"/>
  <c r="AD9"/>
  <c r="AC9"/>
  <c r="AB9"/>
  <c r="AA9"/>
  <c r="Z9"/>
  <c r="M9"/>
  <c r="F9"/>
  <c r="AE9" s="1"/>
  <c r="AN8"/>
  <c r="AM8"/>
  <c r="AL8"/>
  <c r="AK8"/>
  <c r="AJ8"/>
  <c r="AD8"/>
  <c r="AC8"/>
  <c r="AB8"/>
  <c r="AA8"/>
  <c r="Z8"/>
  <c r="M8"/>
  <c r="F8"/>
  <c r="AE8" s="1"/>
  <c r="AN7"/>
  <c r="AM7"/>
  <c r="AL7"/>
  <c r="AK7"/>
  <c r="AJ7"/>
  <c r="AD7"/>
  <c r="AC7"/>
  <c r="AB7"/>
  <c r="AA7"/>
  <c r="Z7"/>
  <c r="M7"/>
  <c r="F7"/>
  <c r="AE7" s="1"/>
  <c r="AN5"/>
  <c r="AM5"/>
  <c r="AL5"/>
  <c r="AK5"/>
  <c r="AJ5"/>
  <c r="AD5"/>
  <c r="AC5"/>
  <c r="AB5"/>
  <c r="AA5"/>
  <c r="Z5"/>
  <c r="M5"/>
  <c r="F5"/>
  <c r="AE5" s="1"/>
  <c r="Y139"/>
  <c r="B16" i="16" s="1"/>
  <c r="AJ132" i="13"/>
  <c r="AJ139" s="1"/>
  <c r="M16" i="16" s="1"/>
  <c r="AK132" i="13"/>
  <c r="AK139" s="1"/>
  <c r="N16" i="16" s="1"/>
  <c r="AL132" i="13"/>
  <c r="AL139" s="1"/>
  <c r="O16" i="16" s="1"/>
  <c r="AM132" i="13"/>
  <c r="AM139" s="1"/>
  <c r="P16" i="16" s="1"/>
  <c r="AN132" i="13"/>
  <c r="AN139" s="1"/>
  <c r="Q16" i="16" s="1"/>
  <c r="AO132" i="13"/>
  <c r="AO139" s="1"/>
  <c r="R16" i="16" s="1"/>
  <c r="AJ133" i="13"/>
  <c r="M10" i="16" s="1"/>
  <c r="AK133" i="13"/>
  <c r="N10" i="16" s="1"/>
  <c r="AL133" i="13"/>
  <c r="O10" i="16" s="1"/>
  <c r="AM133" i="13"/>
  <c r="P10" i="16" s="1"/>
  <c r="AN133" i="13"/>
  <c r="Q10" i="16" s="1"/>
  <c r="AI132" i="13"/>
  <c r="AI139" s="1"/>
  <c r="L16" i="16" s="1"/>
  <c r="AI133" i="13"/>
  <c r="L10" i="16" s="1"/>
  <c r="AI134" i="13"/>
  <c r="L11" i="16" s="1"/>
  <c r="Z132" i="13"/>
  <c r="Z139" s="1"/>
  <c r="C16" i="16" s="1"/>
  <c r="AA132" i="13"/>
  <c r="AA139" s="1"/>
  <c r="D16" i="16" s="1"/>
  <c r="AB132" i="13"/>
  <c r="AB139" s="1"/>
  <c r="E16" i="16" s="1"/>
  <c r="AC132" i="13"/>
  <c r="AC139" s="1"/>
  <c r="F16" i="16" s="1"/>
  <c r="AD132" i="13"/>
  <c r="AD139" s="1"/>
  <c r="G16" i="16" s="1"/>
  <c r="AE132" i="13"/>
  <c r="AE139" s="1"/>
  <c r="H16" i="16" s="1"/>
  <c r="Z133" i="13"/>
  <c r="C10" i="16" s="1"/>
  <c r="AA133" i="13"/>
  <c r="D10" i="16" s="1"/>
  <c r="AB133" i="13"/>
  <c r="E10" i="16" s="1"/>
  <c r="AC133" i="13"/>
  <c r="F10" i="16" s="1"/>
  <c r="AD133" i="13"/>
  <c r="G10" i="16" s="1"/>
  <c r="Y138" i="13"/>
  <c r="B15" i="16" s="1"/>
  <c r="Y137" i="13"/>
  <c r="B14" i="16" s="1"/>
  <c r="AI131" i="13"/>
  <c r="AI138" s="1"/>
  <c r="L15" i="16" s="1"/>
  <c r="AI130" i="13"/>
  <c r="AI137" s="1"/>
  <c r="L14" i="16" s="1"/>
  <c r="AO134" i="13"/>
  <c r="R11" i="16" s="1"/>
  <c r="AN134" i="13"/>
  <c r="Q11" i="16" s="1"/>
  <c r="AM134" i="13"/>
  <c r="P11" i="16" s="1"/>
  <c r="AL134" i="13"/>
  <c r="O11" i="16" s="1"/>
  <c r="AK134" i="13"/>
  <c r="N11" i="16" s="1"/>
  <c r="AJ134" i="13"/>
  <c r="M11" i="16" s="1"/>
  <c r="AA134" i="13"/>
  <c r="D11" i="16" s="1"/>
  <c r="AB134" i="13"/>
  <c r="E11" i="16" s="1"/>
  <c r="AC134" i="13"/>
  <c r="F11" i="16" s="1"/>
  <c r="AD134" i="13"/>
  <c r="G11" i="16" s="1"/>
  <c r="AE134" i="13"/>
  <c r="H11" i="16" s="1"/>
  <c r="Z134" i="13"/>
  <c r="C11" i="16" s="1"/>
  <c r="AO121" i="13"/>
  <c r="AN121"/>
  <c r="AM121"/>
  <c r="AL121"/>
  <c r="AK121"/>
  <c r="AJ121"/>
  <c r="AO120"/>
  <c r="AN120"/>
  <c r="AM120"/>
  <c r="AL120"/>
  <c r="AK120"/>
  <c r="AJ120"/>
  <c r="AO119"/>
  <c r="AN119"/>
  <c r="AM119"/>
  <c r="AL119"/>
  <c r="AK119"/>
  <c r="AJ119"/>
  <c r="AO118"/>
  <c r="AN118"/>
  <c r="AM118"/>
  <c r="AL118"/>
  <c r="AK118"/>
  <c r="AJ118"/>
  <c r="AO117"/>
  <c r="AN117"/>
  <c r="AM117"/>
  <c r="AL117"/>
  <c r="AK117"/>
  <c r="AJ117"/>
  <c r="AO116"/>
  <c r="AN116"/>
  <c r="AM116"/>
  <c r="AL116"/>
  <c r="AK116"/>
  <c r="AJ116"/>
  <c r="AO115"/>
  <c r="AN115"/>
  <c r="AM115"/>
  <c r="AL115"/>
  <c r="AK115"/>
  <c r="AJ115"/>
  <c r="AO75"/>
  <c r="AN75"/>
  <c r="AM75"/>
  <c r="AL75"/>
  <c r="AK75"/>
  <c r="AJ75"/>
  <c r="M115"/>
  <c r="M121"/>
  <c r="M120"/>
  <c r="M119"/>
  <c r="M118"/>
  <c r="M117"/>
  <c r="O117" s="1"/>
  <c r="M116"/>
  <c r="M75"/>
  <c r="M80" s="1"/>
  <c r="F75"/>
  <c r="AE75" s="1"/>
  <c r="F115"/>
  <c r="AE115" s="1"/>
  <c r="F119"/>
  <c r="AE119" s="1"/>
  <c r="F116"/>
  <c r="AE116" s="1"/>
  <c r="AE117"/>
  <c r="F118"/>
  <c r="AE118" s="1"/>
  <c r="F120"/>
  <c r="AE120" s="1"/>
  <c r="F121"/>
  <c r="AE121" s="1"/>
  <c r="AC122" l="1"/>
  <c r="O121"/>
  <c r="AC112"/>
  <c r="Z122"/>
  <c r="AA112"/>
  <c r="AD51"/>
  <c r="AB122"/>
  <c r="AD122"/>
  <c r="O119"/>
  <c r="AF112"/>
  <c r="AJ112"/>
  <c r="AL112"/>
  <c r="AN112"/>
  <c r="AJ51"/>
  <c r="AL51"/>
  <c r="AN51"/>
  <c r="M113"/>
  <c r="AK112"/>
  <c r="AM112"/>
  <c r="AK51"/>
  <c r="AM51"/>
  <c r="AC51"/>
  <c r="AB51"/>
  <c r="AP51"/>
  <c r="O120"/>
  <c r="AN13"/>
  <c r="AL13"/>
  <c r="Z112"/>
  <c r="AB112"/>
  <c r="AD112"/>
  <c r="AA51"/>
  <c r="O20"/>
  <c r="AL149"/>
  <c r="AM148"/>
  <c r="AN147"/>
  <c r="AO146"/>
  <c r="AK146"/>
  <c r="AL145"/>
  <c r="O22" i="16" s="1"/>
  <c r="AM160" i="13"/>
  <c r="AL162"/>
  <c r="AK163"/>
  <c r="AO163"/>
  <c r="AN164"/>
  <c r="AJ162"/>
  <c r="AJ147"/>
  <c r="AN149"/>
  <c r="AO148"/>
  <c r="AK148"/>
  <c r="AL147"/>
  <c r="AM146"/>
  <c r="AN145"/>
  <c r="Q22" i="16" s="1"/>
  <c r="AK160" i="13"/>
  <c r="AO160"/>
  <c r="AN162"/>
  <c r="AM163"/>
  <c r="AL164"/>
  <c r="AJ164"/>
  <c r="AJ149"/>
  <c r="AJ146"/>
  <c r="AJ148"/>
  <c r="AJ163"/>
  <c r="AM164"/>
  <c r="AN163"/>
  <c r="AO162"/>
  <c r="AK162"/>
  <c r="AL160"/>
  <c r="AM145"/>
  <c r="AM152" s="1"/>
  <c r="P29" i="16" s="1"/>
  <c r="AL146" i="13"/>
  <c r="AK147"/>
  <c r="AO147"/>
  <c r="AN148"/>
  <c r="AM149"/>
  <c r="AB160"/>
  <c r="AD160"/>
  <c r="AA162"/>
  <c r="AC162"/>
  <c r="AE162"/>
  <c r="AB163"/>
  <c r="AD163"/>
  <c r="AA164"/>
  <c r="AC164"/>
  <c r="AE164"/>
  <c r="Z163"/>
  <c r="Z160"/>
  <c r="AB145"/>
  <c r="AD145"/>
  <c r="AA146"/>
  <c r="AC146"/>
  <c r="AE146"/>
  <c r="AB147"/>
  <c r="AD147"/>
  <c r="AA148"/>
  <c r="AC148"/>
  <c r="AE148"/>
  <c r="AB149"/>
  <c r="AD149"/>
  <c r="Z149"/>
  <c r="Z147"/>
  <c r="Z145"/>
  <c r="AO149"/>
  <c r="AJ145"/>
  <c r="M22" i="16" s="1"/>
  <c r="AJ160" i="13"/>
  <c r="AO164"/>
  <c r="AK164"/>
  <c r="AL163"/>
  <c r="AM162"/>
  <c r="AN160"/>
  <c r="AK145"/>
  <c r="N22" i="16" s="1"/>
  <c r="AO145" i="13"/>
  <c r="AN146"/>
  <c r="AM147"/>
  <c r="AL148"/>
  <c r="AK149"/>
  <c r="AA160"/>
  <c r="AC160"/>
  <c r="AE160"/>
  <c r="AB162"/>
  <c r="AD162"/>
  <c r="AA163"/>
  <c r="AC163"/>
  <c r="AE163"/>
  <c r="AB164"/>
  <c r="AD164"/>
  <c r="Z164"/>
  <c r="Z162"/>
  <c r="AA145"/>
  <c r="AC145"/>
  <c r="AE145"/>
  <c r="AB146"/>
  <c r="AD146"/>
  <c r="AA147"/>
  <c r="AC147"/>
  <c r="AE147"/>
  <c r="AB148"/>
  <c r="AD148"/>
  <c r="AA149"/>
  <c r="AC149"/>
  <c r="AE149"/>
  <c r="Z148"/>
  <c r="Z146"/>
  <c r="AA96"/>
  <c r="AC96"/>
  <c r="Z51"/>
  <c r="AA161"/>
  <c r="AC161"/>
  <c r="AM161"/>
  <c r="AB161"/>
  <c r="AJ161"/>
  <c r="AN161"/>
  <c r="O116"/>
  <c r="O118"/>
  <c r="O115"/>
  <c r="AN96"/>
  <c r="Z96"/>
  <c r="AB96"/>
  <c r="AD96"/>
  <c r="AK161"/>
  <c r="AD161"/>
  <c r="AL161"/>
  <c r="Z161"/>
  <c r="AJ13"/>
  <c r="Z13"/>
  <c r="AM13"/>
  <c r="AK13"/>
  <c r="M13"/>
  <c r="M62"/>
  <c r="M65"/>
  <c r="M67"/>
  <c r="M51"/>
  <c r="O75"/>
  <c r="M122"/>
  <c r="AO77"/>
  <c r="AF13"/>
  <c r="O8"/>
  <c r="AO5"/>
  <c r="AO7"/>
  <c r="AO8"/>
  <c r="AO9"/>
  <c r="AO95"/>
  <c r="O77"/>
  <c r="R9" i="16"/>
  <c r="Q9"/>
  <c r="P9"/>
  <c r="O9"/>
  <c r="N9"/>
  <c r="M9"/>
  <c r="L9"/>
  <c r="H9"/>
  <c r="G9"/>
  <c r="F9"/>
  <c r="E9"/>
  <c r="D9"/>
  <c r="C9"/>
  <c r="L8"/>
  <c r="L7"/>
  <c r="AD13" i="13"/>
  <c r="AC13"/>
  <c r="AB13"/>
  <c r="AA13"/>
  <c r="AD131"/>
  <c r="AE94"/>
  <c r="AF96" s="1"/>
  <c r="AE48"/>
  <c r="AE49"/>
  <c r="AB131"/>
  <c r="E8" i="16" s="1"/>
  <c r="Z130" i="13"/>
  <c r="Z131"/>
  <c r="C8" i="16" s="1"/>
  <c r="AC131" i="13"/>
  <c r="O106"/>
  <c r="M112"/>
  <c r="O48"/>
  <c r="O49"/>
  <c r="O11"/>
  <c r="O107"/>
  <c r="AO107"/>
  <c r="O108"/>
  <c r="O68"/>
  <c r="O66"/>
  <c r="AO66"/>
  <c r="AO63"/>
  <c r="AO64"/>
  <c r="O63"/>
  <c r="O64"/>
  <c r="O58"/>
  <c r="O61"/>
  <c r="O56"/>
  <c r="O95"/>
  <c r="AO133"/>
  <c r="R10" i="16" s="1"/>
  <c r="O94" i="13"/>
  <c r="AJ94"/>
  <c r="AJ96" s="1"/>
  <c r="AK94"/>
  <c r="AK96" s="1"/>
  <c r="AL94"/>
  <c r="AL96" s="1"/>
  <c r="AM94"/>
  <c r="AM96" s="1"/>
  <c r="O79"/>
  <c r="AO79"/>
  <c r="O12"/>
  <c r="AD130"/>
  <c r="AC130"/>
  <c r="AB130"/>
  <c r="AA130"/>
  <c r="O5"/>
  <c r="O7"/>
  <c r="O9"/>
  <c r="X123"/>
  <c r="AK130"/>
  <c r="AL130"/>
  <c r="AM130"/>
  <c r="AN130"/>
  <c r="AJ130"/>
  <c r="AF139"/>
  <c r="I16" i="16" s="1"/>
  <c r="AP139" i="13"/>
  <c r="S16" i="16" s="1"/>
  <c r="AJ122" i="13"/>
  <c r="AK122"/>
  <c r="AM122"/>
  <c r="AN122"/>
  <c r="AP122"/>
  <c r="AF122"/>
  <c r="AA122"/>
  <c r="AP96" l="1"/>
  <c r="AF51"/>
  <c r="AG51" s="1"/>
  <c r="P22" i="16"/>
  <c r="AI51" i="13"/>
  <c r="AO131"/>
  <c r="R8" i="16" s="1"/>
  <c r="AO161" i="13"/>
  <c r="AG13"/>
  <c r="H26" i="16"/>
  <c r="AP112" i="13"/>
  <c r="AE161"/>
  <c r="AK152"/>
  <c r="N29" i="16" s="1"/>
  <c r="AL152" i="13"/>
  <c r="O29" i="16" s="1"/>
  <c r="AJ152" i="13"/>
  <c r="M29" i="16" s="1"/>
  <c r="AN152" i="13"/>
  <c r="Q29" i="16" s="1"/>
  <c r="AO130" i="13"/>
  <c r="AO137" s="1"/>
  <c r="R14" i="16" s="1"/>
  <c r="AP13" i="13"/>
  <c r="AI13" s="1"/>
  <c r="O62"/>
  <c r="Z123"/>
  <c r="O65"/>
  <c r="AE130"/>
  <c r="AE137" s="1"/>
  <c r="H14" i="16" s="1"/>
  <c r="M96" i="13"/>
  <c r="AD123"/>
  <c r="R23" i="16"/>
  <c r="AC168" i="13"/>
  <c r="F45" i="16" s="1"/>
  <c r="AB168" i="13"/>
  <c r="E45" i="16" s="1"/>
  <c r="AA168" i="13"/>
  <c r="D45" i="16" s="1"/>
  <c r="Z168" i="13"/>
  <c r="AJ137"/>
  <c r="M7" i="16"/>
  <c r="AN137" i="13"/>
  <c r="Q14" i="16" s="1"/>
  <c r="Q7"/>
  <c r="AM137" i="13"/>
  <c r="P14" i="16" s="1"/>
  <c r="P7"/>
  <c r="AL137" i="13"/>
  <c r="O14" i="16" s="1"/>
  <c r="O7"/>
  <c r="AK137" i="13"/>
  <c r="N14" i="16" s="1"/>
  <c r="N7"/>
  <c r="AA137" i="13"/>
  <c r="D14" i="16" s="1"/>
  <c r="D7"/>
  <c r="AB137" i="13"/>
  <c r="E14" i="16" s="1"/>
  <c r="E7"/>
  <c r="AC137" i="13"/>
  <c r="F14" i="16" s="1"/>
  <c r="F7"/>
  <c r="AD137" i="13"/>
  <c r="G14" i="16" s="1"/>
  <c r="G7"/>
  <c r="AC138" i="13"/>
  <c r="F15" i="16" s="1"/>
  <c r="F8"/>
  <c r="Z137" i="13"/>
  <c r="C7" i="16"/>
  <c r="AD138" i="13"/>
  <c r="G15" i="16" s="1"/>
  <c r="G8"/>
  <c r="AC123" i="13"/>
  <c r="Q41" i="16"/>
  <c r="P41"/>
  <c r="O41"/>
  <c r="N41"/>
  <c r="M41"/>
  <c r="R40"/>
  <c r="Q40"/>
  <c r="P40"/>
  <c r="O40"/>
  <c r="N40"/>
  <c r="M40"/>
  <c r="H41"/>
  <c r="G41"/>
  <c r="F41"/>
  <c r="E41"/>
  <c r="D41"/>
  <c r="C41"/>
  <c r="H40"/>
  <c r="G40"/>
  <c r="F40"/>
  <c r="E40"/>
  <c r="D40"/>
  <c r="C40"/>
  <c r="R26"/>
  <c r="Q26"/>
  <c r="P26"/>
  <c r="O26"/>
  <c r="N26"/>
  <c r="M26"/>
  <c r="R25"/>
  <c r="Q25"/>
  <c r="P25"/>
  <c r="O25"/>
  <c r="N25"/>
  <c r="M25"/>
  <c r="N24"/>
  <c r="M24"/>
  <c r="R41"/>
  <c r="Z153" i="13"/>
  <c r="C23" i="16"/>
  <c r="AA153" i="13"/>
  <c r="D30" i="16" s="1"/>
  <c r="D23"/>
  <c r="AB153" i="13"/>
  <c r="E30" i="16" s="1"/>
  <c r="E23"/>
  <c r="AC153" i="13"/>
  <c r="F30" i="16" s="1"/>
  <c r="F23"/>
  <c r="AD153" i="13"/>
  <c r="G30" i="16" s="1"/>
  <c r="G23"/>
  <c r="AE153" i="13"/>
  <c r="H30" i="16" s="1"/>
  <c r="H23"/>
  <c r="AA152" i="13"/>
  <c r="D29" i="16" s="1"/>
  <c r="D22"/>
  <c r="AB152" i="13"/>
  <c r="E29" i="16" s="1"/>
  <c r="E22"/>
  <c r="AC152" i="13"/>
  <c r="F29" i="16" s="1"/>
  <c r="F22"/>
  <c r="AD152" i="13"/>
  <c r="G29" i="16" s="1"/>
  <c r="G22"/>
  <c r="AE152" i="13"/>
  <c r="H29" i="16" s="1"/>
  <c r="H22"/>
  <c r="Z152" i="13"/>
  <c r="C29" i="16" s="1"/>
  <c r="C22"/>
  <c r="AK154" i="13"/>
  <c r="N31" i="16" s="1"/>
  <c r="AJ154" i="13"/>
  <c r="C25" i="16"/>
  <c r="D25"/>
  <c r="E25"/>
  <c r="F25"/>
  <c r="G25"/>
  <c r="H25"/>
  <c r="C26"/>
  <c r="D26"/>
  <c r="E26"/>
  <c r="F26"/>
  <c r="G26"/>
  <c r="AA123" i="13"/>
  <c r="AG122"/>
  <c r="O67"/>
  <c r="AM131"/>
  <c r="AN131"/>
  <c r="AL131"/>
  <c r="AK131"/>
  <c r="AJ131"/>
  <c r="AB138"/>
  <c r="E15" i="16" s="1"/>
  <c r="AA131" i="13"/>
  <c r="Z138"/>
  <c r="C15" i="16" s="1"/>
  <c r="AL122" i="13"/>
  <c r="AP123" l="1"/>
  <c r="AO138"/>
  <c r="R15" i="16" s="1"/>
  <c r="R7"/>
  <c r="H7"/>
  <c r="AO153" i="13"/>
  <c r="R30" i="16" s="1"/>
  <c r="F38"/>
  <c r="D38"/>
  <c r="AF152" i="13"/>
  <c r="I29" i="16" s="1"/>
  <c r="E38"/>
  <c r="C38"/>
  <c r="AN123" i="13"/>
  <c r="AG112"/>
  <c r="AJ123"/>
  <c r="AK123"/>
  <c r="AM123"/>
  <c r="AL123"/>
  <c r="AB123"/>
  <c r="M23" i="16"/>
  <c r="AJ153" i="13"/>
  <c r="N23" i="16"/>
  <c r="AK153" i="13"/>
  <c r="N30" i="16" s="1"/>
  <c r="O23"/>
  <c r="AL153" i="13"/>
  <c r="O30" i="16" s="1"/>
  <c r="AA138" i="13"/>
  <c r="D15" i="16" s="1"/>
  <c r="D8"/>
  <c r="AJ138" i="13"/>
  <c r="M15" i="16" s="1"/>
  <c r="M8"/>
  <c r="AK138" i="13"/>
  <c r="N15" i="16" s="1"/>
  <c r="N8"/>
  <c r="AL138" i="13"/>
  <c r="O15" i="16" s="1"/>
  <c r="O8"/>
  <c r="AN138" i="13"/>
  <c r="Q15" i="16" s="1"/>
  <c r="Q8"/>
  <c r="AM138" i="13"/>
  <c r="P15" i="16" s="1"/>
  <c r="P8"/>
  <c r="R22"/>
  <c r="AO152" i="13"/>
  <c r="O24" i="16"/>
  <c r="AL154" i="13"/>
  <c r="O31" i="16" s="1"/>
  <c r="P24"/>
  <c r="AM154" i="13"/>
  <c r="P31" i="16" s="1"/>
  <c r="Q24"/>
  <c r="AN154" i="13"/>
  <c r="Q31" i="16" s="1"/>
  <c r="R24"/>
  <c r="AO154" i="13"/>
  <c r="R31" i="16" s="1"/>
  <c r="AA167" i="13"/>
  <c r="D44" i="16" s="1"/>
  <c r="D37"/>
  <c r="AB167" i="13"/>
  <c r="E44" i="16" s="1"/>
  <c r="E37"/>
  <c r="AC167" i="13"/>
  <c r="F44" i="16" s="1"/>
  <c r="F37"/>
  <c r="AD167" i="13"/>
  <c r="G44" i="16" s="1"/>
  <c r="G37"/>
  <c r="AE167" i="13"/>
  <c r="H44" i="16" s="1"/>
  <c r="H37"/>
  <c r="AD168" i="13"/>
  <c r="G45" i="16" s="1"/>
  <c r="G38"/>
  <c r="AE168" i="13"/>
  <c r="H45" i="16" s="1"/>
  <c r="H38"/>
  <c r="Z169" i="13"/>
  <c r="C39" i="16"/>
  <c r="AA169" i="13"/>
  <c r="D46" i="16" s="1"/>
  <c r="D39"/>
  <c r="AB169" i="13"/>
  <c r="E46" i="16" s="1"/>
  <c r="E39"/>
  <c r="AC169" i="13"/>
  <c r="F46" i="16" s="1"/>
  <c r="F39"/>
  <c r="AD169" i="13"/>
  <c r="G46" i="16" s="1"/>
  <c r="G39"/>
  <c r="AE169" i="13"/>
  <c r="H46" i="16" s="1"/>
  <c r="H39"/>
  <c r="C37"/>
  <c r="Z167" i="13"/>
  <c r="AJ167"/>
  <c r="M37" i="16"/>
  <c r="AK167" i="13"/>
  <c r="N44" i="16" s="1"/>
  <c r="N37"/>
  <c r="AL167" i="13"/>
  <c r="O44" i="16" s="1"/>
  <c r="O37"/>
  <c r="AM167" i="13"/>
  <c r="P44" i="16" s="1"/>
  <c r="P37"/>
  <c r="AN167" i="13"/>
  <c r="Q44" i="16" s="1"/>
  <c r="Q37"/>
  <c r="AO167" i="13"/>
  <c r="R44" i="16" s="1"/>
  <c r="R37"/>
  <c r="AJ168" i="13"/>
  <c r="M38" i="16"/>
  <c r="AK168" i="13"/>
  <c r="N45" i="16" s="1"/>
  <c r="N38"/>
  <c r="AL168" i="13"/>
  <c r="O45" i="16" s="1"/>
  <c r="O38"/>
  <c r="AM168" i="13"/>
  <c r="P45" i="16" s="1"/>
  <c r="P38"/>
  <c r="AN168" i="13"/>
  <c r="Q45" i="16" s="1"/>
  <c r="Q38"/>
  <c r="AO168" i="13"/>
  <c r="R45" i="16" s="1"/>
  <c r="R38"/>
  <c r="AJ169" i="13"/>
  <c r="M39" i="16"/>
  <c r="AK169" i="13"/>
  <c r="N46" i="16" s="1"/>
  <c r="N39"/>
  <c r="AL169" i="13"/>
  <c r="O46" i="16" s="1"/>
  <c r="O39"/>
  <c r="AM169" i="13"/>
  <c r="P46" i="16" s="1"/>
  <c r="P39"/>
  <c r="AN169" i="13"/>
  <c r="Q46" i="16" s="1"/>
  <c r="Q39"/>
  <c r="AO169" i="13"/>
  <c r="R46" i="16" s="1"/>
  <c r="R39"/>
  <c r="C14"/>
  <c r="AF137" i="13"/>
  <c r="I14" i="16" s="1"/>
  <c r="M14"/>
  <c r="AP137" i="13"/>
  <c r="S14" i="16" s="1"/>
  <c r="C45"/>
  <c r="AE154" i="13"/>
  <c r="H31" i="16" s="1"/>
  <c r="H24"/>
  <c r="AD154" i="13"/>
  <c r="G31" i="16" s="1"/>
  <c r="G24"/>
  <c r="AC154" i="13"/>
  <c r="F31" i="16" s="1"/>
  <c r="F24"/>
  <c r="AB154" i="13"/>
  <c r="E31" i="16" s="1"/>
  <c r="E24"/>
  <c r="AA154" i="13"/>
  <c r="D31" i="16" s="1"/>
  <c r="D24"/>
  <c r="Z154" i="13"/>
  <c r="C31" i="16" s="1"/>
  <c r="C24"/>
  <c r="M31"/>
  <c r="C30"/>
  <c r="AF153" i="13"/>
  <c r="I30" i="16" s="1"/>
  <c r="AI122" i="13"/>
  <c r="AG96"/>
  <c r="AI96"/>
  <c r="AE131"/>
  <c r="AF123"/>
  <c r="AF168" l="1"/>
  <c r="I45" i="16" s="1"/>
  <c r="AP138" i="13"/>
  <c r="AP140" s="1"/>
  <c r="AP154"/>
  <c r="S31" i="16" s="1"/>
  <c r="AF154" i="13"/>
  <c r="AF155" s="1"/>
  <c r="AF126"/>
  <c r="AI112"/>
  <c r="AE138"/>
  <c r="H8" i="16"/>
  <c r="Q23"/>
  <c r="AN153" i="13"/>
  <c r="Q30" i="16" s="1"/>
  <c r="P23"/>
  <c r="AM153" i="13"/>
  <c r="P30" i="16" s="1"/>
  <c r="AP169" i="13"/>
  <c r="S46" i="16" s="1"/>
  <c r="M46"/>
  <c r="AP168" i="13"/>
  <c r="S45" i="16" s="1"/>
  <c r="M45"/>
  <c r="AP167" i="13"/>
  <c r="M44" i="16"/>
  <c r="AF167" i="13"/>
  <c r="C44" i="16"/>
  <c r="AF169" i="13"/>
  <c r="I46" i="16" s="1"/>
  <c r="C46"/>
  <c r="R29"/>
  <c r="AP152" i="13"/>
  <c r="M30" i="16"/>
  <c r="AP153" i="13" l="1"/>
  <c r="S30" i="16" s="1"/>
  <c r="I31"/>
  <c r="S15"/>
  <c r="S29"/>
  <c r="AF170" i="13"/>
  <c r="I47" i="16" s="1"/>
  <c r="I44"/>
  <c r="AP170" i="13"/>
  <c r="S44" i="16"/>
  <c r="H15"/>
  <c r="AF138" i="13"/>
  <c r="S17" i="16"/>
  <c r="I32"/>
  <c r="AP155" i="13" l="1"/>
  <c r="AP172" s="1"/>
  <c r="AF172"/>
  <c r="I15" i="16"/>
  <c r="AF140" i="13"/>
  <c r="AG126" s="1"/>
  <c r="S47" i="16"/>
  <c r="AP171" i="13"/>
  <c r="S48" i="16" s="1"/>
  <c r="S32" l="1"/>
  <c r="AP156" i="13"/>
  <c r="S33" i="16" s="1"/>
  <c r="I17"/>
  <c r="AP141" i="13"/>
  <c r="S18" i="16" s="1"/>
</calcChain>
</file>

<file path=xl/sharedStrings.xml><?xml version="1.0" encoding="utf-8"?>
<sst xmlns="http://schemas.openxmlformats.org/spreadsheetml/2006/main" count="1039" uniqueCount="290">
  <si>
    <t>Item</t>
  </si>
  <si>
    <t>Material Amt</t>
  </si>
  <si>
    <t>Units</t>
  </si>
  <si>
    <t>Material Cost</t>
  </si>
  <si>
    <t>Material Cost/Unit</t>
  </si>
  <si>
    <t xml:space="preserve"> </t>
  </si>
  <si>
    <t>Material</t>
  </si>
  <si>
    <t>Aluminum</t>
  </si>
  <si>
    <t>hours</t>
  </si>
  <si>
    <t>N/A</t>
  </si>
  <si>
    <t>MT Time</t>
  </si>
  <si>
    <t>Shop Time</t>
  </si>
  <si>
    <t>Materials Totals</t>
  </si>
  <si>
    <t>ea.</t>
  </si>
  <si>
    <t>Shop Labor</t>
  </si>
  <si>
    <t>Tech Labor</t>
  </si>
  <si>
    <t>M&amp;S Cost</t>
  </si>
  <si>
    <t xml:space="preserve">     -Handles</t>
  </si>
  <si>
    <t xml:space="preserve">     -Box Sides</t>
  </si>
  <si>
    <t xml:space="preserve">     -Fork Truck Skids</t>
  </si>
  <si>
    <t xml:space="preserve">     -Packing</t>
  </si>
  <si>
    <t xml:space="preserve">     -Shipping Cost</t>
  </si>
  <si>
    <t>Galvanized</t>
  </si>
  <si>
    <t>1" Clear Plywood</t>
  </si>
  <si>
    <t>sheets</t>
  </si>
  <si>
    <t>Fir 4X4</t>
  </si>
  <si>
    <t>bd/ft</t>
  </si>
  <si>
    <t>Foam</t>
  </si>
  <si>
    <t>m^3</t>
  </si>
  <si>
    <t>Eng Time</t>
  </si>
  <si>
    <t>Des Time</t>
  </si>
  <si>
    <t>Engineering</t>
  </si>
  <si>
    <t>Design</t>
  </si>
  <si>
    <t>Unit</t>
  </si>
  <si>
    <t>Labor</t>
  </si>
  <si>
    <t>UC Number</t>
  </si>
  <si>
    <t>Estimate</t>
  </si>
  <si>
    <t>Est Remaining</t>
  </si>
  <si>
    <t>Overage</t>
  </si>
  <si>
    <t>CMM</t>
  </si>
  <si>
    <t>Each</t>
  </si>
  <si>
    <t>lb</t>
  </si>
  <si>
    <t># (line-item-zeroing)</t>
  </si>
  <si>
    <t>Base or Contingency</t>
  </si>
  <si>
    <t>Shop</t>
  </si>
  <si>
    <t>M_Tech</t>
  </si>
  <si>
    <t>Engineer</t>
  </si>
  <si>
    <t>Designer</t>
  </si>
  <si>
    <t>YEAR</t>
  </si>
  <si>
    <t>B</t>
  </si>
  <si>
    <t>C</t>
  </si>
  <si>
    <t>BASE</t>
  </si>
  <si>
    <t>CONTINGENCY</t>
  </si>
  <si>
    <t>Year</t>
  </si>
  <si>
    <t>Shop Cost</t>
  </si>
  <si>
    <t>MT Cost</t>
  </si>
  <si>
    <t>Totals</t>
  </si>
  <si>
    <t>Hytec</t>
  </si>
  <si>
    <t>LANL</t>
  </si>
  <si>
    <t>LBNL Cost</t>
  </si>
  <si>
    <t>Material Batches</t>
  </si>
  <si>
    <t>Acceptance</t>
  </si>
  <si>
    <t>Bleed Studies</t>
  </si>
  <si>
    <t>Test</t>
  </si>
  <si>
    <t>Order</t>
  </si>
  <si>
    <t>Bagging</t>
  </si>
  <si>
    <t>m^2</t>
  </si>
  <si>
    <t>Material Batches Subtotal</t>
  </si>
  <si>
    <t>Expendables</t>
  </si>
  <si>
    <t>Plate Lamination</t>
  </si>
  <si>
    <t>Batch</t>
  </si>
  <si>
    <t>Cutter</t>
  </si>
  <si>
    <t>Labor Cost Total (includes contingency)</t>
  </si>
  <si>
    <t>Shipping</t>
  </si>
  <si>
    <t>Materials Sub Totals</t>
  </si>
  <si>
    <t>Tooling</t>
  </si>
  <si>
    <t>Base Labor</t>
  </si>
  <si>
    <t>Sum</t>
  </si>
  <si>
    <t xml:space="preserve">     -Packing Foam (waterjet parts)</t>
  </si>
  <si>
    <t xml:space="preserve">     -Box Fab--Carpenters not MT, but cost scaled</t>
  </si>
  <si>
    <t>Shipping Subtotal</t>
  </si>
  <si>
    <t>Hysol 9320</t>
  </si>
  <si>
    <t>Base</t>
  </si>
  <si>
    <t>Contingency</t>
  </si>
  <si>
    <t>External Work Excluded…</t>
  </si>
  <si>
    <t>Cost With Contingency</t>
  </si>
  <si>
    <t>Base Cost</t>
  </si>
  <si>
    <t>Underage(-)</t>
  </si>
  <si>
    <t>Spent To Date</t>
  </si>
  <si>
    <t>Protot or Production</t>
  </si>
  <si>
    <t>PD</t>
  </si>
  <si>
    <t>Sum Logic Code</t>
  </si>
  <si>
    <t>TRACKING</t>
  </si>
  <si>
    <t>BPD</t>
  </si>
  <si>
    <t>BPT</t>
  </si>
  <si>
    <t>CPT</t>
  </si>
  <si>
    <t>CPD</t>
  </si>
  <si>
    <t>checksum</t>
  </si>
  <si>
    <t>Production Base Cost</t>
  </si>
  <si>
    <t>Production Contingency Cost</t>
  </si>
  <si>
    <t>Percent</t>
  </si>
  <si>
    <t>LBNL Contingency</t>
  </si>
  <si>
    <t>Pre-Production Base Cost</t>
  </si>
  <si>
    <t>Pre-Production Contingency Cost</t>
  </si>
  <si>
    <t>Parylene Coating (100% Production)</t>
  </si>
  <si>
    <t>Shipping (100% Production)</t>
  </si>
  <si>
    <t>Cloth CN60</t>
  </si>
  <si>
    <t>CN60</t>
  </si>
  <si>
    <t>Materials and Labor</t>
  </si>
  <si>
    <t>Waterjet</t>
  </si>
  <si>
    <t>Plate (for all parts + spares)</t>
  </si>
  <si>
    <t>Trim to Size (cuts all face sheets, both styles)</t>
  </si>
  <si>
    <t>Core</t>
  </si>
  <si>
    <t>Carbon Foam Core</t>
  </si>
  <si>
    <t>Allcomp Densified</t>
  </si>
  <si>
    <t>bdft</t>
  </si>
  <si>
    <t>Rough thickness core</t>
  </si>
  <si>
    <t>Trim to shape (all styles)</t>
  </si>
  <si>
    <t>Inserts</t>
  </si>
  <si>
    <t>Stave Mounts</t>
  </si>
  <si>
    <t>CF PEEK</t>
  </si>
  <si>
    <t>Barrel Shell Components</t>
  </si>
  <si>
    <t>Pixel Support Sub Total</t>
  </si>
  <si>
    <t>Interface Parts</t>
  </si>
  <si>
    <t>Base Plate</t>
  </si>
  <si>
    <t>Stave Mount Tooling (Layer 2)</t>
  </si>
  <si>
    <t>Insert Location Plate (Layer 2)</t>
  </si>
  <si>
    <t>Caul Plate (Layer 2)</t>
  </si>
  <si>
    <t>Base Plate (Layer 2)</t>
  </si>
  <si>
    <t>Assembly</t>
  </si>
  <si>
    <t>Inserts (contingency)</t>
  </si>
  <si>
    <t>Stave Mounts (Contingency)</t>
  </si>
  <si>
    <t>Barrel Shell Assembly</t>
  </si>
  <si>
    <t>Half Shell</t>
  </si>
  <si>
    <t>Welded Tube Assembly</t>
  </si>
  <si>
    <t>Steel</t>
  </si>
  <si>
    <t>Nickel Plate</t>
  </si>
  <si>
    <t>Contract</t>
  </si>
  <si>
    <t>Trim Fixture</t>
  </si>
  <si>
    <t>Lamination Tool</t>
  </si>
  <si>
    <t>Machining Tool</t>
  </si>
  <si>
    <t>Support Beam Tooling</t>
  </si>
  <si>
    <t>Top Skin Tool</t>
  </si>
  <si>
    <t>Part Tooling</t>
  </si>
  <si>
    <t>Half Shell Production</t>
  </si>
  <si>
    <t>Part Trim (Contingency)</t>
  </si>
  <si>
    <t>Re-Machine (contingency)</t>
  </si>
  <si>
    <t>Nickel Plate (contingency)</t>
  </si>
  <si>
    <t>Tool Material CTE Study</t>
  </si>
  <si>
    <t>Ply Trim and Kit</t>
  </si>
  <si>
    <t>Part Lamination</t>
  </si>
  <si>
    <t>Part Lamination (contingency)</t>
  </si>
  <si>
    <t>Support Beam Production</t>
  </si>
  <si>
    <t>Part Subtotal</t>
  </si>
  <si>
    <t>Top Laminate</t>
  </si>
  <si>
    <t>Top Laminate (contingency)</t>
  </si>
  <si>
    <t>Machined Assembly</t>
  </si>
  <si>
    <t>Machined Assembly (contingency)</t>
  </si>
  <si>
    <t>Assembly Tooling</t>
  </si>
  <si>
    <t>Arch Supports</t>
  </si>
  <si>
    <t>Process/Shipping Container</t>
  </si>
  <si>
    <t>Tool Assembly</t>
  </si>
  <si>
    <t>Production Assembly</t>
  </si>
  <si>
    <t>Shell Bond</t>
  </si>
  <si>
    <t>CMM Survey of Bonded Assembly</t>
  </si>
  <si>
    <t>CMM Survey of Bonded Assembly with Pixel Mounts</t>
  </si>
  <si>
    <t>Barrel Support Estimate</t>
  </si>
  <si>
    <t>Base Plate (Layer 1)</t>
  </si>
  <si>
    <t>Caul Plate (Layer 1)</t>
  </si>
  <si>
    <t>Insert Location Plate (Layer 1)</t>
  </si>
  <si>
    <t>Stave Mount Tooling (Layer 1)</t>
  </si>
  <si>
    <t>Gusset Plate Tooling</t>
  </si>
  <si>
    <t>Gusset Plate Production</t>
  </si>
  <si>
    <t>Part Machining</t>
  </si>
  <si>
    <t>Part Machining (Contingency)</t>
  </si>
  <si>
    <t>Layer 1 Structure</t>
  </si>
  <si>
    <t>Layer 1 Structure (contingency)</t>
  </si>
  <si>
    <t>Layer 1 Stave Mounts</t>
  </si>
  <si>
    <t>Layer 2 Stave Mounts</t>
  </si>
  <si>
    <t>Layer 2 Structure</t>
  </si>
  <si>
    <t>Layer 1 Stave Mounts (contingency)</t>
  </si>
  <si>
    <t>Layer 2 Stave Mounts (contingency)</t>
  </si>
  <si>
    <t>Layer 2 Structure (contingency)</t>
  </si>
  <si>
    <t>Material Estimates per component</t>
  </si>
  <si>
    <t>Values used to estimate Size/Cost of Batch Orders--Does not report to Cost Summary</t>
  </si>
  <si>
    <t>Descriptor</t>
  </si>
  <si>
    <t>Quantity</t>
  </si>
  <si>
    <t>CPT (microns)</t>
  </si>
  <si>
    <t>Density (g/cc)</t>
  </si>
  <si>
    <t>Finished Form</t>
  </si>
  <si>
    <t>% Waste</t>
  </si>
  <si>
    <t>Length (cm)</t>
  </si>
  <si>
    <t>Diameter/Width (cm)</t>
  </si>
  <si>
    <t>Thickness (cm)</t>
  </si>
  <si>
    <t>Volume (cc)</t>
  </si>
  <si>
    <t>Mass (g)</t>
  </si>
  <si>
    <t>Pre-Preg Area  (m^2)</t>
  </si>
  <si>
    <t>Cost Per Unit</t>
  </si>
  <si>
    <t>Choose Unit</t>
  </si>
  <si>
    <t>Cost</t>
  </si>
  <si>
    <t>Prototype Mass</t>
  </si>
  <si>
    <t>Prototype Area</t>
  </si>
  <si>
    <t>/cc</t>
  </si>
  <si>
    <t>Bulk</t>
  </si>
  <si>
    <t>/g</t>
  </si>
  <si>
    <t>Plate</t>
  </si>
  <si>
    <t>/m^2</t>
  </si>
  <si>
    <t>Round</t>
  </si>
  <si>
    <t>Mandrel</t>
  </si>
  <si>
    <t>Pipe</t>
  </si>
  <si>
    <t>n/a</t>
  </si>
  <si>
    <t>Shell</t>
  </si>
  <si>
    <t>Mandrel End Plates</t>
  </si>
  <si>
    <t>CN60 Cloth</t>
  </si>
  <si>
    <t>Laminate</t>
  </si>
  <si>
    <t>Shell Laminate</t>
  </si>
  <si>
    <t>Test Shell Laminate</t>
  </si>
  <si>
    <t>EA9396</t>
  </si>
  <si>
    <t>Adhesive</t>
  </si>
  <si>
    <t>Components</t>
  </si>
  <si>
    <t>CF HoneyComb</t>
  </si>
  <si>
    <t>Machine Fixturing</t>
  </si>
  <si>
    <t>6061-T6</t>
  </si>
  <si>
    <t>Survey/QA jig</t>
  </si>
  <si>
    <t>Total</t>
  </si>
  <si>
    <t>Area (m^2)</t>
  </si>
  <si>
    <t>Production</t>
  </si>
  <si>
    <t>Quarts</t>
  </si>
  <si>
    <t>Prototype Composites</t>
  </si>
  <si>
    <t>Bond Tool Arches</t>
  </si>
  <si>
    <t>Support Beam Tool</t>
  </si>
  <si>
    <t>English</t>
  </si>
  <si>
    <t>Metric</t>
  </si>
  <si>
    <t>Quoted</t>
  </si>
  <si>
    <t>lb/in^3</t>
  </si>
  <si>
    <t>g/cc</t>
  </si>
  <si>
    <t>Cost/Unit</t>
  </si>
  <si>
    <t>$/lb</t>
  </si>
  <si>
    <t>$/g</t>
  </si>
  <si>
    <t>MIC-6</t>
  </si>
  <si>
    <t>7075-T6</t>
  </si>
  <si>
    <t>Titanium</t>
  </si>
  <si>
    <t>6Al4V</t>
  </si>
  <si>
    <t>304SS</t>
  </si>
  <si>
    <t>Carbon Fiber</t>
  </si>
  <si>
    <t>M55J-UDT</t>
  </si>
  <si>
    <t>CN60-PW</t>
  </si>
  <si>
    <t>YSH80A-UDT</t>
  </si>
  <si>
    <t>$/qt</t>
  </si>
  <si>
    <t>$/cc</t>
  </si>
  <si>
    <t>EA9394</t>
  </si>
  <si>
    <t>$/bdft</t>
  </si>
  <si>
    <t>Al HoneyComb</t>
  </si>
  <si>
    <t>Nomex HC</t>
  </si>
  <si>
    <t>Bond Tool Base</t>
  </si>
  <si>
    <t>Support Beams</t>
  </si>
  <si>
    <t>Support Beam Machining Tool</t>
  </si>
  <si>
    <t>Thick Laminate</t>
  </si>
  <si>
    <t>Thick Laminate Test</t>
  </si>
  <si>
    <t>End Flange</t>
  </si>
  <si>
    <t>Mass (kg)</t>
  </si>
  <si>
    <t>Test Lamiante</t>
  </si>
  <si>
    <t>VTX Support Spaceframe</t>
  </si>
  <si>
    <t>Material Acceptance</t>
  </si>
  <si>
    <t>12" Test Panels</t>
  </si>
  <si>
    <t>Test Atticles</t>
  </si>
  <si>
    <t>PEEK</t>
  </si>
  <si>
    <t>Blocks</t>
  </si>
  <si>
    <t>Layer Support Assemblies (and dummy)</t>
  </si>
  <si>
    <t>Stave Mounts (LBNL Engineering)</t>
  </si>
  <si>
    <t>Inserts (LBNL Engineering)</t>
  </si>
  <si>
    <t>Gusset Plate</t>
  </si>
  <si>
    <t>Half Plate Laminate</t>
  </si>
  <si>
    <t>Order Contingency</t>
  </si>
  <si>
    <t>Prototype Support</t>
  </si>
  <si>
    <t>Production Support</t>
  </si>
  <si>
    <t>Production Support (Contingency)</t>
  </si>
  <si>
    <t>Shell To Layer 4 mounts</t>
  </si>
  <si>
    <t>(LBNL Engineering)</t>
  </si>
  <si>
    <t>Mounts (contingency)</t>
  </si>
  <si>
    <t>Interface Parts (Shell to Layer 4)</t>
  </si>
  <si>
    <t>Prototype Half Shell</t>
  </si>
  <si>
    <t>Production Half Shell</t>
  </si>
  <si>
    <t>Production Half Shell (Contingency)</t>
  </si>
  <si>
    <t>Part Trim (Cutouts)</t>
  </si>
  <si>
    <t>Space Frame Assembly Subtotal</t>
  </si>
  <si>
    <t>Hysol Adhesive Batch</t>
  </si>
  <si>
    <t>Mount Blocks</t>
  </si>
  <si>
    <t>Transition Ring Temp Layer 4 Support Tool</t>
  </si>
  <si>
    <t>Transition Ring Temp Support Production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</si>
</sst>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6" formatCode="&quot;$&quot;#,##0_);[Red]\(&quot;$&quot;#,##0\)"/>
    <numFmt numFmtId="164" formatCode="&quot;$&quot;#,##0"/>
    <numFmt numFmtId="165" formatCode="0.0"/>
    <numFmt numFmtId="166" formatCode="&quot;$&quot;#,##0.00"/>
    <numFmt numFmtId="167" formatCode="0.0%"/>
    <numFmt numFmtId="168" formatCode="0.000"/>
  </numFmts>
  <fonts count="19">
    <font>
      <sz val="10"/>
      <name val="Arial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2" fillId="0" borderId="0" xfId="0" applyFont="1"/>
    <xf numFmtId="0" fontId="0" fillId="0" borderId="0" xfId="0" applyBorder="1"/>
    <xf numFmtId="164" fontId="0" fillId="0" borderId="0" xfId="0" applyNumberFormat="1" applyBorder="1"/>
    <xf numFmtId="164" fontId="1" fillId="0" borderId="2" xfId="0" applyNumberFormat="1" applyFont="1" applyBorder="1"/>
    <xf numFmtId="3" fontId="1" fillId="0" borderId="2" xfId="0" applyNumberFormat="1" applyFont="1" applyBorder="1"/>
    <xf numFmtId="164" fontId="1" fillId="0" borderId="3" xfId="0" applyNumberFormat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 applyFill="1" applyBorder="1"/>
    <xf numFmtId="166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 textRotation="90"/>
    </xf>
    <xf numFmtId="0" fontId="2" fillId="0" borderId="0" xfId="0" applyFont="1" applyAlignment="1">
      <alignment textRotation="90"/>
    </xf>
    <xf numFmtId="164" fontId="6" fillId="0" borderId="7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0" xfId="0" applyFont="1" applyFill="1"/>
    <xf numFmtId="0" fontId="1" fillId="0" borderId="0" xfId="0" applyFont="1" applyFill="1" applyBorder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textRotation="90"/>
    </xf>
    <xf numFmtId="6" fontId="2" fillId="0" borderId="0" xfId="0" applyNumberFormat="1" applyFont="1"/>
    <xf numFmtId="5" fontId="2" fillId="0" borderId="0" xfId="0" applyNumberFormat="1" applyFont="1"/>
    <xf numFmtId="164" fontId="0" fillId="0" borderId="0" xfId="0" applyNumberFormat="1"/>
    <xf numFmtId="0" fontId="5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3" fillId="0" borderId="0" xfId="0" applyFont="1"/>
    <xf numFmtId="3" fontId="0" fillId="0" borderId="0" xfId="0" applyNumberFormat="1"/>
    <xf numFmtId="0" fontId="3" fillId="0" borderId="5" xfId="0" applyFont="1" applyBorder="1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164" fontId="1" fillId="0" borderId="0" xfId="0" applyNumberFormat="1" applyFont="1" applyBorder="1"/>
    <xf numFmtId="164" fontId="6" fillId="0" borderId="0" xfId="0" applyNumberFormat="1" applyFont="1" applyBorder="1"/>
    <xf numFmtId="0" fontId="2" fillId="0" borderId="20" xfId="0" applyFont="1" applyBorder="1" applyAlignment="1">
      <alignment horizontal="right"/>
    </xf>
    <xf numFmtId="0" fontId="0" fillId="0" borderId="21" xfId="0" applyBorder="1"/>
    <xf numFmtId="0" fontId="0" fillId="0" borderId="20" xfId="0" applyBorder="1"/>
    <xf numFmtId="0" fontId="0" fillId="0" borderId="8" xfId="0" applyBorder="1"/>
    <xf numFmtId="164" fontId="0" fillId="0" borderId="8" xfId="0" applyNumberFormat="1" applyBorder="1"/>
    <xf numFmtId="0" fontId="2" fillId="0" borderId="21" xfId="0" applyFont="1" applyBorder="1" applyAlignment="1">
      <alignment horizontal="right"/>
    </xf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0" fontId="2" fillId="0" borderId="28" xfId="0" applyFont="1" applyBorder="1" applyAlignment="1">
      <alignment horizontal="right"/>
    </xf>
    <xf numFmtId="0" fontId="0" fillId="0" borderId="29" xfId="0" applyBorder="1"/>
    <xf numFmtId="0" fontId="0" fillId="0" borderId="28" xfId="0" applyBorder="1"/>
    <xf numFmtId="0" fontId="2" fillId="0" borderId="29" xfId="0" applyFont="1" applyBorder="1" applyAlignment="1">
      <alignment horizontal="right"/>
    </xf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31" xfId="0" applyNumberFormat="1" applyBorder="1"/>
    <xf numFmtId="164" fontId="0" fillId="0" borderId="32" xfId="0" applyNumberFormat="1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4" xfId="0" applyBorder="1"/>
    <xf numFmtId="3" fontId="1" fillId="0" borderId="1" xfId="0" applyNumberFormat="1" applyFont="1" applyBorder="1"/>
    <xf numFmtId="1" fontId="3" fillId="0" borderId="11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1" fontId="0" fillId="0" borderId="10" xfId="0" applyNumberFormat="1" applyBorder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center"/>
    </xf>
    <xf numFmtId="1" fontId="1" fillId="0" borderId="33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textRotation="90"/>
    </xf>
    <xf numFmtId="0" fontId="2" fillId="0" borderId="12" xfId="0" applyFont="1" applyBorder="1" applyAlignment="1">
      <alignment horizontal="right"/>
    </xf>
    <xf numFmtId="166" fontId="2" fillId="0" borderId="12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2" fillId="0" borderId="16" xfId="0" applyFont="1" applyBorder="1" applyAlignment="1">
      <alignment textRotation="90"/>
    </xf>
    <xf numFmtId="0" fontId="2" fillId="0" borderId="12" xfId="0" applyFont="1" applyBorder="1" applyAlignment="1">
      <alignment textRotation="90"/>
    </xf>
    <xf numFmtId="0" fontId="2" fillId="0" borderId="13" xfId="0" applyFont="1" applyBorder="1" applyAlignment="1">
      <alignment textRotation="90"/>
    </xf>
    <xf numFmtId="0" fontId="1" fillId="0" borderId="0" xfId="0" applyFont="1" applyBorder="1"/>
    <xf numFmtId="0" fontId="3" fillId="0" borderId="0" xfId="0" applyFont="1" applyAlignment="1">
      <alignment horizontal="left" indent="2"/>
    </xf>
    <xf numFmtId="0" fontId="1" fillId="0" borderId="0" xfId="0" applyFont="1" applyAlignment="1">
      <alignment horizontal="left" indent="1"/>
    </xf>
    <xf numFmtId="0" fontId="11" fillId="0" borderId="0" xfId="0" applyFont="1" applyBorder="1"/>
    <xf numFmtId="0" fontId="11" fillId="0" borderId="0" xfId="0" applyFont="1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textRotation="90" wrapText="1"/>
    </xf>
    <xf numFmtId="3" fontId="1" fillId="0" borderId="0" xfId="0" applyNumberFormat="1" applyFont="1"/>
    <xf numFmtId="1" fontId="1" fillId="0" borderId="11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" fillId="0" borderId="11" xfId="0" applyFont="1" applyBorder="1"/>
    <xf numFmtId="0" fontId="1" fillId="0" borderId="15" xfId="0" applyFont="1" applyBorder="1" applyAlignment="1">
      <alignment horizontal="right"/>
    </xf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right" textRotation="90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4" fontId="3" fillId="0" borderId="0" xfId="0" applyNumberFormat="1" applyFont="1" applyFill="1" applyBorder="1"/>
    <xf numFmtId="164" fontId="2" fillId="0" borderId="0" xfId="0" applyNumberFormat="1" applyFont="1" applyAlignment="1">
      <alignment textRotation="90"/>
    </xf>
    <xf numFmtId="164" fontId="0" fillId="0" borderId="11" xfId="0" applyNumberFormat="1" applyBorder="1"/>
    <xf numFmtId="164" fontId="1" fillId="0" borderId="11" xfId="0" applyNumberFormat="1" applyFont="1" applyBorder="1" applyAlignment="1">
      <alignment horizontal="right"/>
    </xf>
    <xf numFmtId="164" fontId="5" fillId="0" borderId="0" xfId="0" applyNumberFormat="1" applyFont="1" applyFill="1" applyBorder="1"/>
    <xf numFmtId="165" fontId="0" fillId="0" borderId="0" xfId="0" applyNumberFormat="1"/>
    <xf numFmtId="165" fontId="0" fillId="0" borderId="0" xfId="0" applyNumberFormat="1" applyFill="1"/>
    <xf numFmtId="165" fontId="2" fillId="0" borderId="0" xfId="0" applyNumberFormat="1" applyFont="1" applyAlignment="1">
      <alignment textRotation="90"/>
    </xf>
    <xf numFmtId="165" fontId="2" fillId="0" borderId="0" xfId="0" applyNumberFormat="1" applyFont="1" applyFill="1" applyAlignment="1">
      <alignment textRotation="90"/>
    </xf>
    <xf numFmtId="165" fontId="0" fillId="0" borderId="9" xfId="0" applyNumberFormat="1" applyBorder="1"/>
    <xf numFmtId="165" fontId="0" fillId="0" borderId="9" xfId="0" applyNumberFormat="1" applyFill="1" applyBorder="1"/>
    <xf numFmtId="165" fontId="0" fillId="0" borderId="10" xfId="0" applyNumberFormat="1" applyFill="1" applyBorder="1"/>
    <xf numFmtId="165" fontId="1" fillId="0" borderId="0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2" fillId="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Fill="1"/>
    <xf numFmtId="165" fontId="0" fillId="0" borderId="0" xfId="0" applyNumberFormat="1" applyFill="1" applyBorder="1"/>
    <xf numFmtId="165" fontId="1" fillId="0" borderId="0" xfId="0" applyNumberFormat="1" applyFont="1" applyFill="1" applyBorder="1"/>
    <xf numFmtId="165" fontId="7" fillId="0" borderId="0" xfId="0" applyNumberFormat="1" applyFont="1" applyFill="1" applyBorder="1"/>
    <xf numFmtId="165" fontId="3" fillId="0" borderId="0" xfId="0" applyNumberFormat="1" applyFont="1" applyFill="1" applyBorder="1"/>
    <xf numFmtId="165" fontId="8" fillId="0" borderId="0" xfId="0" applyNumberFormat="1" applyFont="1" applyFill="1" applyBorder="1"/>
    <xf numFmtId="0" fontId="1" fillId="0" borderId="15" xfId="0" applyFont="1" applyBorder="1" applyAlignment="1">
      <alignment horizontal="left" indent="2"/>
    </xf>
    <xf numFmtId="1" fontId="3" fillId="0" borderId="11" xfId="0" applyNumberFormat="1" applyFont="1" applyBorder="1" applyAlignment="1">
      <alignment horizontal="left" indent="2"/>
    </xf>
    <xf numFmtId="0" fontId="3" fillId="0" borderId="0" xfId="0" applyFont="1" applyAlignment="1">
      <alignment horizontal="left" indent="3"/>
    </xf>
    <xf numFmtId="165" fontId="3" fillId="0" borderId="0" xfId="0" applyNumberFormat="1" applyFont="1" applyBorder="1"/>
    <xf numFmtId="0" fontId="12" fillId="0" borderId="0" xfId="0" applyFont="1" applyAlignment="1">
      <alignment horizontal="right"/>
    </xf>
    <xf numFmtId="164" fontId="12" fillId="0" borderId="0" xfId="0" applyNumberFormat="1" applyFont="1"/>
    <xf numFmtId="0" fontId="12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164" fontId="13" fillId="0" borderId="0" xfId="0" applyNumberFormat="1" applyFont="1"/>
    <xf numFmtId="164" fontId="13" fillId="0" borderId="0" xfId="0" applyNumberFormat="1" applyFont="1" applyAlignment="1">
      <alignment horizontal="right"/>
    </xf>
    <xf numFmtId="0" fontId="3" fillId="0" borderId="9" xfId="0" applyFont="1" applyBorder="1"/>
    <xf numFmtId="0" fontId="2" fillId="0" borderId="12" xfId="0" applyFont="1" applyBorder="1" applyAlignment="1">
      <alignment horizontal="center" textRotation="90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indent="2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indent="2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2" xfId="0" applyFont="1" applyBorder="1" applyAlignment="1">
      <alignment horizontal="center" textRotation="90"/>
    </xf>
    <xf numFmtId="0" fontId="0" fillId="0" borderId="0" xfId="0" applyNumberFormat="1" applyAlignment="1">
      <alignment horizontal="right"/>
    </xf>
    <xf numFmtId="0" fontId="14" fillId="0" borderId="0" xfId="0" applyFont="1" applyAlignment="1">
      <alignment horizontal="right"/>
    </xf>
    <xf numFmtId="167" fontId="0" fillId="0" borderId="0" xfId="0" applyNumberFormat="1"/>
    <xf numFmtId="167" fontId="14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0" fillId="0" borderId="20" xfId="0" applyNumberFormat="1" applyBorder="1"/>
    <xf numFmtId="1" fontId="0" fillId="0" borderId="8" xfId="0" applyNumberFormat="1" applyBorder="1"/>
    <xf numFmtId="1" fontId="0" fillId="0" borderId="21" xfId="0" applyNumberFormat="1" applyBorder="1"/>
    <xf numFmtId="1" fontId="15" fillId="0" borderId="20" xfId="0" applyNumberFormat="1" applyFont="1" applyBorder="1"/>
    <xf numFmtId="1" fontId="15" fillId="0" borderId="8" xfId="0" applyNumberFormat="1" applyFont="1" applyBorder="1"/>
    <xf numFmtId="1" fontId="15" fillId="0" borderId="21" xfId="0" applyNumberFormat="1" applyFont="1" applyBorder="1"/>
    <xf numFmtId="3" fontId="15" fillId="0" borderId="8" xfId="0" applyNumberFormat="1" applyFont="1" applyBorder="1"/>
    <xf numFmtId="164" fontId="0" fillId="0" borderId="0" xfId="0" applyNumberFormat="1" applyAlignment="1"/>
    <xf numFmtId="2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textRotation="180"/>
    </xf>
    <xf numFmtId="1" fontId="3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68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68" fontId="3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0" fontId="17" fillId="0" borderId="0" xfId="0" applyFo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9" fontId="0" fillId="0" borderId="0" xfId="0" applyNumberFormat="1" applyAlignment="1"/>
    <xf numFmtId="1" fontId="0" fillId="0" borderId="0" xfId="0" applyNumberFormat="1" applyAlignment="1"/>
    <xf numFmtId="165" fontId="0" fillId="0" borderId="0" xfId="0" applyNumberFormat="1" applyAlignment="1"/>
    <xf numFmtId="168" fontId="0" fillId="0" borderId="0" xfId="0" applyNumberFormat="1" applyAlignment="1"/>
    <xf numFmtId="166" fontId="0" fillId="0" borderId="0" xfId="0" applyNumberFormat="1" applyAlignment="1"/>
    <xf numFmtId="2" fontId="0" fillId="0" borderId="0" xfId="0" applyNumberFormat="1" applyAlignment="1"/>
    <xf numFmtId="0" fontId="0" fillId="0" borderId="0" xfId="0" applyFont="1" applyAlignment="1"/>
    <xf numFmtId="2" fontId="0" fillId="0" borderId="0" xfId="0" applyNumberFormat="1"/>
    <xf numFmtId="166" fontId="0" fillId="0" borderId="0" xfId="0" applyNumberFormat="1"/>
    <xf numFmtId="168" fontId="3" fillId="0" borderId="0" xfId="0" applyNumberFormat="1" applyFont="1"/>
    <xf numFmtId="2" fontId="3" fillId="0" borderId="0" xfId="0" applyNumberFormat="1" applyFont="1"/>
    <xf numFmtId="168" fontId="0" fillId="0" borderId="0" xfId="0" applyNumberFormat="1"/>
    <xf numFmtId="2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left"/>
    </xf>
    <xf numFmtId="1" fontId="15" fillId="0" borderId="20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1" fontId="15" fillId="0" borderId="17" xfId="0" applyNumberFormat="1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/>
    <xf numFmtId="0" fontId="10" fillId="0" borderId="3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166" fontId="10" fillId="0" borderId="14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6" fillId="0" borderId="0" xfId="0" applyFont="1" applyAlignment="1"/>
    <xf numFmtId="0" fontId="0" fillId="0" borderId="0" xfId="0" applyAlignment="1"/>
    <xf numFmtId="0" fontId="3" fillId="0" borderId="0" xfId="0" applyFont="1" applyAlignment="1"/>
    <xf numFmtId="164" fontId="3" fillId="0" borderId="11" xfId="0" applyNumberFormat="1" applyFont="1" applyBorder="1"/>
    <xf numFmtId="165" fontId="3" fillId="0" borderId="11" xfId="0" applyNumberFormat="1" applyFont="1" applyBorder="1"/>
    <xf numFmtId="3" fontId="3" fillId="0" borderId="0" xfId="0" applyNumberFormat="1" applyFont="1"/>
    <xf numFmtId="0" fontId="3" fillId="0" borderId="0" xfId="0" applyFont="1" applyBorder="1"/>
    <xf numFmtId="164" fontId="3" fillId="0" borderId="0" xfId="0" applyNumberFormat="1" applyFont="1" applyBorder="1"/>
    <xf numFmtId="0" fontId="3" fillId="0" borderId="11" xfId="0" applyFont="1" applyBorder="1"/>
    <xf numFmtId="0" fontId="3" fillId="0" borderId="1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8" fillId="0" borderId="11" xfId="0" applyFont="1" applyBorder="1"/>
    <xf numFmtId="0" fontId="8" fillId="0" borderId="0" xfId="0" applyFont="1"/>
    <xf numFmtId="164" fontId="3" fillId="0" borderId="5" xfId="0" applyNumberFormat="1" applyFont="1" applyBorder="1"/>
    <xf numFmtId="164" fontId="3" fillId="0" borderId="6" xfId="0" applyNumberFormat="1" applyFont="1" applyBorder="1"/>
    <xf numFmtId="165" fontId="3" fillId="0" borderId="5" xfId="0" applyNumberFormat="1" applyFont="1" applyBorder="1"/>
    <xf numFmtId="165" fontId="3" fillId="0" borderId="6" xfId="0" applyNumberFormat="1" applyFont="1" applyBorder="1"/>
    <xf numFmtId="6" fontId="1" fillId="0" borderId="4" xfId="0" applyNumberFormat="1" applyFont="1" applyBorder="1" applyAlignment="1">
      <alignment horizontal="center"/>
    </xf>
    <xf numFmtId="6" fontId="1" fillId="0" borderId="5" xfId="0" applyNumberFormat="1" applyFont="1" applyBorder="1" applyAlignment="1">
      <alignment horizontal="center"/>
    </xf>
    <xf numFmtId="6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8" fillId="0" borderId="15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" fontId="7" fillId="0" borderId="11" xfId="0" applyNumberFormat="1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164" fontId="18" fillId="0" borderId="0" xfId="0" applyNumberFormat="1" applyFont="1" applyBorder="1"/>
    <xf numFmtId="0" fontId="18" fillId="0" borderId="11" xfId="0" applyFont="1" applyBorder="1"/>
    <xf numFmtId="0" fontId="18" fillId="0" borderId="0" xfId="0" applyFont="1"/>
    <xf numFmtId="0" fontId="3" fillId="0" borderId="15" xfId="0" applyFont="1" applyBorder="1"/>
    <xf numFmtId="0" fontId="3" fillId="0" borderId="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left" indent="2"/>
    </xf>
    <xf numFmtId="164" fontId="3" fillId="0" borderId="11" xfId="0" applyNumberFormat="1" applyFont="1" applyBorder="1" applyAlignment="1">
      <alignment horizontal="left" indent="2"/>
    </xf>
    <xf numFmtId="165" fontId="3" fillId="0" borderId="0" xfId="0" applyNumberFormat="1" applyFont="1" applyBorder="1" applyAlignment="1">
      <alignment horizontal="left" indent="2"/>
    </xf>
    <xf numFmtId="165" fontId="3" fillId="0" borderId="11" xfId="0" applyNumberFormat="1" applyFont="1" applyBorder="1" applyAlignment="1">
      <alignment horizontal="left" indent="2"/>
    </xf>
    <xf numFmtId="3" fontId="3" fillId="0" borderId="0" xfId="0" applyNumberFormat="1" applyFont="1" applyAlignment="1">
      <alignment horizontal="left" indent="2"/>
    </xf>
    <xf numFmtId="164" fontId="3" fillId="0" borderId="0" xfId="0" applyNumberFormat="1" applyFont="1" applyBorder="1" applyAlignment="1">
      <alignment horizontal="left" indent="2"/>
    </xf>
    <xf numFmtId="0" fontId="3" fillId="0" borderId="11" xfId="0" applyFont="1" applyBorder="1" applyAlignment="1">
      <alignment horizontal="left" indent="2"/>
    </xf>
    <xf numFmtId="0" fontId="3" fillId="0" borderId="15" xfId="0" applyFont="1" applyBorder="1" applyAlignment="1">
      <alignment horizontal="left" indent="2"/>
    </xf>
    <xf numFmtId="0" fontId="8" fillId="0" borderId="0" xfId="0" applyFont="1" applyBorder="1"/>
    <xf numFmtId="3" fontId="3" fillId="0" borderId="0" xfId="0" applyNumberFormat="1" applyFont="1" applyBorder="1"/>
    <xf numFmtId="164" fontId="3" fillId="0" borderId="13" xfId="0" applyNumberFormat="1" applyFont="1" applyBorder="1"/>
    <xf numFmtId="165" fontId="3" fillId="0" borderId="12" xfId="0" applyNumberFormat="1" applyFont="1" applyBorder="1"/>
    <xf numFmtId="165" fontId="3" fillId="0" borderId="13" xfId="0" applyNumberFormat="1" applyFont="1" applyBorder="1"/>
    <xf numFmtId="0" fontId="3" fillId="0" borderId="13" xfId="0" applyFont="1" applyBorder="1"/>
    <xf numFmtId="0" fontId="3" fillId="0" borderId="16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2" xfId="0" applyFont="1" applyBorder="1"/>
    <xf numFmtId="0" fontId="3" fillId="0" borderId="5" xfId="0" applyFont="1" applyBorder="1" applyAlignment="1">
      <alignment horizontal="left"/>
    </xf>
    <xf numFmtId="166" fontId="3" fillId="0" borderId="5" xfId="0" applyNumberFormat="1" applyFont="1" applyBorder="1" applyAlignment="1">
      <alignment horizontal="center"/>
    </xf>
    <xf numFmtId="164" fontId="3" fillId="0" borderId="4" xfId="0" applyNumberFormat="1" applyFont="1" applyBorder="1"/>
    <xf numFmtId="0" fontId="3" fillId="0" borderId="38" xfId="0" applyFont="1" applyBorder="1" applyAlignment="1">
      <alignment horizontal="right"/>
    </xf>
  </cellXfs>
  <cellStyles count="1">
    <cellStyle name="Normal" xfId="0" builtinId="0"/>
  </cellStyles>
  <dxfs count="5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S48"/>
  <sheetViews>
    <sheetView tabSelected="1" workbookViewId="0">
      <selection activeCell="K18" sqref="K18"/>
    </sheetView>
  </sheetViews>
  <sheetFormatPr defaultRowHeight="12.75"/>
  <cols>
    <col min="2" max="2" width="8.85546875" style="8"/>
    <col min="3" max="3" width="11.5703125" bestFit="1" customWidth="1"/>
    <col min="4" max="4" width="9.42578125" bestFit="1" customWidth="1"/>
    <col min="5" max="5" width="7.5703125" bestFit="1" customWidth="1"/>
    <col min="6" max="6" width="12.85546875" bestFit="1" customWidth="1"/>
    <col min="7" max="7" width="7.85546875" bestFit="1" customWidth="1"/>
    <col min="8" max="8" width="10.5703125" style="30" bestFit="1" customWidth="1"/>
    <col min="9" max="9" width="8.5703125" bestFit="1" customWidth="1"/>
    <col min="12" max="12" width="9.7109375" style="8" customWidth="1"/>
    <col min="13" max="13" width="11.42578125" bestFit="1" customWidth="1"/>
    <col min="14" max="14" width="9.28515625" bestFit="1" customWidth="1"/>
    <col min="15" max="15" width="7.5703125" bestFit="1" customWidth="1"/>
    <col min="16" max="16" width="12.7109375" bestFit="1" customWidth="1"/>
    <col min="17" max="17" width="7.7109375" bestFit="1" customWidth="1"/>
    <col min="18" max="18" width="11.28515625" style="30" bestFit="1" customWidth="1"/>
    <col min="19" max="19" width="8.5703125" bestFit="1" customWidth="1"/>
  </cols>
  <sheetData>
    <row r="4" spans="2:19" ht="13.5" thickBot="1"/>
    <row r="5" spans="2:19" ht="15.75" thickTop="1">
      <c r="B5" s="150"/>
      <c r="C5" s="197" t="str">
        <f>'Pre- and Production'!Z128</f>
        <v>BASE</v>
      </c>
      <c r="D5" s="198"/>
      <c r="E5" s="198"/>
      <c r="F5" s="198"/>
      <c r="G5" s="198"/>
      <c r="H5" s="198"/>
      <c r="I5" s="199"/>
      <c r="J5" s="149"/>
      <c r="K5" s="149"/>
      <c r="L5" s="150"/>
      <c r="M5" s="197" t="str">
        <f>'Pre- and Production'!AJ128</f>
        <v>CONTINGENCY</v>
      </c>
      <c r="N5" s="198"/>
      <c r="O5" s="198"/>
      <c r="P5" s="198"/>
      <c r="Q5" s="198"/>
      <c r="R5" s="198"/>
      <c r="S5" s="199"/>
    </row>
    <row r="6" spans="2:19" ht="15">
      <c r="B6" s="150" t="str">
        <f>'Pre- and Production'!Y129</f>
        <v>Year</v>
      </c>
      <c r="C6" s="154" t="str">
        <f>'Pre- and Production'!Z129</f>
        <v>Shop Time</v>
      </c>
      <c r="D6" s="155" t="str">
        <f>'Pre- and Production'!AA129</f>
        <v>MT Time</v>
      </c>
      <c r="E6" s="155" t="str">
        <f>'Pre- and Production'!AB129</f>
        <v>CMM</v>
      </c>
      <c r="F6" s="155" t="str">
        <f>'Pre- and Production'!AC129</f>
        <v>Engineering</v>
      </c>
      <c r="G6" s="155" t="str">
        <f>'Pre- and Production'!AD129</f>
        <v>Design</v>
      </c>
      <c r="H6" s="157" t="str">
        <f>'Pre- and Production'!AE129</f>
        <v>M&amp;S Cost</v>
      </c>
      <c r="I6" s="156"/>
      <c r="J6" s="149"/>
      <c r="K6" s="149"/>
      <c r="L6" s="150"/>
      <c r="M6" s="154" t="str">
        <f>'Pre- and Production'!AJ129</f>
        <v>Shop Time</v>
      </c>
      <c r="N6" s="155" t="str">
        <f>'Pre- and Production'!AK129</f>
        <v>MT Time</v>
      </c>
      <c r="O6" s="155" t="str">
        <f>'Pre- and Production'!AL129</f>
        <v>CMM</v>
      </c>
      <c r="P6" s="155" t="str">
        <f>'Pre- and Production'!AM129</f>
        <v>Engineering</v>
      </c>
      <c r="Q6" s="155" t="str">
        <f>'Pre- and Production'!AN129</f>
        <v>Design</v>
      </c>
      <c r="R6" s="157" t="str">
        <f>'Pre- and Production'!AO129</f>
        <v>M&amp;S Cost</v>
      </c>
      <c r="S6" s="156"/>
    </row>
    <row r="7" spans="2:19">
      <c r="B7" s="150">
        <f>'Pre- and Production'!Y130</f>
        <v>2008</v>
      </c>
      <c r="C7" s="151">
        <f>'Pre- and Production'!Z130</f>
        <v>0</v>
      </c>
      <c r="D7" s="152">
        <f>'Pre- and Production'!AA130</f>
        <v>0</v>
      </c>
      <c r="E7" s="152">
        <f>'Pre- and Production'!AB130</f>
        <v>0</v>
      </c>
      <c r="F7" s="152">
        <f>'Pre- and Production'!AC130</f>
        <v>0</v>
      </c>
      <c r="G7" s="152">
        <f>'Pre- and Production'!AD130</f>
        <v>0</v>
      </c>
      <c r="H7" s="42">
        <f>'Pre- and Production'!AE130</f>
        <v>0</v>
      </c>
      <c r="I7" s="153"/>
      <c r="J7" s="149"/>
      <c r="K7" s="149"/>
      <c r="L7" s="150">
        <f>'Pre- and Production'!AI130</f>
        <v>2008</v>
      </c>
      <c r="M7" s="151">
        <f>'Pre- and Production'!AJ130</f>
        <v>0</v>
      </c>
      <c r="N7" s="152">
        <f>'Pre- and Production'!AK130</f>
        <v>0</v>
      </c>
      <c r="O7" s="152">
        <f>'Pre- and Production'!AL130</f>
        <v>0</v>
      </c>
      <c r="P7" s="152">
        <f>'Pre- and Production'!AM130</f>
        <v>0</v>
      </c>
      <c r="Q7" s="152">
        <f>'Pre- and Production'!AN130</f>
        <v>0</v>
      </c>
      <c r="R7" s="42">
        <f>'Pre- and Production'!AO130</f>
        <v>0</v>
      </c>
      <c r="S7" s="153"/>
    </row>
    <row r="8" spans="2:19">
      <c r="B8" s="150">
        <f>'Pre- and Production'!Y131</f>
        <v>2009</v>
      </c>
      <c r="C8" s="151">
        <f>'Pre- and Production'!Z131</f>
        <v>500</v>
      </c>
      <c r="D8" s="152">
        <f>'Pre- and Production'!AA131</f>
        <v>628</v>
      </c>
      <c r="E8" s="152">
        <f>'Pre- and Production'!AB131</f>
        <v>92</v>
      </c>
      <c r="F8" s="152">
        <f>'Pre- and Production'!AC131</f>
        <v>416</v>
      </c>
      <c r="G8" s="152">
        <f>'Pre- and Production'!AD131</f>
        <v>0</v>
      </c>
      <c r="H8" s="42">
        <f>'Pre- and Production'!AE131</f>
        <v>43492.5</v>
      </c>
      <c r="I8" s="153"/>
      <c r="J8" s="149"/>
      <c r="K8" s="149"/>
      <c r="L8" s="150">
        <f>'Pre- and Production'!AI131</f>
        <v>2009</v>
      </c>
      <c r="M8" s="151">
        <f>'Pre- and Production'!AJ131</f>
        <v>72</v>
      </c>
      <c r="N8" s="152">
        <f>'Pre- and Production'!AK131</f>
        <v>197</v>
      </c>
      <c r="O8" s="152">
        <f>'Pre- and Production'!AL131</f>
        <v>112</v>
      </c>
      <c r="P8" s="152">
        <f>'Pre- and Production'!AM131</f>
        <v>92</v>
      </c>
      <c r="Q8" s="152">
        <f>'Pre- and Production'!AN131</f>
        <v>0</v>
      </c>
      <c r="R8" s="42">
        <f>'Pre- and Production'!AO131</f>
        <v>2225</v>
      </c>
      <c r="S8" s="153"/>
    </row>
    <row r="9" spans="2:19">
      <c r="B9" s="150">
        <f>'Pre- and Production'!Y132</f>
        <v>2010</v>
      </c>
      <c r="C9" s="151">
        <f>'Pre- and Production'!Z132</f>
        <v>0</v>
      </c>
      <c r="D9" s="152">
        <f>'Pre- and Production'!AA132</f>
        <v>0</v>
      </c>
      <c r="E9" s="152">
        <f>'Pre- and Production'!AB132</f>
        <v>0</v>
      </c>
      <c r="F9" s="152">
        <f>'Pre- and Production'!AC132</f>
        <v>0</v>
      </c>
      <c r="G9" s="152">
        <f>'Pre- and Production'!AD132</f>
        <v>0</v>
      </c>
      <c r="H9" s="42">
        <f>'Pre- and Production'!AE132</f>
        <v>0</v>
      </c>
      <c r="I9" s="153"/>
      <c r="J9" s="149"/>
      <c r="K9" s="149"/>
      <c r="L9" s="150">
        <f>'Pre- and Production'!AI132</f>
        <v>2010</v>
      </c>
      <c r="M9" s="151">
        <f>'Pre- and Production'!AJ132</f>
        <v>0</v>
      </c>
      <c r="N9" s="152">
        <f>'Pre- and Production'!AK132</f>
        <v>0</v>
      </c>
      <c r="O9" s="152">
        <f>'Pre- and Production'!AL132</f>
        <v>0</v>
      </c>
      <c r="P9" s="152">
        <f>'Pre- and Production'!AM132</f>
        <v>0</v>
      </c>
      <c r="Q9" s="152">
        <f>'Pre- and Production'!AN132</f>
        <v>0</v>
      </c>
      <c r="R9" s="42">
        <f>'Pre- and Production'!AO132</f>
        <v>0</v>
      </c>
      <c r="S9" s="153"/>
    </row>
    <row r="10" spans="2:19">
      <c r="B10" s="150" t="str">
        <f>'Pre- and Production'!Y133</f>
        <v>Hytec</v>
      </c>
      <c r="C10" s="151">
        <f>'Pre- and Production'!Z133</f>
        <v>174</v>
      </c>
      <c r="D10" s="152">
        <f>'Pre- and Production'!AA133</f>
        <v>0</v>
      </c>
      <c r="E10" s="152">
        <f>'Pre- and Production'!AB133</f>
        <v>0</v>
      </c>
      <c r="F10" s="152">
        <f>'Pre- and Production'!AC133</f>
        <v>0</v>
      </c>
      <c r="G10" s="152">
        <f>'Pre- and Production'!AD133</f>
        <v>0</v>
      </c>
      <c r="H10" s="42">
        <f>'Pre- and Production'!AE133</f>
        <v>5550</v>
      </c>
      <c r="I10" s="153"/>
      <c r="J10" s="149"/>
      <c r="K10" s="149"/>
      <c r="L10" s="150" t="str">
        <f>'Pre- and Production'!AI133</f>
        <v>Hytec</v>
      </c>
      <c r="M10" s="151">
        <f>'Pre- and Production'!AJ133</f>
        <v>31.6</v>
      </c>
      <c r="N10" s="152">
        <f>'Pre- and Production'!AK133</f>
        <v>0</v>
      </c>
      <c r="O10" s="152">
        <f>'Pre- and Production'!AL133</f>
        <v>0</v>
      </c>
      <c r="P10" s="152">
        <f>'Pre- and Production'!AM133</f>
        <v>0</v>
      </c>
      <c r="Q10" s="152">
        <f>'Pre- and Production'!AN133</f>
        <v>0</v>
      </c>
      <c r="R10" s="42">
        <f>'Pre- and Production'!AO133</f>
        <v>804</v>
      </c>
      <c r="S10" s="153"/>
    </row>
    <row r="11" spans="2:19">
      <c r="B11" s="150" t="str">
        <f>'Pre- and Production'!Y134</f>
        <v>LANL</v>
      </c>
      <c r="C11" s="151">
        <f>'Pre- and Production'!Z134</f>
        <v>0</v>
      </c>
      <c r="D11" s="152">
        <f>'Pre- and Production'!AA134</f>
        <v>0</v>
      </c>
      <c r="E11" s="152">
        <f>'Pre- and Production'!AB134</f>
        <v>0</v>
      </c>
      <c r="F11" s="152">
        <f>'Pre- and Production'!AC134</f>
        <v>0</v>
      </c>
      <c r="G11" s="152">
        <f>'Pre- and Production'!AD134</f>
        <v>0</v>
      </c>
      <c r="H11" s="42">
        <f>'Pre- and Production'!AE134</f>
        <v>0</v>
      </c>
      <c r="I11" s="153"/>
      <c r="J11" s="149"/>
      <c r="K11" s="149"/>
      <c r="L11" s="150" t="str">
        <f>'Pre- and Production'!AI134</f>
        <v>LANL</v>
      </c>
      <c r="M11" s="151">
        <f>'Pre- and Production'!AJ134</f>
        <v>0</v>
      </c>
      <c r="N11" s="152">
        <f>'Pre- and Production'!AK134</f>
        <v>0</v>
      </c>
      <c r="O11" s="152">
        <f>'Pre- and Production'!AL134</f>
        <v>0</v>
      </c>
      <c r="P11" s="152">
        <f>'Pre- and Production'!AM134</f>
        <v>0</v>
      </c>
      <c r="Q11" s="152">
        <f>'Pre- and Production'!AN134</f>
        <v>0</v>
      </c>
      <c r="R11" s="42">
        <f>'Pre- and Production'!AO134</f>
        <v>0</v>
      </c>
      <c r="S11" s="153"/>
    </row>
    <row r="12" spans="2:19" ht="15">
      <c r="B12" s="150"/>
      <c r="C12" s="194" t="str">
        <f>'Pre- and Production'!Z135</f>
        <v>LBNL Cost</v>
      </c>
      <c r="D12" s="195"/>
      <c r="E12" s="195"/>
      <c r="F12" s="195"/>
      <c r="G12" s="195"/>
      <c r="H12" s="195"/>
      <c r="I12" s="196"/>
      <c r="J12" s="149"/>
      <c r="K12" s="149"/>
      <c r="L12" s="150"/>
      <c r="M12" s="194" t="str">
        <f>'Pre- and Production'!AJ135</f>
        <v>LBNL Contingency</v>
      </c>
      <c r="N12" s="195"/>
      <c r="O12" s="195"/>
      <c r="P12" s="195"/>
      <c r="Q12" s="195"/>
      <c r="R12" s="195"/>
      <c r="S12" s="196"/>
    </row>
    <row r="13" spans="2:19" ht="15">
      <c r="B13" s="150"/>
      <c r="C13" s="154" t="str">
        <f>'Pre- and Production'!Z136</f>
        <v>Shop Cost</v>
      </c>
      <c r="D13" s="155" t="str">
        <f>'Pre- and Production'!AA136</f>
        <v>MT Cost</v>
      </c>
      <c r="E13" s="155" t="str">
        <f>'Pre- and Production'!AB136</f>
        <v>CMM</v>
      </c>
      <c r="F13" s="155" t="str">
        <f>'Pre- and Production'!AC136</f>
        <v>Engineering</v>
      </c>
      <c r="G13" s="155" t="str">
        <f>'Pre- and Production'!AD136</f>
        <v>Design</v>
      </c>
      <c r="H13" s="157" t="str">
        <f>'Pre- and Production'!AE136</f>
        <v>M&amp;S Cost</v>
      </c>
      <c r="I13" s="156" t="str">
        <f>'Pre- and Production'!AF136</f>
        <v>Totals</v>
      </c>
      <c r="J13" s="149"/>
      <c r="K13" s="149"/>
      <c r="L13" s="150"/>
      <c r="M13" s="154" t="str">
        <f>'Pre- and Production'!AJ136</f>
        <v>Shop Cost</v>
      </c>
      <c r="N13" s="155" t="str">
        <f>'Pre- and Production'!AK136</f>
        <v>MT Cost</v>
      </c>
      <c r="O13" s="155" t="str">
        <f>'Pre- and Production'!AL136</f>
        <v>CMM</v>
      </c>
      <c r="P13" s="155" t="str">
        <f>'Pre- and Production'!AM136</f>
        <v>Engineering</v>
      </c>
      <c r="Q13" s="155" t="str">
        <f>'Pre- and Production'!AN136</f>
        <v>Design</v>
      </c>
      <c r="R13" s="157" t="str">
        <f>'Pre- and Production'!AO136</f>
        <v>M&amp;S Cost</v>
      </c>
      <c r="S13" s="156" t="str">
        <f>'Pre- and Production'!AP136</f>
        <v>Totals</v>
      </c>
    </row>
    <row r="14" spans="2:19">
      <c r="B14" s="150">
        <f>'Pre- and Production'!Y137</f>
        <v>2008</v>
      </c>
      <c r="C14" s="44">
        <f>'Pre- and Production'!Z137</f>
        <v>0</v>
      </c>
      <c r="D14" s="42">
        <f>'Pre- and Production'!AA137</f>
        <v>0</v>
      </c>
      <c r="E14" s="42">
        <f>'Pre- and Production'!AB137</f>
        <v>0</v>
      </c>
      <c r="F14" s="42">
        <f>'Pre- and Production'!AC137</f>
        <v>0</v>
      </c>
      <c r="G14" s="42">
        <f>'Pre- and Production'!AD137</f>
        <v>0</v>
      </c>
      <c r="H14" s="42">
        <f>'Pre- and Production'!AE137</f>
        <v>0</v>
      </c>
      <c r="I14" s="45">
        <f>'Pre- and Production'!AF137</f>
        <v>0</v>
      </c>
      <c r="J14" s="149"/>
      <c r="K14" s="149"/>
      <c r="L14" s="150">
        <f>'Pre- and Production'!AI137</f>
        <v>2008</v>
      </c>
      <c r="M14" s="44">
        <f>'Pre- and Production'!AJ137</f>
        <v>0</v>
      </c>
      <c r="N14" s="42">
        <f>'Pre- and Production'!AK137</f>
        <v>0</v>
      </c>
      <c r="O14" s="42">
        <f>'Pre- and Production'!AL137</f>
        <v>0</v>
      </c>
      <c r="P14" s="42">
        <f>'Pre- and Production'!AM137</f>
        <v>0</v>
      </c>
      <c r="Q14" s="42">
        <f>'Pre- and Production'!AN137</f>
        <v>0</v>
      </c>
      <c r="R14" s="42">
        <f>'Pre- and Production'!AO137</f>
        <v>0</v>
      </c>
      <c r="S14" s="45">
        <f>'Pre- and Production'!AP137</f>
        <v>0</v>
      </c>
    </row>
    <row r="15" spans="2:19">
      <c r="B15" s="150">
        <f>'Pre- and Production'!Y138</f>
        <v>2009</v>
      </c>
      <c r="C15" s="44">
        <f>'Pre- and Production'!Z138</f>
        <v>63500</v>
      </c>
      <c r="D15" s="42">
        <f>'Pre- and Production'!AA138</f>
        <v>73476</v>
      </c>
      <c r="E15" s="42">
        <f>'Pre- and Production'!AB138</f>
        <v>11684</v>
      </c>
      <c r="F15" s="42">
        <f>'Pre- and Production'!AC138</f>
        <v>62400</v>
      </c>
      <c r="G15" s="42">
        <f>'Pre- and Production'!AD138</f>
        <v>0</v>
      </c>
      <c r="H15" s="42">
        <f>'Pre- and Production'!AE138</f>
        <v>43492.5</v>
      </c>
      <c r="I15" s="45">
        <f>'Pre- and Production'!AF138</f>
        <v>254552.5</v>
      </c>
      <c r="J15" s="149"/>
      <c r="K15" s="149"/>
      <c r="L15" s="150">
        <f>'Pre- and Production'!AI138</f>
        <v>2009</v>
      </c>
      <c r="M15" s="44">
        <f>'Pre- and Production'!AJ138</f>
        <v>9144</v>
      </c>
      <c r="N15" s="42">
        <f>'Pre- and Production'!AK138</f>
        <v>23049</v>
      </c>
      <c r="O15" s="42">
        <f>'Pre- and Production'!AL138</f>
        <v>14224</v>
      </c>
      <c r="P15" s="42">
        <f>'Pre- and Production'!AM138</f>
        <v>13800</v>
      </c>
      <c r="Q15" s="42">
        <f>'Pre- and Production'!AN138</f>
        <v>0</v>
      </c>
      <c r="R15" s="42">
        <f>'Pre- and Production'!AO138</f>
        <v>2225</v>
      </c>
      <c r="S15" s="45">
        <f>'Pre- and Production'!AP138</f>
        <v>62442</v>
      </c>
    </row>
    <row r="16" spans="2:19" ht="13.5" thickBot="1">
      <c r="B16" s="150">
        <f>'Pre- and Production'!Y139</f>
        <v>2010</v>
      </c>
      <c r="C16" s="46">
        <f>'Pre- and Production'!Z139</f>
        <v>0</v>
      </c>
      <c r="D16" s="47">
        <f>'Pre- and Production'!AA139</f>
        <v>0</v>
      </c>
      <c r="E16" s="47">
        <f>'Pre- and Production'!AB139</f>
        <v>0</v>
      </c>
      <c r="F16" s="47">
        <f>'Pre- and Production'!AC139</f>
        <v>0</v>
      </c>
      <c r="G16" s="47">
        <f>'Pre- and Production'!AD139</f>
        <v>0</v>
      </c>
      <c r="H16" s="47">
        <f>'Pre- and Production'!AE139</f>
        <v>0</v>
      </c>
      <c r="I16" s="48">
        <f>'Pre- and Production'!AF139</f>
        <v>0</v>
      </c>
      <c r="J16" s="149"/>
      <c r="K16" s="149"/>
      <c r="L16" s="150">
        <f>'Pre- and Production'!AI139</f>
        <v>2010</v>
      </c>
      <c r="M16" s="46">
        <f>'Pre- and Production'!AJ139</f>
        <v>0</v>
      </c>
      <c r="N16" s="47">
        <f>'Pre- and Production'!AK139</f>
        <v>0</v>
      </c>
      <c r="O16" s="47">
        <f>'Pre- and Production'!AL139</f>
        <v>0</v>
      </c>
      <c r="P16" s="47">
        <f>'Pre- and Production'!AM139</f>
        <v>0</v>
      </c>
      <c r="Q16" s="47">
        <f>'Pre- and Production'!AN139</f>
        <v>0</v>
      </c>
      <c r="R16" s="47">
        <f>'Pre- and Production'!AO139</f>
        <v>0</v>
      </c>
      <c r="S16" s="48">
        <f>'Pre- and Production'!AP139</f>
        <v>0</v>
      </c>
    </row>
    <row r="17" spans="2:19" ht="13.5" thickTop="1">
      <c r="B17" s="150"/>
      <c r="C17" s="149"/>
      <c r="D17" s="149"/>
      <c r="E17" s="149"/>
      <c r="F17" s="149"/>
      <c r="G17" s="149"/>
      <c r="H17" s="30" t="str">
        <f>'Pre- and Production'!AE140</f>
        <v>Base Cost</v>
      </c>
      <c r="I17" s="23">
        <f>'Pre- and Production'!AF140</f>
        <v>254552.5</v>
      </c>
      <c r="J17" s="149"/>
      <c r="K17" s="149"/>
      <c r="L17" s="150"/>
      <c r="M17" s="149"/>
      <c r="N17" s="149"/>
      <c r="O17" s="149"/>
      <c r="P17" s="149"/>
      <c r="Q17" s="149"/>
      <c r="R17" s="30" t="str">
        <f>'Pre- and Production'!AO140</f>
        <v>Contingency</v>
      </c>
      <c r="S17" s="23">
        <f>'Pre- and Production'!AP140</f>
        <v>62442</v>
      </c>
    </row>
    <row r="18" spans="2:19">
      <c r="B18" s="150"/>
      <c r="C18" s="149"/>
      <c r="D18" s="149"/>
      <c r="E18" s="149"/>
      <c r="F18" s="149"/>
      <c r="G18" s="149"/>
      <c r="I18" s="149"/>
      <c r="J18" s="149"/>
      <c r="K18" s="149"/>
      <c r="L18" s="150"/>
      <c r="M18" s="149"/>
      <c r="N18" s="149"/>
      <c r="O18" s="149"/>
      <c r="P18" s="149"/>
      <c r="Q18" s="149"/>
      <c r="R18" s="30" t="str">
        <f>'Pre- and Production'!AO141</f>
        <v>Percent</v>
      </c>
      <c r="S18" s="147">
        <f>'Pre- and Production'!AP141</f>
        <v>0.24530106755973718</v>
      </c>
    </row>
    <row r="19" spans="2:19" ht="13.5" thickBot="1">
      <c r="B19" s="150"/>
      <c r="C19" s="149"/>
      <c r="D19" s="149"/>
      <c r="E19" s="149"/>
      <c r="F19" s="149"/>
      <c r="G19" s="149"/>
      <c r="I19" s="149"/>
      <c r="J19" s="149"/>
      <c r="K19" s="149"/>
      <c r="L19" s="150"/>
      <c r="M19" s="149"/>
      <c r="N19" s="149"/>
      <c r="O19" s="149"/>
      <c r="P19" s="149"/>
      <c r="Q19" s="149"/>
      <c r="S19" s="149"/>
    </row>
    <row r="20" spans="2:19" ht="15.75" thickTop="1">
      <c r="B20" s="150"/>
      <c r="C20" s="197" t="str">
        <f>'Pre- and Production'!Z143</f>
        <v>Pre-Production Base Cost</v>
      </c>
      <c r="D20" s="198"/>
      <c r="E20" s="198"/>
      <c r="F20" s="198"/>
      <c r="G20" s="198"/>
      <c r="H20" s="198"/>
      <c r="I20" s="199"/>
      <c r="J20" s="149"/>
      <c r="K20" s="149"/>
      <c r="L20" s="150"/>
      <c r="M20" s="197" t="str">
        <f>'Pre- and Production'!AJ143</f>
        <v>Pre-Production Contingency Cost</v>
      </c>
      <c r="N20" s="198"/>
      <c r="O20" s="198"/>
      <c r="P20" s="198"/>
      <c r="Q20" s="198"/>
      <c r="R20" s="198"/>
      <c r="S20" s="199"/>
    </row>
    <row r="21" spans="2:19" ht="15">
      <c r="B21" s="150"/>
      <c r="C21" s="154" t="str">
        <f>'Pre- and Production'!Z144</f>
        <v>Shop Time</v>
      </c>
      <c r="D21" s="155" t="str">
        <f>'Pre- and Production'!AA144</f>
        <v>MT Time</v>
      </c>
      <c r="E21" s="155" t="str">
        <f>'Pre- and Production'!AB144</f>
        <v>CMM</v>
      </c>
      <c r="F21" s="155" t="str">
        <f>'Pre- and Production'!AC144</f>
        <v>Engineering</v>
      </c>
      <c r="G21" s="155" t="str">
        <f>'Pre- and Production'!AD144</f>
        <v>Design</v>
      </c>
      <c r="H21" s="157" t="str">
        <f>'Pre- and Production'!AE144</f>
        <v>M&amp;S Cost</v>
      </c>
      <c r="I21" s="156"/>
      <c r="J21" s="149"/>
      <c r="K21" s="149"/>
      <c r="L21" s="150"/>
      <c r="M21" s="154" t="str">
        <f>'Pre- and Production'!AJ144</f>
        <v>Shop Time</v>
      </c>
      <c r="N21" s="155" t="str">
        <f>'Pre- and Production'!AK144</f>
        <v>MT Time</v>
      </c>
      <c r="O21" s="155" t="str">
        <f>'Pre- and Production'!AL144</f>
        <v>CMM</v>
      </c>
      <c r="P21" s="155" t="str">
        <f>'Pre- and Production'!AM144</f>
        <v>Engineering</v>
      </c>
      <c r="Q21" s="155" t="str">
        <f>'Pre- and Production'!AN144</f>
        <v>Design</v>
      </c>
      <c r="R21" s="157" t="str">
        <f>'Pre- and Production'!AO144</f>
        <v>M&amp;S Cost</v>
      </c>
      <c r="S21" s="156"/>
    </row>
    <row r="22" spans="2:19">
      <c r="B22" s="150">
        <f>'Pre- and Production'!Y145</f>
        <v>2008</v>
      </c>
      <c r="C22" s="151">
        <f>'Pre- and Production'!Z145</f>
        <v>0</v>
      </c>
      <c r="D22" s="152">
        <f>'Pre- and Production'!AA145</f>
        <v>0</v>
      </c>
      <c r="E22" s="152">
        <f>'Pre- and Production'!AB145</f>
        <v>0</v>
      </c>
      <c r="F22" s="152">
        <f>'Pre- and Production'!AC145</f>
        <v>0</v>
      </c>
      <c r="G22" s="152">
        <f>'Pre- and Production'!AD145</f>
        <v>0</v>
      </c>
      <c r="H22" s="42">
        <f>'Pre- and Production'!AE145</f>
        <v>0</v>
      </c>
      <c r="I22" s="153"/>
      <c r="J22" s="149"/>
      <c r="K22" s="149"/>
      <c r="L22" s="150">
        <f>'Pre- and Production'!AI145</f>
        <v>2008</v>
      </c>
      <c r="M22" s="151">
        <f>'Pre- and Production'!AJ145</f>
        <v>0</v>
      </c>
      <c r="N22" s="152">
        <f>'Pre- and Production'!AK145</f>
        <v>0</v>
      </c>
      <c r="O22" s="152">
        <f>'Pre- and Production'!AL145</f>
        <v>0</v>
      </c>
      <c r="P22" s="152">
        <f>'Pre- and Production'!AM145</f>
        <v>0</v>
      </c>
      <c r="Q22" s="152">
        <f>'Pre- and Production'!AN145</f>
        <v>0</v>
      </c>
      <c r="R22" s="42">
        <f>'Pre- and Production'!AO145</f>
        <v>0</v>
      </c>
      <c r="S22" s="153"/>
    </row>
    <row r="23" spans="2:19">
      <c r="B23" s="150">
        <f>'Pre- and Production'!Y146</f>
        <v>2009</v>
      </c>
      <c r="C23" s="151">
        <f>'Pre- and Production'!Z146</f>
        <v>0</v>
      </c>
      <c r="D23" s="152">
        <f>'Pre- and Production'!AA146</f>
        <v>0</v>
      </c>
      <c r="E23" s="152">
        <f>'Pre- and Production'!AB146</f>
        <v>0</v>
      </c>
      <c r="F23" s="152">
        <f>'Pre- and Production'!AC146</f>
        <v>0</v>
      </c>
      <c r="G23" s="152">
        <f>'Pre- and Production'!AD146</f>
        <v>0</v>
      </c>
      <c r="H23" s="42">
        <f>'Pre- and Production'!AE146</f>
        <v>0</v>
      </c>
      <c r="I23" s="153"/>
      <c r="J23" s="149"/>
      <c r="K23" s="149"/>
      <c r="L23" s="150">
        <f>'Pre- and Production'!AI146</f>
        <v>2009</v>
      </c>
      <c r="M23" s="151">
        <f>'Pre- and Production'!AJ146</f>
        <v>0</v>
      </c>
      <c r="N23" s="152">
        <f>'Pre- and Production'!AK146</f>
        <v>0</v>
      </c>
      <c r="O23" s="152">
        <f>'Pre- and Production'!AL146</f>
        <v>0</v>
      </c>
      <c r="P23" s="152">
        <f>'Pre- and Production'!AM146</f>
        <v>0</v>
      </c>
      <c r="Q23" s="152">
        <f>'Pre- and Production'!AN146</f>
        <v>0</v>
      </c>
      <c r="R23" s="42">
        <f>'Pre- and Production'!AO146</f>
        <v>0</v>
      </c>
      <c r="S23" s="153"/>
    </row>
    <row r="24" spans="2:19">
      <c r="B24" s="150">
        <f>'Pre- and Production'!Y147</f>
        <v>2010</v>
      </c>
      <c r="C24" s="151">
        <f>'Pre- and Production'!Z147</f>
        <v>0</v>
      </c>
      <c r="D24" s="152">
        <f>'Pre- and Production'!AA147</f>
        <v>0</v>
      </c>
      <c r="E24" s="152">
        <f>'Pre- and Production'!AB147</f>
        <v>0</v>
      </c>
      <c r="F24" s="152">
        <f>'Pre- and Production'!AC147</f>
        <v>0</v>
      </c>
      <c r="G24" s="152">
        <f>'Pre- and Production'!AD147</f>
        <v>0</v>
      </c>
      <c r="H24" s="42">
        <f>'Pre- and Production'!AE147</f>
        <v>0</v>
      </c>
      <c r="I24" s="153"/>
      <c r="J24" s="149"/>
      <c r="K24" s="149"/>
      <c r="L24" s="150">
        <f>'Pre- and Production'!AI147</f>
        <v>2010</v>
      </c>
      <c r="M24" s="151">
        <f>'Pre- and Production'!AJ147</f>
        <v>0</v>
      </c>
      <c r="N24" s="152">
        <f>'Pre- and Production'!AK147</f>
        <v>0</v>
      </c>
      <c r="O24" s="152">
        <f>'Pre- and Production'!AL147</f>
        <v>0</v>
      </c>
      <c r="P24" s="152">
        <f>'Pre- and Production'!AM147</f>
        <v>0</v>
      </c>
      <c r="Q24" s="152">
        <f>'Pre- and Production'!AN147</f>
        <v>0</v>
      </c>
      <c r="R24" s="42">
        <f>'Pre- and Production'!AO147</f>
        <v>0</v>
      </c>
      <c r="S24" s="153"/>
    </row>
    <row r="25" spans="2:19">
      <c r="B25" s="150" t="str">
        <f>'Pre- and Production'!Y148</f>
        <v>Hytec</v>
      </c>
      <c r="C25" s="151">
        <f>'Pre- and Production'!Z148</f>
        <v>0</v>
      </c>
      <c r="D25" s="152">
        <f>'Pre- and Production'!AA148</f>
        <v>0</v>
      </c>
      <c r="E25" s="152">
        <f>'Pre- and Production'!AB148</f>
        <v>0</v>
      </c>
      <c r="F25" s="152">
        <f>'Pre- and Production'!AC148</f>
        <v>0</v>
      </c>
      <c r="G25" s="152">
        <f>'Pre- and Production'!AD148</f>
        <v>0</v>
      </c>
      <c r="H25" s="42">
        <f>'Pre- and Production'!AE148</f>
        <v>0</v>
      </c>
      <c r="I25" s="153"/>
      <c r="J25" s="149"/>
      <c r="K25" s="149"/>
      <c r="L25" s="150" t="str">
        <f>'Pre- and Production'!AI148</f>
        <v>Hytec</v>
      </c>
      <c r="M25" s="151">
        <f>'Pre- and Production'!AJ148</f>
        <v>0</v>
      </c>
      <c r="N25" s="152">
        <f>'Pre- and Production'!AK148</f>
        <v>0</v>
      </c>
      <c r="O25" s="152">
        <f>'Pre- and Production'!AL148</f>
        <v>0</v>
      </c>
      <c r="P25" s="152">
        <f>'Pre- and Production'!AM148</f>
        <v>0</v>
      </c>
      <c r="Q25" s="152">
        <f>'Pre- and Production'!AN148</f>
        <v>0</v>
      </c>
      <c r="R25" s="42">
        <f>'Pre- and Production'!AO148</f>
        <v>0</v>
      </c>
      <c r="S25" s="153"/>
    </row>
    <row r="26" spans="2:19">
      <c r="B26" s="150" t="str">
        <f>'Pre- and Production'!Y149</f>
        <v>LANL</v>
      </c>
      <c r="C26" s="151">
        <f>'Pre- and Production'!Z149</f>
        <v>0</v>
      </c>
      <c r="D26" s="152">
        <f>'Pre- and Production'!AA149</f>
        <v>0</v>
      </c>
      <c r="E26" s="152">
        <f>'Pre- and Production'!AB149</f>
        <v>0</v>
      </c>
      <c r="F26" s="152">
        <f>'Pre- and Production'!AC149</f>
        <v>0</v>
      </c>
      <c r="G26" s="152">
        <f>'Pre- and Production'!AD149</f>
        <v>0</v>
      </c>
      <c r="H26" s="42">
        <f>'Pre- and Production'!AE149</f>
        <v>0</v>
      </c>
      <c r="I26" s="153"/>
      <c r="J26" s="149"/>
      <c r="K26" s="149"/>
      <c r="L26" s="150" t="str">
        <f>'Pre- and Production'!AI149</f>
        <v>LANL</v>
      </c>
      <c r="M26" s="151">
        <f>'Pre- and Production'!AJ149</f>
        <v>0</v>
      </c>
      <c r="N26" s="152">
        <f>'Pre- and Production'!AK149</f>
        <v>0</v>
      </c>
      <c r="O26" s="152">
        <f>'Pre- and Production'!AL149</f>
        <v>0</v>
      </c>
      <c r="P26" s="152">
        <f>'Pre- and Production'!AM149</f>
        <v>0</v>
      </c>
      <c r="Q26" s="152">
        <f>'Pre- and Production'!AN149</f>
        <v>0</v>
      </c>
      <c r="R26" s="42">
        <f>'Pre- and Production'!AO149</f>
        <v>0</v>
      </c>
      <c r="S26" s="153"/>
    </row>
    <row r="27" spans="2:19" ht="15">
      <c r="B27" s="150"/>
      <c r="C27" s="194" t="str">
        <f>'Pre- and Production'!Z150</f>
        <v>LBNL Cost</v>
      </c>
      <c r="D27" s="195"/>
      <c r="E27" s="195"/>
      <c r="F27" s="195"/>
      <c r="G27" s="195"/>
      <c r="H27" s="195"/>
      <c r="I27" s="196"/>
      <c r="J27" s="149"/>
      <c r="K27" s="149"/>
      <c r="L27" s="150"/>
      <c r="M27" s="194" t="str">
        <f>'Pre- and Production'!AJ150</f>
        <v>LBNL Cost</v>
      </c>
      <c r="N27" s="195"/>
      <c r="O27" s="195"/>
      <c r="P27" s="195"/>
      <c r="Q27" s="195"/>
      <c r="R27" s="195"/>
      <c r="S27" s="196"/>
    </row>
    <row r="28" spans="2:19" ht="15">
      <c r="B28" s="150"/>
      <c r="C28" s="154" t="str">
        <f>'Pre- and Production'!Z151</f>
        <v>Shop Cost</v>
      </c>
      <c r="D28" s="155" t="str">
        <f>'Pre- and Production'!AA151</f>
        <v>MT Cost</v>
      </c>
      <c r="E28" s="155" t="str">
        <f>'Pre- and Production'!AB151</f>
        <v>CMM</v>
      </c>
      <c r="F28" s="155" t="str">
        <f>'Pre- and Production'!AC151</f>
        <v>Engineering</v>
      </c>
      <c r="G28" s="155" t="str">
        <f>'Pre- and Production'!AD151</f>
        <v>Design</v>
      </c>
      <c r="H28" s="157" t="str">
        <f>'Pre- and Production'!AE151</f>
        <v>M&amp;S Cost</v>
      </c>
      <c r="I28" s="156" t="str">
        <f>'Pre- and Production'!AF151</f>
        <v>Totals</v>
      </c>
      <c r="J28" s="149"/>
      <c r="K28" s="149"/>
      <c r="L28" s="150"/>
      <c r="M28" s="154" t="str">
        <f>'Pre- and Production'!AJ151</f>
        <v>Shop Cost</v>
      </c>
      <c r="N28" s="155" t="str">
        <f>'Pre- and Production'!AK151</f>
        <v>MT Cost</v>
      </c>
      <c r="O28" s="155" t="str">
        <f>'Pre- and Production'!AL151</f>
        <v>CMM</v>
      </c>
      <c r="P28" s="155" t="str">
        <f>'Pre- and Production'!AM151</f>
        <v>Engineering</v>
      </c>
      <c r="Q28" s="155" t="str">
        <f>'Pre- and Production'!AN151</f>
        <v>Design</v>
      </c>
      <c r="R28" s="157" t="str">
        <f>'Pre- and Production'!AO151</f>
        <v>M&amp;S Cost</v>
      </c>
      <c r="S28" s="156" t="str">
        <f>'Pre- and Production'!AP151</f>
        <v>Totals</v>
      </c>
    </row>
    <row r="29" spans="2:19">
      <c r="B29" s="150">
        <f>'Pre- and Production'!Y152</f>
        <v>2008</v>
      </c>
      <c r="C29" s="44">
        <f>'Pre- and Production'!Z152</f>
        <v>0</v>
      </c>
      <c r="D29" s="42">
        <f>'Pre- and Production'!AA152</f>
        <v>0</v>
      </c>
      <c r="E29" s="42">
        <f>'Pre- and Production'!AB152</f>
        <v>0</v>
      </c>
      <c r="F29" s="42">
        <f>'Pre- and Production'!AC152</f>
        <v>0</v>
      </c>
      <c r="G29" s="42">
        <f>'Pre- and Production'!AD152</f>
        <v>0</v>
      </c>
      <c r="H29" s="42">
        <f>'Pre- and Production'!AE152</f>
        <v>0</v>
      </c>
      <c r="I29" s="45">
        <f>'Pre- and Production'!AF152</f>
        <v>0</v>
      </c>
      <c r="J29" s="149"/>
      <c r="K29" s="149"/>
      <c r="L29" s="150">
        <f>'Pre- and Production'!AI152</f>
        <v>2008</v>
      </c>
      <c r="M29" s="44">
        <f>'Pre- and Production'!AJ152</f>
        <v>0</v>
      </c>
      <c r="N29" s="42">
        <f>'Pre- and Production'!AK152</f>
        <v>0</v>
      </c>
      <c r="O29" s="42">
        <f>'Pre- and Production'!AL152</f>
        <v>0</v>
      </c>
      <c r="P29" s="42">
        <f>'Pre- and Production'!AM152</f>
        <v>0</v>
      </c>
      <c r="Q29" s="42">
        <f>'Pre- and Production'!AN152</f>
        <v>0</v>
      </c>
      <c r="R29" s="42">
        <f>'Pre- and Production'!AO152</f>
        <v>0</v>
      </c>
      <c r="S29" s="45">
        <f>'Pre- and Production'!AP152</f>
        <v>0</v>
      </c>
    </row>
    <row r="30" spans="2:19">
      <c r="B30" s="150">
        <f>'Pre- and Production'!Y153</f>
        <v>2009</v>
      </c>
      <c r="C30" s="44">
        <f>'Pre- and Production'!Z153</f>
        <v>0</v>
      </c>
      <c r="D30" s="42">
        <f>'Pre- and Production'!AA153</f>
        <v>0</v>
      </c>
      <c r="E30" s="42">
        <f>'Pre- and Production'!AB153</f>
        <v>0</v>
      </c>
      <c r="F30" s="42">
        <f>'Pre- and Production'!AC153</f>
        <v>0</v>
      </c>
      <c r="G30" s="42">
        <f>'Pre- and Production'!AD153</f>
        <v>0</v>
      </c>
      <c r="H30" s="42">
        <f>'Pre- and Production'!AE153</f>
        <v>0</v>
      </c>
      <c r="I30" s="45">
        <f>'Pre- and Production'!AF153</f>
        <v>0</v>
      </c>
      <c r="J30" s="149"/>
      <c r="K30" s="149"/>
      <c r="L30" s="150">
        <f>'Pre- and Production'!AI153</f>
        <v>2009</v>
      </c>
      <c r="M30" s="44">
        <f>'Pre- and Production'!AJ153</f>
        <v>0</v>
      </c>
      <c r="N30" s="42">
        <f>'Pre- and Production'!AK153</f>
        <v>0</v>
      </c>
      <c r="O30" s="42">
        <f>'Pre- and Production'!AL153</f>
        <v>0</v>
      </c>
      <c r="P30" s="42">
        <f>'Pre- and Production'!AM153</f>
        <v>0</v>
      </c>
      <c r="Q30" s="42">
        <f>'Pre- and Production'!AN153</f>
        <v>0</v>
      </c>
      <c r="R30" s="42">
        <f>'Pre- and Production'!AO153</f>
        <v>0</v>
      </c>
      <c r="S30" s="45">
        <f>'Pre- and Production'!AP153</f>
        <v>0</v>
      </c>
    </row>
    <row r="31" spans="2:19" ht="13.5" thickBot="1">
      <c r="B31" s="150">
        <f>'Pre- and Production'!Y154</f>
        <v>2010</v>
      </c>
      <c r="C31" s="46">
        <f>'Pre- and Production'!Z154</f>
        <v>0</v>
      </c>
      <c r="D31" s="47">
        <f>'Pre- and Production'!AA154</f>
        <v>0</v>
      </c>
      <c r="E31" s="47">
        <f>'Pre- and Production'!AB154</f>
        <v>0</v>
      </c>
      <c r="F31" s="47">
        <f>'Pre- and Production'!AC154</f>
        <v>0</v>
      </c>
      <c r="G31" s="47">
        <f>'Pre- and Production'!AD154</f>
        <v>0</v>
      </c>
      <c r="H31" s="47">
        <f>'Pre- and Production'!AE154</f>
        <v>0</v>
      </c>
      <c r="I31" s="48">
        <f>'Pre- and Production'!AF154</f>
        <v>0</v>
      </c>
      <c r="J31" s="149"/>
      <c r="K31" s="149"/>
      <c r="L31" s="150">
        <f>'Pre- and Production'!AI154</f>
        <v>2010</v>
      </c>
      <c r="M31" s="46">
        <f>'Pre- and Production'!AJ154</f>
        <v>0</v>
      </c>
      <c r="N31" s="47">
        <f>'Pre- and Production'!AK154</f>
        <v>0</v>
      </c>
      <c r="O31" s="47">
        <f>'Pre- and Production'!AL154</f>
        <v>0</v>
      </c>
      <c r="P31" s="47">
        <f>'Pre- and Production'!AM154</f>
        <v>0</v>
      </c>
      <c r="Q31" s="47">
        <f>'Pre- and Production'!AN154</f>
        <v>0</v>
      </c>
      <c r="R31" s="47">
        <f>'Pre- and Production'!AO154</f>
        <v>0</v>
      </c>
      <c r="S31" s="48">
        <f>'Pre- and Production'!AP154</f>
        <v>0</v>
      </c>
    </row>
    <row r="32" spans="2:19" ht="13.5" thickTop="1">
      <c r="B32" s="150"/>
      <c r="C32" s="149"/>
      <c r="D32" s="149"/>
      <c r="E32" s="149"/>
      <c r="F32" s="149"/>
      <c r="G32" s="149"/>
      <c r="H32" s="30" t="str">
        <f>'Pre- and Production'!AE155</f>
        <v>Base Cost</v>
      </c>
      <c r="I32" s="23">
        <f>'Pre- and Production'!AF155</f>
        <v>0</v>
      </c>
      <c r="J32" s="149"/>
      <c r="K32" s="149"/>
      <c r="L32" s="150"/>
      <c r="M32" s="149"/>
      <c r="N32" s="149"/>
      <c r="O32" s="149"/>
      <c r="P32" s="149"/>
      <c r="Q32" s="149"/>
      <c r="R32" s="30" t="str">
        <f>'Pre- and Production'!AO155</f>
        <v>Contingency</v>
      </c>
      <c r="S32" s="23">
        <f>'Pre- and Production'!AP155</f>
        <v>0</v>
      </c>
    </row>
    <row r="33" spans="2:19">
      <c r="B33" s="150"/>
      <c r="C33" s="149"/>
      <c r="D33" s="149"/>
      <c r="E33" s="149"/>
      <c r="F33" s="149"/>
      <c r="G33" s="149"/>
      <c r="I33" s="149"/>
      <c r="J33" s="149"/>
      <c r="K33" s="149"/>
      <c r="L33" s="150"/>
      <c r="M33" s="149"/>
      <c r="N33" s="149"/>
      <c r="O33" s="149"/>
      <c r="P33" s="149"/>
      <c r="Q33" s="149"/>
      <c r="R33" s="30" t="str">
        <f>'Pre- and Production'!AO156</f>
        <v>Percent</v>
      </c>
      <c r="S33" s="147" t="e">
        <f>'Pre- and Production'!AP156</f>
        <v>#DIV/0!</v>
      </c>
    </row>
    <row r="34" spans="2:19" ht="13.5" thickBot="1">
      <c r="B34" s="150"/>
      <c r="C34" s="149"/>
      <c r="D34" s="149"/>
      <c r="E34" s="149"/>
      <c r="F34" s="149"/>
      <c r="G34" s="149"/>
      <c r="I34" s="149"/>
      <c r="J34" s="149"/>
      <c r="K34" s="149"/>
      <c r="L34" s="150"/>
      <c r="M34" s="149"/>
      <c r="N34" s="149"/>
      <c r="O34" s="149"/>
      <c r="P34" s="149"/>
      <c r="Q34" s="149"/>
      <c r="S34" s="149"/>
    </row>
    <row r="35" spans="2:19" ht="15.75" thickTop="1">
      <c r="B35" s="150"/>
      <c r="C35" s="197" t="str">
        <f>'Pre- and Production'!Z158</f>
        <v>Production Base Cost</v>
      </c>
      <c r="D35" s="198"/>
      <c r="E35" s="198"/>
      <c r="F35" s="198"/>
      <c r="G35" s="198"/>
      <c r="H35" s="198"/>
      <c r="I35" s="199"/>
      <c r="J35" s="149"/>
      <c r="K35" s="149"/>
      <c r="L35" s="150"/>
      <c r="M35" s="197" t="str">
        <f>'Pre- and Production'!AJ158</f>
        <v>Production Contingency Cost</v>
      </c>
      <c r="N35" s="198"/>
      <c r="O35" s="198"/>
      <c r="P35" s="198"/>
      <c r="Q35" s="198"/>
      <c r="R35" s="198"/>
      <c r="S35" s="199"/>
    </row>
    <row r="36" spans="2:19" ht="15">
      <c r="B36" s="150"/>
      <c r="C36" s="154" t="str">
        <f>'Pre- and Production'!Z159</f>
        <v>Shop Time</v>
      </c>
      <c r="D36" s="155" t="str">
        <f>'Pre- and Production'!AA159</f>
        <v>MT Time</v>
      </c>
      <c r="E36" s="155" t="str">
        <f>'Pre- and Production'!AB159</f>
        <v>CMM</v>
      </c>
      <c r="F36" s="155" t="str">
        <f>'Pre- and Production'!AC159</f>
        <v>Engineering</v>
      </c>
      <c r="G36" s="155" t="str">
        <f>'Pre- and Production'!AD159</f>
        <v>Design</v>
      </c>
      <c r="H36" s="157" t="str">
        <f>'Pre- and Production'!AE159</f>
        <v>M&amp;S Cost</v>
      </c>
      <c r="I36" s="156"/>
      <c r="J36" s="149"/>
      <c r="K36" s="149"/>
      <c r="L36" s="150"/>
      <c r="M36" s="154" t="str">
        <f>'Pre- and Production'!AJ159</f>
        <v>Shop Time</v>
      </c>
      <c r="N36" s="155" t="str">
        <f>'Pre- and Production'!AK159</f>
        <v>MT Time</v>
      </c>
      <c r="O36" s="155" t="str">
        <f>'Pre- and Production'!AL159</f>
        <v>CMM</v>
      </c>
      <c r="P36" s="155" t="str">
        <f>'Pre- and Production'!AM159</f>
        <v>Engineering</v>
      </c>
      <c r="Q36" s="155" t="str">
        <f>'Pre- and Production'!AN159</f>
        <v>Design</v>
      </c>
      <c r="R36" s="157" t="str">
        <f>'Pre- and Production'!AO159</f>
        <v>M&amp;S Cost</v>
      </c>
      <c r="S36" s="156"/>
    </row>
    <row r="37" spans="2:19">
      <c r="B37" s="150">
        <f>'Pre- and Production'!Y160</f>
        <v>2008</v>
      </c>
      <c r="C37" s="151">
        <f>'Pre- and Production'!Z160</f>
        <v>0</v>
      </c>
      <c r="D37" s="152">
        <f>'Pre- and Production'!AA160</f>
        <v>0</v>
      </c>
      <c r="E37" s="152">
        <f>'Pre- and Production'!AB160</f>
        <v>0</v>
      </c>
      <c r="F37" s="152">
        <f>'Pre- and Production'!AC160</f>
        <v>0</v>
      </c>
      <c r="G37" s="152">
        <f>'Pre- and Production'!AD160</f>
        <v>0</v>
      </c>
      <c r="H37" s="42">
        <f>'Pre- and Production'!AE160</f>
        <v>0</v>
      </c>
      <c r="I37" s="153"/>
      <c r="J37" s="149"/>
      <c r="K37" s="149"/>
      <c r="L37" s="150">
        <f>'Pre- and Production'!AI160</f>
        <v>2008</v>
      </c>
      <c r="M37" s="151">
        <f>'Pre- and Production'!AJ160</f>
        <v>0</v>
      </c>
      <c r="N37" s="152">
        <f>'Pre- and Production'!AK160</f>
        <v>0</v>
      </c>
      <c r="O37" s="152">
        <f>'Pre- and Production'!AL160</f>
        <v>0</v>
      </c>
      <c r="P37" s="152">
        <f>'Pre- and Production'!AM160</f>
        <v>0</v>
      </c>
      <c r="Q37" s="152">
        <f>'Pre- and Production'!AN160</f>
        <v>0</v>
      </c>
      <c r="R37" s="42">
        <f>'Pre- and Production'!AO160</f>
        <v>0</v>
      </c>
      <c r="S37" s="153"/>
    </row>
    <row r="38" spans="2:19">
      <c r="B38" s="150">
        <f>'Pre- and Production'!Y161</f>
        <v>2009</v>
      </c>
      <c r="C38" s="151">
        <f>'Pre- and Production'!Z161</f>
        <v>500</v>
      </c>
      <c r="D38" s="152">
        <f>'Pre- and Production'!AA161</f>
        <v>628</v>
      </c>
      <c r="E38" s="152">
        <f>'Pre- and Production'!AB161</f>
        <v>92</v>
      </c>
      <c r="F38" s="152">
        <f>'Pre- and Production'!AC161</f>
        <v>416</v>
      </c>
      <c r="G38" s="152">
        <f>'Pre- and Production'!AD161</f>
        <v>0</v>
      </c>
      <c r="H38" s="42">
        <f>'Pre- and Production'!AE161</f>
        <v>43492.5</v>
      </c>
      <c r="I38" s="153"/>
      <c r="J38" s="149"/>
      <c r="K38" s="149"/>
      <c r="L38" s="150">
        <f>'Pre- and Production'!AI161</f>
        <v>2009</v>
      </c>
      <c r="M38" s="151">
        <f>'Pre- and Production'!AJ161</f>
        <v>72</v>
      </c>
      <c r="N38" s="152">
        <f>'Pre- and Production'!AK161</f>
        <v>197</v>
      </c>
      <c r="O38" s="152">
        <f>'Pre- and Production'!AL161</f>
        <v>112</v>
      </c>
      <c r="P38" s="152">
        <f>'Pre- and Production'!AM161</f>
        <v>92</v>
      </c>
      <c r="Q38" s="152">
        <f>'Pre- and Production'!AN161</f>
        <v>0</v>
      </c>
      <c r="R38" s="42">
        <f>'Pre- and Production'!AO161</f>
        <v>2225</v>
      </c>
      <c r="S38" s="153"/>
    </row>
    <row r="39" spans="2:19">
      <c r="B39" s="150">
        <f>'Pre- and Production'!Y162</f>
        <v>2010</v>
      </c>
      <c r="C39" s="151">
        <f>'Pre- and Production'!Z162</f>
        <v>0</v>
      </c>
      <c r="D39" s="152">
        <f>'Pre- and Production'!AA162</f>
        <v>0</v>
      </c>
      <c r="E39" s="152">
        <f>'Pre- and Production'!AB162</f>
        <v>0</v>
      </c>
      <c r="F39" s="152">
        <f>'Pre- and Production'!AC162</f>
        <v>0</v>
      </c>
      <c r="G39" s="152">
        <f>'Pre- and Production'!AD162</f>
        <v>0</v>
      </c>
      <c r="H39" s="42">
        <f>'Pre- and Production'!AE162</f>
        <v>0</v>
      </c>
      <c r="I39" s="153"/>
      <c r="J39" s="149"/>
      <c r="K39" s="149"/>
      <c r="L39" s="150">
        <f>'Pre- and Production'!AI162</f>
        <v>2010</v>
      </c>
      <c r="M39" s="151">
        <f>'Pre- and Production'!AJ162</f>
        <v>0</v>
      </c>
      <c r="N39" s="152">
        <f>'Pre- and Production'!AK162</f>
        <v>0</v>
      </c>
      <c r="O39" s="152">
        <f>'Pre- and Production'!AL162</f>
        <v>0</v>
      </c>
      <c r="P39" s="152">
        <f>'Pre- and Production'!AM162</f>
        <v>0</v>
      </c>
      <c r="Q39" s="152">
        <f>'Pre- and Production'!AN162</f>
        <v>0</v>
      </c>
      <c r="R39" s="42">
        <f>'Pre- and Production'!AO162</f>
        <v>0</v>
      </c>
      <c r="S39" s="153"/>
    </row>
    <row r="40" spans="2:19">
      <c r="B40" s="150" t="str">
        <f>'Pre- and Production'!Y163</f>
        <v>Hytec</v>
      </c>
      <c r="C40" s="151">
        <f>'Pre- and Production'!Z163</f>
        <v>174</v>
      </c>
      <c r="D40" s="152">
        <f>'Pre- and Production'!AA163</f>
        <v>0</v>
      </c>
      <c r="E40" s="152">
        <f>'Pre- and Production'!AB163</f>
        <v>0</v>
      </c>
      <c r="F40" s="152">
        <f>'Pre- and Production'!AC163</f>
        <v>0</v>
      </c>
      <c r="G40" s="152">
        <f>'Pre- and Production'!AD163</f>
        <v>0</v>
      </c>
      <c r="H40" s="42">
        <f>'Pre- and Production'!AE163</f>
        <v>5550</v>
      </c>
      <c r="I40" s="153"/>
      <c r="J40" s="149"/>
      <c r="K40" s="149"/>
      <c r="L40" s="150" t="str">
        <f>'Pre- and Production'!AI163</f>
        <v>Hytec</v>
      </c>
      <c r="M40" s="151">
        <f>'Pre- and Production'!AJ163</f>
        <v>31.6</v>
      </c>
      <c r="N40" s="152">
        <f>'Pre- and Production'!AK163</f>
        <v>0</v>
      </c>
      <c r="O40" s="152">
        <f>'Pre- and Production'!AL163</f>
        <v>0</v>
      </c>
      <c r="P40" s="152">
        <f>'Pre- and Production'!AM163</f>
        <v>0</v>
      </c>
      <c r="Q40" s="152">
        <f>'Pre- and Production'!AN163</f>
        <v>0</v>
      </c>
      <c r="R40" s="42">
        <f>'Pre- and Production'!AO163</f>
        <v>804</v>
      </c>
      <c r="S40" s="153"/>
    </row>
    <row r="41" spans="2:19">
      <c r="B41" s="150" t="str">
        <f>'Pre- and Production'!Y164</f>
        <v>LANL</v>
      </c>
      <c r="C41" s="151">
        <f>'Pre- and Production'!Z164</f>
        <v>0</v>
      </c>
      <c r="D41" s="152">
        <f>'Pre- and Production'!AA164</f>
        <v>0</v>
      </c>
      <c r="E41" s="152">
        <f>'Pre- and Production'!AB164</f>
        <v>0</v>
      </c>
      <c r="F41" s="152">
        <f>'Pre- and Production'!AC164</f>
        <v>0</v>
      </c>
      <c r="G41" s="152">
        <f>'Pre- and Production'!AD164</f>
        <v>0</v>
      </c>
      <c r="H41" s="42">
        <f>'Pre- and Production'!AE164</f>
        <v>0</v>
      </c>
      <c r="I41" s="153"/>
      <c r="J41" s="149"/>
      <c r="K41" s="149"/>
      <c r="L41" s="150" t="str">
        <f>'Pre- and Production'!AI164</f>
        <v>LANL</v>
      </c>
      <c r="M41" s="151">
        <f>'Pre- and Production'!AJ164</f>
        <v>0</v>
      </c>
      <c r="N41" s="152">
        <f>'Pre- and Production'!AK164</f>
        <v>0</v>
      </c>
      <c r="O41" s="152">
        <f>'Pre- and Production'!AL164</f>
        <v>0</v>
      </c>
      <c r="P41" s="152">
        <f>'Pre- and Production'!AM164</f>
        <v>0</v>
      </c>
      <c r="Q41" s="152">
        <f>'Pre- and Production'!AN164</f>
        <v>0</v>
      </c>
      <c r="R41" s="42">
        <f>'Pre- and Production'!AO164</f>
        <v>0</v>
      </c>
      <c r="S41" s="153"/>
    </row>
    <row r="42" spans="2:19" ht="15">
      <c r="B42" s="150"/>
      <c r="C42" s="194" t="str">
        <f>'Pre- and Production'!Z165</f>
        <v>LBNL Cost</v>
      </c>
      <c r="D42" s="195"/>
      <c r="E42" s="195"/>
      <c r="F42" s="195"/>
      <c r="G42" s="195"/>
      <c r="H42" s="195"/>
      <c r="I42" s="196"/>
      <c r="J42" s="149"/>
      <c r="K42" s="149"/>
      <c r="L42" s="150"/>
      <c r="M42" s="194" t="str">
        <f>'Pre- and Production'!AJ165</f>
        <v>LBNL Cost</v>
      </c>
      <c r="N42" s="195"/>
      <c r="O42" s="195"/>
      <c r="P42" s="195"/>
      <c r="Q42" s="195"/>
      <c r="R42" s="195"/>
      <c r="S42" s="196"/>
    </row>
    <row r="43" spans="2:19" ht="15">
      <c r="B43" s="150"/>
      <c r="C43" s="154" t="str">
        <f>'Pre- and Production'!Z166</f>
        <v>Shop Cost</v>
      </c>
      <c r="D43" s="155" t="str">
        <f>'Pre- and Production'!AA166</f>
        <v>MT Cost</v>
      </c>
      <c r="E43" s="155" t="str">
        <f>'Pre- and Production'!AB166</f>
        <v>CMM</v>
      </c>
      <c r="F43" s="155" t="str">
        <f>'Pre- and Production'!AC166</f>
        <v>Engineering</v>
      </c>
      <c r="G43" s="155" t="str">
        <f>'Pre- and Production'!AD166</f>
        <v>Design</v>
      </c>
      <c r="H43" s="157" t="str">
        <f>'Pre- and Production'!AE166</f>
        <v>M&amp;S Cost</v>
      </c>
      <c r="I43" s="156" t="str">
        <f>'Pre- and Production'!AF166</f>
        <v>Totals</v>
      </c>
      <c r="J43" s="149"/>
      <c r="K43" s="149"/>
      <c r="L43" s="150"/>
      <c r="M43" s="154" t="str">
        <f>'Pre- and Production'!AJ166</f>
        <v>Shop Cost</v>
      </c>
      <c r="N43" s="155" t="str">
        <f>'Pre- and Production'!AK166</f>
        <v>MT Cost</v>
      </c>
      <c r="O43" s="155" t="str">
        <f>'Pre- and Production'!AL166</f>
        <v>CMM</v>
      </c>
      <c r="P43" s="155" t="str">
        <f>'Pre- and Production'!AM166</f>
        <v>Engineering</v>
      </c>
      <c r="Q43" s="155" t="str">
        <f>'Pre- and Production'!AN166</f>
        <v>Design</v>
      </c>
      <c r="R43" s="157" t="str">
        <f>'Pre- and Production'!AO166</f>
        <v>M&amp;S Cost</v>
      </c>
      <c r="S43" s="156" t="str">
        <f>'Pre- and Production'!AP166</f>
        <v>Totals</v>
      </c>
    </row>
    <row r="44" spans="2:19">
      <c r="B44" s="150">
        <f>'Pre- and Production'!Y167</f>
        <v>2008</v>
      </c>
      <c r="C44" s="44">
        <f>'Pre- and Production'!Z167</f>
        <v>0</v>
      </c>
      <c r="D44" s="42">
        <f>'Pre- and Production'!AA167</f>
        <v>0</v>
      </c>
      <c r="E44" s="42">
        <f>'Pre- and Production'!AB167</f>
        <v>0</v>
      </c>
      <c r="F44" s="42">
        <f>'Pre- and Production'!AC167</f>
        <v>0</v>
      </c>
      <c r="G44" s="42">
        <f>'Pre- and Production'!AD167</f>
        <v>0</v>
      </c>
      <c r="H44" s="42">
        <f>'Pre- and Production'!AE167</f>
        <v>0</v>
      </c>
      <c r="I44" s="45">
        <f>'Pre- and Production'!AF167</f>
        <v>0</v>
      </c>
      <c r="J44" s="149"/>
      <c r="K44" s="149"/>
      <c r="L44" s="150">
        <f>'Pre- and Production'!AI167</f>
        <v>2008</v>
      </c>
      <c r="M44" s="44">
        <f>'Pre- and Production'!AJ167</f>
        <v>0</v>
      </c>
      <c r="N44" s="42">
        <f>'Pre- and Production'!AK167</f>
        <v>0</v>
      </c>
      <c r="O44" s="42">
        <f>'Pre- and Production'!AL167</f>
        <v>0</v>
      </c>
      <c r="P44" s="42">
        <f>'Pre- and Production'!AM167</f>
        <v>0</v>
      </c>
      <c r="Q44" s="42">
        <f>'Pre- and Production'!AN167</f>
        <v>0</v>
      </c>
      <c r="R44" s="42">
        <f>'Pre- and Production'!AO167</f>
        <v>0</v>
      </c>
      <c r="S44" s="45">
        <f>'Pre- and Production'!AP167</f>
        <v>0</v>
      </c>
    </row>
    <row r="45" spans="2:19">
      <c r="B45" s="150">
        <f>'Pre- and Production'!Y168</f>
        <v>2009</v>
      </c>
      <c r="C45" s="44">
        <f>'Pre- and Production'!Z168</f>
        <v>63500</v>
      </c>
      <c r="D45" s="42">
        <f>'Pre- and Production'!AA168</f>
        <v>73476</v>
      </c>
      <c r="E45" s="42">
        <f>'Pre- and Production'!AB168</f>
        <v>11684</v>
      </c>
      <c r="F45" s="42">
        <f>'Pre- and Production'!AC168</f>
        <v>62400</v>
      </c>
      <c r="G45" s="42">
        <f>'Pre- and Production'!AD168</f>
        <v>0</v>
      </c>
      <c r="H45" s="42">
        <f>'Pre- and Production'!AE168</f>
        <v>43492.5</v>
      </c>
      <c r="I45" s="45">
        <f>'Pre- and Production'!AF168</f>
        <v>254552.5</v>
      </c>
      <c r="J45" s="149"/>
      <c r="K45" s="149"/>
      <c r="L45" s="150">
        <f>'Pre- and Production'!AI168</f>
        <v>2009</v>
      </c>
      <c r="M45" s="44">
        <f>'Pre- and Production'!AJ168</f>
        <v>9144</v>
      </c>
      <c r="N45" s="42">
        <f>'Pre- and Production'!AK168</f>
        <v>23049</v>
      </c>
      <c r="O45" s="42">
        <f>'Pre- and Production'!AL168</f>
        <v>14224</v>
      </c>
      <c r="P45" s="42">
        <f>'Pre- and Production'!AM168</f>
        <v>13800</v>
      </c>
      <c r="Q45" s="42">
        <f>'Pre- and Production'!AN168</f>
        <v>0</v>
      </c>
      <c r="R45" s="42">
        <f>'Pre- and Production'!AO168</f>
        <v>2225</v>
      </c>
      <c r="S45" s="45">
        <f>'Pre- and Production'!AP168</f>
        <v>62442</v>
      </c>
    </row>
    <row r="46" spans="2:19" ht="13.5" thickBot="1">
      <c r="B46" s="150">
        <f>'Pre- and Production'!Y169</f>
        <v>2010</v>
      </c>
      <c r="C46" s="46">
        <f>'Pre- and Production'!Z169</f>
        <v>0</v>
      </c>
      <c r="D46" s="47">
        <f>'Pre- and Production'!AA169</f>
        <v>0</v>
      </c>
      <c r="E46" s="47">
        <f>'Pre- and Production'!AB169</f>
        <v>0</v>
      </c>
      <c r="F46" s="47">
        <f>'Pre- and Production'!AC169</f>
        <v>0</v>
      </c>
      <c r="G46" s="47">
        <f>'Pre- and Production'!AD169</f>
        <v>0</v>
      </c>
      <c r="H46" s="47">
        <f>'Pre- and Production'!AE169</f>
        <v>0</v>
      </c>
      <c r="I46" s="48">
        <f>'Pre- and Production'!AF169</f>
        <v>0</v>
      </c>
      <c r="J46" s="149"/>
      <c r="K46" s="149"/>
      <c r="L46" s="150">
        <f>'Pre- and Production'!AI169</f>
        <v>2010</v>
      </c>
      <c r="M46" s="46">
        <f>'Pre- and Production'!AJ169</f>
        <v>0</v>
      </c>
      <c r="N46" s="47">
        <f>'Pre- and Production'!AK169</f>
        <v>0</v>
      </c>
      <c r="O46" s="47">
        <f>'Pre- and Production'!AL169</f>
        <v>0</v>
      </c>
      <c r="P46" s="47">
        <f>'Pre- and Production'!AM169</f>
        <v>0</v>
      </c>
      <c r="Q46" s="47">
        <f>'Pre- and Production'!AN169</f>
        <v>0</v>
      </c>
      <c r="R46" s="47">
        <f>'Pre- and Production'!AO169</f>
        <v>0</v>
      </c>
      <c r="S46" s="48">
        <f>'Pre- and Production'!AP169</f>
        <v>0</v>
      </c>
    </row>
    <row r="47" spans="2:19" ht="13.5" thickTop="1">
      <c r="B47" s="150"/>
      <c r="C47" s="149"/>
      <c r="D47" s="149"/>
      <c r="E47" s="149"/>
      <c r="F47" s="149"/>
      <c r="G47" s="149"/>
      <c r="H47" s="30" t="str">
        <f>'Pre- and Production'!AE170</f>
        <v>Base Cost</v>
      </c>
      <c r="I47" s="23">
        <f>'Pre- and Production'!AF170</f>
        <v>254552.5</v>
      </c>
      <c r="J47" s="149"/>
      <c r="K47" s="149"/>
      <c r="L47" s="150"/>
      <c r="M47" s="149"/>
      <c r="N47" s="149"/>
      <c r="O47" s="149"/>
      <c r="P47" s="149"/>
      <c r="Q47" s="149"/>
      <c r="R47" s="30" t="str">
        <f>'Pre- and Production'!AO170</f>
        <v>Contingency</v>
      </c>
      <c r="S47" s="23">
        <f>'Pre- and Production'!AP170</f>
        <v>62442</v>
      </c>
    </row>
    <row r="48" spans="2:19">
      <c r="B48" s="150"/>
      <c r="C48" s="149"/>
      <c r="D48" s="149"/>
      <c r="E48" s="149"/>
      <c r="F48" s="149"/>
      <c r="G48" s="149"/>
      <c r="I48" s="149"/>
      <c r="J48" s="149"/>
      <c r="K48" s="149"/>
      <c r="L48" s="150"/>
      <c r="M48" s="149"/>
      <c r="N48" s="149"/>
      <c r="O48" s="149"/>
      <c r="P48" s="149"/>
      <c r="Q48" s="149"/>
      <c r="R48" s="30" t="str">
        <f>'Pre- and Production'!AO171</f>
        <v>Percent</v>
      </c>
      <c r="S48" s="147">
        <f>'Pre- and Production'!AP171</f>
        <v>0.24530106755973718</v>
      </c>
    </row>
  </sheetData>
  <mergeCells count="12">
    <mergeCell ref="C42:I42"/>
    <mergeCell ref="M42:S42"/>
    <mergeCell ref="C5:I5"/>
    <mergeCell ref="M5:S5"/>
    <mergeCell ref="C12:I12"/>
    <mergeCell ref="M12:S12"/>
    <mergeCell ref="C20:I20"/>
    <mergeCell ref="C35:I35"/>
    <mergeCell ref="M35:S35"/>
    <mergeCell ref="M20:S20"/>
    <mergeCell ref="C27:I27"/>
    <mergeCell ref="M27:S27"/>
  </mergeCells>
  <pageMargins left="0.49" right="0.46" top="1.1000000000000001" bottom="0.75" header="0.3" footer="0.3"/>
  <pageSetup paperSize="9" scale="79" orientation="landscape" horizontalDpi="4294967293" r:id="rId1"/>
  <headerFooter>
    <oddHeader>&amp;C&amp;16PHENIX BARREL SUPPORT COST SUMMARY</oddHeader>
    <oddFooter>&amp;LReleased 22-October-2008&amp;C&amp;F&amp;RE Anderssen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U172"/>
  <sheetViews>
    <sheetView zoomScaleNormal="100" workbookViewId="0">
      <pane ySplit="3255" topLeftCell="A4" activePane="bottomLeft"/>
      <selection activeCell="T1" sqref="T1:X1048576"/>
      <selection pane="bottomLeft" activeCell="G27" sqref="G27"/>
    </sheetView>
  </sheetViews>
  <sheetFormatPr defaultRowHeight="12.75"/>
  <cols>
    <col min="1" max="1" width="49.28515625" bestFit="1" customWidth="1"/>
    <col min="2" max="2" width="16.7109375" bestFit="1" customWidth="1"/>
    <col min="3" max="3" width="6" bestFit="1" customWidth="1"/>
    <col min="4" max="4" width="9.42578125" bestFit="1" customWidth="1"/>
    <col min="5" max="5" width="7.5703125" style="23" bestFit="1" customWidth="1"/>
    <col min="6" max="6" width="8" style="23" bestFit="1" customWidth="1"/>
    <col min="7" max="8" width="5.7109375" style="106" bestFit="1" customWidth="1"/>
    <col min="9" max="9" width="4.5703125" style="106" bestFit="1" customWidth="1"/>
    <col min="10" max="10" width="5.7109375" style="107" bestFit="1" customWidth="1"/>
    <col min="11" max="11" width="4.5703125" style="107" bestFit="1" customWidth="1"/>
    <col min="12" max="12" width="6.28515625" bestFit="1" customWidth="1"/>
    <col min="13" max="13" width="8.7109375" bestFit="1" customWidth="1"/>
    <col min="14" max="14" width="4.85546875" style="19" customWidth="1"/>
    <col min="15" max="15" width="10.7109375" customWidth="1"/>
    <col min="16" max="16" width="2.5703125" customWidth="1"/>
    <col min="17" max="17" width="3.7109375" style="85" bestFit="1" customWidth="1"/>
    <col min="18" max="18" width="3.7109375" style="85" customWidth="1"/>
    <col min="19" max="19" width="9.5703125" style="143" hidden="1" customWidth="1"/>
    <col min="20" max="20" width="14.5703125" style="8" hidden="1" customWidth="1"/>
    <col min="21" max="21" width="12.140625" style="11" hidden="1" customWidth="1"/>
    <col min="22" max="22" width="14.42578125" style="11" hidden="1" customWidth="1"/>
    <col min="23" max="23" width="17.7109375" style="11" hidden="1" customWidth="1"/>
    <col min="24" max="24" width="12.5703125" style="11" hidden="1" customWidth="1"/>
    <col min="25" max="25" width="6.7109375" style="32" bestFit="1" customWidth="1"/>
    <col min="26" max="26" width="10.7109375" bestFit="1" customWidth="1"/>
    <col min="27" max="27" width="9.140625" bestFit="1" customWidth="1"/>
    <col min="28" max="28" width="6.5703125" bestFit="1" customWidth="1"/>
    <col min="29" max="29" width="11.85546875" bestFit="1" customWidth="1"/>
    <col min="30" max="30" width="7.5703125" bestFit="1" customWidth="1"/>
    <col min="31" max="31" width="11.7109375" customWidth="1"/>
    <col min="32" max="32" width="10.85546875" bestFit="1" customWidth="1"/>
    <col min="33" max="33" width="10.42578125" customWidth="1"/>
    <col min="34" max="34" width="10.42578125" hidden="1" customWidth="1"/>
    <col min="35" max="35" width="11.28515625" style="23" bestFit="1" customWidth="1"/>
    <col min="36" max="36" width="10.7109375" bestFit="1" customWidth="1"/>
    <col min="37" max="37" width="9.140625" bestFit="1" customWidth="1"/>
    <col min="38" max="38" width="7.5703125" bestFit="1" customWidth="1"/>
    <col min="39" max="39" width="11.85546875" bestFit="1" customWidth="1"/>
    <col min="40" max="40" width="7.5703125" bestFit="1" customWidth="1"/>
    <col min="41" max="41" width="12.85546875" bestFit="1" customWidth="1"/>
    <col min="42" max="42" width="10.85546875" bestFit="1" customWidth="1"/>
  </cols>
  <sheetData>
    <row r="2" spans="1:42" ht="18">
      <c r="A2" s="9" t="s">
        <v>166</v>
      </c>
      <c r="Q2" s="207" t="s">
        <v>92</v>
      </c>
      <c r="R2" s="208"/>
      <c r="S2" s="208"/>
      <c r="T2" s="208"/>
      <c r="U2" s="208"/>
      <c r="V2" s="208"/>
      <c r="W2" s="208"/>
      <c r="X2" s="208"/>
      <c r="Y2" s="209"/>
      <c r="Z2" s="210" t="s">
        <v>51</v>
      </c>
      <c r="AA2" s="211"/>
      <c r="AB2" s="211"/>
      <c r="AC2" s="211"/>
      <c r="AD2" s="211"/>
      <c r="AE2" s="211"/>
      <c r="AF2" s="212"/>
      <c r="AG2" s="35"/>
      <c r="AH2" s="35"/>
      <c r="AJ2" s="210" t="s">
        <v>52</v>
      </c>
      <c r="AK2" s="211"/>
      <c r="AL2" s="211"/>
      <c r="AM2" s="211"/>
      <c r="AN2" s="211"/>
      <c r="AO2" s="211"/>
      <c r="AP2" s="212"/>
    </row>
    <row r="3" spans="1:42" ht="118.9" customHeight="1">
      <c r="A3" s="1" t="s">
        <v>0</v>
      </c>
      <c r="B3" s="1" t="s">
        <v>6</v>
      </c>
      <c r="C3" s="13" t="s">
        <v>1</v>
      </c>
      <c r="D3" s="1" t="s">
        <v>2</v>
      </c>
      <c r="E3" s="94" t="s">
        <v>4</v>
      </c>
      <c r="F3" s="102" t="s">
        <v>3</v>
      </c>
      <c r="G3" s="108" t="s">
        <v>11</v>
      </c>
      <c r="H3" s="108" t="s">
        <v>10</v>
      </c>
      <c r="I3" s="108" t="s">
        <v>39</v>
      </c>
      <c r="J3" s="109" t="s">
        <v>29</v>
      </c>
      <c r="K3" s="109" t="s">
        <v>30</v>
      </c>
      <c r="L3" s="1" t="s">
        <v>2</v>
      </c>
      <c r="M3" s="86" t="s">
        <v>72</v>
      </c>
      <c r="N3" s="20" t="s">
        <v>42</v>
      </c>
      <c r="O3" s="131" t="s">
        <v>108</v>
      </c>
      <c r="P3" s="7"/>
      <c r="Q3" s="70" t="s">
        <v>43</v>
      </c>
      <c r="R3" s="135" t="s">
        <v>89</v>
      </c>
      <c r="S3" s="144" t="s">
        <v>91</v>
      </c>
      <c r="T3" s="71" t="s">
        <v>35</v>
      </c>
      <c r="U3" s="72" t="s">
        <v>36</v>
      </c>
      <c r="V3" s="72" t="s">
        <v>88</v>
      </c>
      <c r="W3" s="72" t="s">
        <v>37</v>
      </c>
      <c r="X3" s="72" t="s">
        <v>38</v>
      </c>
      <c r="Y3" s="73" t="s">
        <v>48</v>
      </c>
      <c r="Z3" s="74" t="s">
        <v>14</v>
      </c>
      <c r="AA3" s="75" t="s">
        <v>15</v>
      </c>
      <c r="AB3" s="75" t="s">
        <v>39</v>
      </c>
      <c r="AC3" s="75" t="s">
        <v>31</v>
      </c>
      <c r="AD3" s="75" t="s">
        <v>32</v>
      </c>
      <c r="AE3" s="75" t="s">
        <v>74</v>
      </c>
      <c r="AF3" s="76" t="s">
        <v>12</v>
      </c>
      <c r="AG3" s="14"/>
      <c r="AH3" s="14"/>
      <c r="AJ3" s="74" t="s">
        <v>14</v>
      </c>
      <c r="AK3" s="75" t="s">
        <v>15</v>
      </c>
      <c r="AL3" s="75" t="s">
        <v>39</v>
      </c>
      <c r="AM3" s="75" t="s">
        <v>31</v>
      </c>
      <c r="AN3" s="75" t="s">
        <v>32</v>
      </c>
      <c r="AO3" s="75" t="s">
        <v>74</v>
      </c>
      <c r="AP3" s="76" t="s">
        <v>12</v>
      </c>
    </row>
    <row r="4" spans="1:42" ht="15.75">
      <c r="A4" s="80" t="s">
        <v>60</v>
      </c>
      <c r="B4" s="2" t="s">
        <v>5</v>
      </c>
      <c r="C4" s="2"/>
      <c r="D4" s="2"/>
      <c r="E4" s="3"/>
      <c r="F4" s="103"/>
      <c r="G4" s="110"/>
      <c r="H4" s="110"/>
      <c r="I4" s="110"/>
      <c r="J4" s="111"/>
      <c r="K4" s="112"/>
      <c r="L4" s="2"/>
      <c r="M4" s="2"/>
      <c r="N4" s="10"/>
      <c r="O4" s="2"/>
      <c r="P4" s="2"/>
      <c r="Q4" s="83"/>
      <c r="R4" s="136"/>
      <c r="S4" s="139"/>
      <c r="T4" s="59"/>
      <c r="U4" s="59"/>
      <c r="V4" s="59"/>
      <c r="W4" s="59"/>
      <c r="X4" s="134" t="s">
        <v>87</v>
      </c>
      <c r="Y4" s="65"/>
      <c r="Z4" s="59"/>
      <c r="AA4" s="59"/>
      <c r="AB4" s="59"/>
      <c r="AC4" s="59"/>
      <c r="AD4" s="59"/>
      <c r="AE4" s="59"/>
      <c r="AF4" s="60"/>
      <c r="AJ4" s="61"/>
      <c r="AK4" s="59"/>
      <c r="AL4" s="59"/>
      <c r="AM4" s="59"/>
      <c r="AN4" s="59"/>
      <c r="AO4" s="59"/>
      <c r="AP4" s="60"/>
    </row>
    <row r="5" spans="1:42" s="29" customFormat="1">
      <c r="A5" s="79" t="s">
        <v>106</v>
      </c>
      <c r="B5" s="29" t="s">
        <v>107</v>
      </c>
      <c r="C5" s="29">
        <v>1</v>
      </c>
      <c r="D5" s="29" t="s">
        <v>64</v>
      </c>
      <c r="E5" s="130">
        <v>21000</v>
      </c>
      <c r="F5" s="222">
        <f t="shared" ref="F5:F11" si="0">E5*C5</f>
        <v>21000</v>
      </c>
      <c r="G5" s="126">
        <v>0</v>
      </c>
      <c r="H5" s="126">
        <v>0</v>
      </c>
      <c r="I5" s="126">
        <v>0</v>
      </c>
      <c r="J5" s="126">
        <v>8</v>
      </c>
      <c r="K5" s="223">
        <v>0</v>
      </c>
      <c r="L5" s="29" t="s">
        <v>8</v>
      </c>
      <c r="M5" s="130">
        <f t="shared" ref="M5:M10" si="1">((Shop*G5)+(M_Tech*H5)+(CMM*I5)+(ENG*J5)+(DES*K5))*N5</f>
        <v>1200</v>
      </c>
      <c r="N5" s="29">
        <v>1</v>
      </c>
      <c r="O5" s="224">
        <f t="shared" ref="O5:O10" si="2">M5+(N5*F5)</f>
        <v>22200</v>
      </c>
      <c r="P5" s="224"/>
      <c r="Q5" s="84" t="s">
        <v>49</v>
      </c>
      <c r="R5" s="137" t="s">
        <v>90</v>
      </c>
      <c r="S5" s="140" t="str">
        <f t="shared" ref="S5:S12" si="3">CONCATENATE(Q5,R5,Y5)</f>
        <v>BPD2009</v>
      </c>
      <c r="Y5" s="63">
        <v>2009</v>
      </c>
      <c r="Z5" s="225">
        <f t="shared" ref="Z5:Z12" si="4">IF($Q5="B", (G5*$N5),0)</f>
        <v>0</v>
      </c>
      <c r="AA5" s="225">
        <f t="shared" ref="AA5:AA12" si="5">IF($Q5="B", (H5*$N5),0)</f>
        <v>0</v>
      </c>
      <c r="AB5" s="225">
        <f t="shared" ref="AB5:AB12" si="6">IF($Q5="B", (I5*$N5),0)</f>
        <v>0</v>
      </c>
      <c r="AC5" s="225">
        <f t="shared" ref="AC5:AC12" si="7">IF($Q5="B", (J5*$N5),0)</f>
        <v>8</v>
      </c>
      <c r="AD5" s="225">
        <f t="shared" ref="AD5:AD12" si="8">IF($Q5="B", (K5*$N5),0)</f>
        <v>0</v>
      </c>
      <c r="AE5" s="226">
        <f t="shared" ref="AE5:AE10" si="9">IF($Q5="B", (F5*$N5),0)</f>
        <v>21000</v>
      </c>
      <c r="AF5" s="227"/>
      <c r="AI5" s="130"/>
      <c r="AJ5" s="228">
        <f t="shared" ref="AJ5:AJ12" si="10">IF($Q5="C", (G5*$N5),0)</f>
        <v>0</v>
      </c>
      <c r="AK5" s="229">
        <f t="shared" ref="AK5:AK12" si="11">IF($Q5="C", (H5*$N5),0)</f>
        <v>0</v>
      </c>
      <c r="AL5" s="229">
        <f t="shared" ref="AL5:AL12" si="12">IF($Q5="C", (I5*$N5),0)</f>
        <v>0</v>
      </c>
      <c r="AM5" s="229">
        <f t="shared" ref="AM5:AM12" si="13">IF($Q5="C", (J5*$N5),0)</f>
        <v>0</v>
      </c>
      <c r="AN5" s="229">
        <f t="shared" ref="AN5:AN12" si="14">IF($Q5="C", (K5*$N5),0)</f>
        <v>0</v>
      </c>
      <c r="AO5" s="225">
        <f t="shared" ref="AO5:AO10" si="15">IF($Q5="C", (F5*$N5),0)</f>
        <v>0</v>
      </c>
      <c r="AP5" s="227"/>
    </row>
    <row r="6" spans="1:42" s="29" customFormat="1">
      <c r="A6" s="78" t="s">
        <v>273</v>
      </c>
      <c r="B6" s="29" t="s">
        <v>9</v>
      </c>
      <c r="C6" s="29">
        <v>0</v>
      </c>
      <c r="D6" s="29" t="s">
        <v>9</v>
      </c>
      <c r="E6" s="130">
        <f>0.2*E5</f>
        <v>4200</v>
      </c>
      <c r="F6" s="222">
        <f t="shared" ref="F6" si="16">E6*C6</f>
        <v>0</v>
      </c>
      <c r="G6" s="126">
        <v>0</v>
      </c>
      <c r="H6" s="126">
        <v>0</v>
      </c>
      <c r="I6" s="126">
        <v>0</v>
      </c>
      <c r="J6" s="126">
        <v>0</v>
      </c>
      <c r="K6" s="223">
        <v>0</v>
      </c>
      <c r="L6" s="29" t="s">
        <v>8</v>
      </c>
      <c r="M6" s="130">
        <f t="shared" ref="M6" si="17">((Shop*G6)+(M_Tech*H6)+(CMM*I6)+(ENG*J6)+(DES*K6))*N6</f>
        <v>0</v>
      </c>
      <c r="N6" s="29">
        <v>1</v>
      </c>
      <c r="O6" s="224">
        <f t="shared" ref="O6" si="18">M6+(N6*F6)</f>
        <v>0</v>
      </c>
      <c r="P6" s="224"/>
      <c r="Q6" s="84" t="s">
        <v>50</v>
      </c>
      <c r="R6" s="137" t="s">
        <v>90</v>
      </c>
      <c r="S6" s="140" t="str">
        <f t="shared" ref="S6" si="19">CONCATENATE(Q6,R6,Y6)</f>
        <v>CPD2009</v>
      </c>
      <c r="Y6" s="63">
        <v>2009</v>
      </c>
      <c r="Z6" s="225">
        <f t="shared" ref="Z6" si="20">IF($Q6="B", (G6*$N6),0)</f>
        <v>0</v>
      </c>
      <c r="AA6" s="225">
        <f t="shared" ref="AA6" si="21">IF($Q6="B", (H6*$N6),0)</f>
        <v>0</v>
      </c>
      <c r="AB6" s="225">
        <f t="shared" ref="AB6" si="22">IF($Q6="B", (I6*$N6),0)</f>
        <v>0</v>
      </c>
      <c r="AC6" s="225">
        <f t="shared" ref="AC6" si="23">IF($Q6="B", (J6*$N6),0)</f>
        <v>0</v>
      </c>
      <c r="AD6" s="225">
        <f t="shared" ref="AD6" si="24">IF($Q6="B", (K6*$N6),0)</f>
        <v>0</v>
      </c>
      <c r="AE6" s="226">
        <f t="shared" ref="AE6" si="25">IF($Q6="B", (F6*$N6),0)</f>
        <v>0</v>
      </c>
      <c r="AF6" s="227"/>
      <c r="AI6" s="130"/>
      <c r="AJ6" s="228">
        <f t="shared" ref="AJ6" si="26">IF($Q6="C", (G6*$N6),0)</f>
        <v>0</v>
      </c>
      <c r="AK6" s="229">
        <f t="shared" ref="AK6" si="27">IF($Q6="C", (H6*$N6),0)</f>
        <v>0</v>
      </c>
      <c r="AL6" s="229">
        <f t="shared" ref="AL6" si="28">IF($Q6="C", (I6*$N6),0)</f>
        <v>0</v>
      </c>
      <c r="AM6" s="229">
        <f t="shared" ref="AM6" si="29">IF($Q6="C", (J6*$N6),0)</f>
        <v>0</v>
      </c>
      <c r="AN6" s="229">
        <f t="shared" ref="AN6" si="30">IF($Q6="C", (K6*$N6),0)</f>
        <v>0</v>
      </c>
      <c r="AO6" s="225">
        <f t="shared" ref="AO6" si="31">IF($Q6="C", (F6*$N6),0)</f>
        <v>0</v>
      </c>
      <c r="AP6" s="227"/>
    </row>
    <row r="7" spans="1:42" s="29" customFormat="1">
      <c r="A7" s="78" t="s">
        <v>61</v>
      </c>
      <c r="B7" s="29" t="s">
        <v>9</v>
      </c>
      <c r="C7" s="29">
        <v>0</v>
      </c>
      <c r="D7" s="29" t="s">
        <v>9</v>
      </c>
      <c r="E7" s="130">
        <v>0</v>
      </c>
      <c r="F7" s="222">
        <f t="shared" si="0"/>
        <v>0</v>
      </c>
      <c r="G7" s="126">
        <v>0</v>
      </c>
      <c r="H7" s="126">
        <v>2</v>
      </c>
      <c r="I7" s="126">
        <v>0</v>
      </c>
      <c r="J7" s="126">
        <v>0</v>
      </c>
      <c r="K7" s="223">
        <v>0</v>
      </c>
      <c r="L7" s="29" t="s">
        <v>8</v>
      </c>
      <c r="M7" s="130">
        <f t="shared" si="1"/>
        <v>234</v>
      </c>
      <c r="N7" s="29">
        <v>1</v>
      </c>
      <c r="O7" s="224">
        <f t="shared" si="2"/>
        <v>234</v>
      </c>
      <c r="P7" s="224"/>
      <c r="Q7" s="84" t="s">
        <v>49</v>
      </c>
      <c r="R7" s="137" t="s">
        <v>90</v>
      </c>
      <c r="S7" s="140" t="str">
        <f t="shared" si="3"/>
        <v>BPD2009</v>
      </c>
      <c r="Y7" s="63">
        <v>2009</v>
      </c>
      <c r="Z7" s="225">
        <f t="shared" si="4"/>
        <v>0</v>
      </c>
      <c r="AA7" s="225">
        <f t="shared" si="5"/>
        <v>2</v>
      </c>
      <c r="AB7" s="225">
        <f t="shared" si="6"/>
        <v>0</v>
      </c>
      <c r="AC7" s="225">
        <f t="shared" si="7"/>
        <v>0</v>
      </c>
      <c r="AD7" s="225">
        <f t="shared" si="8"/>
        <v>0</v>
      </c>
      <c r="AE7" s="226">
        <f t="shared" si="9"/>
        <v>0</v>
      </c>
      <c r="AF7" s="227"/>
      <c r="AI7" s="130"/>
      <c r="AJ7" s="228">
        <f t="shared" si="10"/>
        <v>0</v>
      </c>
      <c r="AK7" s="229">
        <f t="shared" si="11"/>
        <v>0</v>
      </c>
      <c r="AL7" s="229">
        <f t="shared" si="12"/>
        <v>0</v>
      </c>
      <c r="AM7" s="229">
        <f t="shared" si="13"/>
        <v>0</v>
      </c>
      <c r="AN7" s="229">
        <f t="shared" si="14"/>
        <v>0</v>
      </c>
      <c r="AO7" s="225">
        <f t="shared" si="15"/>
        <v>0</v>
      </c>
      <c r="AP7" s="227"/>
    </row>
    <row r="8" spans="1:42" s="231" customFormat="1">
      <c r="A8" s="78" t="s">
        <v>62</v>
      </c>
      <c r="B8" s="29" t="s">
        <v>65</v>
      </c>
      <c r="C8" s="29">
        <v>0.5</v>
      </c>
      <c r="D8" s="29" t="s">
        <v>66</v>
      </c>
      <c r="E8" s="130">
        <v>55</v>
      </c>
      <c r="F8" s="222">
        <f t="shared" si="0"/>
        <v>27.5</v>
      </c>
      <c r="G8" s="126">
        <v>0</v>
      </c>
      <c r="H8" s="126">
        <v>8</v>
      </c>
      <c r="I8" s="126">
        <v>0</v>
      </c>
      <c r="J8" s="126">
        <v>1</v>
      </c>
      <c r="K8" s="223">
        <v>0</v>
      </c>
      <c r="L8" s="29" t="s">
        <v>8</v>
      </c>
      <c r="M8" s="130">
        <f t="shared" si="1"/>
        <v>3258</v>
      </c>
      <c r="N8" s="29">
        <v>3</v>
      </c>
      <c r="O8" s="224">
        <f>M8+(N8*F8)</f>
        <v>3340.5</v>
      </c>
      <c r="P8" s="224"/>
      <c r="Q8" s="84" t="s">
        <v>49</v>
      </c>
      <c r="R8" s="137" t="s">
        <v>90</v>
      </c>
      <c r="S8" s="140" t="str">
        <f t="shared" si="3"/>
        <v>BPD2009</v>
      </c>
      <c r="T8" s="29"/>
      <c r="U8" s="29"/>
      <c r="V8" s="29"/>
      <c r="W8" s="29"/>
      <c r="X8" s="29"/>
      <c r="Y8" s="63">
        <v>2009</v>
      </c>
      <c r="Z8" s="225">
        <f t="shared" si="4"/>
        <v>0</v>
      </c>
      <c r="AA8" s="225">
        <f t="shared" si="5"/>
        <v>24</v>
      </c>
      <c r="AB8" s="225">
        <f t="shared" si="6"/>
        <v>0</v>
      </c>
      <c r="AC8" s="225">
        <f t="shared" si="7"/>
        <v>3</v>
      </c>
      <c r="AD8" s="225">
        <f t="shared" si="8"/>
        <v>0</v>
      </c>
      <c r="AE8" s="226">
        <f t="shared" si="9"/>
        <v>82.5</v>
      </c>
      <c r="AF8" s="227"/>
      <c r="AG8" s="29"/>
      <c r="AH8" s="29"/>
      <c r="AI8" s="130"/>
      <c r="AJ8" s="228">
        <f t="shared" si="10"/>
        <v>0</v>
      </c>
      <c r="AK8" s="229">
        <f t="shared" si="11"/>
        <v>0</v>
      </c>
      <c r="AL8" s="229">
        <f t="shared" si="12"/>
        <v>0</v>
      </c>
      <c r="AM8" s="229">
        <f t="shared" si="13"/>
        <v>0</v>
      </c>
      <c r="AN8" s="229">
        <f t="shared" si="14"/>
        <v>0</v>
      </c>
      <c r="AO8" s="225">
        <f t="shared" si="15"/>
        <v>0</v>
      </c>
      <c r="AP8" s="230"/>
    </row>
    <row r="9" spans="1:42" s="29" customFormat="1">
      <c r="A9" s="78" t="s">
        <v>63</v>
      </c>
      <c r="B9" s="29" t="s">
        <v>9</v>
      </c>
      <c r="C9" s="29">
        <v>1</v>
      </c>
      <c r="D9" s="29" t="s">
        <v>64</v>
      </c>
      <c r="E9" s="130">
        <v>1500</v>
      </c>
      <c r="F9" s="222">
        <f t="shared" si="0"/>
        <v>1500</v>
      </c>
      <c r="G9" s="126">
        <v>0</v>
      </c>
      <c r="H9" s="126">
        <v>0</v>
      </c>
      <c r="I9" s="126">
        <v>0</v>
      </c>
      <c r="J9" s="126">
        <v>8</v>
      </c>
      <c r="K9" s="223">
        <v>0</v>
      </c>
      <c r="L9" s="29" t="s">
        <v>8</v>
      </c>
      <c r="M9" s="130">
        <f t="shared" si="1"/>
        <v>1200</v>
      </c>
      <c r="N9" s="29">
        <v>1</v>
      </c>
      <c r="O9" s="224">
        <f t="shared" si="2"/>
        <v>2700</v>
      </c>
      <c r="P9" s="224"/>
      <c r="Q9" s="84" t="s">
        <v>49</v>
      </c>
      <c r="R9" s="137" t="s">
        <v>90</v>
      </c>
      <c r="S9" s="140" t="str">
        <f t="shared" si="3"/>
        <v>BPD2009</v>
      </c>
      <c r="Y9" s="63">
        <v>2009</v>
      </c>
      <c r="Z9" s="225">
        <f t="shared" si="4"/>
        <v>0</v>
      </c>
      <c r="AA9" s="225">
        <f t="shared" si="5"/>
        <v>0</v>
      </c>
      <c r="AB9" s="225">
        <f t="shared" si="6"/>
        <v>0</v>
      </c>
      <c r="AC9" s="225">
        <f t="shared" si="7"/>
        <v>8</v>
      </c>
      <c r="AD9" s="225">
        <f t="shared" si="8"/>
        <v>0</v>
      </c>
      <c r="AE9" s="226">
        <f t="shared" si="9"/>
        <v>1500</v>
      </c>
      <c r="AF9" s="227"/>
      <c r="AI9" s="130"/>
      <c r="AJ9" s="228">
        <f t="shared" si="10"/>
        <v>0</v>
      </c>
      <c r="AK9" s="229">
        <f t="shared" si="11"/>
        <v>0</v>
      </c>
      <c r="AL9" s="229">
        <f t="shared" si="12"/>
        <v>0</v>
      </c>
      <c r="AM9" s="229">
        <f t="shared" si="13"/>
        <v>0</v>
      </c>
      <c r="AN9" s="229">
        <f t="shared" si="14"/>
        <v>0</v>
      </c>
      <c r="AO9" s="225">
        <f t="shared" si="15"/>
        <v>0</v>
      </c>
      <c r="AP9" s="227"/>
    </row>
    <row r="10" spans="1:42" s="29" customFormat="1">
      <c r="A10" s="79" t="s">
        <v>113</v>
      </c>
      <c r="B10" s="29" t="s">
        <v>114</v>
      </c>
      <c r="C10" s="29">
        <v>2</v>
      </c>
      <c r="D10" s="29" t="s">
        <v>115</v>
      </c>
      <c r="E10" s="130">
        <v>600</v>
      </c>
      <c r="F10" s="222">
        <f t="shared" si="0"/>
        <v>1200</v>
      </c>
      <c r="G10" s="126">
        <v>0</v>
      </c>
      <c r="H10" s="126">
        <v>0</v>
      </c>
      <c r="I10" s="126">
        <v>0</v>
      </c>
      <c r="J10" s="126">
        <v>8</v>
      </c>
      <c r="K10" s="223">
        <v>0</v>
      </c>
      <c r="L10" s="29" t="s">
        <v>8</v>
      </c>
      <c r="M10" s="130">
        <f t="shared" si="1"/>
        <v>1200</v>
      </c>
      <c r="N10" s="29">
        <v>1</v>
      </c>
      <c r="O10" s="224">
        <f t="shared" si="2"/>
        <v>2400</v>
      </c>
      <c r="P10" s="224"/>
      <c r="Q10" s="84" t="s">
        <v>49</v>
      </c>
      <c r="R10" s="137" t="s">
        <v>90</v>
      </c>
      <c r="S10" s="140" t="str">
        <f t="shared" ref="S10" si="32">CONCATENATE(Q10,R10,Y10)</f>
        <v>BPD2009</v>
      </c>
      <c r="Y10" s="63">
        <v>2009</v>
      </c>
      <c r="Z10" s="225">
        <f t="shared" si="4"/>
        <v>0</v>
      </c>
      <c r="AA10" s="225">
        <f t="shared" si="5"/>
        <v>0</v>
      </c>
      <c r="AB10" s="225">
        <f t="shared" si="6"/>
        <v>0</v>
      </c>
      <c r="AC10" s="225">
        <f t="shared" si="7"/>
        <v>8</v>
      </c>
      <c r="AD10" s="225">
        <f t="shared" si="8"/>
        <v>0</v>
      </c>
      <c r="AE10" s="226">
        <f t="shared" si="9"/>
        <v>1200</v>
      </c>
      <c r="AF10" s="227"/>
      <c r="AI10" s="130"/>
      <c r="AJ10" s="228">
        <f t="shared" si="10"/>
        <v>0</v>
      </c>
      <c r="AK10" s="229">
        <f t="shared" si="11"/>
        <v>0</v>
      </c>
      <c r="AL10" s="229">
        <f t="shared" si="12"/>
        <v>0</v>
      </c>
      <c r="AM10" s="229">
        <f t="shared" si="13"/>
        <v>0</v>
      </c>
      <c r="AN10" s="229">
        <f t="shared" si="14"/>
        <v>0</v>
      </c>
      <c r="AO10" s="225">
        <f t="shared" si="15"/>
        <v>0</v>
      </c>
      <c r="AP10" s="227"/>
    </row>
    <row r="11" spans="1:42" s="29" customFormat="1">
      <c r="A11" s="79" t="s">
        <v>286</v>
      </c>
      <c r="B11" s="29" t="s">
        <v>81</v>
      </c>
      <c r="C11" s="29">
        <v>1</v>
      </c>
      <c r="D11" s="29" t="s">
        <v>64</v>
      </c>
      <c r="E11" s="130">
        <v>500</v>
      </c>
      <c r="F11" s="222">
        <f t="shared" si="0"/>
        <v>500</v>
      </c>
      <c r="G11" s="126">
        <v>0</v>
      </c>
      <c r="H11" s="126">
        <v>0</v>
      </c>
      <c r="I11" s="126">
        <v>0</v>
      </c>
      <c r="J11" s="126">
        <v>1</v>
      </c>
      <c r="K11" s="223">
        <v>0</v>
      </c>
      <c r="L11" s="29" t="s">
        <v>8</v>
      </c>
      <c r="M11" s="130">
        <f t="shared" ref="M11" si="33">((Shop*G11)+(M_Tech*H11)+(CMM*I11)+(ENG*J11)+(DES*K11))*N11</f>
        <v>150</v>
      </c>
      <c r="N11" s="29">
        <v>1</v>
      </c>
      <c r="O11" s="224">
        <f t="shared" ref="O11" si="34">M11+(N11*F11)</f>
        <v>650</v>
      </c>
      <c r="P11" s="224"/>
      <c r="Q11" s="84" t="s">
        <v>49</v>
      </c>
      <c r="R11" s="137" t="s">
        <v>90</v>
      </c>
      <c r="S11" s="140" t="str">
        <f t="shared" si="3"/>
        <v>BPD2009</v>
      </c>
      <c r="Y11" s="63">
        <v>2009</v>
      </c>
      <c r="Z11" s="225">
        <f t="shared" ref="Z11" si="35">IF($Q11="B", (G11*$N11),0)</f>
        <v>0</v>
      </c>
      <c r="AA11" s="225">
        <f t="shared" ref="AA11" si="36">IF($Q11="B", (H11*$N11),0)</f>
        <v>0</v>
      </c>
      <c r="AB11" s="225">
        <f t="shared" ref="AB11" si="37">IF($Q11="B", (I11*$N11),0)</f>
        <v>0</v>
      </c>
      <c r="AC11" s="225">
        <f t="shared" ref="AC11" si="38">IF($Q11="B", (J11*$N11),0)</f>
        <v>1</v>
      </c>
      <c r="AD11" s="225">
        <f t="shared" ref="AD11" si="39">IF($Q11="B", (K11*$N11),0)</f>
        <v>0</v>
      </c>
      <c r="AE11" s="226">
        <f t="shared" ref="AE11" si="40">IF($Q11="B", (F11*$N11),0)</f>
        <v>500</v>
      </c>
      <c r="AF11" s="227"/>
      <c r="AI11" s="130"/>
      <c r="AJ11" s="228">
        <f t="shared" ref="AJ11" si="41">IF($Q11="C", (G11*$N11),0)</f>
        <v>0</v>
      </c>
      <c r="AK11" s="229">
        <f t="shared" ref="AK11" si="42">IF($Q11="C", (H11*$N11),0)</f>
        <v>0</v>
      </c>
      <c r="AL11" s="229">
        <f t="shared" ref="AL11" si="43">IF($Q11="C", (I11*$N11),0)</f>
        <v>0</v>
      </c>
      <c r="AM11" s="229">
        <f t="shared" ref="AM11" si="44">IF($Q11="C", (J11*$N11),0)</f>
        <v>0</v>
      </c>
      <c r="AN11" s="229">
        <f t="shared" ref="AN11" si="45">IF($Q11="C", (K11*$N11),0)</f>
        <v>0</v>
      </c>
      <c r="AO11" s="225">
        <f t="shared" ref="AO11" si="46">IF($Q11="C", (F11*$N11),0)</f>
        <v>0</v>
      </c>
      <c r="AP11" s="227"/>
    </row>
    <row r="12" spans="1:42" s="231" customFormat="1">
      <c r="A12" s="79" t="s">
        <v>68</v>
      </c>
      <c r="B12" s="29" t="s">
        <v>65</v>
      </c>
      <c r="C12" s="29">
        <v>1</v>
      </c>
      <c r="D12" s="29" t="s">
        <v>64</v>
      </c>
      <c r="E12" s="130">
        <v>5000</v>
      </c>
      <c r="F12" s="222">
        <f t="shared" ref="F12" si="47">E12*C12</f>
        <v>5000</v>
      </c>
      <c r="G12" s="126">
        <v>0</v>
      </c>
      <c r="H12" s="126">
        <v>0</v>
      </c>
      <c r="I12" s="126">
        <v>0</v>
      </c>
      <c r="J12" s="126">
        <v>4</v>
      </c>
      <c r="K12" s="223">
        <v>0</v>
      </c>
      <c r="L12" s="29" t="s">
        <v>8</v>
      </c>
      <c r="M12" s="130">
        <f t="shared" ref="M12" si="48">((Shop*G12)+(M_Tech*H12)+(CMM*I12)+(ENG*J12)+(DES*K12))*N12</f>
        <v>600</v>
      </c>
      <c r="N12" s="29">
        <v>1</v>
      </c>
      <c r="O12" s="224">
        <f t="shared" ref="O12" si="49">M12+(N12*F12)</f>
        <v>5600</v>
      </c>
      <c r="P12" s="224"/>
      <c r="Q12" s="84" t="s">
        <v>49</v>
      </c>
      <c r="R12" s="137" t="s">
        <v>90</v>
      </c>
      <c r="S12" s="140" t="str">
        <f t="shared" si="3"/>
        <v>BPD2009</v>
      </c>
      <c r="T12" s="29"/>
      <c r="U12" s="29"/>
      <c r="V12" s="29"/>
      <c r="W12" s="29"/>
      <c r="X12" s="29"/>
      <c r="Y12" s="63">
        <v>2009</v>
      </c>
      <c r="Z12" s="225">
        <f t="shared" si="4"/>
        <v>0</v>
      </c>
      <c r="AA12" s="225">
        <f t="shared" si="5"/>
        <v>0</v>
      </c>
      <c r="AB12" s="225">
        <f t="shared" si="6"/>
        <v>0</v>
      </c>
      <c r="AC12" s="225">
        <f t="shared" si="7"/>
        <v>4</v>
      </c>
      <c r="AD12" s="225">
        <f t="shared" si="8"/>
        <v>0</v>
      </c>
      <c r="AE12" s="226">
        <f t="shared" ref="AE12" si="50">IF($Q12="B", (F12*$N12),0)</f>
        <v>5000</v>
      </c>
      <c r="AF12" s="227"/>
      <c r="AG12" s="29" t="s">
        <v>82</v>
      </c>
      <c r="AH12" s="29"/>
      <c r="AI12" s="130" t="s">
        <v>83</v>
      </c>
      <c r="AJ12" s="228">
        <f t="shared" si="10"/>
        <v>0</v>
      </c>
      <c r="AK12" s="229">
        <f t="shared" si="11"/>
        <v>0</v>
      </c>
      <c r="AL12" s="229">
        <f t="shared" si="12"/>
        <v>0</v>
      </c>
      <c r="AM12" s="229">
        <f t="shared" si="13"/>
        <v>0</v>
      </c>
      <c r="AN12" s="229">
        <f t="shared" si="14"/>
        <v>0</v>
      </c>
      <c r="AO12" s="225">
        <f t="shared" ref="AO12" si="51">IF($Q12="C", (F12*$N12),0)</f>
        <v>0</v>
      </c>
      <c r="AP12" s="230"/>
    </row>
    <row r="13" spans="1:42" s="29" customFormat="1">
      <c r="A13" s="31" t="s">
        <v>67</v>
      </c>
      <c r="B13" s="31"/>
      <c r="C13" s="31"/>
      <c r="D13" s="31"/>
      <c r="E13" s="232"/>
      <c r="F13" s="233"/>
      <c r="G13" s="234"/>
      <c r="H13" s="234"/>
      <c r="I13" s="234"/>
      <c r="J13" s="234"/>
      <c r="K13" s="235"/>
      <c r="L13" s="31"/>
      <c r="M13" s="232">
        <f>SUMIF(Q5:Q12,"B",M5:M12)</f>
        <v>7842</v>
      </c>
      <c r="N13" s="200" t="s">
        <v>76</v>
      </c>
      <c r="O13" s="200"/>
      <c r="P13" s="201"/>
      <c r="Q13" s="236"/>
      <c r="R13" s="237"/>
      <c r="S13" s="238"/>
      <c r="T13" s="31"/>
      <c r="U13" s="31"/>
      <c r="V13" s="31"/>
      <c r="W13" s="31"/>
      <c r="X13" s="31"/>
      <c r="Y13" s="64"/>
      <c r="Z13" s="239">
        <f>SUM(Z5:Z12)</f>
        <v>0</v>
      </c>
      <c r="AA13" s="239">
        <f>SUM(AA5:AA12)</f>
        <v>26</v>
      </c>
      <c r="AB13" s="239">
        <f>SUM(AB5:AB12)</f>
        <v>0</v>
      </c>
      <c r="AC13" s="239">
        <f>SUM(AC5:AC12)</f>
        <v>32</v>
      </c>
      <c r="AD13" s="239">
        <f>SUM(AD5:AD12)</f>
        <v>0</v>
      </c>
      <c r="AE13" s="232"/>
      <c r="AF13" s="233">
        <f>SUM(AE5:AE12)</f>
        <v>29282.5</v>
      </c>
      <c r="AG13" s="232">
        <f>(Shop*Z13)+M_Tech*AA13+CMM*AB13+ENG*AC13+DES*AD13+AF13</f>
        <v>37124.5</v>
      </c>
      <c r="AH13" s="232"/>
      <c r="AI13" s="233">
        <f>Shop*AJ13+M_Tech*AK13+CMM*AL13+ENG*AM13+DES*AN13+AP13</f>
        <v>0</v>
      </c>
      <c r="AJ13" s="239">
        <f>SUM(AJ5:AJ12)</f>
        <v>0</v>
      </c>
      <c r="AK13" s="239">
        <f>SUM(AK5:AK12)</f>
        <v>0</v>
      </c>
      <c r="AL13" s="239">
        <f>SUM(AL5:AL12)</f>
        <v>0</v>
      </c>
      <c r="AM13" s="239">
        <f>SUM(AM5:AM12)</f>
        <v>0</v>
      </c>
      <c r="AN13" s="239">
        <f>SUM(AN5:AN12)</f>
        <v>0</v>
      </c>
      <c r="AO13" s="232"/>
      <c r="AP13" s="233">
        <f>SUM(AO5:AO12)</f>
        <v>0</v>
      </c>
    </row>
    <row r="14" spans="1:42" s="29" customFormat="1">
      <c r="E14" s="130"/>
      <c r="F14" s="222"/>
      <c r="G14" s="126"/>
      <c r="H14" s="126"/>
      <c r="I14" s="126"/>
      <c r="J14" s="126"/>
      <c r="K14" s="223"/>
      <c r="M14" s="130"/>
      <c r="O14" s="224"/>
      <c r="P14" s="224"/>
      <c r="Q14" s="240"/>
      <c r="R14" s="241"/>
      <c r="S14" s="140"/>
      <c r="Y14" s="242"/>
      <c r="Z14" s="243"/>
      <c r="AA14" s="243"/>
      <c r="AB14" s="243"/>
      <c r="AC14" s="243"/>
      <c r="AD14" s="243"/>
      <c r="AE14" s="244"/>
      <c r="AF14" s="245"/>
      <c r="AG14" s="246"/>
      <c r="AH14" s="246"/>
      <c r="AI14" s="130"/>
      <c r="AJ14" s="247"/>
      <c r="AK14" s="225"/>
      <c r="AL14" s="225"/>
      <c r="AM14" s="225"/>
      <c r="AN14" s="225"/>
      <c r="AO14" s="225"/>
      <c r="AP14" s="227"/>
    </row>
    <row r="15" spans="1:42" s="29" customFormat="1" ht="15.75">
      <c r="A15" s="81" t="s">
        <v>268</v>
      </c>
      <c r="E15" s="130"/>
      <c r="F15" s="222"/>
      <c r="G15" s="126"/>
      <c r="H15" s="126"/>
      <c r="I15" s="126"/>
      <c r="J15" s="126"/>
      <c r="K15" s="223"/>
      <c r="M15" s="130"/>
      <c r="O15" s="224"/>
      <c r="P15" s="224"/>
      <c r="Q15" s="84"/>
      <c r="R15" s="137"/>
      <c r="S15" s="140"/>
      <c r="Y15" s="63"/>
      <c r="Z15" s="229"/>
      <c r="AA15" s="229"/>
      <c r="AB15" s="229"/>
      <c r="AC15" s="229"/>
      <c r="AD15" s="229"/>
      <c r="AE15" s="226"/>
      <c r="AF15" s="227"/>
      <c r="AG15" s="225"/>
      <c r="AH15" s="225"/>
      <c r="AI15" s="130"/>
      <c r="AJ15" s="247"/>
      <c r="AK15" s="225"/>
      <c r="AL15" s="225"/>
      <c r="AM15" s="225"/>
      <c r="AN15" s="225"/>
      <c r="AO15" s="225"/>
      <c r="AP15" s="227"/>
    </row>
    <row r="16" spans="1:42" s="29" customFormat="1" ht="15.75">
      <c r="A16" s="79" t="s">
        <v>110</v>
      </c>
      <c r="E16" s="95"/>
      <c r="F16" s="104"/>
      <c r="G16" s="113"/>
      <c r="H16" s="113"/>
      <c r="I16" s="113"/>
      <c r="J16" s="113"/>
      <c r="K16" s="114"/>
      <c r="L16" s="93"/>
      <c r="M16" s="93"/>
      <c r="N16" s="81">
        <v>1</v>
      </c>
      <c r="O16" s="224"/>
      <c r="P16" s="224"/>
      <c r="Q16" s="84"/>
      <c r="R16" s="137"/>
      <c r="S16" s="140"/>
      <c r="Y16" s="63"/>
      <c r="Z16" s="229"/>
      <c r="AA16" s="229"/>
      <c r="AB16" s="248"/>
      <c r="AC16" s="229"/>
      <c r="AD16" s="229"/>
      <c r="AE16" s="226"/>
      <c r="AF16" s="227"/>
      <c r="AG16" s="225"/>
      <c r="AH16" s="225"/>
      <c r="AI16" s="130"/>
      <c r="AJ16" s="228"/>
      <c r="AK16" s="229"/>
      <c r="AL16" s="229"/>
      <c r="AM16" s="229"/>
      <c r="AN16" s="229"/>
      <c r="AO16" s="225"/>
      <c r="AP16" s="227"/>
    </row>
    <row r="17" spans="1:42" s="29" customFormat="1">
      <c r="A17" s="78" t="s">
        <v>69</v>
      </c>
      <c r="B17" s="29" t="s">
        <v>65</v>
      </c>
      <c r="C17" s="29">
        <v>1</v>
      </c>
      <c r="D17" s="29" t="s">
        <v>66</v>
      </c>
      <c r="E17" s="130">
        <v>55</v>
      </c>
      <c r="F17" s="222">
        <f>E17*C17</f>
        <v>55</v>
      </c>
      <c r="G17" s="126">
        <v>0</v>
      </c>
      <c r="H17" s="126">
        <v>6</v>
      </c>
      <c r="I17" s="126">
        <v>0</v>
      </c>
      <c r="J17" s="126">
        <v>0</v>
      </c>
      <c r="K17" s="223">
        <v>0</v>
      </c>
      <c r="L17" s="29" t="s">
        <v>8</v>
      </c>
      <c r="M17" s="130">
        <f>((Shop*G17)+(M_Tech*H17)+(CMM*I17)+(ENG*J17)+(DES*K17))*N17</f>
        <v>2106</v>
      </c>
      <c r="N17" s="29">
        <v>3</v>
      </c>
      <c r="O17" s="224">
        <f>M17+(N17*F17)</f>
        <v>2271</v>
      </c>
      <c r="P17" s="224"/>
      <c r="Q17" s="84" t="s">
        <v>49</v>
      </c>
      <c r="R17" s="137" t="s">
        <v>90</v>
      </c>
      <c r="S17" s="140" t="str">
        <f t="shared" ref="S17:S18" si="52">CONCATENATE(Q17,R17,Y17)</f>
        <v>BPD2009</v>
      </c>
      <c r="Y17" s="63">
        <v>2009</v>
      </c>
      <c r="Z17" s="225">
        <f t="shared" ref="Z17:Z18" si="53">IF($Q17="B", (G17*$N17),0)</f>
        <v>0</v>
      </c>
      <c r="AA17" s="225">
        <f t="shared" ref="AA17:AA18" si="54">IF($Q17="B", (H17*$N17),0)</f>
        <v>18</v>
      </c>
      <c r="AB17" s="225">
        <f t="shared" ref="AB17:AB18" si="55">IF($Q17="B", (I17*$N17),0)</f>
        <v>0</v>
      </c>
      <c r="AC17" s="225">
        <f t="shared" ref="AC17:AC18" si="56">IF($Q17="B", (J17*$N17),0)</f>
        <v>0</v>
      </c>
      <c r="AD17" s="225">
        <f t="shared" ref="AD17:AD18" si="57">IF($Q17="B", (K17*$N17),0)</f>
        <v>0</v>
      </c>
      <c r="AE17" s="226">
        <f t="shared" ref="AE17:AE18" si="58">IF($Q17="B", (F17*$N17),0)</f>
        <v>165</v>
      </c>
      <c r="AF17" s="227"/>
      <c r="AG17" s="225"/>
      <c r="AH17" s="225"/>
      <c r="AI17" s="130"/>
      <c r="AJ17" s="228">
        <f t="shared" ref="AJ17:AJ18" si="59">IF($Q17="C", (G17*$N17),0)</f>
        <v>0</v>
      </c>
      <c r="AK17" s="229">
        <f t="shared" ref="AK17:AK18" si="60">IF($Q17="C", (H17*$N17),0)</f>
        <v>0</v>
      </c>
      <c r="AL17" s="229">
        <f t="shared" ref="AL17:AL18" si="61">IF($Q17="C", (I17*$N17),0)</f>
        <v>0</v>
      </c>
      <c r="AM17" s="229">
        <f t="shared" ref="AM17:AM18" si="62">IF($Q17="C", (J17*$N17),0)</f>
        <v>0</v>
      </c>
      <c r="AN17" s="229">
        <f t="shared" ref="AN17:AN18" si="63">IF($Q17="C", (K17*$N17),0)</f>
        <v>0</v>
      </c>
      <c r="AO17" s="225">
        <f t="shared" ref="AO17:AO18" si="64">IF($Q17="C", (F17*$N17),0)</f>
        <v>0</v>
      </c>
      <c r="AP17" s="227"/>
    </row>
    <row r="18" spans="1:42" s="29" customFormat="1">
      <c r="A18" s="78" t="s">
        <v>111</v>
      </c>
      <c r="B18" s="29" t="s">
        <v>70</v>
      </c>
      <c r="C18" s="29">
        <v>0</v>
      </c>
      <c r="D18" s="29" t="s">
        <v>109</v>
      </c>
      <c r="E18" s="130">
        <v>80</v>
      </c>
      <c r="F18" s="222">
        <f>E18*C18</f>
        <v>0</v>
      </c>
      <c r="G18" s="126">
        <v>16</v>
      </c>
      <c r="H18" s="126">
        <v>4</v>
      </c>
      <c r="I18" s="126">
        <v>0</v>
      </c>
      <c r="J18" s="126">
        <v>4</v>
      </c>
      <c r="K18" s="223">
        <v>0</v>
      </c>
      <c r="L18" s="29" t="s">
        <v>8</v>
      </c>
      <c r="M18" s="130">
        <f>((Shop*G18)+(M_Tech*H18)+(CMM*I18)+(ENG*J18)+(DES*K18))*N18</f>
        <v>3100</v>
      </c>
      <c r="N18" s="29">
        <v>1</v>
      </c>
      <c r="O18" s="224">
        <f>M18+(N18*F18)</f>
        <v>3100</v>
      </c>
      <c r="P18" s="224"/>
      <c r="Q18" s="84" t="s">
        <v>49</v>
      </c>
      <c r="R18" s="137" t="s">
        <v>90</v>
      </c>
      <c r="S18" s="140" t="str">
        <f t="shared" si="52"/>
        <v>BPD2009</v>
      </c>
      <c r="Y18" s="63">
        <v>2009</v>
      </c>
      <c r="Z18" s="225">
        <f t="shared" si="53"/>
        <v>16</v>
      </c>
      <c r="AA18" s="225">
        <f t="shared" si="54"/>
        <v>4</v>
      </c>
      <c r="AB18" s="225">
        <f t="shared" si="55"/>
        <v>0</v>
      </c>
      <c r="AC18" s="225">
        <f t="shared" si="56"/>
        <v>4</v>
      </c>
      <c r="AD18" s="225">
        <f t="shared" si="57"/>
        <v>0</v>
      </c>
      <c r="AE18" s="226">
        <f t="shared" si="58"/>
        <v>0</v>
      </c>
      <c r="AF18" s="227"/>
      <c r="AG18" s="225"/>
      <c r="AH18" s="225"/>
      <c r="AI18" s="130"/>
      <c r="AJ18" s="228">
        <f t="shared" si="59"/>
        <v>0</v>
      </c>
      <c r="AK18" s="229">
        <f t="shared" si="60"/>
        <v>0</v>
      </c>
      <c r="AL18" s="229">
        <f t="shared" si="61"/>
        <v>0</v>
      </c>
      <c r="AM18" s="229">
        <f t="shared" si="62"/>
        <v>0</v>
      </c>
      <c r="AN18" s="229">
        <f t="shared" si="63"/>
        <v>0</v>
      </c>
      <c r="AO18" s="225">
        <f t="shared" si="64"/>
        <v>0</v>
      </c>
      <c r="AP18" s="227"/>
    </row>
    <row r="19" spans="1:42" s="29" customFormat="1" ht="15.75">
      <c r="A19" s="79" t="s">
        <v>112</v>
      </c>
      <c r="E19" s="95"/>
      <c r="F19" s="104"/>
      <c r="G19" s="113"/>
      <c r="H19" s="113"/>
      <c r="I19" s="113"/>
      <c r="J19" s="113"/>
      <c r="K19" s="114"/>
      <c r="L19" s="93"/>
      <c r="M19" s="93"/>
      <c r="N19" s="81">
        <v>1</v>
      </c>
      <c r="O19" s="224"/>
      <c r="P19" s="224"/>
      <c r="Q19" s="84"/>
      <c r="R19" s="137"/>
      <c r="S19" s="140"/>
      <c r="Y19" s="63"/>
      <c r="Z19" s="229"/>
      <c r="AA19" s="229"/>
      <c r="AB19" s="248"/>
      <c r="AC19" s="229"/>
      <c r="AD19" s="229"/>
      <c r="AE19" s="226"/>
      <c r="AF19" s="227"/>
      <c r="AG19" s="225"/>
      <c r="AH19" s="225"/>
      <c r="AI19" s="130"/>
      <c r="AJ19" s="228"/>
      <c r="AK19" s="229"/>
      <c r="AL19" s="229"/>
      <c r="AM19" s="229"/>
      <c r="AN19" s="229"/>
      <c r="AO19" s="225"/>
      <c r="AP19" s="227"/>
    </row>
    <row r="20" spans="1:42" s="29" customFormat="1">
      <c r="A20" s="78" t="s">
        <v>116</v>
      </c>
      <c r="B20" s="29" t="s">
        <v>70</v>
      </c>
      <c r="C20" s="29">
        <v>0</v>
      </c>
      <c r="D20" s="29" t="s">
        <v>9</v>
      </c>
      <c r="E20" s="130">
        <v>0</v>
      </c>
      <c r="F20" s="222">
        <f>E20*C20</f>
        <v>0</v>
      </c>
      <c r="G20" s="126">
        <v>32</v>
      </c>
      <c r="H20" s="126">
        <v>8</v>
      </c>
      <c r="I20" s="126">
        <v>0</v>
      </c>
      <c r="J20" s="126">
        <v>1</v>
      </c>
      <c r="K20" s="223">
        <v>0</v>
      </c>
      <c r="L20" s="29" t="s">
        <v>8</v>
      </c>
      <c r="M20" s="130">
        <f>((Shop*G20)+(M_Tech*H20)+(CMM*I20)+(ENG*J20)+(DES*K20))*N20</f>
        <v>5150</v>
      </c>
      <c r="N20" s="29">
        <f>N19</f>
        <v>1</v>
      </c>
      <c r="O20" s="224">
        <f>M20+(N20*F20)</f>
        <v>5150</v>
      </c>
      <c r="P20" s="224"/>
      <c r="Q20" s="84" t="s">
        <v>49</v>
      </c>
      <c r="R20" s="137" t="s">
        <v>90</v>
      </c>
      <c r="S20" s="140" t="str">
        <f t="shared" ref="S20:S21" si="65">CONCATENATE(Q20,R20,Y20)</f>
        <v>BPD2009</v>
      </c>
      <c r="Y20" s="63">
        <v>2009</v>
      </c>
      <c r="Z20" s="225">
        <f t="shared" ref="Z20:Z21" si="66">IF($Q20="B", (G20*$N20),0)</f>
        <v>32</v>
      </c>
      <c r="AA20" s="225">
        <f t="shared" ref="AA20:AA21" si="67">IF($Q20="B", (H20*$N20),0)</f>
        <v>8</v>
      </c>
      <c r="AB20" s="225">
        <f t="shared" ref="AB20:AB21" si="68">IF($Q20="B", (I20*$N20),0)</f>
        <v>0</v>
      </c>
      <c r="AC20" s="225">
        <f t="shared" ref="AC20:AC21" si="69">IF($Q20="B", (J20*$N20),0)</f>
        <v>1</v>
      </c>
      <c r="AD20" s="225">
        <f t="shared" ref="AD20:AD21" si="70">IF($Q20="B", (K20*$N20),0)</f>
        <v>0</v>
      </c>
      <c r="AE20" s="226">
        <f t="shared" ref="AE20:AE21" si="71">IF($Q20="B", (F20*$N20),0)</f>
        <v>0</v>
      </c>
      <c r="AF20" s="227"/>
      <c r="AG20" s="225"/>
      <c r="AH20" s="225"/>
      <c r="AI20" s="130"/>
      <c r="AJ20" s="228">
        <f t="shared" ref="AJ20:AJ21" si="72">IF($Q20="C", (G20*$N20),0)</f>
        <v>0</v>
      </c>
      <c r="AK20" s="229">
        <f t="shared" ref="AK20:AK21" si="73">IF($Q20="C", (H20*$N20),0)</f>
        <v>0</v>
      </c>
      <c r="AL20" s="229">
        <f t="shared" ref="AL20:AL21" si="74">IF($Q20="C", (I20*$N20),0)</f>
        <v>0</v>
      </c>
      <c r="AM20" s="229">
        <f t="shared" ref="AM20:AM21" si="75">IF($Q20="C", (J20*$N20),0)</f>
        <v>0</v>
      </c>
      <c r="AN20" s="229">
        <f t="shared" ref="AN20:AN21" si="76">IF($Q20="C", (K20*$N20),0)</f>
        <v>0</v>
      </c>
      <c r="AO20" s="225">
        <f t="shared" ref="AO20:AO21" si="77">IF($Q20="C", (F20*$N20),0)</f>
        <v>0</v>
      </c>
      <c r="AP20" s="227"/>
    </row>
    <row r="21" spans="1:42" s="29" customFormat="1">
      <c r="A21" s="78" t="s">
        <v>117</v>
      </c>
      <c r="B21" s="29" t="s">
        <v>70</v>
      </c>
      <c r="C21" s="29">
        <v>3</v>
      </c>
      <c r="D21" s="29" t="s">
        <v>71</v>
      </c>
      <c r="E21" s="130">
        <v>80</v>
      </c>
      <c r="F21" s="222">
        <f>E21*C21</f>
        <v>240</v>
      </c>
      <c r="G21" s="126">
        <v>16</v>
      </c>
      <c r="H21" s="126">
        <v>8</v>
      </c>
      <c r="I21" s="126">
        <v>0</v>
      </c>
      <c r="J21" s="126">
        <v>2</v>
      </c>
      <c r="K21" s="223">
        <v>0</v>
      </c>
      <c r="L21" s="29" t="s">
        <v>8</v>
      </c>
      <c r="M21" s="130">
        <f>((Shop*G21)+(M_Tech*H21)+(CMM*I21)+(ENG*J21)+(DES*K21))*N21</f>
        <v>3268</v>
      </c>
      <c r="N21" s="29">
        <f>N19</f>
        <v>1</v>
      </c>
      <c r="O21" s="224">
        <f>M21+(N21*F21)</f>
        <v>3508</v>
      </c>
      <c r="P21" s="224"/>
      <c r="Q21" s="84" t="s">
        <v>49</v>
      </c>
      <c r="R21" s="137" t="s">
        <v>90</v>
      </c>
      <c r="S21" s="140" t="str">
        <f t="shared" si="65"/>
        <v>BPD2009</v>
      </c>
      <c r="Y21" s="63">
        <v>2009</v>
      </c>
      <c r="Z21" s="225">
        <f t="shared" si="66"/>
        <v>16</v>
      </c>
      <c r="AA21" s="225">
        <f t="shared" si="67"/>
        <v>8</v>
      </c>
      <c r="AB21" s="225">
        <f t="shared" si="68"/>
        <v>0</v>
      </c>
      <c r="AC21" s="225">
        <f t="shared" si="69"/>
        <v>2</v>
      </c>
      <c r="AD21" s="225">
        <f t="shared" si="70"/>
        <v>0</v>
      </c>
      <c r="AE21" s="226">
        <f t="shared" si="71"/>
        <v>240</v>
      </c>
      <c r="AF21" s="227"/>
      <c r="AG21" s="225"/>
      <c r="AH21" s="225"/>
      <c r="AI21" s="130"/>
      <c r="AJ21" s="228">
        <f t="shared" si="72"/>
        <v>0</v>
      </c>
      <c r="AK21" s="229">
        <f t="shared" si="73"/>
        <v>0</v>
      </c>
      <c r="AL21" s="229">
        <f t="shared" si="74"/>
        <v>0</v>
      </c>
      <c r="AM21" s="229">
        <f t="shared" si="75"/>
        <v>0</v>
      </c>
      <c r="AN21" s="229">
        <f t="shared" si="76"/>
        <v>0</v>
      </c>
      <c r="AO21" s="225">
        <f t="shared" si="77"/>
        <v>0</v>
      </c>
      <c r="AP21" s="227"/>
    </row>
    <row r="22" spans="1:42" s="29" customFormat="1" ht="15.75">
      <c r="A22" s="79" t="s">
        <v>123</v>
      </c>
      <c r="E22" s="95"/>
      <c r="F22" s="104"/>
      <c r="G22" s="113"/>
      <c r="H22" s="113"/>
      <c r="I22" s="113"/>
      <c r="J22" s="113"/>
      <c r="K22" s="114"/>
      <c r="L22" s="93"/>
      <c r="M22" s="93"/>
      <c r="N22" s="81">
        <v>1</v>
      </c>
      <c r="O22" s="224"/>
      <c r="P22" s="224"/>
      <c r="Q22" s="84"/>
      <c r="R22" s="137"/>
      <c r="S22" s="140"/>
      <c r="Y22" s="63"/>
      <c r="Z22" s="229"/>
      <c r="AA22" s="229"/>
      <c r="AB22" s="248"/>
      <c r="AC22" s="229"/>
      <c r="AD22" s="229"/>
      <c r="AE22" s="226"/>
      <c r="AF22" s="227"/>
      <c r="AG22" s="225"/>
      <c r="AH22" s="225"/>
      <c r="AI22" s="130"/>
      <c r="AJ22" s="228"/>
      <c r="AK22" s="229"/>
      <c r="AL22" s="229"/>
      <c r="AM22" s="229"/>
      <c r="AN22" s="229"/>
      <c r="AO22" s="225"/>
      <c r="AP22" s="227"/>
    </row>
    <row r="23" spans="1:42" s="29" customFormat="1">
      <c r="A23" s="78" t="s">
        <v>118</v>
      </c>
      <c r="B23" s="29" t="s">
        <v>120</v>
      </c>
      <c r="C23" s="29">
        <v>0.03</v>
      </c>
      <c r="D23" s="29" t="s">
        <v>41</v>
      </c>
      <c r="E23" s="130">
        <v>600</v>
      </c>
      <c r="F23" s="222">
        <f t="shared" ref="F23:F28" si="78">E23*C23</f>
        <v>18</v>
      </c>
      <c r="G23" s="126">
        <v>0.8</v>
      </c>
      <c r="H23" s="126">
        <v>0</v>
      </c>
      <c r="I23" s="126">
        <v>0</v>
      </c>
      <c r="J23" s="126">
        <v>0</v>
      </c>
      <c r="K23" s="223">
        <v>0</v>
      </c>
      <c r="L23" s="29" t="s">
        <v>8</v>
      </c>
      <c r="M23" s="130">
        <f t="shared" ref="M23:M28" si="79">((Shop*G23)+(M_Tech*H23)+(CMM*I23)+(ENG*J23)+(DES*K23))*N23</f>
        <v>5080</v>
      </c>
      <c r="N23" s="29">
        <v>50</v>
      </c>
      <c r="O23" s="224">
        <f t="shared" ref="O23:O28" si="80">M23+(N23*F23)</f>
        <v>5980</v>
      </c>
      <c r="P23" s="224"/>
      <c r="Q23" s="84" t="s">
        <v>49</v>
      </c>
      <c r="R23" s="137" t="s">
        <v>90</v>
      </c>
      <c r="S23" s="140" t="str">
        <f t="shared" ref="S23:S26" si="81">CONCATENATE(Q23,R23,Y23)</f>
        <v>BPDHytec</v>
      </c>
      <c r="Y23" s="63" t="s">
        <v>57</v>
      </c>
      <c r="Z23" s="225">
        <f t="shared" ref="Z23:AD28" si="82">IF($Q23="B", (G23*$N23),0)</f>
        <v>40</v>
      </c>
      <c r="AA23" s="225">
        <f t="shared" si="82"/>
        <v>0</v>
      </c>
      <c r="AB23" s="225">
        <f t="shared" si="82"/>
        <v>0</v>
      </c>
      <c r="AC23" s="225">
        <f t="shared" si="82"/>
        <v>0</v>
      </c>
      <c r="AD23" s="225">
        <f t="shared" si="82"/>
        <v>0</v>
      </c>
      <c r="AE23" s="226">
        <f t="shared" ref="AE23:AE28" si="83">IF($Q23="B", (F23*$N23),0)</f>
        <v>900</v>
      </c>
      <c r="AF23" s="227"/>
      <c r="AG23" s="225"/>
      <c r="AH23" s="225"/>
      <c r="AI23" s="130"/>
      <c r="AJ23" s="228">
        <f t="shared" ref="AJ23:AN28" si="84">IF($Q23="C", (G23*$N23),0)</f>
        <v>0</v>
      </c>
      <c r="AK23" s="229">
        <f t="shared" si="84"/>
        <v>0</v>
      </c>
      <c r="AL23" s="229">
        <f t="shared" si="84"/>
        <v>0</v>
      </c>
      <c r="AM23" s="229">
        <f t="shared" si="84"/>
        <v>0</v>
      </c>
      <c r="AN23" s="229">
        <f t="shared" si="84"/>
        <v>0</v>
      </c>
      <c r="AO23" s="225">
        <f t="shared" ref="AO23:AO28" si="85">IF($Q23="C", (F23*$N23),0)</f>
        <v>0</v>
      </c>
      <c r="AP23" s="227"/>
    </row>
    <row r="24" spans="1:42" s="29" customFormat="1">
      <c r="A24" s="78" t="s">
        <v>270</v>
      </c>
      <c r="B24" s="29" t="s">
        <v>34</v>
      </c>
      <c r="C24" s="29">
        <v>0</v>
      </c>
      <c r="D24" s="29" t="s">
        <v>9</v>
      </c>
      <c r="E24" s="130">
        <v>0</v>
      </c>
      <c r="F24" s="222">
        <f t="shared" si="78"/>
        <v>0</v>
      </c>
      <c r="G24" s="126">
        <v>0</v>
      </c>
      <c r="H24" s="126">
        <v>0</v>
      </c>
      <c r="I24" s="126">
        <v>0</v>
      </c>
      <c r="J24" s="126">
        <v>8</v>
      </c>
      <c r="K24" s="223">
        <v>0</v>
      </c>
      <c r="L24" s="29" t="s">
        <v>8</v>
      </c>
      <c r="M24" s="130">
        <f t="shared" si="79"/>
        <v>1200</v>
      </c>
      <c r="N24" s="29">
        <v>1</v>
      </c>
      <c r="O24" s="224">
        <f t="shared" si="80"/>
        <v>1200</v>
      </c>
      <c r="P24" s="224"/>
      <c r="Q24" s="84" t="s">
        <v>49</v>
      </c>
      <c r="R24" s="137" t="s">
        <v>90</v>
      </c>
      <c r="S24" s="140" t="str">
        <f t="shared" ref="S24" si="86">CONCATENATE(Q24,R24,Y24)</f>
        <v>BPD2009</v>
      </c>
      <c r="Y24" s="63">
        <v>2009</v>
      </c>
      <c r="Z24" s="225">
        <f t="shared" ref="Z24" si="87">IF($Q24="B", (G24*$N24),0)</f>
        <v>0</v>
      </c>
      <c r="AA24" s="225">
        <f t="shared" ref="AA24" si="88">IF($Q24="B", (H24*$N24),0)</f>
        <v>0</v>
      </c>
      <c r="AB24" s="225">
        <f t="shared" ref="AB24" si="89">IF($Q24="B", (I24*$N24),0)</f>
        <v>0</v>
      </c>
      <c r="AC24" s="225">
        <f t="shared" ref="AC24" si="90">IF($Q24="B", (J24*$N24),0)</f>
        <v>8</v>
      </c>
      <c r="AD24" s="225">
        <f t="shared" ref="AD24" si="91">IF($Q24="B", (K24*$N24),0)</f>
        <v>0</v>
      </c>
      <c r="AE24" s="226">
        <f t="shared" si="83"/>
        <v>0</v>
      </c>
      <c r="AF24" s="227"/>
      <c r="AG24" s="225"/>
      <c r="AH24" s="225"/>
      <c r="AI24" s="130"/>
      <c r="AJ24" s="228">
        <f t="shared" ref="AJ24" si="92">IF($Q24="C", (G24*$N24),0)</f>
        <v>0</v>
      </c>
      <c r="AK24" s="229">
        <f t="shared" ref="AK24" si="93">IF($Q24="C", (H24*$N24),0)</f>
        <v>0</v>
      </c>
      <c r="AL24" s="229">
        <f t="shared" ref="AL24" si="94">IF($Q24="C", (I24*$N24),0)</f>
        <v>0</v>
      </c>
      <c r="AM24" s="229">
        <f t="shared" ref="AM24" si="95">IF($Q24="C", (J24*$N24),0)</f>
        <v>0</v>
      </c>
      <c r="AN24" s="229">
        <f t="shared" ref="AN24" si="96">IF($Q24="C", (K24*$N24),0)</f>
        <v>0</v>
      </c>
      <c r="AO24" s="225">
        <f t="shared" si="85"/>
        <v>0</v>
      </c>
      <c r="AP24" s="227"/>
    </row>
    <row r="25" spans="1:42" s="29" customFormat="1">
      <c r="A25" s="78" t="s">
        <v>130</v>
      </c>
      <c r="B25" s="29" t="s">
        <v>120</v>
      </c>
      <c r="C25" s="29">
        <v>0.03</v>
      </c>
      <c r="D25" s="29" t="s">
        <v>41</v>
      </c>
      <c r="E25" s="130">
        <v>600</v>
      </c>
      <c r="F25" s="222">
        <f t="shared" si="78"/>
        <v>18</v>
      </c>
      <c r="G25" s="126">
        <v>0.8</v>
      </c>
      <c r="H25" s="126">
        <v>0</v>
      </c>
      <c r="I25" s="126">
        <v>0</v>
      </c>
      <c r="J25" s="126">
        <v>0</v>
      </c>
      <c r="K25" s="223">
        <v>0</v>
      </c>
      <c r="L25" s="29" t="s">
        <v>8</v>
      </c>
      <c r="M25" s="130">
        <f t="shared" si="79"/>
        <v>1219.2</v>
      </c>
      <c r="N25" s="29">
        <v>12</v>
      </c>
      <c r="O25" s="224">
        <f t="shared" si="80"/>
        <v>1435.2</v>
      </c>
      <c r="P25" s="224"/>
      <c r="Q25" s="84" t="s">
        <v>50</v>
      </c>
      <c r="R25" s="137" t="s">
        <v>90</v>
      </c>
      <c r="S25" s="140" t="str">
        <f>CONCATENATE(Q25,R25,Y25)</f>
        <v>CPDHytec</v>
      </c>
      <c r="Y25" s="63" t="s">
        <v>57</v>
      </c>
      <c r="Z25" s="225">
        <f t="shared" si="82"/>
        <v>0</v>
      </c>
      <c r="AA25" s="225">
        <f t="shared" si="82"/>
        <v>0</v>
      </c>
      <c r="AB25" s="225">
        <f t="shared" si="82"/>
        <v>0</v>
      </c>
      <c r="AC25" s="225">
        <f t="shared" si="82"/>
        <v>0</v>
      </c>
      <c r="AD25" s="225">
        <f t="shared" si="82"/>
        <v>0</v>
      </c>
      <c r="AE25" s="226">
        <f t="shared" si="83"/>
        <v>0</v>
      </c>
      <c r="AF25" s="227"/>
      <c r="AG25" s="225"/>
      <c r="AH25" s="225"/>
      <c r="AI25" s="130"/>
      <c r="AJ25" s="228">
        <f t="shared" si="84"/>
        <v>9.6000000000000014</v>
      </c>
      <c r="AK25" s="229">
        <f t="shared" si="84"/>
        <v>0</v>
      </c>
      <c r="AL25" s="229">
        <f t="shared" si="84"/>
        <v>0</v>
      </c>
      <c r="AM25" s="229">
        <f t="shared" si="84"/>
        <v>0</v>
      </c>
      <c r="AN25" s="229">
        <f t="shared" si="84"/>
        <v>0</v>
      </c>
      <c r="AO25" s="225">
        <f t="shared" si="85"/>
        <v>216</v>
      </c>
      <c r="AP25" s="227"/>
    </row>
    <row r="26" spans="1:42" s="29" customFormat="1">
      <c r="A26" s="78" t="s">
        <v>119</v>
      </c>
      <c r="B26" s="29" t="s">
        <v>120</v>
      </c>
      <c r="C26" s="29">
        <v>0.08</v>
      </c>
      <c r="D26" s="29" t="s">
        <v>41</v>
      </c>
      <c r="E26" s="130">
        <v>600</v>
      </c>
      <c r="F26" s="222">
        <f t="shared" si="78"/>
        <v>48</v>
      </c>
      <c r="G26" s="126">
        <v>1</v>
      </c>
      <c r="H26" s="126">
        <v>0</v>
      </c>
      <c r="I26" s="126">
        <v>0</v>
      </c>
      <c r="J26" s="126">
        <v>0</v>
      </c>
      <c r="K26" s="223">
        <v>0</v>
      </c>
      <c r="L26" s="29" t="s">
        <v>8</v>
      </c>
      <c r="M26" s="130">
        <f t="shared" si="79"/>
        <v>10160</v>
      </c>
      <c r="N26" s="29">
        <v>80</v>
      </c>
      <c r="O26" s="224">
        <f t="shared" si="80"/>
        <v>14000</v>
      </c>
      <c r="P26" s="224"/>
      <c r="Q26" s="84" t="s">
        <v>49</v>
      </c>
      <c r="R26" s="137" t="s">
        <v>90</v>
      </c>
      <c r="S26" s="140" t="str">
        <f t="shared" si="81"/>
        <v>BPDHytec</v>
      </c>
      <c r="Y26" s="63" t="s">
        <v>57</v>
      </c>
      <c r="Z26" s="225">
        <f t="shared" si="82"/>
        <v>80</v>
      </c>
      <c r="AA26" s="225">
        <f t="shared" si="82"/>
        <v>0</v>
      </c>
      <c r="AB26" s="225">
        <f t="shared" si="82"/>
        <v>0</v>
      </c>
      <c r="AC26" s="225">
        <f t="shared" si="82"/>
        <v>0</v>
      </c>
      <c r="AD26" s="225">
        <f t="shared" si="82"/>
        <v>0</v>
      </c>
      <c r="AE26" s="226">
        <f t="shared" si="83"/>
        <v>3840</v>
      </c>
      <c r="AF26" s="227"/>
      <c r="AG26" s="225"/>
      <c r="AH26" s="225"/>
      <c r="AI26" s="130"/>
      <c r="AJ26" s="228">
        <f t="shared" si="84"/>
        <v>0</v>
      </c>
      <c r="AK26" s="229">
        <f t="shared" si="84"/>
        <v>0</v>
      </c>
      <c r="AL26" s="229">
        <f t="shared" si="84"/>
        <v>0</v>
      </c>
      <c r="AM26" s="229">
        <f t="shared" si="84"/>
        <v>0</v>
      </c>
      <c r="AN26" s="229">
        <f t="shared" si="84"/>
        <v>0</v>
      </c>
      <c r="AO26" s="225">
        <f t="shared" si="85"/>
        <v>0</v>
      </c>
      <c r="AP26" s="227"/>
    </row>
    <row r="27" spans="1:42" s="29" customFormat="1">
      <c r="A27" s="78" t="s">
        <v>269</v>
      </c>
      <c r="B27" s="29" t="s">
        <v>34</v>
      </c>
      <c r="C27" s="29">
        <v>0</v>
      </c>
      <c r="D27" s="29" t="s">
        <v>9</v>
      </c>
      <c r="E27" s="130">
        <v>0</v>
      </c>
      <c r="F27" s="222">
        <f t="shared" si="78"/>
        <v>0</v>
      </c>
      <c r="G27" s="126">
        <v>0</v>
      </c>
      <c r="H27" s="126">
        <v>0</v>
      </c>
      <c r="I27" s="126">
        <v>0</v>
      </c>
      <c r="J27" s="126">
        <v>8</v>
      </c>
      <c r="K27" s="223">
        <v>0</v>
      </c>
      <c r="L27" s="29" t="s">
        <v>8</v>
      </c>
      <c r="M27" s="130">
        <f t="shared" si="79"/>
        <v>1200</v>
      </c>
      <c r="N27" s="29">
        <v>1</v>
      </c>
      <c r="O27" s="224">
        <f t="shared" si="80"/>
        <v>1200</v>
      </c>
      <c r="P27" s="224"/>
      <c r="Q27" s="84" t="s">
        <v>49</v>
      </c>
      <c r="R27" s="137" t="s">
        <v>90</v>
      </c>
      <c r="S27" s="140" t="str">
        <f t="shared" ref="S27" si="97">CONCATENATE(Q27,R27,Y27)</f>
        <v>BPD2009</v>
      </c>
      <c r="Y27" s="63">
        <v>2009</v>
      </c>
      <c r="Z27" s="225">
        <f>IF($Q27="B", (G27*$N27),0)</f>
        <v>0</v>
      </c>
      <c r="AA27" s="225">
        <f>IF($Q27="B", (H27*$N27),0)</f>
        <v>0</v>
      </c>
      <c r="AB27" s="225">
        <f>IF($Q27="B", (I27*$N27),0)</f>
        <v>0</v>
      </c>
      <c r="AC27" s="225">
        <f>IF($Q27="B", (J27*$N27),0)</f>
        <v>8</v>
      </c>
      <c r="AD27" s="225">
        <f>IF($Q27="B", (K27*$N27),0)</f>
        <v>0</v>
      </c>
      <c r="AE27" s="226">
        <f t="shared" si="83"/>
        <v>0</v>
      </c>
      <c r="AF27" s="227"/>
      <c r="AG27" s="225"/>
      <c r="AH27" s="225"/>
      <c r="AI27" s="130"/>
      <c r="AJ27" s="228">
        <f>IF($Q27="C", (G27*$N27),0)</f>
        <v>0</v>
      </c>
      <c r="AK27" s="229">
        <f>IF($Q27="C", (H27*$N27),0)</f>
        <v>0</v>
      </c>
      <c r="AL27" s="229">
        <f>IF($Q27="C", (I27*$N27),0)</f>
        <v>0</v>
      </c>
      <c r="AM27" s="229">
        <f>IF($Q27="C", (J27*$N27),0)</f>
        <v>0</v>
      </c>
      <c r="AN27" s="229">
        <f>IF($Q27="C", (K27*$N27),0)</f>
        <v>0</v>
      </c>
      <c r="AO27" s="225">
        <f t="shared" si="85"/>
        <v>0</v>
      </c>
      <c r="AP27" s="227"/>
    </row>
    <row r="28" spans="1:42" s="29" customFormat="1">
      <c r="A28" s="78" t="s">
        <v>131</v>
      </c>
      <c r="B28" s="29" t="s">
        <v>120</v>
      </c>
      <c r="C28" s="29">
        <v>0.08</v>
      </c>
      <c r="D28" s="29" t="s">
        <v>41</v>
      </c>
      <c r="E28" s="130">
        <v>600</v>
      </c>
      <c r="F28" s="222">
        <f t="shared" si="78"/>
        <v>48</v>
      </c>
      <c r="G28" s="126">
        <v>1</v>
      </c>
      <c r="H28" s="126">
        <v>0</v>
      </c>
      <c r="I28" s="126">
        <v>0</v>
      </c>
      <c r="J28" s="126">
        <v>0</v>
      </c>
      <c r="K28" s="223">
        <v>0</v>
      </c>
      <c r="L28" s="29" t="s">
        <v>8</v>
      </c>
      <c r="M28" s="130">
        <f t="shared" si="79"/>
        <v>1270</v>
      </c>
      <c r="N28" s="29">
        <v>10</v>
      </c>
      <c r="O28" s="224">
        <f t="shared" si="80"/>
        <v>1750</v>
      </c>
      <c r="P28" s="224"/>
      <c r="Q28" s="84" t="s">
        <v>50</v>
      </c>
      <c r="R28" s="137" t="s">
        <v>90</v>
      </c>
      <c r="S28" s="140" t="str">
        <f t="shared" ref="S28" si="98">CONCATENATE(Q28,R28,Y28)</f>
        <v>CPDHytec</v>
      </c>
      <c r="Y28" s="63" t="s">
        <v>57</v>
      </c>
      <c r="Z28" s="225">
        <f t="shared" si="82"/>
        <v>0</v>
      </c>
      <c r="AA28" s="225">
        <f t="shared" si="82"/>
        <v>0</v>
      </c>
      <c r="AB28" s="225">
        <f t="shared" si="82"/>
        <v>0</v>
      </c>
      <c r="AC28" s="225">
        <f t="shared" si="82"/>
        <v>0</v>
      </c>
      <c r="AD28" s="225">
        <f t="shared" si="82"/>
        <v>0</v>
      </c>
      <c r="AE28" s="226">
        <f t="shared" si="83"/>
        <v>0</v>
      </c>
      <c r="AF28" s="227"/>
      <c r="AG28" s="225"/>
      <c r="AH28" s="225"/>
      <c r="AI28" s="130"/>
      <c r="AJ28" s="228">
        <f t="shared" si="84"/>
        <v>10</v>
      </c>
      <c r="AK28" s="229">
        <f t="shared" si="84"/>
        <v>0</v>
      </c>
      <c r="AL28" s="229">
        <f t="shared" si="84"/>
        <v>0</v>
      </c>
      <c r="AM28" s="229">
        <f t="shared" si="84"/>
        <v>0</v>
      </c>
      <c r="AN28" s="229">
        <f t="shared" si="84"/>
        <v>0</v>
      </c>
      <c r="AO28" s="225">
        <f t="shared" si="85"/>
        <v>480</v>
      </c>
      <c r="AP28" s="227"/>
    </row>
    <row r="29" spans="1:42" s="29" customFormat="1">
      <c r="A29" s="79" t="s">
        <v>75</v>
      </c>
      <c r="E29" s="95"/>
      <c r="F29" s="104"/>
      <c r="G29" s="113"/>
      <c r="H29" s="113"/>
      <c r="I29" s="113"/>
      <c r="J29" s="113"/>
      <c r="K29" s="114"/>
      <c r="L29" s="127" t="s">
        <v>77</v>
      </c>
      <c r="M29" s="128">
        <f>SUMIF(Q23:Q28,"B",M23:M28)</f>
        <v>17640</v>
      </c>
      <c r="N29" s="129" t="s">
        <v>77</v>
      </c>
      <c r="O29" s="224"/>
      <c r="P29" s="224"/>
      <c r="Q29" s="84"/>
      <c r="R29" s="137"/>
      <c r="S29" s="140"/>
      <c r="Y29" s="63"/>
      <c r="Z29" s="229"/>
      <c r="AA29" s="229"/>
      <c r="AB29" s="248"/>
      <c r="AC29" s="229"/>
      <c r="AD29" s="229"/>
      <c r="AE29" s="226"/>
      <c r="AF29" s="227"/>
      <c r="AG29" s="225"/>
      <c r="AH29" s="225"/>
      <c r="AI29" s="130"/>
      <c r="AJ29" s="228"/>
      <c r="AK29" s="229"/>
      <c r="AL29" s="229"/>
      <c r="AM29" s="229"/>
      <c r="AN29" s="229"/>
      <c r="AO29" s="225"/>
      <c r="AP29" s="227"/>
    </row>
    <row r="30" spans="1:42" s="29" customFormat="1">
      <c r="A30" s="78" t="s">
        <v>167</v>
      </c>
      <c r="B30" s="29" t="s">
        <v>7</v>
      </c>
      <c r="C30" s="29">
        <v>20</v>
      </c>
      <c r="D30" s="29" t="s">
        <v>41</v>
      </c>
      <c r="E30" s="130">
        <v>8</v>
      </c>
      <c r="F30" s="222">
        <f t="shared" ref="F30:F37" si="99">E30*C30</f>
        <v>160</v>
      </c>
      <c r="G30" s="126">
        <v>24</v>
      </c>
      <c r="H30" s="126">
        <v>4</v>
      </c>
      <c r="I30" s="126">
        <v>0</v>
      </c>
      <c r="J30" s="126">
        <v>8</v>
      </c>
      <c r="K30" s="223">
        <v>0</v>
      </c>
      <c r="L30" s="29" t="s">
        <v>8</v>
      </c>
      <c r="M30" s="130">
        <f t="shared" ref="M30:M37" si="100">((Shop*G30)+(M_Tech*H30)+(CMM*I30)+(ENG*J30)+(DES*K30))*N30</f>
        <v>4716</v>
      </c>
      <c r="N30" s="29">
        <v>1</v>
      </c>
      <c r="O30" s="224">
        <f t="shared" ref="O30:O37" si="101">M30+(N30*F30)</f>
        <v>4876</v>
      </c>
      <c r="P30" s="224"/>
      <c r="Q30" s="84" t="s">
        <v>49</v>
      </c>
      <c r="R30" s="137" t="s">
        <v>90</v>
      </c>
      <c r="S30" s="140" t="str">
        <f t="shared" ref="S30:S33" si="102">CONCATENATE(Q30,R30,Y30)</f>
        <v>BPD2009</v>
      </c>
      <c r="Y30" s="63">
        <v>2009</v>
      </c>
      <c r="Z30" s="225">
        <f t="shared" ref="Z30:Z33" si="103">IF($Q30="B", (G30*$N30),0)</f>
        <v>24</v>
      </c>
      <c r="AA30" s="225">
        <f t="shared" ref="AA30:AA33" si="104">IF($Q30="B", (H30*$N30),0)</f>
        <v>4</v>
      </c>
      <c r="AB30" s="225">
        <f t="shared" ref="AB30:AB33" si="105">IF($Q30="B", (I30*$N30),0)</f>
        <v>0</v>
      </c>
      <c r="AC30" s="225">
        <f t="shared" ref="AC30:AC33" si="106">IF($Q30="B", (J30*$N30),0)</f>
        <v>8</v>
      </c>
      <c r="AD30" s="225">
        <f t="shared" ref="AD30:AD33" si="107">IF($Q30="B", (K30*$N30),0)</f>
        <v>0</v>
      </c>
      <c r="AE30" s="226">
        <f t="shared" ref="AE30:AE33" si="108">IF($Q30="B", (F30*$N30),0)</f>
        <v>160</v>
      </c>
      <c r="AF30" s="227"/>
      <c r="AG30" s="225"/>
      <c r="AH30" s="225"/>
      <c r="AI30" s="130"/>
      <c r="AJ30" s="228">
        <f t="shared" ref="AJ30:AJ33" si="109">IF($Q30="C", (G30*$N30),0)</f>
        <v>0</v>
      </c>
      <c r="AK30" s="229">
        <f t="shared" ref="AK30:AK33" si="110">IF($Q30="C", (H30*$N30),0)</f>
        <v>0</v>
      </c>
      <c r="AL30" s="229">
        <f t="shared" ref="AL30:AL33" si="111">IF($Q30="C", (I30*$N30),0)</f>
        <v>0</v>
      </c>
      <c r="AM30" s="229">
        <f t="shared" ref="AM30:AM33" si="112">IF($Q30="C", (J30*$N30),0)</f>
        <v>0</v>
      </c>
      <c r="AN30" s="229">
        <f t="shared" ref="AN30:AN33" si="113">IF($Q30="C", (K30*$N30),0)</f>
        <v>0</v>
      </c>
      <c r="AO30" s="225">
        <f t="shared" ref="AO30:AO33" si="114">IF($Q30="C", (F30*$N30),0)</f>
        <v>0</v>
      </c>
      <c r="AP30" s="227"/>
    </row>
    <row r="31" spans="1:42" s="29" customFormat="1">
      <c r="A31" s="78" t="s">
        <v>168</v>
      </c>
      <c r="B31" s="29" t="s">
        <v>7</v>
      </c>
      <c r="C31" s="29">
        <v>5</v>
      </c>
      <c r="D31" s="29" t="s">
        <v>41</v>
      </c>
      <c r="E31" s="130">
        <v>8</v>
      </c>
      <c r="F31" s="222">
        <f t="shared" si="99"/>
        <v>40</v>
      </c>
      <c r="G31" s="126">
        <v>8</v>
      </c>
      <c r="H31" s="126">
        <v>2</v>
      </c>
      <c r="I31" s="126">
        <v>0</v>
      </c>
      <c r="J31" s="126">
        <v>0</v>
      </c>
      <c r="K31" s="223">
        <v>0</v>
      </c>
      <c r="L31" s="29" t="s">
        <v>8</v>
      </c>
      <c r="M31" s="130">
        <f t="shared" si="100"/>
        <v>1250</v>
      </c>
      <c r="N31" s="29">
        <v>1</v>
      </c>
      <c r="O31" s="224">
        <f t="shared" si="101"/>
        <v>1290</v>
      </c>
      <c r="P31" s="224"/>
      <c r="Q31" s="84" t="s">
        <v>49</v>
      </c>
      <c r="R31" s="137" t="s">
        <v>90</v>
      </c>
      <c r="S31" s="140" t="str">
        <f t="shared" ref="S31" si="115">CONCATENATE(Q31,R31,Y31)</f>
        <v>BPD2009</v>
      </c>
      <c r="Y31" s="63">
        <v>2009</v>
      </c>
      <c r="Z31" s="225">
        <f t="shared" ref="Z31" si="116">IF($Q31="B", (G31*$N31),0)</f>
        <v>8</v>
      </c>
      <c r="AA31" s="225">
        <f t="shared" ref="AA31" si="117">IF($Q31="B", (H31*$N31),0)</f>
        <v>2</v>
      </c>
      <c r="AB31" s="225">
        <f t="shared" ref="AB31" si="118">IF($Q31="B", (I31*$N31),0)</f>
        <v>0</v>
      </c>
      <c r="AC31" s="225">
        <f t="shared" ref="AC31" si="119">IF($Q31="B", (J31*$N31),0)</f>
        <v>0</v>
      </c>
      <c r="AD31" s="225">
        <f t="shared" ref="AD31" si="120">IF($Q31="B", (K31*$N31),0)</f>
        <v>0</v>
      </c>
      <c r="AE31" s="226">
        <f t="shared" ref="AE31" si="121">IF($Q31="B", (F31*$N31),0)</f>
        <v>40</v>
      </c>
      <c r="AF31" s="227"/>
      <c r="AG31" s="225"/>
      <c r="AH31" s="225"/>
      <c r="AI31" s="130"/>
      <c r="AJ31" s="228">
        <f t="shared" ref="AJ31" si="122">IF($Q31="C", (G31*$N31),0)</f>
        <v>0</v>
      </c>
      <c r="AK31" s="229">
        <f t="shared" ref="AK31" si="123">IF($Q31="C", (H31*$N31),0)</f>
        <v>0</v>
      </c>
      <c r="AL31" s="229">
        <f t="shared" ref="AL31" si="124">IF($Q31="C", (I31*$N31),0)</f>
        <v>0</v>
      </c>
      <c r="AM31" s="229">
        <f t="shared" ref="AM31" si="125">IF($Q31="C", (J31*$N31),0)</f>
        <v>0</v>
      </c>
      <c r="AN31" s="229">
        <f t="shared" ref="AN31" si="126">IF($Q31="C", (K31*$N31),0)</f>
        <v>0</v>
      </c>
      <c r="AO31" s="225">
        <f t="shared" ref="AO31" si="127">IF($Q31="C", (F31*$N31),0)</f>
        <v>0</v>
      </c>
      <c r="AP31" s="227"/>
    </row>
    <row r="32" spans="1:42" s="29" customFormat="1">
      <c r="A32" s="78" t="s">
        <v>169</v>
      </c>
      <c r="B32" s="29" t="s">
        <v>7</v>
      </c>
      <c r="C32" s="29">
        <v>5</v>
      </c>
      <c r="D32" s="29" t="s">
        <v>41</v>
      </c>
      <c r="E32" s="130">
        <v>8</v>
      </c>
      <c r="F32" s="222">
        <f t="shared" si="99"/>
        <v>40</v>
      </c>
      <c r="G32" s="126">
        <v>16</v>
      </c>
      <c r="H32" s="126">
        <v>0</v>
      </c>
      <c r="I32" s="126">
        <v>0</v>
      </c>
      <c r="J32" s="126">
        <v>8</v>
      </c>
      <c r="K32" s="223">
        <v>0</v>
      </c>
      <c r="L32" s="29" t="s">
        <v>8</v>
      </c>
      <c r="M32" s="130">
        <f t="shared" si="100"/>
        <v>3232</v>
      </c>
      <c r="N32" s="29">
        <v>1</v>
      </c>
      <c r="O32" s="224">
        <f t="shared" si="101"/>
        <v>3272</v>
      </c>
      <c r="P32" s="224"/>
      <c r="Q32" s="84" t="s">
        <v>49</v>
      </c>
      <c r="R32" s="137" t="s">
        <v>90</v>
      </c>
      <c r="S32" s="140" t="str">
        <f t="shared" si="102"/>
        <v>BPD2009</v>
      </c>
      <c r="Y32" s="63">
        <v>2009</v>
      </c>
      <c r="Z32" s="225">
        <f t="shared" si="103"/>
        <v>16</v>
      </c>
      <c r="AA32" s="225">
        <f t="shared" si="104"/>
        <v>0</v>
      </c>
      <c r="AB32" s="225">
        <f t="shared" si="105"/>
        <v>0</v>
      </c>
      <c r="AC32" s="225">
        <f t="shared" si="106"/>
        <v>8</v>
      </c>
      <c r="AD32" s="225">
        <f t="shared" si="107"/>
        <v>0</v>
      </c>
      <c r="AE32" s="226">
        <f t="shared" si="108"/>
        <v>40</v>
      </c>
      <c r="AF32" s="227"/>
      <c r="AG32" s="225"/>
      <c r="AH32" s="225"/>
      <c r="AI32" s="130"/>
      <c r="AJ32" s="228">
        <f t="shared" si="109"/>
        <v>0</v>
      </c>
      <c r="AK32" s="229">
        <f t="shared" si="110"/>
        <v>0</v>
      </c>
      <c r="AL32" s="229">
        <f t="shared" si="111"/>
        <v>0</v>
      </c>
      <c r="AM32" s="229">
        <f t="shared" si="112"/>
        <v>0</v>
      </c>
      <c r="AN32" s="229">
        <f t="shared" si="113"/>
        <v>0</v>
      </c>
      <c r="AO32" s="225">
        <f t="shared" si="114"/>
        <v>0</v>
      </c>
      <c r="AP32" s="227"/>
    </row>
    <row r="33" spans="1:42" s="29" customFormat="1">
      <c r="A33" s="78" t="s">
        <v>170</v>
      </c>
      <c r="B33" s="29" t="s">
        <v>7</v>
      </c>
      <c r="C33" s="29">
        <v>20</v>
      </c>
      <c r="D33" s="29" t="s">
        <v>41</v>
      </c>
      <c r="E33" s="130">
        <v>8</v>
      </c>
      <c r="F33" s="222">
        <f t="shared" si="99"/>
        <v>160</v>
      </c>
      <c r="G33" s="126">
        <v>24</v>
      </c>
      <c r="H33" s="126">
        <v>8</v>
      </c>
      <c r="I33" s="126">
        <v>0</v>
      </c>
      <c r="J33" s="126">
        <v>8</v>
      </c>
      <c r="K33" s="223">
        <v>0</v>
      </c>
      <c r="L33" s="29" t="s">
        <v>8</v>
      </c>
      <c r="M33" s="130">
        <f t="shared" si="100"/>
        <v>5184</v>
      </c>
      <c r="N33" s="29">
        <v>1</v>
      </c>
      <c r="O33" s="224">
        <f t="shared" si="101"/>
        <v>5344</v>
      </c>
      <c r="P33" s="224"/>
      <c r="Q33" s="84" t="s">
        <v>49</v>
      </c>
      <c r="R33" s="137" t="s">
        <v>90</v>
      </c>
      <c r="S33" s="140" t="str">
        <f t="shared" si="102"/>
        <v>BPD2009</v>
      </c>
      <c r="Y33" s="63">
        <v>2009</v>
      </c>
      <c r="Z33" s="225">
        <f t="shared" si="103"/>
        <v>24</v>
      </c>
      <c r="AA33" s="225">
        <f t="shared" si="104"/>
        <v>8</v>
      </c>
      <c r="AB33" s="225">
        <f t="shared" si="105"/>
        <v>0</v>
      </c>
      <c r="AC33" s="225">
        <f t="shared" si="106"/>
        <v>8</v>
      </c>
      <c r="AD33" s="225">
        <f t="shared" si="107"/>
        <v>0</v>
      </c>
      <c r="AE33" s="226">
        <f t="shared" si="108"/>
        <v>160</v>
      </c>
      <c r="AF33" s="227"/>
      <c r="AG33" s="225"/>
      <c r="AH33" s="225"/>
      <c r="AI33" s="130"/>
      <c r="AJ33" s="228">
        <f t="shared" si="109"/>
        <v>0</v>
      </c>
      <c r="AK33" s="229">
        <f t="shared" si="110"/>
        <v>0</v>
      </c>
      <c r="AL33" s="229">
        <f t="shared" si="111"/>
        <v>0</v>
      </c>
      <c r="AM33" s="229">
        <f t="shared" si="112"/>
        <v>0</v>
      </c>
      <c r="AN33" s="229">
        <f t="shared" si="113"/>
        <v>0</v>
      </c>
      <c r="AO33" s="225">
        <f t="shared" si="114"/>
        <v>0</v>
      </c>
      <c r="AP33" s="227"/>
    </row>
    <row r="34" spans="1:42" s="29" customFormat="1">
      <c r="A34" s="78" t="s">
        <v>128</v>
      </c>
      <c r="B34" s="29" t="s">
        <v>7</v>
      </c>
      <c r="C34" s="29">
        <v>10</v>
      </c>
      <c r="D34" s="29" t="s">
        <v>41</v>
      </c>
      <c r="E34" s="130">
        <v>8</v>
      </c>
      <c r="F34" s="222">
        <f t="shared" si="99"/>
        <v>80</v>
      </c>
      <c r="G34" s="126">
        <v>16</v>
      </c>
      <c r="H34" s="126">
        <v>4</v>
      </c>
      <c r="I34" s="126">
        <v>0</v>
      </c>
      <c r="J34" s="126">
        <v>8</v>
      </c>
      <c r="K34" s="223">
        <v>0</v>
      </c>
      <c r="L34" s="29" t="s">
        <v>8</v>
      </c>
      <c r="M34" s="130">
        <f t="shared" si="100"/>
        <v>3700</v>
      </c>
      <c r="N34" s="29">
        <v>1</v>
      </c>
      <c r="O34" s="224">
        <f t="shared" si="101"/>
        <v>3780</v>
      </c>
      <c r="P34" s="224"/>
      <c r="Q34" s="84" t="s">
        <v>49</v>
      </c>
      <c r="R34" s="137" t="s">
        <v>90</v>
      </c>
      <c r="S34" s="140" t="str">
        <f t="shared" ref="S34:S37" si="128">CONCATENATE(Q34,R34,Y34)</f>
        <v>BPD2009</v>
      </c>
      <c r="Y34" s="63">
        <v>2009</v>
      </c>
      <c r="Z34" s="225">
        <f t="shared" ref="Z34:Z37" si="129">IF($Q34="B", (G34*$N34),0)</f>
        <v>16</v>
      </c>
      <c r="AA34" s="225">
        <f t="shared" ref="AA34:AA37" si="130">IF($Q34="B", (H34*$N34),0)</f>
        <v>4</v>
      </c>
      <c r="AB34" s="225">
        <f t="shared" ref="AB34:AB37" si="131">IF($Q34="B", (I34*$N34),0)</f>
        <v>0</v>
      </c>
      <c r="AC34" s="225">
        <f t="shared" ref="AC34:AC37" si="132">IF($Q34="B", (J34*$N34),0)</f>
        <v>8</v>
      </c>
      <c r="AD34" s="225">
        <f t="shared" ref="AD34:AD37" si="133">IF($Q34="B", (K34*$N34),0)</f>
        <v>0</v>
      </c>
      <c r="AE34" s="226">
        <f t="shared" ref="AE34:AE37" si="134">IF($Q34="B", (F34*$N34),0)</f>
        <v>80</v>
      </c>
      <c r="AF34" s="227"/>
      <c r="AG34" s="225"/>
      <c r="AH34" s="225"/>
      <c r="AI34" s="130"/>
      <c r="AJ34" s="228">
        <f t="shared" ref="AJ34:AJ37" si="135">IF($Q34="C", (G34*$N34),0)</f>
        <v>0</v>
      </c>
      <c r="AK34" s="229">
        <f t="shared" ref="AK34:AK37" si="136">IF($Q34="C", (H34*$N34),0)</f>
        <v>0</v>
      </c>
      <c r="AL34" s="229">
        <f t="shared" ref="AL34:AL37" si="137">IF($Q34="C", (I34*$N34),0)</f>
        <v>0</v>
      </c>
      <c r="AM34" s="229">
        <f t="shared" ref="AM34:AM37" si="138">IF($Q34="C", (J34*$N34),0)</f>
        <v>0</v>
      </c>
      <c r="AN34" s="229">
        <f t="shared" ref="AN34:AN37" si="139">IF($Q34="C", (K34*$N34),0)</f>
        <v>0</v>
      </c>
      <c r="AO34" s="225">
        <f t="shared" ref="AO34:AO37" si="140">IF($Q34="C", (F34*$N34),0)</f>
        <v>0</v>
      </c>
      <c r="AP34" s="227"/>
    </row>
    <row r="35" spans="1:42" s="29" customFormat="1">
      <c r="A35" s="78" t="s">
        <v>127</v>
      </c>
      <c r="B35" s="29" t="s">
        <v>7</v>
      </c>
      <c r="C35" s="29">
        <v>5</v>
      </c>
      <c r="D35" s="29" t="s">
        <v>41</v>
      </c>
      <c r="E35" s="130">
        <v>8</v>
      </c>
      <c r="F35" s="222">
        <f t="shared" si="99"/>
        <v>40</v>
      </c>
      <c r="G35" s="126">
        <v>4</v>
      </c>
      <c r="H35" s="126">
        <v>0</v>
      </c>
      <c r="I35" s="126">
        <v>0</v>
      </c>
      <c r="J35" s="126">
        <v>1</v>
      </c>
      <c r="K35" s="223">
        <v>0</v>
      </c>
      <c r="L35" s="29" t="s">
        <v>8</v>
      </c>
      <c r="M35" s="130">
        <f t="shared" si="100"/>
        <v>658</v>
      </c>
      <c r="N35" s="29">
        <v>1</v>
      </c>
      <c r="O35" s="224">
        <f t="shared" si="101"/>
        <v>698</v>
      </c>
      <c r="P35" s="224"/>
      <c r="Q35" s="84" t="s">
        <v>49</v>
      </c>
      <c r="R35" s="137" t="s">
        <v>90</v>
      </c>
      <c r="S35" s="140" t="str">
        <f t="shared" si="128"/>
        <v>BPD2009</v>
      </c>
      <c r="Y35" s="63">
        <v>2009</v>
      </c>
      <c r="Z35" s="225">
        <f t="shared" si="129"/>
        <v>4</v>
      </c>
      <c r="AA35" s="225">
        <f t="shared" si="130"/>
        <v>0</v>
      </c>
      <c r="AB35" s="225">
        <f t="shared" si="131"/>
        <v>0</v>
      </c>
      <c r="AC35" s="225">
        <f t="shared" si="132"/>
        <v>1</v>
      </c>
      <c r="AD35" s="225">
        <f t="shared" si="133"/>
        <v>0</v>
      </c>
      <c r="AE35" s="226">
        <f t="shared" si="134"/>
        <v>40</v>
      </c>
      <c r="AF35" s="227"/>
      <c r="AG35" s="225"/>
      <c r="AH35" s="225"/>
      <c r="AI35" s="130"/>
      <c r="AJ35" s="228">
        <f t="shared" si="135"/>
        <v>0</v>
      </c>
      <c r="AK35" s="229">
        <f t="shared" si="136"/>
        <v>0</v>
      </c>
      <c r="AL35" s="229">
        <f t="shared" si="137"/>
        <v>0</v>
      </c>
      <c r="AM35" s="229">
        <f t="shared" si="138"/>
        <v>0</v>
      </c>
      <c r="AN35" s="229">
        <f t="shared" si="139"/>
        <v>0</v>
      </c>
      <c r="AO35" s="225">
        <f t="shared" si="140"/>
        <v>0</v>
      </c>
      <c r="AP35" s="227"/>
    </row>
    <row r="36" spans="1:42" s="29" customFormat="1">
      <c r="A36" s="78" t="s">
        <v>126</v>
      </c>
      <c r="B36" s="29" t="s">
        <v>7</v>
      </c>
      <c r="C36" s="29">
        <v>5</v>
      </c>
      <c r="D36" s="29" t="s">
        <v>41</v>
      </c>
      <c r="E36" s="130">
        <v>8</v>
      </c>
      <c r="F36" s="222">
        <f t="shared" si="99"/>
        <v>40</v>
      </c>
      <c r="G36" s="126">
        <v>8</v>
      </c>
      <c r="H36" s="126">
        <v>0</v>
      </c>
      <c r="I36" s="126">
        <v>0</v>
      </c>
      <c r="J36" s="126">
        <v>8</v>
      </c>
      <c r="K36" s="223">
        <v>0</v>
      </c>
      <c r="L36" s="29" t="s">
        <v>8</v>
      </c>
      <c r="M36" s="130">
        <f t="shared" si="100"/>
        <v>2216</v>
      </c>
      <c r="N36" s="29">
        <v>1</v>
      </c>
      <c r="O36" s="224">
        <f t="shared" si="101"/>
        <v>2256</v>
      </c>
      <c r="P36" s="224"/>
      <c r="Q36" s="84" t="s">
        <v>49</v>
      </c>
      <c r="R36" s="137" t="s">
        <v>90</v>
      </c>
      <c r="S36" s="140" t="str">
        <f t="shared" ref="S36" si="141">CONCATENATE(Q36,R36,Y36)</f>
        <v>BPD2009</v>
      </c>
      <c r="Y36" s="63">
        <v>2009</v>
      </c>
      <c r="Z36" s="225">
        <f t="shared" ref="Z36" si="142">IF($Q36="B", (G36*$N36),0)</f>
        <v>8</v>
      </c>
      <c r="AA36" s="225">
        <f t="shared" ref="AA36" si="143">IF($Q36="B", (H36*$N36),0)</f>
        <v>0</v>
      </c>
      <c r="AB36" s="225">
        <f t="shared" ref="AB36" si="144">IF($Q36="B", (I36*$N36),0)</f>
        <v>0</v>
      </c>
      <c r="AC36" s="225">
        <f t="shared" ref="AC36" si="145">IF($Q36="B", (J36*$N36),0)</f>
        <v>8</v>
      </c>
      <c r="AD36" s="225">
        <f t="shared" ref="AD36" si="146">IF($Q36="B", (K36*$N36),0)</f>
        <v>0</v>
      </c>
      <c r="AE36" s="226">
        <f t="shared" ref="AE36" si="147">IF($Q36="B", (F36*$N36),0)</f>
        <v>40</v>
      </c>
      <c r="AF36" s="227"/>
      <c r="AG36" s="225"/>
      <c r="AH36" s="225"/>
      <c r="AI36" s="130"/>
      <c r="AJ36" s="228">
        <f t="shared" ref="AJ36" si="148">IF($Q36="C", (G36*$N36),0)</f>
        <v>0</v>
      </c>
      <c r="AK36" s="229">
        <f t="shared" ref="AK36" si="149">IF($Q36="C", (H36*$N36),0)</f>
        <v>0</v>
      </c>
      <c r="AL36" s="229">
        <f t="shared" ref="AL36" si="150">IF($Q36="C", (I36*$N36),0)</f>
        <v>0</v>
      </c>
      <c r="AM36" s="229">
        <f t="shared" ref="AM36" si="151">IF($Q36="C", (J36*$N36),0)</f>
        <v>0</v>
      </c>
      <c r="AN36" s="229">
        <f t="shared" ref="AN36" si="152">IF($Q36="C", (K36*$N36),0)</f>
        <v>0</v>
      </c>
      <c r="AO36" s="225">
        <f t="shared" ref="AO36" si="153">IF($Q36="C", (F36*$N36),0)</f>
        <v>0</v>
      </c>
      <c r="AP36" s="227"/>
    </row>
    <row r="37" spans="1:42" s="29" customFormat="1">
      <c r="A37" s="78" t="s">
        <v>125</v>
      </c>
      <c r="B37" s="29" t="s">
        <v>7</v>
      </c>
      <c r="C37" s="29">
        <v>5</v>
      </c>
      <c r="D37" s="29" t="s">
        <v>41</v>
      </c>
      <c r="E37" s="130">
        <v>8</v>
      </c>
      <c r="F37" s="222">
        <f t="shared" si="99"/>
        <v>40</v>
      </c>
      <c r="G37" s="126">
        <v>24</v>
      </c>
      <c r="H37" s="126">
        <v>8</v>
      </c>
      <c r="I37" s="126">
        <v>0</v>
      </c>
      <c r="J37" s="126">
        <v>8</v>
      </c>
      <c r="K37" s="223">
        <v>0</v>
      </c>
      <c r="L37" s="29" t="s">
        <v>8</v>
      </c>
      <c r="M37" s="130">
        <f t="shared" si="100"/>
        <v>5184</v>
      </c>
      <c r="N37" s="29">
        <v>1</v>
      </c>
      <c r="O37" s="224">
        <f t="shared" si="101"/>
        <v>5224</v>
      </c>
      <c r="P37" s="224"/>
      <c r="Q37" s="84" t="s">
        <v>49</v>
      </c>
      <c r="R37" s="137" t="s">
        <v>90</v>
      </c>
      <c r="S37" s="140" t="str">
        <f t="shared" si="128"/>
        <v>BPD2009</v>
      </c>
      <c r="Y37" s="63">
        <v>2009</v>
      </c>
      <c r="Z37" s="225">
        <f t="shared" si="129"/>
        <v>24</v>
      </c>
      <c r="AA37" s="225">
        <f t="shared" si="130"/>
        <v>8</v>
      </c>
      <c r="AB37" s="225">
        <f t="shared" si="131"/>
        <v>0</v>
      </c>
      <c r="AC37" s="225">
        <f t="shared" si="132"/>
        <v>8</v>
      </c>
      <c r="AD37" s="225">
        <f t="shared" si="133"/>
        <v>0</v>
      </c>
      <c r="AE37" s="226">
        <f t="shared" si="134"/>
        <v>40</v>
      </c>
      <c r="AF37" s="227"/>
      <c r="AG37" s="225"/>
      <c r="AH37" s="225"/>
      <c r="AI37" s="130"/>
      <c r="AJ37" s="228">
        <f t="shared" si="135"/>
        <v>0</v>
      </c>
      <c r="AK37" s="229">
        <f t="shared" si="136"/>
        <v>0</v>
      </c>
      <c r="AL37" s="229">
        <f t="shared" si="137"/>
        <v>0</v>
      </c>
      <c r="AM37" s="229">
        <f t="shared" si="138"/>
        <v>0</v>
      </c>
      <c r="AN37" s="229">
        <f t="shared" si="139"/>
        <v>0</v>
      </c>
      <c r="AO37" s="225">
        <f t="shared" si="140"/>
        <v>0</v>
      </c>
      <c r="AP37" s="227"/>
    </row>
    <row r="38" spans="1:42" s="29" customFormat="1">
      <c r="A38" s="79" t="s">
        <v>129</v>
      </c>
      <c r="E38" s="95"/>
      <c r="F38" s="104"/>
      <c r="G38" s="113"/>
      <c r="H38" s="113"/>
      <c r="I38" s="113"/>
      <c r="J38" s="113"/>
      <c r="K38" s="114"/>
      <c r="L38" s="127" t="s">
        <v>77</v>
      </c>
      <c r="M38" s="128">
        <f>SUMIF(Q30:Q37,"B",M30:M37)</f>
        <v>26140</v>
      </c>
      <c r="N38" s="127" t="s">
        <v>77</v>
      </c>
      <c r="O38" s="224"/>
      <c r="P38" s="224"/>
      <c r="Q38" s="84"/>
      <c r="R38" s="137"/>
      <c r="S38" s="140"/>
      <c r="Y38" s="63"/>
      <c r="Z38" s="229"/>
      <c r="AA38" s="229"/>
      <c r="AB38" s="248"/>
      <c r="AC38" s="229"/>
      <c r="AD38" s="229"/>
      <c r="AE38" s="226"/>
      <c r="AF38" s="227"/>
      <c r="AG38" s="225"/>
      <c r="AH38" s="225"/>
      <c r="AI38" s="130"/>
      <c r="AJ38" s="228"/>
      <c r="AK38" s="229"/>
      <c r="AL38" s="229"/>
      <c r="AM38" s="229"/>
      <c r="AN38" s="229"/>
      <c r="AO38" s="225"/>
      <c r="AP38" s="227"/>
    </row>
    <row r="39" spans="1:42" s="29" customFormat="1">
      <c r="A39" s="78" t="s">
        <v>175</v>
      </c>
      <c r="B39" s="29" t="s">
        <v>70</v>
      </c>
      <c r="C39" s="29">
        <v>0</v>
      </c>
      <c r="D39" s="29" t="s">
        <v>9</v>
      </c>
      <c r="E39" s="130">
        <v>0</v>
      </c>
      <c r="F39" s="222">
        <f t="shared" ref="F39:F46" si="154">E39*C39</f>
        <v>0</v>
      </c>
      <c r="G39" s="126">
        <v>4</v>
      </c>
      <c r="H39" s="126">
        <v>10</v>
      </c>
      <c r="I39" s="126">
        <v>0</v>
      </c>
      <c r="J39" s="126">
        <v>2</v>
      </c>
      <c r="K39" s="223">
        <v>0</v>
      </c>
      <c r="L39" s="29" t="s">
        <v>8</v>
      </c>
      <c r="M39" s="130">
        <f t="shared" ref="M39:M46" si="155">((Shop*G39)+(M_Tech*H39)+(CMM*I39)+(ENG*J39)+(DES*K39))*N39</f>
        <v>7912</v>
      </c>
      <c r="N39" s="29">
        <v>4</v>
      </c>
      <c r="O39" s="224">
        <f t="shared" ref="O39:O46" si="156">M39+(N39*F39)</f>
        <v>7912</v>
      </c>
      <c r="P39" s="224"/>
      <c r="Q39" s="84" t="s">
        <v>49</v>
      </c>
      <c r="R39" s="137" t="s">
        <v>90</v>
      </c>
      <c r="S39" s="140" t="str">
        <f t="shared" ref="S39:S42" si="157">CONCATENATE(Q39,R39,Y39)</f>
        <v>BPD2009</v>
      </c>
      <c r="Y39" s="63">
        <v>2009</v>
      </c>
      <c r="Z39" s="225">
        <f t="shared" ref="Z39:Z42" si="158">IF($Q39="B", (G39*$N39),0)</f>
        <v>16</v>
      </c>
      <c r="AA39" s="225">
        <f t="shared" ref="AA39:AA42" si="159">IF($Q39="B", (H39*$N39),0)</f>
        <v>40</v>
      </c>
      <c r="AB39" s="225">
        <f t="shared" ref="AB39:AB42" si="160">IF($Q39="B", (I39*$N39),0)</f>
        <v>0</v>
      </c>
      <c r="AC39" s="225">
        <f t="shared" ref="AC39:AC42" si="161">IF($Q39="B", (J39*$N39),0)</f>
        <v>8</v>
      </c>
      <c r="AD39" s="225">
        <f t="shared" ref="AD39:AD42" si="162">IF($Q39="B", (K39*$N39),0)</f>
        <v>0</v>
      </c>
      <c r="AE39" s="226">
        <f t="shared" ref="AE39:AE42" si="163">IF($Q39="B", (F39*$N39),0)</f>
        <v>0</v>
      </c>
      <c r="AF39" s="227"/>
      <c r="AG39" s="225"/>
      <c r="AH39" s="225"/>
      <c r="AI39" s="130"/>
      <c r="AJ39" s="228">
        <f t="shared" ref="AJ39:AJ42" si="164">IF($Q39="C", (G39*$N39),0)</f>
        <v>0</v>
      </c>
      <c r="AK39" s="229">
        <f t="shared" ref="AK39:AK42" si="165">IF($Q39="C", (H39*$N39),0)</f>
        <v>0</v>
      </c>
      <c r="AL39" s="229">
        <f t="shared" ref="AL39:AL42" si="166">IF($Q39="C", (I39*$N39),0)</f>
        <v>0</v>
      </c>
      <c r="AM39" s="229">
        <f t="shared" ref="AM39:AM42" si="167">IF($Q39="C", (J39*$N39),0)</f>
        <v>0</v>
      </c>
      <c r="AN39" s="229">
        <f t="shared" ref="AN39:AN42" si="168">IF($Q39="C", (K39*$N39),0)</f>
        <v>0</v>
      </c>
      <c r="AO39" s="225">
        <f t="shared" ref="AO39:AO42" si="169">IF($Q39="C", (F39*$N39),0)</f>
        <v>0</v>
      </c>
      <c r="AP39" s="227"/>
    </row>
    <row r="40" spans="1:42" s="29" customFormat="1">
      <c r="A40" s="78" t="s">
        <v>179</v>
      </c>
      <c r="B40" s="29" t="s">
        <v>70</v>
      </c>
      <c r="C40" s="29">
        <v>0</v>
      </c>
      <c r="D40" s="29" t="s">
        <v>9</v>
      </c>
      <c r="E40" s="130">
        <v>0</v>
      </c>
      <c r="F40" s="222">
        <f t="shared" si="154"/>
        <v>0</v>
      </c>
      <c r="G40" s="126">
        <v>4</v>
      </c>
      <c r="H40" s="126">
        <v>10</v>
      </c>
      <c r="I40" s="126">
        <v>0</v>
      </c>
      <c r="J40" s="126">
        <v>2</v>
      </c>
      <c r="K40" s="223">
        <v>0</v>
      </c>
      <c r="L40" s="29" t="s">
        <v>8</v>
      </c>
      <c r="M40" s="130">
        <f t="shared" si="155"/>
        <v>7912</v>
      </c>
      <c r="N40" s="29">
        <v>4</v>
      </c>
      <c r="O40" s="224">
        <f t="shared" si="156"/>
        <v>7912</v>
      </c>
      <c r="P40" s="224"/>
      <c r="Q40" s="84" t="s">
        <v>49</v>
      </c>
      <c r="R40" s="137" t="s">
        <v>90</v>
      </c>
      <c r="S40" s="140" t="str">
        <f t="shared" si="157"/>
        <v>BPD2009</v>
      </c>
      <c r="Y40" s="63">
        <v>2009</v>
      </c>
      <c r="Z40" s="225">
        <f t="shared" si="158"/>
        <v>16</v>
      </c>
      <c r="AA40" s="225">
        <f t="shared" si="159"/>
        <v>40</v>
      </c>
      <c r="AB40" s="225">
        <f t="shared" si="160"/>
        <v>0</v>
      </c>
      <c r="AC40" s="225">
        <f t="shared" si="161"/>
        <v>8</v>
      </c>
      <c r="AD40" s="225">
        <f t="shared" si="162"/>
        <v>0</v>
      </c>
      <c r="AE40" s="226">
        <f t="shared" si="163"/>
        <v>0</v>
      </c>
      <c r="AF40" s="227"/>
      <c r="AG40" s="225"/>
      <c r="AH40" s="225"/>
      <c r="AI40" s="130"/>
      <c r="AJ40" s="228">
        <f t="shared" si="164"/>
        <v>0</v>
      </c>
      <c r="AK40" s="229">
        <f t="shared" si="165"/>
        <v>0</v>
      </c>
      <c r="AL40" s="229">
        <f t="shared" si="166"/>
        <v>0</v>
      </c>
      <c r="AM40" s="229">
        <f t="shared" si="167"/>
        <v>0</v>
      </c>
      <c r="AN40" s="229">
        <f t="shared" si="168"/>
        <v>0</v>
      </c>
      <c r="AO40" s="225">
        <f t="shared" si="169"/>
        <v>0</v>
      </c>
      <c r="AP40" s="227"/>
    </row>
    <row r="41" spans="1:42" s="29" customFormat="1">
      <c r="A41" s="78" t="s">
        <v>177</v>
      </c>
      <c r="B41" s="29" t="s">
        <v>70</v>
      </c>
      <c r="C41" s="29">
        <v>0</v>
      </c>
      <c r="D41" s="29" t="s">
        <v>9</v>
      </c>
      <c r="E41" s="130">
        <v>0</v>
      </c>
      <c r="F41" s="222">
        <f t="shared" si="154"/>
        <v>0</v>
      </c>
      <c r="G41" s="126">
        <v>0</v>
      </c>
      <c r="H41" s="126">
        <v>10</v>
      </c>
      <c r="I41" s="126">
        <v>0</v>
      </c>
      <c r="J41" s="126">
        <v>2</v>
      </c>
      <c r="K41" s="223">
        <v>0</v>
      </c>
      <c r="L41" s="29" t="s">
        <v>8</v>
      </c>
      <c r="M41" s="130">
        <f t="shared" si="155"/>
        <v>5880</v>
      </c>
      <c r="N41" s="29">
        <v>4</v>
      </c>
      <c r="O41" s="224">
        <f t="shared" si="156"/>
        <v>5880</v>
      </c>
      <c r="P41" s="224"/>
      <c r="Q41" s="84" t="s">
        <v>49</v>
      </c>
      <c r="R41" s="137" t="s">
        <v>90</v>
      </c>
      <c r="S41" s="140" t="str">
        <f t="shared" si="157"/>
        <v>BPD2009</v>
      </c>
      <c r="Y41" s="63">
        <v>2009</v>
      </c>
      <c r="Z41" s="225">
        <f t="shared" si="158"/>
        <v>0</v>
      </c>
      <c r="AA41" s="225">
        <f t="shared" si="159"/>
        <v>40</v>
      </c>
      <c r="AB41" s="225">
        <f t="shared" si="160"/>
        <v>0</v>
      </c>
      <c r="AC41" s="225">
        <f t="shared" si="161"/>
        <v>8</v>
      </c>
      <c r="AD41" s="225">
        <f t="shared" si="162"/>
        <v>0</v>
      </c>
      <c r="AE41" s="226">
        <f t="shared" si="163"/>
        <v>0</v>
      </c>
      <c r="AF41" s="227"/>
      <c r="AG41" s="225"/>
      <c r="AH41" s="225"/>
      <c r="AI41" s="130"/>
      <c r="AJ41" s="228">
        <f t="shared" si="164"/>
        <v>0</v>
      </c>
      <c r="AK41" s="229">
        <f t="shared" si="165"/>
        <v>0</v>
      </c>
      <c r="AL41" s="229">
        <f t="shared" si="166"/>
        <v>0</v>
      </c>
      <c r="AM41" s="229">
        <f t="shared" si="167"/>
        <v>0</v>
      </c>
      <c r="AN41" s="229">
        <f t="shared" si="168"/>
        <v>0</v>
      </c>
      <c r="AO41" s="225">
        <f t="shared" si="169"/>
        <v>0</v>
      </c>
      <c r="AP41" s="227"/>
    </row>
    <row r="42" spans="1:42" s="29" customFormat="1">
      <c r="A42" s="78" t="s">
        <v>178</v>
      </c>
      <c r="B42" s="29" t="s">
        <v>70</v>
      </c>
      <c r="C42" s="29">
        <v>0</v>
      </c>
      <c r="D42" s="29" t="s">
        <v>9</v>
      </c>
      <c r="E42" s="130">
        <v>0</v>
      </c>
      <c r="F42" s="222">
        <f t="shared" si="154"/>
        <v>0</v>
      </c>
      <c r="G42" s="126">
        <v>0</v>
      </c>
      <c r="H42" s="126">
        <v>10</v>
      </c>
      <c r="I42" s="126">
        <v>0</v>
      </c>
      <c r="J42" s="126">
        <v>2</v>
      </c>
      <c r="K42" s="223">
        <v>0</v>
      </c>
      <c r="L42" s="29" t="s">
        <v>8</v>
      </c>
      <c r="M42" s="130">
        <f t="shared" si="155"/>
        <v>5880</v>
      </c>
      <c r="N42" s="29">
        <v>4</v>
      </c>
      <c r="O42" s="224">
        <f t="shared" si="156"/>
        <v>5880</v>
      </c>
      <c r="P42" s="224"/>
      <c r="Q42" s="84" t="s">
        <v>49</v>
      </c>
      <c r="R42" s="137" t="s">
        <v>90</v>
      </c>
      <c r="S42" s="140" t="str">
        <f t="shared" si="157"/>
        <v>BPD2009</v>
      </c>
      <c r="Y42" s="63">
        <v>2009</v>
      </c>
      <c r="Z42" s="225">
        <f t="shared" si="158"/>
        <v>0</v>
      </c>
      <c r="AA42" s="225">
        <f t="shared" si="159"/>
        <v>40</v>
      </c>
      <c r="AB42" s="225">
        <f t="shared" si="160"/>
        <v>0</v>
      </c>
      <c r="AC42" s="225">
        <f t="shared" si="161"/>
        <v>8</v>
      </c>
      <c r="AD42" s="225">
        <f t="shared" si="162"/>
        <v>0</v>
      </c>
      <c r="AE42" s="226">
        <f t="shared" si="163"/>
        <v>0</v>
      </c>
      <c r="AF42" s="227"/>
      <c r="AG42" s="225"/>
      <c r="AH42" s="225"/>
      <c r="AI42" s="130"/>
      <c r="AJ42" s="228">
        <f t="shared" si="164"/>
        <v>0</v>
      </c>
      <c r="AK42" s="229">
        <f t="shared" si="165"/>
        <v>0</v>
      </c>
      <c r="AL42" s="229">
        <f t="shared" si="166"/>
        <v>0</v>
      </c>
      <c r="AM42" s="229">
        <f t="shared" si="167"/>
        <v>0</v>
      </c>
      <c r="AN42" s="229">
        <f t="shared" si="168"/>
        <v>0</v>
      </c>
      <c r="AO42" s="225">
        <f t="shared" si="169"/>
        <v>0</v>
      </c>
      <c r="AP42" s="227"/>
    </row>
    <row r="43" spans="1:42" s="29" customFormat="1">
      <c r="A43" s="78" t="s">
        <v>176</v>
      </c>
      <c r="B43" s="29" t="s">
        <v>70</v>
      </c>
      <c r="C43" s="29">
        <v>0</v>
      </c>
      <c r="D43" s="29" t="s">
        <v>9</v>
      </c>
      <c r="E43" s="130">
        <v>0</v>
      </c>
      <c r="F43" s="222">
        <f t="shared" si="154"/>
        <v>0</v>
      </c>
      <c r="G43" s="126">
        <v>4</v>
      </c>
      <c r="H43" s="126">
        <v>12</v>
      </c>
      <c r="I43" s="126">
        <v>0</v>
      </c>
      <c r="J43" s="126">
        <v>2</v>
      </c>
      <c r="K43" s="223">
        <v>0</v>
      </c>
      <c r="L43" s="29" t="s">
        <v>8</v>
      </c>
      <c r="M43" s="130">
        <f t="shared" si="155"/>
        <v>2212</v>
      </c>
      <c r="N43" s="29">
        <v>1</v>
      </c>
      <c r="O43" s="224">
        <f t="shared" si="156"/>
        <v>2212</v>
      </c>
      <c r="P43" s="224"/>
      <c r="Q43" s="84" t="s">
        <v>50</v>
      </c>
      <c r="R43" s="137" t="s">
        <v>90</v>
      </c>
      <c r="S43" s="140" t="str">
        <f t="shared" ref="S43:S44" si="170">CONCATENATE(Q43,R43,Y43)</f>
        <v>CPD2009</v>
      </c>
      <c r="Y43" s="63">
        <v>2009</v>
      </c>
      <c r="Z43" s="225">
        <f t="shared" ref="Z43:Z44" si="171">IF($Q43="B", (G43*$N43),0)</f>
        <v>0</v>
      </c>
      <c r="AA43" s="225">
        <f t="shared" ref="AA43:AA44" si="172">IF($Q43="B", (H43*$N43),0)</f>
        <v>0</v>
      </c>
      <c r="AB43" s="225">
        <f t="shared" ref="AB43:AB44" si="173">IF($Q43="B", (I43*$N43),0)</f>
        <v>0</v>
      </c>
      <c r="AC43" s="225">
        <f t="shared" ref="AC43:AC44" si="174">IF($Q43="B", (J43*$N43),0)</f>
        <v>0</v>
      </c>
      <c r="AD43" s="225">
        <f t="shared" ref="AD43:AD44" si="175">IF($Q43="B", (K43*$N43),0)</f>
        <v>0</v>
      </c>
      <c r="AE43" s="226">
        <f t="shared" ref="AE43:AE44" si="176">IF($Q43="B", (F43*$N43),0)</f>
        <v>0</v>
      </c>
      <c r="AF43" s="227"/>
      <c r="AG43" s="225"/>
      <c r="AH43" s="225"/>
      <c r="AI43" s="130"/>
      <c r="AJ43" s="228">
        <f t="shared" ref="AJ43:AJ44" si="177">IF($Q43="C", (G43*$N43),0)</f>
        <v>4</v>
      </c>
      <c r="AK43" s="229">
        <f t="shared" ref="AK43:AK44" si="178">IF($Q43="C", (H43*$N43),0)</f>
        <v>12</v>
      </c>
      <c r="AL43" s="229">
        <f t="shared" ref="AL43:AL44" si="179">IF($Q43="C", (I43*$N43),0)</f>
        <v>0</v>
      </c>
      <c r="AM43" s="229">
        <f t="shared" ref="AM43:AM44" si="180">IF($Q43="C", (J43*$N43),0)</f>
        <v>2</v>
      </c>
      <c r="AN43" s="229">
        <f t="shared" ref="AN43:AN44" si="181">IF($Q43="C", (K43*$N43),0)</f>
        <v>0</v>
      </c>
      <c r="AO43" s="225">
        <f t="shared" ref="AO43:AO44" si="182">IF($Q43="C", (F43*$N43),0)</f>
        <v>0</v>
      </c>
      <c r="AP43" s="227"/>
    </row>
    <row r="44" spans="1:42" s="29" customFormat="1">
      <c r="A44" s="78" t="s">
        <v>182</v>
      </c>
      <c r="B44" s="29" t="s">
        <v>70</v>
      </c>
      <c r="C44" s="29">
        <v>0</v>
      </c>
      <c r="D44" s="29" t="s">
        <v>9</v>
      </c>
      <c r="E44" s="130">
        <v>0</v>
      </c>
      <c r="F44" s="222">
        <f t="shared" si="154"/>
        <v>0</v>
      </c>
      <c r="G44" s="126">
        <v>4</v>
      </c>
      <c r="H44" s="126">
        <v>12</v>
      </c>
      <c r="I44" s="126">
        <v>0</v>
      </c>
      <c r="J44" s="126">
        <v>2</v>
      </c>
      <c r="K44" s="223">
        <v>0</v>
      </c>
      <c r="L44" s="29" t="s">
        <v>8</v>
      </c>
      <c r="M44" s="130">
        <f t="shared" si="155"/>
        <v>2212</v>
      </c>
      <c r="N44" s="29">
        <v>1</v>
      </c>
      <c r="O44" s="224">
        <f t="shared" si="156"/>
        <v>2212</v>
      </c>
      <c r="P44" s="224"/>
      <c r="Q44" s="84" t="s">
        <v>50</v>
      </c>
      <c r="R44" s="137" t="s">
        <v>90</v>
      </c>
      <c r="S44" s="140" t="str">
        <f t="shared" si="170"/>
        <v>CPD2009</v>
      </c>
      <c r="Y44" s="63">
        <v>2009</v>
      </c>
      <c r="Z44" s="225">
        <f t="shared" si="171"/>
        <v>0</v>
      </c>
      <c r="AA44" s="225">
        <f t="shared" si="172"/>
        <v>0</v>
      </c>
      <c r="AB44" s="225">
        <f t="shared" si="173"/>
        <v>0</v>
      </c>
      <c r="AC44" s="225">
        <f t="shared" si="174"/>
        <v>0</v>
      </c>
      <c r="AD44" s="225">
        <f t="shared" si="175"/>
        <v>0</v>
      </c>
      <c r="AE44" s="226">
        <f t="shared" si="176"/>
        <v>0</v>
      </c>
      <c r="AF44" s="227"/>
      <c r="AG44" s="225"/>
      <c r="AH44" s="225"/>
      <c r="AI44" s="130"/>
      <c r="AJ44" s="228">
        <f t="shared" si="177"/>
        <v>4</v>
      </c>
      <c r="AK44" s="229">
        <f t="shared" si="178"/>
        <v>12</v>
      </c>
      <c r="AL44" s="229">
        <f t="shared" si="179"/>
        <v>0</v>
      </c>
      <c r="AM44" s="229">
        <f t="shared" si="180"/>
        <v>2</v>
      </c>
      <c r="AN44" s="229">
        <f t="shared" si="181"/>
        <v>0</v>
      </c>
      <c r="AO44" s="225">
        <f t="shared" si="182"/>
        <v>0</v>
      </c>
      <c r="AP44" s="227"/>
    </row>
    <row r="45" spans="1:42" s="29" customFormat="1">
      <c r="A45" s="78" t="s">
        <v>180</v>
      </c>
      <c r="B45" s="29" t="s">
        <v>70</v>
      </c>
      <c r="C45" s="29">
        <v>0</v>
      </c>
      <c r="D45" s="29" t="s">
        <v>9</v>
      </c>
      <c r="E45" s="130">
        <v>0</v>
      </c>
      <c r="F45" s="222">
        <f t="shared" si="154"/>
        <v>0</v>
      </c>
      <c r="G45" s="126">
        <v>0</v>
      </c>
      <c r="H45" s="126">
        <v>12</v>
      </c>
      <c r="I45" s="126">
        <v>0</v>
      </c>
      <c r="J45" s="126">
        <v>2</v>
      </c>
      <c r="K45" s="223">
        <v>0</v>
      </c>
      <c r="L45" s="29" t="s">
        <v>8</v>
      </c>
      <c r="M45" s="130">
        <f t="shared" si="155"/>
        <v>1704</v>
      </c>
      <c r="N45" s="29">
        <v>1</v>
      </c>
      <c r="O45" s="224">
        <f t="shared" si="156"/>
        <v>1704</v>
      </c>
      <c r="P45" s="224"/>
      <c r="Q45" s="84" t="s">
        <v>50</v>
      </c>
      <c r="R45" s="137" t="s">
        <v>90</v>
      </c>
      <c r="S45" s="140" t="str">
        <f t="shared" ref="S45:S46" si="183">CONCATENATE(Q45,R45,Y45)</f>
        <v>CPD2009</v>
      </c>
      <c r="Y45" s="63">
        <v>2009</v>
      </c>
      <c r="Z45" s="225">
        <f t="shared" ref="Z45:Z46" si="184">IF($Q45="B", (G45*$N45),0)</f>
        <v>0</v>
      </c>
      <c r="AA45" s="225">
        <f t="shared" ref="AA45:AA46" si="185">IF($Q45="B", (H45*$N45),0)</f>
        <v>0</v>
      </c>
      <c r="AB45" s="225">
        <f t="shared" ref="AB45:AB46" si="186">IF($Q45="B", (I45*$N45),0)</f>
        <v>0</v>
      </c>
      <c r="AC45" s="225">
        <f t="shared" ref="AC45:AC46" si="187">IF($Q45="B", (J45*$N45),0)</f>
        <v>0</v>
      </c>
      <c r="AD45" s="225">
        <f t="shared" ref="AD45:AD46" si="188">IF($Q45="B", (K45*$N45),0)</f>
        <v>0</v>
      </c>
      <c r="AE45" s="226">
        <f t="shared" ref="AE45:AE46" si="189">IF($Q45="B", (F45*$N45),0)</f>
        <v>0</v>
      </c>
      <c r="AF45" s="227"/>
      <c r="AG45" s="225"/>
      <c r="AH45" s="225"/>
      <c r="AI45" s="130"/>
      <c r="AJ45" s="228">
        <f t="shared" ref="AJ45:AJ46" si="190">IF($Q45="C", (G45*$N45),0)</f>
        <v>0</v>
      </c>
      <c r="AK45" s="229">
        <f t="shared" ref="AK45:AK46" si="191">IF($Q45="C", (H45*$N45),0)</f>
        <v>12</v>
      </c>
      <c r="AL45" s="229">
        <f t="shared" ref="AL45:AL46" si="192">IF($Q45="C", (I45*$N45),0)</f>
        <v>0</v>
      </c>
      <c r="AM45" s="229">
        <f t="shared" ref="AM45:AM46" si="193">IF($Q45="C", (J45*$N45),0)</f>
        <v>2</v>
      </c>
      <c r="AN45" s="229">
        <f t="shared" ref="AN45:AN46" si="194">IF($Q45="C", (K45*$N45),0)</f>
        <v>0</v>
      </c>
      <c r="AO45" s="225">
        <f t="shared" ref="AO45:AO46" si="195">IF($Q45="C", (F45*$N45),0)</f>
        <v>0</v>
      </c>
      <c r="AP45" s="227"/>
    </row>
    <row r="46" spans="1:42" s="29" customFormat="1">
      <c r="A46" s="78" t="s">
        <v>181</v>
      </c>
      <c r="B46" s="29" t="s">
        <v>70</v>
      </c>
      <c r="C46" s="29">
        <v>0</v>
      </c>
      <c r="D46" s="29" t="s">
        <v>9</v>
      </c>
      <c r="E46" s="130">
        <v>0</v>
      </c>
      <c r="F46" s="222">
        <f t="shared" si="154"/>
        <v>0</v>
      </c>
      <c r="G46" s="126">
        <v>0</v>
      </c>
      <c r="H46" s="126">
        <v>12</v>
      </c>
      <c r="I46" s="126">
        <v>0</v>
      </c>
      <c r="J46" s="126">
        <v>2</v>
      </c>
      <c r="K46" s="223">
        <v>0</v>
      </c>
      <c r="L46" s="29" t="s">
        <v>8</v>
      </c>
      <c r="M46" s="130">
        <f t="shared" si="155"/>
        <v>1704</v>
      </c>
      <c r="N46" s="29">
        <v>1</v>
      </c>
      <c r="O46" s="224">
        <f t="shared" si="156"/>
        <v>1704</v>
      </c>
      <c r="P46" s="224"/>
      <c r="Q46" s="84" t="s">
        <v>50</v>
      </c>
      <c r="R46" s="137" t="s">
        <v>90</v>
      </c>
      <c r="S46" s="140" t="str">
        <f t="shared" si="183"/>
        <v>CPD2009</v>
      </c>
      <c r="Y46" s="63">
        <v>2009</v>
      </c>
      <c r="Z46" s="225">
        <f t="shared" si="184"/>
        <v>0</v>
      </c>
      <c r="AA46" s="225">
        <f t="shared" si="185"/>
        <v>0</v>
      </c>
      <c r="AB46" s="225">
        <f t="shared" si="186"/>
        <v>0</v>
      </c>
      <c r="AC46" s="225">
        <f t="shared" si="187"/>
        <v>0</v>
      </c>
      <c r="AD46" s="225">
        <f t="shared" si="188"/>
        <v>0</v>
      </c>
      <c r="AE46" s="226">
        <f t="shared" si="189"/>
        <v>0</v>
      </c>
      <c r="AF46" s="227"/>
      <c r="AG46" s="225"/>
      <c r="AH46" s="225"/>
      <c r="AI46" s="130"/>
      <c r="AJ46" s="228">
        <f t="shared" si="190"/>
        <v>0</v>
      </c>
      <c r="AK46" s="229">
        <f t="shared" si="191"/>
        <v>12</v>
      </c>
      <c r="AL46" s="229">
        <f t="shared" si="192"/>
        <v>0</v>
      </c>
      <c r="AM46" s="229">
        <f t="shared" si="193"/>
        <v>2</v>
      </c>
      <c r="AN46" s="229">
        <f t="shared" si="194"/>
        <v>0</v>
      </c>
      <c r="AO46" s="225">
        <f t="shared" si="195"/>
        <v>0</v>
      </c>
      <c r="AP46" s="227"/>
    </row>
    <row r="47" spans="1:42" s="78" customFormat="1">
      <c r="A47" s="79" t="s">
        <v>104</v>
      </c>
      <c r="E47" s="249"/>
      <c r="F47" s="250"/>
      <c r="G47" s="251"/>
      <c r="H47" s="251"/>
      <c r="I47" s="251"/>
      <c r="J47" s="251"/>
      <c r="K47" s="252"/>
      <c r="L47" s="127" t="s">
        <v>77</v>
      </c>
      <c r="M47" s="128">
        <f>SUMIF(Q39:Q46,"B",M39:M46)</f>
        <v>27584</v>
      </c>
      <c r="N47" s="129" t="s">
        <v>77</v>
      </c>
      <c r="O47" s="128"/>
      <c r="P47" s="253"/>
      <c r="Q47" s="123"/>
      <c r="R47" s="138"/>
      <c r="S47" s="141"/>
      <c r="T47" s="29"/>
      <c r="U47" s="29"/>
      <c r="V47" s="29"/>
      <c r="W47" s="29"/>
      <c r="X47" s="29"/>
      <c r="Y47" s="63"/>
      <c r="Z47" s="141"/>
      <c r="AA47" s="141"/>
      <c r="AB47" s="141"/>
      <c r="AC47" s="141"/>
      <c r="AD47" s="141"/>
      <c r="AE47" s="254"/>
      <c r="AF47" s="255"/>
      <c r="AG47" s="141"/>
      <c r="AH47" s="141"/>
      <c r="AI47" s="130"/>
      <c r="AJ47" s="256"/>
      <c r="AK47" s="141"/>
      <c r="AL47" s="141"/>
      <c r="AM47" s="141"/>
      <c r="AN47" s="141"/>
      <c r="AO47" s="141"/>
      <c r="AP47" s="255"/>
    </row>
    <row r="48" spans="1:42" s="231" customFormat="1">
      <c r="A48" s="125" t="s">
        <v>70</v>
      </c>
      <c r="B48" s="29" t="s">
        <v>64</v>
      </c>
      <c r="C48" s="29">
        <v>1</v>
      </c>
      <c r="D48" s="29" t="s">
        <v>40</v>
      </c>
      <c r="E48" s="130">
        <v>300</v>
      </c>
      <c r="F48" s="222">
        <f>E48*C48</f>
        <v>300</v>
      </c>
      <c r="G48" s="126">
        <v>0</v>
      </c>
      <c r="H48" s="126">
        <v>4</v>
      </c>
      <c r="I48" s="126">
        <v>0</v>
      </c>
      <c r="J48" s="126">
        <v>0</v>
      </c>
      <c r="K48" s="223">
        <v>0</v>
      </c>
      <c r="L48" s="29" t="s">
        <v>8</v>
      </c>
      <c r="M48" s="130">
        <f>((Shop*G48)+(M_Tech*H48)+(CMM*I48)+(ENG*J48)+(DES*K48))*N48</f>
        <v>468</v>
      </c>
      <c r="N48" s="29">
        <v>1</v>
      </c>
      <c r="O48" s="224">
        <f>M48+(N48*F48)</f>
        <v>768</v>
      </c>
      <c r="P48" s="224"/>
      <c r="Q48" s="84" t="s">
        <v>49</v>
      </c>
      <c r="R48" s="137" t="s">
        <v>90</v>
      </c>
      <c r="S48" s="140" t="str">
        <f t="shared" ref="S48:S50" si="196">CONCATENATE(Q48,R48,Y48)</f>
        <v>BPD2009</v>
      </c>
      <c r="T48" s="29"/>
      <c r="U48" s="29"/>
      <c r="V48" s="29"/>
      <c r="W48" s="29"/>
      <c r="X48" s="29"/>
      <c r="Y48" s="63">
        <v>2009</v>
      </c>
      <c r="Z48" s="225">
        <f t="shared" ref="Z48:AD50" si="197">IF($Q48="B", (G48*$N48),0)</f>
        <v>0</v>
      </c>
      <c r="AA48" s="225">
        <f t="shared" si="197"/>
        <v>4</v>
      </c>
      <c r="AB48" s="225">
        <f t="shared" si="197"/>
        <v>0</v>
      </c>
      <c r="AC48" s="225">
        <f t="shared" si="197"/>
        <v>0</v>
      </c>
      <c r="AD48" s="225">
        <f t="shared" si="197"/>
        <v>0</v>
      </c>
      <c r="AE48" s="226">
        <f>IF($Q48="B", (F48*$N48),0)</f>
        <v>300</v>
      </c>
      <c r="AF48" s="230"/>
      <c r="AG48" s="257"/>
      <c r="AH48" s="257"/>
      <c r="AI48" s="130"/>
      <c r="AJ48" s="228">
        <f t="shared" ref="AJ48:AN50" si="198">IF($Q48="C", (G48*$N48),0)</f>
        <v>0</v>
      </c>
      <c r="AK48" s="229">
        <f t="shared" si="198"/>
        <v>0</v>
      </c>
      <c r="AL48" s="229">
        <f t="shared" si="198"/>
        <v>0</v>
      </c>
      <c r="AM48" s="229">
        <f t="shared" si="198"/>
        <v>0</v>
      </c>
      <c r="AN48" s="229">
        <f t="shared" si="198"/>
        <v>0</v>
      </c>
      <c r="AO48" s="225">
        <f>IF($Q48="C", (F48*$N48),0)</f>
        <v>0</v>
      </c>
      <c r="AP48" s="230"/>
    </row>
    <row r="49" spans="1:42" s="231" customFormat="1">
      <c r="A49" s="125" t="s">
        <v>160</v>
      </c>
      <c r="B49" s="29" t="s">
        <v>7</v>
      </c>
      <c r="C49" s="29">
        <v>30</v>
      </c>
      <c r="D49" s="29" t="s">
        <v>40</v>
      </c>
      <c r="E49" s="130">
        <v>8</v>
      </c>
      <c r="F49" s="222">
        <f>E49*C49</f>
        <v>240</v>
      </c>
      <c r="G49" s="126">
        <v>8</v>
      </c>
      <c r="H49" s="126">
        <v>8</v>
      </c>
      <c r="I49" s="126">
        <v>0</v>
      </c>
      <c r="J49" s="126">
        <v>0</v>
      </c>
      <c r="K49" s="223">
        <v>0</v>
      </c>
      <c r="L49" s="29" t="s">
        <v>8</v>
      </c>
      <c r="M49" s="130">
        <f>((Shop*G49)+(M_Tech*H49)+(CMM*I49)+(ENG*J49)+(DES*K49))*N49</f>
        <v>1952</v>
      </c>
      <c r="N49" s="29">
        <v>1</v>
      </c>
      <c r="O49" s="224">
        <f>M49+(N49*F49)</f>
        <v>2192</v>
      </c>
      <c r="P49" s="224"/>
      <c r="Q49" s="84" t="s">
        <v>49</v>
      </c>
      <c r="R49" s="137" t="s">
        <v>90</v>
      </c>
      <c r="S49" s="140" t="str">
        <f t="shared" si="196"/>
        <v>BPD2009</v>
      </c>
      <c r="T49" s="29"/>
      <c r="U49" s="29"/>
      <c r="V49" s="29"/>
      <c r="W49" s="29"/>
      <c r="X49" s="29"/>
      <c r="Y49" s="63">
        <v>2009</v>
      </c>
      <c r="Z49" s="225">
        <f t="shared" si="197"/>
        <v>8</v>
      </c>
      <c r="AA49" s="225">
        <f t="shared" si="197"/>
        <v>8</v>
      </c>
      <c r="AB49" s="225">
        <f t="shared" si="197"/>
        <v>0</v>
      </c>
      <c r="AC49" s="225">
        <f t="shared" si="197"/>
        <v>0</v>
      </c>
      <c r="AD49" s="225">
        <f t="shared" si="197"/>
        <v>0</v>
      </c>
      <c r="AE49" s="226">
        <f>IF($Q49="B", (F49*$N49),0)</f>
        <v>240</v>
      </c>
      <c r="AF49" s="230"/>
      <c r="AG49" s="257"/>
      <c r="AH49" s="257"/>
      <c r="AI49" s="130"/>
      <c r="AJ49" s="228">
        <f t="shared" si="198"/>
        <v>0</v>
      </c>
      <c r="AK49" s="229">
        <f t="shared" si="198"/>
        <v>0</v>
      </c>
      <c r="AL49" s="229">
        <f t="shared" si="198"/>
        <v>0</v>
      </c>
      <c r="AM49" s="229">
        <f t="shared" si="198"/>
        <v>0</v>
      </c>
      <c r="AN49" s="229">
        <f t="shared" si="198"/>
        <v>0</v>
      </c>
      <c r="AO49" s="225">
        <f>IF($Q49="C", (F49*$N49),0)</f>
        <v>0</v>
      </c>
      <c r="AP49" s="230"/>
    </row>
    <row r="50" spans="1:42" s="231" customFormat="1">
      <c r="A50" s="125" t="s">
        <v>73</v>
      </c>
      <c r="B50" s="29" t="s">
        <v>64</v>
      </c>
      <c r="C50" s="29">
        <v>1</v>
      </c>
      <c r="D50" s="29" t="s">
        <v>40</v>
      </c>
      <c r="E50" s="130">
        <v>200</v>
      </c>
      <c r="F50" s="222">
        <f>E50*C50</f>
        <v>200</v>
      </c>
      <c r="G50" s="126">
        <v>0</v>
      </c>
      <c r="H50" s="126">
        <v>1</v>
      </c>
      <c r="I50" s="126">
        <v>0</v>
      </c>
      <c r="J50" s="126">
        <v>0</v>
      </c>
      <c r="K50" s="223">
        <v>0</v>
      </c>
      <c r="L50" s="29" t="s">
        <v>8</v>
      </c>
      <c r="M50" s="130">
        <f>((Shop*G50)+(M_Tech*H50)+(CMM*I50)+(ENG*J50)+(DES*K50))*N50</f>
        <v>117</v>
      </c>
      <c r="N50" s="29">
        <v>1</v>
      </c>
      <c r="O50" s="224">
        <f>M50+(N50*F50)</f>
        <v>317</v>
      </c>
      <c r="P50" s="224"/>
      <c r="Q50" s="84" t="s">
        <v>50</v>
      </c>
      <c r="R50" s="137" t="s">
        <v>90</v>
      </c>
      <c r="S50" s="140" t="str">
        <f t="shared" si="196"/>
        <v>CPD2009</v>
      </c>
      <c r="T50" s="29"/>
      <c r="U50" s="29"/>
      <c r="V50" s="29"/>
      <c r="W50" s="29"/>
      <c r="X50" s="29"/>
      <c r="Y50" s="63">
        <v>2009</v>
      </c>
      <c r="Z50" s="225">
        <f t="shared" si="197"/>
        <v>0</v>
      </c>
      <c r="AA50" s="225">
        <f t="shared" si="197"/>
        <v>0</v>
      </c>
      <c r="AB50" s="225">
        <f t="shared" si="197"/>
        <v>0</v>
      </c>
      <c r="AC50" s="225">
        <f t="shared" si="197"/>
        <v>0</v>
      </c>
      <c r="AD50" s="225">
        <f t="shared" si="197"/>
        <v>0</v>
      </c>
      <c r="AE50" s="226">
        <f>IF($Q50="B", (F50*$N50),0)</f>
        <v>0</v>
      </c>
      <c r="AF50" s="230"/>
      <c r="AG50" s="257"/>
      <c r="AH50" s="257"/>
      <c r="AI50" s="130"/>
      <c r="AJ50" s="228">
        <f t="shared" si="198"/>
        <v>0</v>
      </c>
      <c r="AK50" s="229">
        <f t="shared" si="198"/>
        <v>1</v>
      </c>
      <c r="AL50" s="229">
        <f t="shared" si="198"/>
        <v>0</v>
      </c>
      <c r="AM50" s="229">
        <f t="shared" si="198"/>
        <v>0</v>
      </c>
      <c r="AN50" s="229">
        <f t="shared" si="198"/>
        <v>0</v>
      </c>
      <c r="AO50" s="225">
        <f>IF($Q50="C", (F50*$N50),0)</f>
        <v>200</v>
      </c>
      <c r="AP50" s="230"/>
    </row>
    <row r="51" spans="1:42" s="29" customFormat="1">
      <c r="A51" s="31" t="s">
        <v>122</v>
      </c>
      <c r="B51" s="31"/>
      <c r="C51" s="31"/>
      <c r="D51" s="31"/>
      <c r="E51" s="232"/>
      <c r="F51" s="233"/>
      <c r="G51" s="234"/>
      <c r="H51" s="234"/>
      <c r="I51" s="234"/>
      <c r="J51" s="234"/>
      <c r="K51" s="235"/>
      <c r="L51" s="31"/>
      <c r="M51" s="232">
        <f>SUMIF(Q17:Q50,"B",M17:M50)</f>
        <v>87408</v>
      </c>
      <c r="N51" s="200" t="s">
        <v>76</v>
      </c>
      <c r="O51" s="200"/>
      <c r="P51" s="201"/>
      <c r="Q51" s="236"/>
      <c r="R51" s="237"/>
      <c r="S51" s="238"/>
      <c r="T51" s="31"/>
      <c r="U51" s="31"/>
      <c r="V51" s="31"/>
      <c r="W51" s="31"/>
      <c r="X51" s="31"/>
      <c r="Y51" s="64"/>
      <c r="Z51" s="239">
        <f>SUM(Z16:Z50)</f>
        <v>348</v>
      </c>
      <c r="AA51" s="239">
        <f t="shared" ref="AA51:AC51" si="199">SUM(AA16:AA50)</f>
        <v>236</v>
      </c>
      <c r="AB51" s="239">
        <f t="shared" si="199"/>
        <v>0</v>
      </c>
      <c r="AC51" s="239">
        <f t="shared" si="199"/>
        <v>104</v>
      </c>
      <c r="AD51" s="239">
        <f>SUM(AD16:AD50)</f>
        <v>0</v>
      </c>
      <c r="AE51" s="232"/>
      <c r="AF51" s="233">
        <f>SUM(AE16:AE50)</f>
        <v>6285</v>
      </c>
      <c r="AG51" s="232">
        <f>(Shop*Z51)+M_Tech*AA51+CMM*AB51+ENG*AC51+DES*AD51+AF51</f>
        <v>93693</v>
      </c>
      <c r="AH51" s="232"/>
      <c r="AI51" s="233">
        <f>Shop*AJ51+M_Tech*AK51+CMM*AL51+ENG*AM51+DES*AN51+AP51</f>
        <v>11334.2</v>
      </c>
      <c r="AJ51" s="239">
        <f>SUM(AJ16:AJ50)</f>
        <v>27.6</v>
      </c>
      <c r="AK51" s="239">
        <f t="shared" ref="AK51" si="200">SUM(AK16:AK50)</f>
        <v>49</v>
      </c>
      <c r="AL51" s="239">
        <f t="shared" ref="AL51" si="201">SUM(AL16:AL50)</f>
        <v>0</v>
      </c>
      <c r="AM51" s="239">
        <f t="shared" ref="AM51" si="202">SUM(AM16:AM50)</f>
        <v>8</v>
      </c>
      <c r="AN51" s="239">
        <f t="shared" ref="AN51" si="203">SUM(AN16:AN50)</f>
        <v>0</v>
      </c>
      <c r="AO51" s="232"/>
      <c r="AP51" s="233">
        <f>SUM(AO16:AO50)</f>
        <v>896</v>
      </c>
    </row>
    <row r="52" spans="1:42" s="29" customFormat="1">
      <c r="E52" s="130"/>
      <c r="F52" s="222"/>
      <c r="G52" s="126"/>
      <c r="H52" s="126"/>
      <c r="I52" s="126"/>
      <c r="J52" s="126"/>
      <c r="K52" s="223"/>
      <c r="M52" s="130"/>
      <c r="O52" s="224"/>
      <c r="P52" s="224"/>
      <c r="Q52" s="240"/>
      <c r="R52" s="241"/>
      <c r="S52" s="140"/>
      <c r="Y52" s="242"/>
      <c r="Z52" s="243"/>
      <c r="AA52" s="243"/>
      <c r="AB52" s="243"/>
      <c r="AC52" s="243"/>
      <c r="AD52" s="243"/>
      <c r="AE52" s="244"/>
      <c r="AF52" s="245"/>
      <c r="AG52" s="246"/>
      <c r="AH52" s="246"/>
      <c r="AI52" s="130"/>
      <c r="AJ52" s="247"/>
      <c r="AK52" s="225"/>
      <c r="AL52" s="225"/>
      <c r="AM52" s="225"/>
      <c r="AN52" s="225"/>
      <c r="AO52" s="225"/>
      <c r="AP52" s="227"/>
    </row>
    <row r="53" spans="1:42" s="29" customFormat="1" ht="15.75">
      <c r="A53" s="81" t="s">
        <v>121</v>
      </c>
      <c r="E53" s="130"/>
      <c r="F53" s="222"/>
      <c r="G53" s="126"/>
      <c r="H53" s="126"/>
      <c r="I53" s="126"/>
      <c r="J53" s="126"/>
      <c r="K53" s="223"/>
      <c r="M53" s="130"/>
      <c r="O53" s="224"/>
      <c r="P53" s="224"/>
      <c r="Q53" s="84"/>
      <c r="R53" s="137"/>
      <c r="S53" s="140"/>
      <c r="Y53" s="63"/>
      <c r="Z53" s="229"/>
      <c r="AA53" s="229"/>
      <c r="AB53" s="229"/>
      <c r="AC53" s="229"/>
      <c r="AD53" s="229"/>
      <c r="AE53" s="226"/>
      <c r="AF53" s="227"/>
      <c r="AG53" s="225"/>
      <c r="AH53" s="225"/>
      <c r="AI53" s="130"/>
      <c r="AJ53" s="247"/>
      <c r="AK53" s="225"/>
      <c r="AL53" s="225"/>
      <c r="AM53" s="225"/>
      <c r="AN53" s="225"/>
      <c r="AO53" s="225"/>
      <c r="AP53" s="227"/>
    </row>
    <row r="54" spans="1:42" s="231" customFormat="1">
      <c r="A54" s="79" t="s">
        <v>143</v>
      </c>
      <c r="B54" s="29"/>
      <c r="C54" s="29"/>
      <c r="D54" s="29"/>
      <c r="E54" s="130"/>
      <c r="F54" s="222"/>
      <c r="G54" s="126"/>
      <c r="H54" s="126"/>
      <c r="I54" s="126"/>
      <c r="J54" s="126"/>
      <c r="K54" s="223"/>
      <c r="L54" s="127"/>
      <c r="M54" s="128"/>
      <c r="N54" s="129"/>
      <c r="O54" s="128"/>
      <c r="P54" s="224"/>
      <c r="Q54" s="84"/>
      <c r="R54" s="137"/>
      <c r="S54" s="140"/>
      <c r="T54" s="29"/>
      <c r="U54" s="29"/>
      <c r="V54" s="29"/>
      <c r="W54" s="29"/>
      <c r="X54" s="29"/>
      <c r="Y54" s="63"/>
      <c r="Z54" s="225"/>
      <c r="AA54" s="225"/>
      <c r="AB54" s="225"/>
      <c r="AC54" s="225"/>
      <c r="AD54" s="225"/>
      <c r="AE54" s="226"/>
      <c r="AF54" s="230"/>
      <c r="AG54" s="257"/>
      <c r="AH54" s="257"/>
      <c r="AI54" s="130"/>
      <c r="AJ54" s="228"/>
      <c r="AK54" s="229"/>
      <c r="AL54" s="229"/>
      <c r="AM54" s="229"/>
      <c r="AN54" s="229"/>
      <c r="AO54" s="225"/>
      <c r="AP54" s="230"/>
    </row>
    <row r="55" spans="1:42" s="78" customFormat="1">
      <c r="A55" s="78" t="s">
        <v>133</v>
      </c>
      <c r="E55" s="249"/>
      <c r="F55" s="250"/>
      <c r="G55" s="251"/>
      <c r="H55" s="251"/>
      <c r="I55" s="251"/>
      <c r="J55" s="251"/>
      <c r="K55" s="252"/>
      <c r="M55" s="249"/>
      <c r="O55" s="253"/>
      <c r="P55" s="253"/>
      <c r="Q55" s="123"/>
      <c r="R55" s="138"/>
      <c r="S55" s="141"/>
      <c r="T55" s="29"/>
      <c r="U55" s="29"/>
      <c r="V55" s="29"/>
      <c r="W55" s="29"/>
      <c r="X55" s="29"/>
      <c r="Y55" s="124"/>
      <c r="Z55" s="141"/>
      <c r="AA55" s="141"/>
      <c r="AB55" s="141"/>
      <c r="AC55" s="141"/>
      <c r="AD55" s="141"/>
      <c r="AE55" s="254"/>
      <c r="AF55" s="255"/>
      <c r="AG55" s="141"/>
      <c r="AH55" s="141"/>
      <c r="AI55" s="130"/>
      <c r="AJ55" s="256"/>
      <c r="AK55" s="141"/>
      <c r="AL55" s="141"/>
      <c r="AM55" s="141"/>
      <c r="AN55" s="141"/>
      <c r="AO55" s="141"/>
      <c r="AP55" s="255"/>
    </row>
    <row r="56" spans="1:42" s="231" customFormat="1">
      <c r="A56" s="125" t="s">
        <v>134</v>
      </c>
      <c r="B56" s="29" t="s">
        <v>135</v>
      </c>
      <c r="C56" s="29">
        <v>200</v>
      </c>
      <c r="D56" s="29" t="s">
        <v>41</v>
      </c>
      <c r="E56" s="130">
        <v>4</v>
      </c>
      <c r="F56" s="222">
        <f t="shared" ref="F56:F61" si="204">E56*C56</f>
        <v>800</v>
      </c>
      <c r="G56" s="126">
        <v>40</v>
      </c>
      <c r="H56" s="126">
        <v>0</v>
      </c>
      <c r="I56" s="126">
        <v>0</v>
      </c>
      <c r="J56" s="126">
        <v>8</v>
      </c>
      <c r="K56" s="223">
        <v>0</v>
      </c>
      <c r="L56" s="29" t="s">
        <v>8</v>
      </c>
      <c r="M56" s="130">
        <f t="shared" ref="M56:M61" si="205">((Shop*G56)+(M_Tech*H56)+(CMM*I56)+(ENG*J56)+(DES*K56))*N56</f>
        <v>6280</v>
      </c>
      <c r="N56" s="29">
        <v>1</v>
      </c>
      <c r="O56" s="224">
        <f t="shared" ref="O56:O61" si="206">M56+(N56*F56)</f>
        <v>7080</v>
      </c>
      <c r="P56" s="224"/>
      <c r="Q56" s="84" t="s">
        <v>49</v>
      </c>
      <c r="R56" s="137" t="s">
        <v>90</v>
      </c>
      <c r="S56" s="140" t="str">
        <f t="shared" ref="S56:S61" si="207">CONCATENATE(Q56,R56,Y56)</f>
        <v>BPD2009</v>
      </c>
      <c r="T56" s="29"/>
      <c r="U56" s="29"/>
      <c r="V56" s="29"/>
      <c r="W56" s="29"/>
      <c r="X56" s="29"/>
      <c r="Y56" s="63">
        <v>2009</v>
      </c>
      <c r="Z56" s="225">
        <f t="shared" ref="Z56:AD61" si="208">IF($Q56="B", (G56*$N56),0)</f>
        <v>40</v>
      </c>
      <c r="AA56" s="225">
        <f t="shared" si="208"/>
        <v>0</v>
      </c>
      <c r="AB56" s="225">
        <f t="shared" si="208"/>
        <v>0</v>
      </c>
      <c r="AC56" s="225">
        <f t="shared" si="208"/>
        <v>8</v>
      </c>
      <c r="AD56" s="225">
        <f t="shared" si="208"/>
        <v>0</v>
      </c>
      <c r="AE56" s="226">
        <f t="shared" ref="AE56:AE61" si="209">IF($Q56="B", (F56*$N56),0)</f>
        <v>800</v>
      </c>
      <c r="AF56" s="230"/>
      <c r="AG56" s="257"/>
      <c r="AH56" s="257"/>
      <c r="AI56" s="130"/>
      <c r="AJ56" s="228">
        <f t="shared" ref="AJ56:AN61" si="210">IF($Q56="C", (G56*$N56),0)</f>
        <v>0</v>
      </c>
      <c r="AK56" s="229">
        <f t="shared" si="210"/>
        <v>0</v>
      </c>
      <c r="AL56" s="229">
        <f t="shared" si="210"/>
        <v>0</v>
      </c>
      <c r="AM56" s="229">
        <f t="shared" si="210"/>
        <v>0</v>
      </c>
      <c r="AN56" s="229">
        <f t="shared" si="210"/>
        <v>0</v>
      </c>
      <c r="AO56" s="225">
        <f t="shared" ref="AO56:AO61" si="211">IF($Q56="C", (F56*$N56),0)</f>
        <v>0</v>
      </c>
      <c r="AP56" s="230"/>
    </row>
    <row r="57" spans="1:42" s="231" customFormat="1">
      <c r="A57" s="125" t="s">
        <v>148</v>
      </c>
      <c r="B57" s="29" t="s">
        <v>34</v>
      </c>
      <c r="C57" s="29">
        <v>0</v>
      </c>
      <c r="D57" s="29" t="s">
        <v>9</v>
      </c>
      <c r="E57" s="130">
        <v>0</v>
      </c>
      <c r="F57" s="222">
        <f t="shared" ref="F57" si="212">E57*C57</f>
        <v>0</v>
      </c>
      <c r="G57" s="126">
        <v>4</v>
      </c>
      <c r="H57" s="126">
        <v>8</v>
      </c>
      <c r="I57" s="126">
        <v>0</v>
      </c>
      <c r="J57" s="126">
        <v>16</v>
      </c>
      <c r="K57" s="223">
        <v>0</v>
      </c>
      <c r="L57" s="29" t="s">
        <v>8</v>
      </c>
      <c r="M57" s="130">
        <f t="shared" ref="M57" si="213">((Shop*G57)+(M_Tech*H57)+(CMM*I57)+(ENG*J57)+(DES*K57))*N57</f>
        <v>3844</v>
      </c>
      <c r="N57" s="29">
        <v>1</v>
      </c>
      <c r="O57" s="224">
        <f t="shared" ref="O57" si="214">M57+(N57*F57)</f>
        <v>3844</v>
      </c>
      <c r="P57" s="224"/>
      <c r="Q57" s="84" t="s">
        <v>50</v>
      </c>
      <c r="R57" s="137" t="s">
        <v>90</v>
      </c>
      <c r="S57" s="140" t="str">
        <f t="shared" ref="S57" si="215">CONCATENATE(Q57,R57,Y57)</f>
        <v>CPD2009</v>
      </c>
      <c r="T57" s="29"/>
      <c r="U57" s="29"/>
      <c r="V57" s="29"/>
      <c r="W57" s="29"/>
      <c r="X57" s="29"/>
      <c r="Y57" s="63">
        <v>2009</v>
      </c>
      <c r="Z57" s="225">
        <f t="shared" si="208"/>
        <v>0</v>
      </c>
      <c r="AA57" s="225">
        <f t="shared" si="208"/>
        <v>0</v>
      </c>
      <c r="AB57" s="225">
        <f t="shared" si="208"/>
        <v>0</v>
      </c>
      <c r="AC57" s="225">
        <f t="shared" si="208"/>
        <v>0</v>
      </c>
      <c r="AD57" s="225">
        <f t="shared" si="208"/>
        <v>0</v>
      </c>
      <c r="AE57" s="226">
        <f t="shared" si="209"/>
        <v>0</v>
      </c>
      <c r="AF57" s="230"/>
      <c r="AG57" s="257"/>
      <c r="AH57" s="257"/>
      <c r="AI57" s="130"/>
      <c r="AJ57" s="228">
        <f t="shared" si="210"/>
        <v>4</v>
      </c>
      <c r="AK57" s="229">
        <f t="shared" si="210"/>
        <v>8</v>
      </c>
      <c r="AL57" s="229">
        <f t="shared" si="210"/>
        <v>0</v>
      </c>
      <c r="AM57" s="229">
        <f t="shared" si="210"/>
        <v>16</v>
      </c>
      <c r="AN57" s="229">
        <f t="shared" si="210"/>
        <v>0</v>
      </c>
      <c r="AO57" s="225">
        <f t="shared" si="211"/>
        <v>0</v>
      </c>
      <c r="AP57" s="230"/>
    </row>
    <row r="58" spans="1:42" s="231" customFormat="1">
      <c r="A58" s="125" t="s">
        <v>136</v>
      </c>
      <c r="B58" s="29" t="s">
        <v>137</v>
      </c>
      <c r="C58" s="29">
        <v>1</v>
      </c>
      <c r="D58" s="29" t="s">
        <v>9</v>
      </c>
      <c r="E58" s="130">
        <v>1200</v>
      </c>
      <c r="F58" s="222">
        <f t="shared" si="204"/>
        <v>1200</v>
      </c>
      <c r="G58" s="126">
        <v>4</v>
      </c>
      <c r="H58" s="126">
        <v>0</v>
      </c>
      <c r="I58" s="126">
        <v>0</v>
      </c>
      <c r="J58" s="126">
        <v>4</v>
      </c>
      <c r="K58" s="223">
        <v>0</v>
      </c>
      <c r="L58" s="29" t="s">
        <v>8</v>
      </c>
      <c r="M58" s="130">
        <f t="shared" si="205"/>
        <v>1108</v>
      </c>
      <c r="N58" s="29">
        <v>1</v>
      </c>
      <c r="O58" s="224">
        <f t="shared" si="206"/>
        <v>2308</v>
      </c>
      <c r="P58" s="224"/>
      <c r="Q58" s="84" t="s">
        <v>49</v>
      </c>
      <c r="R58" s="137" t="s">
        <v>90</v>
      </c>
      <c r="S58" s="140" t="str">
        <f t="shared" si="207"/>
        <v>BPD2009</v>
      </c>
      <c r="T58" s="29"/>
      <c r="U58" s="29"/>
      <c r="V58" s="29"/>
      <c r="W58" s="29"/>
      <c r="X58" s="29"/>
      <c r="Y58" s="63">
        <v>2009</v>
      </c>
      <c r="Z58" s="225">
        <f t="shared" si="208"/>
        <v>4</v>
      </c>
      <c r="AA58" s="225">
        <f t="shared" si="208"/>
        <v>0</v>
      </c>
      <c r="AB58" s="225">
        <f t="shared" si="208"/>
        <v>0</v>
      </c>
      <c r="AC58" s="225">
        <f t="shared" si="208"/>
        <v>4</v>
      </c>
      <c r="AD58" s="225">
        <f t="shared" si="208"/>
        <v>0</v>
      </c>
      <c r="AE58" s="226">
        <f t="shared" si="209"/>
        <v>1200</v>
      </c>
      <c r="AF58" s="230"/>
      <c r="AG58" s="257"/>
      <c r="AH58" s="257"/>
      <c r="AI58" s="130"/>
      <c r="AJ58" s="228">
        <f t="shared" si="210"/>
        <v>0</v>
      </c>
      <c r="AK58" s="229">
        <f t="shared" si="210"/>
        <v>0</v>
      </c>
      <c r="AL58" s="229">
        <f t="shared" si="210"/>
        <v>0</v>
      </c>
      <c r="AM58" s="229">
        <f t="shared" si="210"/>
        <v>0</v>
      </c>
      <c r="AN58" s="229">
        <f t="shared" si="210"/>
        <v>0</v>
      </c>
      <c r="AO58" s="225">
        <f t="shared" si="211"/>
        <v>0</v>
      </c>
      <c r="AP58" s="230"/>
    </row>
    <row r="59" spans="1:42" s="231" customFormat="1">
      <c r="A59" s="125" t="s">
        <v>146</v>
      </c>
      <c r="B59" s="29" t="s">
        <v>34</v>
      </c>
      <c r="C59" s="29">
        <v>0</v>
      </c>
      <c r="D59" s="29" t="s">
        <v>9</v>
      </c>
      <c r="E59" s="130">
        <v>0</v>
      </c>
      <c r="F59" s="222">
        <f t="shared" ref="F59:F60" si="216">E59*C59</f>
        <v>0</v>
      </c>
      <c r="G59" s="126">
        <v>24</v>
      </c>
      <c r="H59" s="126">
        <v>0</v>
      </c>
      <c r="I59" s="126">
        <v>0</v>
      </c>
      <c r="J59" s="126">
        <v>24</v>
      </c>
      <c r="K59" s="223">
        <v>0</v>
      </c>
      <c r="L59" s="29" t="s">
        <v>8</v>
      </c>
      <c r="M59" s="130">
        <f t="shared" ref="M59:M60" si="217">((Shop*G59)+(M_Tech*H59)+(CMM*I59)+(ENG*J59)+(DES*K59))*N59</f>
        <v>6648</v>
      </c>
      <c r="N59" s="29">
        <v>1</v>
      </c>
      <c r="O59" s="224">
        <f t="shared" ref="O59:O60" si="218">M59+(N59*F59)</f>
        <v>6648</v>
      </c>
      <c r="P59" s="224"/>
      <c r="Q59" s="84" t="s">
        <v>50</v>
      </c>
      <c r="R59" s="137" t="s">
        <v>90</v>
      </c>
      <c r="S59" s="140" t="str">
        <f t="shared" ref="S59:S60" si="219">CONCATENATE(Q59,R59,Y59)</f>
        <v>CPD2009</v>
      </c>
      <c r="T59" s="29"/>
      <c r="U59" s="29"/>
      <c r="V59" s="29"/>
      <c r="W59" s="29"/>
      <c r="X59" s="29"/>
      <c r="Y59" s="63">
        <v>2009</v>
      </c>
      <c r="Z59" s="225">
        <f t="shared" si="208"/>
        <v>0</v>
      </c>
      <c r="AA59" s="225">
        <f t="shared" si="208"/>
        <v>0</v>
      </c>
      <c r="AB59" s="225">
        <f t="shared" si="208"/>
        <v>0</v>
      </c>
      <c r="AC59" s="225">
        <f t="shared" si="208"/>
        <v>0</v>
      </c>
      <c r="AD59" s="225">
        <f t="shared" si="208"/>
        <v>0</v>
      </c>
      <c r="AE59" s="226">
        <f t="shared" si="209"/>
        <v>0</v>
      </c>
      <c r="AF59" s="230"/>
      <c r="AG59" s="257"/>
      <c r="AH59" s="257"/>
      <c r="AI59" s="130"/>
      <c r="AJ59" s="228">
        <f t="shared" si="210"/>
        <v>24</v>
      </c>
      <c r="AK59" s="229">
        <f t="shared" si="210"/>
        <v>0</v>
      </c>
      <c r="AL59" s="229">
        <f t="shared" si="210"/>
        <v>0</v>
      </c>
      <c r="AM59" s="229">
        <f t="shared" si="210"/>
        <v>24</v>
      </c>
      <c r="AN59" s="229">
        <f t="shared" si="210"/>
        <v>0</v>
      </c>
      <c r="AO59" s="225">
        <f t="shared" si="211"/>
        <v>0</v>
      </c>
      <c r="AP59" s="230"/>
    </row>
    <row r="60" spans="1:42" s="231" customFormat="1">
      <c r="A60" s="125" t="s">
        <v>147</v>
      </c>
      <c r="B60" s="29" t="s">
        <v>137</v>
      </c>
      <c r="C60" s="29">
        <v>1</v>
      </c>
      <c r="D60" s="29" t="s">
        <v>9</v>
      </c>
      <c r="E60" s="130">
        <v>1200</v>
      </c>
      <c r="F60" s="222">
        <f t="shared" si="216"/>
        <v>1200</v>
      </c>
      <c r="G60" s="126">
        <v>4</v>
      </c>
      <c r="H60" s="126">
        <v>0</v>
      </c>
      <c r="I60" s="126">
        <v>0</v>
      </c>
      <c r="J60" s="126">
        <v>4</v>
      </c>
      <c r="K60" s="223">
        <v>0</v>
      </c>
      <c r="L60" s="29" t="s">
        <v>8</v>
      </c>
      <c r="M60" s="130">
        <f t="shared" si="217"/>
        <v>1108</v>
      </c>
      <c r="N60" s="29">
        <v>1</v>
      </c>
      <c r="O60" s="224">
        <f t="shared" si="218"/>
        <v>2308</v>
      </c>
      <c r="P60" s="224"/>
      <c r="Q60" s="84" t="s">
        <v>50</v>
      </c>
      <c r="R60" s="137" t="s">
        <v>90</v>
      </c>
      <c r="S60" s="140" t="str">
        <f t="shared" si="219"/>
        <v>CPD2009</v>
      </c>
      <c r="T60" s="29"/>
      <c r="U60" s="29"/>
      <c r="V60" s="29"/>
      <c r="W60" s="29"/>
      <c r="X60" s="29"/>
      <c r="Y60" s="63">
        <v>2009</v>
      </c>
      <c r="Z60" s="225">
        <f t="shared" si="208"/>
        <v>0</v>
      </c>
      <c r="AA60" s="225">
        <f t="shared" si="208"/>
        <v>0</v>
      </c>
      <c r="AB60" s="225">
        <f t="shared" si="208"/>
        <v>0</v>
      </c>
      <c r="AC60" s="225">
        <f t="shared" si="208"/>
        <v>0</v>
      </c>
      <c r="AD60" s="225">
        <f t="shared" si="208"/>
        <v>0</v>
      </c>
      <c r="AE60" s="226">
        <f t="shared" si="209"/>
        <v>0</v>
      </c>
      <c r="AF60" s="230"/>
      <c r="AG60" s="257"/>
      <c r="AH60" s="257"/>
      <c r="AI60" s="130"/>
      <c r="AJ60" s="228">
        <f t="shared" si="210"/>
        <v>4</v>
      </c>
      <c r="AK60" s="229">
        <f t="shared" si="210"/>
        <v>0</v>
      </c>
      <c r="AL60" s="229">
        <f t="shared" si="210"/>
        <v>0</v>
      </c>
      <c r="AM60" s="229">
        <f t="shared" si="210"/>
        <v>4</v>
      </c>
      <c r="AN60" s="229">
        <f t="shared" si="210"/>
        <v>0</v>
      </c>
      <c r="AO60" s="225">
        <f t="shared" si="211"/>
        <v>1200</v>
      </c>
      <c r="AP60" s="230"/>
    </row>
    <row r="61" spans="1:42" s="231" customFormat="1">
      <c r="A61" s="125" t="s">
        <v>138</v>
      </c>
      <c r="B61" s="29" t="s">
        <v>7</v>
      </c>
      <c r="C61" s="29">
        <v>20</v>
      </c>
      <c r="D61" s="29" t="s">
        <v>41</v>
      </c>
      <c r="E61" s="130">
        <v>8</v>
      </c>
      <c r="F61" s="222">
        <f t="shared" si="204"/>
        <v>160</v>
      </c>
      <c r="G61" s="126">
        <v>24</v>
      </c>
      <c r="H61" s="126">
        <v>0</v>
      </c>
      <c r="I61" s="126">
        <v>0</v>
      </c>
      <c r="J61" s="126">
        <v>24</v>
      </c>
      <c r="K61" s="223">
        <v>0</v>
      </c>
      <c r="L61" s="29" t="s">
        <v>8</v>
      </c>
      <c r="M61" s="130">
        <f t="shared" si="205"/>
        <v>6648</v>
      </c>
      <c r="N61" s="29">
        <v>1</v>
      </c>
      <c r="O61" s="224">
        <f t="shared" si="206"/>
        <v>6808</v>
      </c>
      <c r="P61" s="224"/>
      <c r="Q61" s="84" t="s">
        <v>49</v>
      </c>
      <c r="R61" s="137" t="s">
        <v>90</v>
      </c>
      <c r="S61" s="140" t="str">
        <f t="shared" si="207"/>
        <v>BPD2009</v>
      </c>
      <c r="T61" s="29"/>
      <c r="U61" s="29"/>
      <c r="V61" s="29"/>
      <c r="W61" s="29"/>
      <c r="X61" s="29"/>
      <c r="Y61" s="63">
        <v>2009</v>
      </c>
      <c r="Z61" s="225">
        <f t="shared" si="208"/>
        <v>24</v>
      </c>
      <c r="AA61" s="225">
        <f t="shared" si="208"/>
        <v>0</v>
      </c>
      <c r="AB61" s="225">
        <f t="shared" si="208"/>
        <v>0</v>
      </c>
      <c r="AC61" s="225">
        <f t="shared" si="208"/>
        <v>24</v>
      </c>
      <c r="AD61" s="225">
        <f t="shared" si="208"/>
        <v>0</v>
      </c>
      <c r="AE61" s="226">
        <f t="shared" si="209"/>
        <v>160</v>
      </c>
      <c r="AF61" s="230"/>
      <c r="AG61" s="257"/>
      <c r="AH61" s="257"/>
      <c r="AI61" s="130"/>
      <c r="AJ61" s="228">
        <f t="shared" si="210"/>
        <v>0</v>
      </c>
      <c r="AK61" s="229">
        <f t="shared" si="210"/>
        <v>0</v>
      </c>
      <c r="AL61" s="229">
        <f t="shared" si="210"/>
        <v>0</v>
      </c>
      <c r="AM61" s="229">
        <f t="shared" si="210"/>
        <v>0</v>
      </c>
      <c r="AN61" s="229">
        <f t="shared" si="210"/>
        <v>0</v>
      </c>
      <c r="AO61" s="225">
        <f t="shared" si="211"/>
        <v>0</v>
      </c>
      <c r="AP61" s="230"/>
    </row>
    <row r="62" spans="1:42" s="78" customFormat="1">
      <c r="A62" s="78" t="s">
        <v>171</v>
      </c>
      <c r="E62" s="249"/>
      <c r="F62" s="250"/>
      <c r="G62" s="251"/>
      <c r="H62" s="251"/>
      <c r="I62" s="251"/>
      <c r="J62" s="251"/>
      <c r="K62" s="252"/>
      <c r="L62" s="127" t="s">
        <v>77</v>
      </c>
      <c r="M62" s="128">
        <f>SUMIF(Q56:Q61,"B",M56:M61)</f>
        <v>14036</v>
      </c>
      <c r="N62" s="129" t="s">
        <v>77</v>
      </c>
      <c r="O62" s="128">
        <f>SUMIF(Q56:Q61,"B",O56:O61)</f>
        <v>16196</v>
      </c>
      <c r="P62" s="253"/>
      <c r="Q62" s="123"/>
      <c r="R62" s="138"/>
      <c r="S62" s="141"/>
      <c r="T62" s="29"/>
      <c r="U62" s="29"/>
      <c r="V62" s="29"/>
      <c r="W62" s="29"/>
      <c r="X62" s="29"/>
      <c r="Y62" s="124"/>
      <c r="Z62" s="141"/>
      <c r="AA62" s="141"/>
      <c r="AB62" s="141"/>
      <c r="AC62" s="141"/>
      <c r="AD62" s="141"/>
      <c r="AE62" s="254"/>
      <c r="AF62" s="255"/>
      <c r="AG62" s="141"/>
      <c r="AH62" s="141"/>
      <c r="AI62" s="130"/>
      <c r="AJ62" s="256"/>
      <c r="AK62" s="141"/>
      <c r="AL62" s="141"/>
      <c r="AM62" s="141"/>
      <c r="AN62" s="141"/>
      <c r="AO62" s="141"/>
      <c r="AP62" s="255"/>
    </row>
    <row r="63" spans="1:42" s="231" customFormat="1">
      <c r="A63" s="125" t="s">
        <v>139</v>
      </c>
      <c r="B63" s="29" t="s">
        <v>7</v>
      </c>
      <c r="C63" s="29">
        <v>40</v>
      </c>
      <c r="D63" s="29" t="s">
        <v>41</v>
      </c>
      <c r="E63" s="130">
        <v>8</v>
      </c>
      <c r="F63" s="222">
        <f>E63*C63</f>
        <v>320</v>
      </c>
      <c r="G63" s="126">
        <v>0</v>
      </c>
      <c r="H63" s="126">
        <v>8</v>
      </c>
      <c r="I63" s="126">
        <v>0</v>
      </c>
      <c r="J63" s="126">
        <v>8</v>
      </c>
      <c r="K63" s="223">
        <v>0</v>
      </c>
      <c r="L63" s="29" t="s">
        <v>8</v>
      </c>
      <c r="M63" s="130">
        <f>((Shop*G63)+(M_Tech*H63)+(CMM*I63)+(ENG*J63)+(DES*K63))*N63</f>
        <v>2136</v>
      </c>
      <c r="N63" s="29">
        <v>1</v>
      </c>
      <c r="O63" s="224">
        <f>M63+(N63*F63)</f>
        <v>2456</v>
      </c>
      <c r="P63" s="224"/>
      <c r="Q63" s="84" t="s">
        <v>49</v>
      </c>
      <c r="R63" s="137" t="s">
        <v>90</v>
      </c>
      <c r="S63" s="140" t="str">
        <f t="shared" ref="S63:S64" si="220">CONCATENATE(Q63,R63,Y63)</f>
        <v>BPD2009</v>
      </c>
      <c r="T63" s="29"/>
      <c r="U63" s="29"/>
      <c r="V63" s="29"/>
      <c r="W63" s="29"/>
      <c r="X63" s="29"/>
      <c r="Y63" s="63">
        <v>2009</v>
      </c>
      <c r="Z63" s="225">
        <f t="shared" ref="Z63:AD64" si="221">IF($Q63="B", (G63*$N63),0)</f>
        <v>0</v>
      </c>
      <c r="AA63" s="225">
        <f t="shared" si="221"/>
        <v>8</v>
      </c>
      <c r="AB63" s="225">
        <f t="shared" si="221"/>
        <v>0</v>
      </c>
      <c r="AC63" s="225">
        <f t="shared" si="221"/>
        <v>8</v>
      </c>
      <c r="AD63" s="225">
        <f t="shared" si="221"/>
        <v>0</v>
      </c>
      <c r="AE63" s="226">
        <f>IF($Q63="B", (F63*$N63),0)</f>
        <v>320</v>
      </c>
      <c r="AF63" s="230"/>
      <c r="AG63" s="257"/>
      <c r="AH63" s="257"/>
      <c r="AI63" s="130"/>
      <c r="AJ63" s="228">
        <f t="shared" ref="AJ63:AN64" si="222">IF($Q63="C", (G63*$N63),0)</f>
        <v>0</v>
      </c>
      <c r="AK63" s="229">
        <f t="shared" si="222"/>
        <v>0</v>
      </c>
      <c r="AL63" s="229">
        <f t="shared" si="222"/>
        <v>0</v>
      </c>
      <c r="AM63" s="229">
        <f t="shared" si="222"/>
        <v>0</v>
      </c>
      <c r="AN63" s="229">
        <f t="shared" si="222"/>
        <v>0</v>
      </c>
      <c r="AO63" s="225">
        <f>IF($Q63="C", (F63*$N63),0)</f>
        <v>0</v>
      </c>
      <c r="AP63" s="230"/>
    </row>
    <row r="64" spans="1:42" s="231" customFormat="1">
      <c r="A64" s="125" t="s">
        <v>140</v>
      </c>
      <c r="B64" s="29" t="s">
        <v>7</v>
      </c>
      <c r="C64" s="29">
        <v>40</v>
      </c>
      <c r="D64" s="29" t="s">
        <v>41</v>
      </c>
      <c r="E64" s="130">
        <v>8</v>
      </c>
      <c r="F64" s="222">
        <f>E64*C64</f>
        <v>320</v>
      </c>
      <c r="G64" s="126">
        <v>16</v>
      </c>
      <c r="H64" s="126">
        <v>0</v>
      </c>
      <c r="I64" s="126">
        <v>0</v>
      </c>
      <c r="J64" s="126">
        <v>8</v>
      </c>
      <c r="K64" s="223">
        <v>0</v>
      </c>
      <c r="L64" s="29" t="s">
        <v>8</v>
      </c>
      <c r="M64" s="130">
        <f>((Shop*G64)+(M_Tech*H64)+(CMM*I64)+(ENG*J64)+(DES*K64))*N64</f>
        <v>3232</v>
      </c>
      <c r="N64" s="29">
        <v>1</v>
      </c>
      <c r="O64" s="224">
        <f>M64+(N64*F64)</f>
        <v>3552</v>
      </c>
      <c r="P64" s="224"/>
      <c r="Q64" s="84" t="s">
        <v>49</v>
      </c>
      <c r="R64" s="137" t="s">
        <v>90</v>
      </c>
      <c r="S64" s="140" t="str">
        <f t="shared" si="220"/>
        <v>BPD2009</v>
      </c>
      <c r="T64" s="29"/>
      <c r="U64" s="29"/>
      <c r="V64" s="29"/>
      <c r="W64" s="29"/>
      <c r="X64" s="29"/>
      <c r="Y64" s="63">
        <v>2009</v>
      </c>
      <c r="Z64" s="225">
        <f t="shared" si="221"/>
        <v>16</v>
      </c>
      <c r="AA64" s="225">
        <f t="shared" si="221"/>
        <v>0</v>
      </c>
      <c r="AB64" s="225">
        <f t="shared" si="221"/>
        <v>0</v>
      </c>
      <c r="AC64" s="225">
        <f t="shared" si="221"/>
        <v>8</v>
      </c>
      <c r="AD64" s="225">
        <f t="shared" si="221"/>
        <v>0</v>
      </c>
      <c r="AE64" s="226">
        <f>IF($Q64="B", (F64*$N64),0)</f>
        <v>320</v>
      </c>
      <c r="AF64" s="230"/>
      <c r="AG64" s="257"/>
      <c r="AH64" s="257"/>
      <c r="AI64" s="130"/>
      <c r="AJ64" s="228">
        <f t="shared" si="222"/>
        <v>0</v>
      </c>
      <c r="AK64" s="229">
        <f t="shared" si="222"/>
        <v>0</v>
      </c>
      <c r="AL64" s="229">
        <f t="shared" si="222"/>
        <v>0</v>
      </c>
      <c r="AM64" s="229">
        <f t="shared" si="222"/>
        <v>0</v>
      </c>
      <c r="AN64" s="229">
        <f t="shared" si="222"/>
        <v>0</v>
      </c>
      <c r="AO64" s="225">
        <f>IF($Q64="C", (F64*$N64),0)</f>
        <v>0</v>
      </c>
      <c r="AP64" s="230"/>
    </row>
    <row r="65" spans="1:42" s="78" customFormat="1">
      <c r="A65" s="78" t="s">
        <v>141</v>
      </c>
      <c r="E65" s="249"/>
      <c r="F65" s="250"/>
      <c r="G65" s="251"/>
      <c r="H65" s="251"/>
      <c r="I65" s="251"/>
      <c r="J65" s="251"/>
      <c r="K65" s="252"/>
      <c r="L65" s="127" t="s">
        <v>77</v>
      </c>
      <c r="M65" s="128">
        <f>SUMIF(Q63:Q64,"B",M63:M64)</f>
        <v>5368</v>
      </c>
      <c r="N65" s="129" t="s">
        <v>77</v>
      </c>
      <c r="O65" s="128">
        <f ca="1">SUMIF(Q63:X64,"B",O63:O64)</f>
        <v>6008</v>
      </c>
      <c r="P65" s="253"/>
      <c r="Q65" s="123"/>
      <c r="R65" s="138"/>
      <c r="S65" s="141"/>
      <c r="T65" s="29"/>
      <c r="U65" s="29"/>
      <c r="V65" s="29"/>
      <c r="W65" s="29"/>
      <c r="X65" s="29"/>
      <c r="Y65" s="124"/>
      <c r="Z65" s="141"/>
      <c r="AA65" s="141"/>
      <c r="AB65" s="141"/>
      <c r="AC65" s="141"/>
      <c r="AD65" s="141"/>
      <c r="AE65" s="254"/>
      <c r="AF65" s="255"/>
      <c r="AG65" s="141"/>
      <c r="AH65" s="141"/>
      <c r="AI65" s="130"/>
      <c r="AJ65" s="256"/>
      <c r="AK65" s="141"/>
      <c r="AL65" s="141"/>
      <c r="AM65" s="141"/>
      <c r="AN65" s="141"/>
      <c r="AO65" s="141"/>
      <c r="AP65" s="255"/>
    </row>
    <row r="66" spans="1:42" s="231" customFormat="1">
      <c r="A66" s="125" t="s">
        <v>142</v>
      </c>
      <c r="B66" s="29" t="s">
        <v>7</v>
      </c>
      <c r="C66" s="29">
        <v>30</v>
      </c>
      <c r="D66" s="29" t="s">
        <v>9</v>
      </c>
      <c r="E66" s="130">
        <v>8</v>
      </c>
      <c r="F66" s="222">
        <f t="shared" ref="F66" si="223">E66*C66</f>
        <v>240</v>
      </c>
      <c r="G66" s="126">
        <v>24</v>
      </c>
      <c r="H66" s="126">
        <v>4</v>
      </c>
      <c r="I66" s="126">
        <v>0</v>
      </c>
      <c r="J66" s="126">
        <v>16</v>
      </c>
      <c r="K66" s="223">
        <v>0</v>
      </c>
      <c r="L66" s="29" t="s">
        <v>8</v>
      </c>
      <c r="M66" s="130">
        <f t="shared" ref="M66" si="224">((Shop*G66)+(M_Tech*H66)+(CMM*I66)+(ENG*J66)+(DES*K66))*N66</f>
        <v>5916</v>
      </c>
      <c r="N66" s="29">
        <v>1</v>
      </c>
      <c r="O66" s="224">
        <f t="shared" ref="O66" si="225">M66+(N66*F66)</f>
        <v>6156</v>
      </c>
      <c r="P66" s="224"/>
      <c r="Q66" s="84" t="s">
        <v>49</v>
      </c>
      <c r="R66" s="137" t="s">
        <v>90</v>
      </c>
      <c r="S66" s="140" t="str">
        <f t="shared" ref="S66" si="226">CONCATENATE(Q66,R66,Y66)</f>
        <v>BPD2009</v>
      </c>
      <c r="T66" s="29"/>
      <c r="U66" s="29"/>
      <c r="V66" s="29"/>
      <c r="W66" s="29"/>
      <c r="X66" s="29"/>
      <c r="Y66" s="63">
        <v>2009</v>
      </c>
      <c r="Z66" s="225">
        <f t="shared" ref="Z66:AD66" si="227">IF($Q66="B", (G66*$N66),0)</f>
        <v>24</v>
      </c>
      <c r="AA66" s="225">
        <f t="shared" si="227"/>
        <v>4</v>
      </c>
      <c r="AB66" s="225">
        <f t="shared" si="227"/>
        <v>0</v>
      </c>
      <c r="AC66" s="225">
        <f t="shared" si="227"/>
        <v>16</v>
      </c>
      <c r="AD66" s="225">
        <f t="shared" si="227"/>
        <v>0</v>
      </c>
      <c r="AE66" s="226">
        <f>IF($Q66="B", (F66*$N66),0)</f>
        <v>240</v>
      </c>
      <c r="AF66" s="230"/>
      <c r="AG66" s="257"/>
      <c r="AH66" s="257"/>
      <c r="AI66" s="130"/>
      <c r="AJ66" s="228">
        <f t="shared" ref="AJ66:AN66" si="228">IF($Q66="C", (G66*$N66),0)</f>
        <v>0</v>
      </c>
      <c r="AK66" s="229">
        <f t="shared" si="228"/>
        <v>0</v>
      </c>
      <c r="AL66" s="229">
        <f t="shared" si="228"/>
        <v>0</v>
      </c>
      <c r="AM66" s="229">
        <f t="shared" si="228"/>
        <v>0</v>
      </c>
      <c r="AN66" s="229">
        <f t="shared" si="228"/>
        <v>0</v>
      </c>
      <c r="AO66" s="225">
        <f>IF($Q66="C", (F66*$N66),0)</f>
        <v>0</v>
      </c>
      <c r="AP66" s="230"/>
    </row>
    <row r="67" spans="1:42" s="78" customFormat="1">
      <c r="A67" s="78" t="s">
        <v>288</v>
      </c>
      <c r="E67" s="249"/>
      <c r="F67" s="250"/>
      <c r="G67" s="251"/>
      <c r="H67" s="251"/>
      <c r="I67" s="251"/>
      <c r="J67" s="251"/>
      <c r="K67" s="252"/>
      <c r="L67" s="127" t="s">
        <v>77</v>
      </c>
      <c r="M67" s="128">
        <f>SUMIF(Q66:Q66,"B",M66:M66)</f>
        <v>5916</v>
      </c>
      <c r="N67" s="129" t="s">
        <v>77</v>
      </c>
      <c r="O67" s="128">
        <f>SUMIF(Q66:Q66,"B",O66:O66)</f>
        <v>6156</v>
      </c>
      <c r="P67" s="253"/>
      <c r="Q67" s="123"/>
      <c r="R67" s="138"/>
      <c r="S67" s="141"/>
      <c r="T67" s="29"/>
      <c r="U67" s="29"/>
      <c r="V67" s="29"/>
      <c r="W67" s="29"/>
      <c r="X67" s="29"/>
      <c r="Y67" s="124"/>
      <c r="Z67" s="141"/>
      <c r="AA67" s="141"/>
      <c r="AB67" s="141"/>
      <c r="AC67" s="141"/>
      <c r="AD67" s="141"/>
      <c r="AE67" s="254"/>
      <c r="AF67" s="255"/>
      <c r="AG67" s="141"/>
      <c r="AH67" s="141"/>
      <c r="AI67" s="130"/>
      <c r="AJ67" s="256"/>
      <c r="AK67" s="141"/>
      <c r="AL67" s="141"/>
      <c r="AM67" s="141"/>
      <c r="AN67" s="141"/>
      <c r="AO67" s="141"/>
      <c r="AP67" s="255"/>
    </row>
    <row r="68" spans="1:42" s="231" customFormat="1">
      <c r="A68" s="125" t="s">
        <v>139</v>
      </c>
      <c r="B68" s="29" t="s">
        <v>7</v>
      </c>
      <c r="C68" s="29">
        <v>120</v>
      </c>
      <c r="D68" s="29" t="s">
        <v>41</v>
      </c>
      <c r="E68" s="130">
        <v>8</v>
      </c>
      <c r="F68" s="222">
        <f t="shared" ref="F68" si="229">E68*C68</f>
        <v>960</v>
      </c>
      <c r="G68" s="126">
        <v>4</v>
      </c>
      <c r="H68" s="126">
        <v>8</v>
      </c>
      <c r="I68" s="126">
        <v>0</v>
      </c>
      <c r="J68" s="126">
        <v>0</v>
      </c>
      <c r="K68" s="223">
        <v>0</v>
      </c>
      <c r="L68" s="29" t="s">
        <v>8</v>
      </c>
      <c r="M68" s="130">
        <f t="shared" ref="M68" si="230">((Shop*G68)+(M_Tech*H68)+(CMM*I68)+(ENG*J68)+(DES*K68))*N68</f>
        <v>1444</v>
      </c>
      <c r="N68" s="29">
        <v>1</v>
      </c>
      <c r="O68" s="224">
        <f t="shared" ref="O68" si="231">M68+(N68*F68)</f>
        <v>2404</v>
      </c>
      <c r="P68" s="224"/>
      <c r="Q68" s="84" t="s">
        <v>49</v>
      </c>
      <c r="R68" s="137" t="s">
        <v>90</v>
      </c>
      <c r="S68" s="140" t="str">
        <f t="shared" ref="S68" si="232">CONCATENATE(Q68,R68,Y68)</f>
        <v>BPD2009</v>
      </c>
      <c r="T68" s="29"/>
      <c r="U68" s="29"/>
      <c r="V68" s="29"/>
      <c r="W68" s="29"/>
      <c r="X68" s="29"/>
      <c r="Y68" s="63">
        <v>2009</v>
      </c>
      <c r="Z68" s="225">
        <f t="shared" ref="Z68:AD68" si="233">IF($Q68="B", (G68*$N68),0)</f>
        <v>4</v>
      </c>
      <c r="AA68" s="225">
        <f t="shared" si="233"/>
        <v>8</v>
      </c>
      <c r="AB68" s="225">
        <f t="shared" si="233"/>
        <v>0</v>
      </c>
      <c r="AC68" s="225">
        <f t="shared" si="233"/>
        <v>0</v>
      </c>
      <c r="AD68" s="225">
        <f t="shared" si="233"/>
        <v>0</v>
      </c>
      <c r="AE68" s="226">
        <f>IF($Q68="B", (F68*$N68),0)</f>
        <v>960</v>
      </c>
      <c r="AF68" s="230"/>
      <c r="AG68" s="257"/>
      <c r="AH68" s="257"/>
      <c r="AI68" s="130"/>
      <c r="AJ68" s="228">
        <f t="shared" ref="AJ68:AN68" si="234">IF($Q68="C", (G68*$N68),0)</f>
        <v>0</v>
      </c>
      <c r="AK68" s="229">
        <f t="shared" si="234"/>
        <v>0</v>
      </c>
      <c r="AL68" s="229">
        <f t="shared" si="234"/>
        <v>0</v>
      </c>
      <c r="AM68" s="229">
        <f t="shared" si="234"/>
        <v>0</v>
      </c>
      <c r="AN68" s="229">
        <f t="shared" si="234"/>
        <v>0</v>
      </c>
      <c r="AO68" s="225">
        <f>IF($Q68="C", (F68*$N68),0)</f>
        <v>0</v>
      </c>
      <c r="AP68" s="230"/>
    </row>
    <row r="69" spans="1:42" s="29" customFormat="1">
      <c r="A69" s="79" t="s">
        <v>280</v>
      </c>
      <c r="E69" s="95"/>
      <c r="F69" s="104"/>
      <c r="G69" s="113"/>
      <c r="H69" s="113"/>
      <c r="I69" s="113"/>
      <c r="J69" s="113"/>
      <c r="K69" s="114"/>
      <c r="L69" s="127" t="s">
        <v>77</v>
      </c>
      <c r="M69" s="128">
        <f>SUMIF(Q68:Q68,"B",M68:M68)</f>
        <v>1444</v>
      </c>
      <c r="N69" s="129" t="s">
        <v>77</v>
      </c>
      <c r="O69" s="224"/>
      <c r="P69" s="224"/>
      <c r="Q69" s="84"/>
      <c r="R69" s="137"/>
      <c r="S69" s="140"/>
      <c r="Y69" s="63"/>
      <c r="Z69" s="229"/>
      <c r="AA69" s="229"/>
      <c r="AB69" s="248"/>
      <c r="AC69" s="229"/>
      <c r="AD69" s="229"/>
      <c r="AE69" s="226"/>
      <c r="AF69" s="227"/>
      <c r="AG69" s="225"/>
      <c r="AH69" s="225"/>
      <c r="AI69" s="130"/>
      <c r="AJ69" s="228"/>
      <c r="AK69" s="229"/>
      <c r="AL69" s="229"/>
      <c r="AM69" s="229"/>
      <c r="AN69" s="229"/>
      <c r="AO69" s="225"/>
      <c r="AP69" s="227"/>
    </row>
    <row r="70" spans="1:42" s="29" customFormat="1">
      <c r="A70" s="78" t="s">
        <v>277</v>
      </c>
      <c r="B70" s="29" t="s">
        <v>120</v>
      </c>
      <c r="C70" s="29">
        <v>0.05</v>
      </c>
      <c r="D70" s="29" t="s">
        <v>41</v>
      </c>
      <c r="E70" s="130">
        <v>600</v>
      </c>
      <c r="F70" s="222">
        <f>E70*C70</f>
        <v>30</v>
      </c>
      <c r="G70" s="126">
        <v>2</v>
      </c>
      <c r="H70" s="126">
        <v>0</v>
      </c>
      <c r="I70" s="126">
        <v>0</v>
      </c>
      <c r="J70" s="126">
        <v>0</v>
      </c>
      <c r="K70" s="223">
        <v>0</v>
      </c>
      <c r="L70" s="29" t="s">
        <v>8</v>
      </c>
      <c r="M70" s="130">
        <f>((Shop*G70)+(M_Tech*H70)+(CMM*I70)+(ENG*J70)+(DES*K70))*N70</f>
        <v>6858</v>
      </c>
      <c r="N70" s="29">
        <v>27</v>
      </c>
      <c r="O70" s="224">
        <f>M70+(N70*F70)</f>
        <v>7668</v>
      </c>
      <c r="P70" s="224"/>
      <c r="Q70" s="84" t="s">
        <v>49</v>
      </c>
      <c r="R70" s="137" t="s">
        <v>90</v>
      </c>
      <c r="S70" s="140" t="str">
        <f t="shared" ref="S70:S71" si="235">CONCATENATE(Q70,R70,Y70)</f>
        <v>BPDHytec</v>
      </c>
      <c r="Y70" s="63" t="s">
        <v>57</v>
      </c>
      <c r="Z70" s="225">
        <f t="shared" ref="Z70:Z72" si="236">IF($Q70="B", (G70*$N70),0)</f>
        <v>54</v>
      </c>
      <c r="AA70" s="225">
        <f t="shared" ref="AA70:AA72" si="237">IF($Q70="B", (H70*$N70),0)</f>
        <v>0</v>
      </c>
      <c r="AB70" s="225">
        <f t="shared" ref="AB70:AB72" si="238">IF($Q70="B", (I70*$N70),0)</f>
        <v>0</v>
      </c>
      <c r="AC70" s="225">
        <f t="shared" ref="AC70:AC72" si="239">IF($Q70="B", (J70*$N70),0)</f>
        <v>0</v>
      </c>
      <c r="AD70" s="225">
        <f t="shared" ref="AD70:AD72" si="240">IF($Q70="B", (K70*$N70),0)</f>
        <v>0</v>
      </c>
      <c r="AE70" s="226">
        <f>IF($Q70="B", (F70*$N70),0)</f>
        <v>810</v>
      </c>
      <c r="AF70" s="227"/>
      <c r="AG70" s="225"/>
      <c r="AH70" s="225"/>
      <c r="AI70" s="130"/>
      <c r="AJ70" s="228">
        <f t="shared" ref="AJ70:AJ72" si="241">IF($Q70="C", (G70*$N70),0)</f>
        <v>0</v>
      </c>
      <c r="AK70" s="229">
        <f t="shared" ref="AK70:AK72" si="242">IF($Q70="C", (H70*$N70),0)</f>
        <v>0</v>
      </c>
      <c r="AL70" s="229">
        <f t="shared" ref="AL70:AL72" si="243">IF($Q70="C", (I70*$N70),0)</f>
        <v>0</v>
      </c>
      <c r="AM70" s="229">
        <f t="shared" ref="AM70:AM72" si="244">IF($Q70="C", (J70*$N70),0)</f>
        <v>0</v>
      </c>
      <c r="AN70" s="229">
        <f t="shared" ref="AN70:AN72" si="245">IF($Q70="C", (K70*$N70),0)</f>
        <v>0</v>
      </c>
      <c r="AO70" s="225">
        <f>IF($Q70="C", (F70*$N70),0)</f>
        <v>0</v>
      </c>
      <c r="AP70" s="227"/>
    </row>
    <row r="71" spans="1:42" s="29" customFormat="1">
      <c r="A71" s="78" t="s">
        <v>278</v>
      </c>
      <c r="B71" s="29" t="s">
        <v>34</v>
      </c>
      <c r="C71" s="29">
        <v>0</v>
      </c>
      <c r="D71" s="29" t="s">
        <v>9</v>
      </c>
      <c r="E71" s="130">
        <v>0</v>
      </c>
      <c r="F71" s="222">
        <f>E71*C71</f>
        <v>0</v>
      </c>
      <c r="G71" s="126">
        <v>0</v>
      </c>
      <c r="H71" s="126">
        <v>0</v>
      </c>
      <c r="I71" s="126">
        <v>0</v>
      </c>
      <c r="J71" s="126">
        <v>8</v>
      </c>
      <c r="K71" s="223">
        <v>0</v>
      </c>
      <c r="L71" s="29" t="s">
        <v>8</v>
      </c>
      <c r="M71" s="130">
        <f>((Shop*G71)+(M_Tech*H71)+(CMM*I71)+(ENG*J71)+(DES*K71))*N71</f>
        <v>1200</v>
      </c>
      <c r="N71" s="29">
        <v>1</v>
      </c>
      <c r="O71" s="224">
        <f>M71+(N71*F71)</f>
        <v>1200</v>
      </c>
      <c r="P71" s="224"/>
      <c r="Q71" s="84" t="s">
        <v>49</v>
      </c>
      <c r="R71" s="137" t="s">
        <v>90</v>
      </c>
      <c r="S71" s="140" t="str">
        <f t="shared" si="235"/>
        <v>BPD2009</v>
      </c>
      <c r="Y71" s="63">
        <v>2009</v>
      </c>
      <c r="Z71" s="225">
        <f t="shared" si="236"/>
        <v>0</v>
      </c>
      <c r="AA71" s="225">
        <f t="shared" si="237"/>
        <v>0</v>
      </c>
      <c r="AB71" s="225">
        <f t="shared" si="238"/>
        <v>0</v>
      </c>
      <c r="AC71" s="225">
        <f t="shared" si="239"/>
        <v>8</v>
      </c>
      <c r="AD71" s="225">
        <f t="shared" si="240"/>
        <v>0</v>
      </c>
      <c r="AE71" s="226">
        <f>IF($Q71="B", (F71*$N71),0)</f>
        <v>0</v>
      </c>
      <c r="AF71" s="227"/>
      <c r="AG71" s="225"/>
      <c r="AH71" s="225"/>
      <c r="AI71" s="130"/>
      <c r="AJ71" s="228">
        <f t="shared" si="241"/>
        <v>0</v>
      </c>
      <c r="AK71" s="229">
        <f t="shared" si="242"/>
        <v>0</v>
      </c>
      <c r="AL71" s="229">
        <f t="shared" si="243"/>
        <v>0</v>
      </c>
      <c r="AM71" s="229">
        <f t="shared" si="244"/>
        <v>0</v>
      </c>
      <c r="AN71" s="229">
        <f t="shared" si="245"/>
        <v>0</v>
      </c>
      <c r="AO71" s="225">
        <f>IF($Q71="C", (F71*$N71),0)</f>
        <v>0</v>
      </c>
      <c r="AP71" s="227"/>
    </row>
    <row r="72" spans="1:42" s="29" customFormat="1">
      <c r="A72" s="78" t="s">
        <v>279</v>
      </c>
      <c r="B72" s="29" t="s">
        <v>120</v>
      </c>
      <c r="C72" s="29">
        <v>0.03</v>
      </c>
      <c r="D72" s="29" t="s">
        <v>41</v>
      </c>
      <c r="E72" s="130">
        <v>600</v>
      </c>
      <c r="F72" s="222">
        <f>E72*C72</f>
        <v>18</v>
      </c>
      <c r="G72" s="126">
        <v>2</v>
      </c>
      <c r="H72" s="126">
        <v>0</v>
      </c>
      <c r="I72" s="126">
        <v>0</v>
      </c>
      <c r="J72" s="126">
        <v>0</v>
      </c>
      <c r="K72" s="223">
        <v>0</v>
      </c>
      <c r="L72" s="29" t="s">
        <v>8</v>
      </c>
      <c r="M72" s="130">
        <f>((Shop*G72)+(M_Tech*H72)+(CMM*I72)+(ENG*J72)+(DES*K72))*N72</f>
        <v>1524</v>
      </c>
      <c r="N72" s="29">
        <v>6</v>
      </c>
      <c r="O72" s="224">
        <f>M72+(N72*F72)</f>
        <v>1632</v>
      </c>
      <c r="P72" s="224"/>
      <c r="Q72" s="84" t="s">
        <v>50</v>
      </c>
      <c r="R72" s="137" t="s">
        <v>90</v>
      </c>
      <c r="S72" s="140" t="str">
        <f>CONCATENATE(Q72,R72,Y72)</f>
        <v>CPDHytec</v>
      </c>
      <c r="Y72" s="63" t="s">
        <v>57</v>
      </c>
      <c r="Z72" s="225">
        <f t="shared" si="236"/>
        <v>0</v>
      </c>
      <c r="AA72" s="225">
        <f t="shared" si="237"/>
        <v>0</v>
      </c>
      <c r="AB72" s="225">
        <f t="shared" si="238"/>
        <v>0</v>
      </c>
      <c r="AC72" s="225">
        <f t="shared" si="239"/>
        <v>0</v>
      </c>
      <c r="AD72" s="225">
        <f t="shared" si="240"/>
        <v>0</v>
      </c>
      <c r="AE72" s="226">
        <f>IF($Q72="B", (F72*$N72),0)</f>
        <v>0</v>
      </c>
      <c r="AF72" s="227"/>
      <c r="AG72" s="225"/>
      <c r="AH72" s="225"/>
      <c r="AI72" s="130"/>
      <c r="AJ72" s="228">
        <f t="shared" si="241"/>
        <v>12</v>
      </c>
      <c r="AK72" s="229">
        <f t="shared" si="242"/>
        <v>0</v>
      </c>
      <c r="AL72" s="229">
        <f t="shared" si="243"/>
        <v>0</v>
      </c>
      <c r="AM72" s="229">
        <f t="shared" si="244"/>
        <v>0</v>
      </c>
      <c r="AN72" s="229">
        <f t="shared" si="245"/>
        <v>0</v>
      </c>
      <c r="AO72" s="225">
        <f>IF($Q72="C", (F72*$N72),0)</f>
        <v>108</v>
      </c>
      <c r="AP72" s="227"/>
    </row>
    <row r="73" spans="1:42" s="82" customFormat="1">
      <c r="A73" s="79" t="s">
        <v>144</v>
      </c>
      <c r="E73" s="95"/>
      <c r="F73" s="104"/>
      <c r="G73" s="113"/>
      <c r="H73" s="113"/>
      <c r="I73" s="113"/>
      <c r="J73" s="113"/>
      <c r="K73" s="114"/>
      <c r="L73" s="127" t="s">
        <v>77</v>
      </c>
      <c r="M73" s="128">
        <f>SUMIF(Q70:Q72,"B",M70:M72)</f>
        <v>8058</v>
      </c>
      <c r="N73" s="129" t="s">
        <v>77</v>
      </c>
      <c r="O73" s="87"/>
      <c r="P73" s="87"/>
      <c r="Q73" s="84"/>
      <c r="R73" s="137"/>
      <c r="S73" s="140"/>
      <c r="T73" s="29"/>
      <c r="U73" s="29"/>
      <c r="V73" s="29"/>
      <c r="W73" s="29"/>
      <c r="X73" s="29"/>
      <c r="Y73" s="88"/>
      <c r="Z73" s="89"/>
      <c r="AA73" s="89"/>
      <c r="AB73" s="90"/>
      <c r="AC73" s="89"/>
      <c r="AD73" s="89"/>
      <c r="AE73" s="36"/>
      <c r="AF73" s="91"/>
      <c r="AG73" s="77"/>
      <c r="AH73" s="77"/>
      <c r="AI73" s="130"/>
      <c r="AJ73" s="92"/>
      <c r="AK73" s="89"/>
      <c r="AL73" s="89"/>
      <c r="AM73" s="89"/>
      <c r="AN73" s="89"/>
      <c r="AO73" s="77"/>
      <c r="AP73" s="91"/>
    </row>
    <row r="74" spans="1:42" s="29" customFormat="1">
      <c r="A74" s="78" t="s">
        <v>149</v>
      </c>
      <c r="B74" s="29" t="s">
        <v>34</v>
      </c>
      <c r="C74" s="29">
        <v>0</v>
      </c>
      <c r="D74" s="29" t="s">
        <v>9</v>
      </c>
      <c r="E74" s="130">
        <v>0</v>
      </c>
      <c r="F74" s="222">
        <f t="shared" ref="F74" si="246">E74*C74</f>
        <v>0</v>
      </c>
      <c r="G74" s="126">
        <v>0</v>
      </c>
      <c r="H74" s="126">
        <v>8</v>
      </c>
      <c r="I74" s="126">
        <v>0</v>
      </c>
      <c r="J74" s="126">
        <v>8</v>
      </c>
      <c r="K74" s="223">
        <v>0</v>
      </c>
      <c r="L74" s="29" t="s">
        <v>8</v>
      </c>
      <c r="M74" s="130">
        <f t="shared" ref="M74" si="247">((Shop*G74)+(M_Tech*H74)+(CMM*I74)+(ENG*J74)+(DES*K74))*N74</f>
        <v>2136</v>
      </c>
      <c r="N74" s="29">
        <v>1</v>
      </c>
      <c r="O74" s="224">
        <f t="shared" ref="O74" si="248">M74+(N74*F74)</f>
        <v>2136</v>
      </c>
      <c r="P74" s="224"/>
      <c r="Q74" s="84" t="s">
        <v>49</v>
      </c>
      <c r="R74" s="137" t="s">
        <v>90</v>
      </c>
      <c r="S74" s="140" t="str">
        <f t="shared" ref="S74" si="249">CONCATENATE(Q74,R74,Y74)</f>
        <v>BPD2009</v>
      </c>
      <c r="Y74" s="63">
        <v>2009</v>
      </c>
      <c r="Z74" s="225">
        <f t="shared" ref="Z74" si="250">IF($Q74="B", (G74*$N74),0)</f>
        <v>0</v>
      </c>
      <c r="AA74" s="225">
        <f t="shared" ref="AA74" si="251">IF($Q74="B", (H74*$N74),0)</f>
        <v>8</v>
      </c>
      <c r="AB74" s="225">
        <f t="shared" ref="AB74" si="252">IF($Q74="B", (I74*$N74),0)</f>
        <v>0</v>
      </c>
      <c r="AC74" s="225">
        <f t="shared" ref="AC74" si="253">IF($Q74="B", (J74*$N74),0)</f>
        <v>8</v>
      </c>
      <c r="AD74" s="225">
        <f t="shared" ref="AD74" si="254">IF($Q74="B", (K74*$N74),0)</f>
        <v>0</v>
      </c>
      <c r="AE74" s="226">
        <f t="shared" ref="AE74" si="255">IF($Q74="B", (F74*$N74),0)</f>
        <v>0</v>
      </c>
      <c r="AF74" s="227"/>
      <c r="AG74" s="225"/>
      <c r="AH74" s="225"/>
      <c r="AI74" s="130"/>
      <c r="AJ74" s="228">
        <f t="shared" ref="AJ74" si="256">IF($Q74="C", (G74*$N74),0)</f>
        <v>0</v>
      </c>
      <c r="AK74" s="229">
        <f t="shared" ref="AK74" si="257">IF($Q74="C", (H74*$N74),0)</f>
        <v>0</v>
      </c>
      <c r="AL74" s="229">
        <f t="shared" ref="AL74" si="258">IF($Q74="C", (I74*$N74),0)</f>
        <v>0</v>
      </c>
      <c r="AM74" s="229">
        <f t="shared" ref="AM74" si="259">IF($Q74="C", (J74*$N74),0)</f>
        <v>0</v>
      </c>
      <c r="AN74" s="229">
        <f t="shared" ref="AN74" si="260">IF($Q74="C", (K74*$N74),0)</f>
        <v>0</v>
      </c>
      <c r="AO74" s="225">
        <f t="shared" ref="AO74" si="261">IF($Q74="C", (F74*$N74),0)</f>
        <v>0</v>
      </c>
      <c r="AP74" s="227"/>
    </row>
    <row r="75" spans="1:42" s="29" customFormat="1">
      <c r="A75" s="78" t="s">
        <v>281</v>
      </c>
      <c r="B75" s="29" t="s">
        <v>65</v>
      </c>
      <c r="C75" s="29">
        <v>6</v>
      </c>
      <c r="D75" s="29" t="s">
        <v>66</v>
      </c>
      <c r="E75" s="130">
        <v>55</v>
      </c>
      <c r="F75" s="222">
        <f t="shared" ref="F75:F79" si="262">E75*C75</f>
        <v>330</v>
      </c>
      <c r="G75" s="126">
        <v>0</v>
      </c>
      <c r="H75" s="126">
        <v>32</v>
      </c>
      <c r="I75" s="126">
        <v>0</v>
      </c>
      <c r="J75" s="126">
        <v>40</v>
      </c>
      <c r="K75" s="223">
        <v>0</v>
      </c>
      <c r="L75" s="29" t="s">
        <v>8</v>
      </c>
      <c r="M75" s="130">
        <f t="shared" ref="M75:M79" si="263">((Shop*G75)+(M_Tech*H75)+(CMM*I75)+(ENG*J75)+(DES*K75))*N75</f>
        <v>9744</v>
      </c>
      <c r="N75" s="29">
        <v>1</v>
      </c>
      <c r="O75" s="224">
        <f t="shared" ref="O75:O79" si="264">M75+(N75*F75)</f>
        <v>10074</v>
      </c>
      <c r="P75" s="224"/>
      <c r="Q75" s="84" t="s">
        <v>49</v>
      </c>
      <c r="R75" s="137" t="s">
        <v>90</v>
      </c>
      <c r="S75" s="140" t="str">
        <f t="shared" ref="S75:S79" si="265">CONCATENATE(Q75,R75,Y75)</f>
        <v>BPD2009</v>
      </c>
      <c r="Y75" s="63">
        <v>2009</v>
      </c>
      <c r="Z75" s="225">
        <f t="shared" ref="Z75:Z79" si="266">IF($Q75="B", (G75*$N75),0)</f>
        <v>0</v>
      </c>
      <c r="AA75" s="225">
        <f t="shared" ref="AA75:AA79" si="267">IF($Q75="B", (H75*$N75),0)</f>
        <v>32</v>
      </c>
      <c r="AB75" s="225">
        <f t="shared" ref="AB75:AB79" si="268">IF($Q75="B", (I75*$N75),0)</f>
        <v>0</v>
      </c>
      <c r="AC75" s="225">
        <f t="shared" ref="AC75:AC79" si="269">IF($Q75="B", (J75*$N75),0)</f>
        <v>40</v>
      </c>
      <c r="AD75" s="225">
        <f t="shared" ref="AD75:AD79" si="270">IF($Q75="B", (K75*$N75),0)</f>
        <v>0</v>
      </c>
      <c r="AE75" s="226">
        <f t="shared" ref="AE75:AE79" si="271">IF($Q75="B", (F75*$N75),0)</f>
        <v>330</v>
      </c>
      <c r="AF75" s="227"/>
      <c r="AG75" s="225"/>
      <c r="AH75" s="225"/>
      <c r="AI75" s="130"/>
      <c r="AJ75" s="228">
        <f t="shared" ref="AJ75:AJ76" si="272">IF($Q75="C", (G75*$N75),0)</f>
        <v>0</v>
      </c>
      <c r="AK75" s="229">
        <f t="shared" ref="AK75:AK76" si="273">IF($Q75="C", (H75*$N75),0)</f>
        <v>0</v>
      </c>
      <c r="AL75" s="229">
        <f t="shared" ref="AL75:AL76" si="274">IF($Q75="C", (I75*$N75),0)</f>
        <v>0</v>
      </c>
      <c r="AM75" s="229">
        <f t="shared" ref="AM75:AM76" si="275">IF($Q75="C", (J75*$N75),0)</f>
        <v>0</v>
      </c>
      <c r="AN75" s="229">
        <f t="shared" ref="AN75:AN76" si="276">IF($Q75="C", (K75*$N75),0)</f>
        <v>0</v>
      </c>
      <c r="AO75" s="225">
        <f t="shared" ref="AO75:AO76" si="277">IF($Q75="C", (F75*$N75),0)</f>
        <v>0</v>
      </c>
      <c r="AP75" s="227"/>
    </row>
    <row r="76" spans="1:42" s="29" customFormat="1">
      <c r="A76" s="78" t="s">
        <v>282</v>
      </c>
      <c r="B76" s="29" t="s">
        <v>65</v>
      </c>
      <c r="C76" s="29">
        <v>6</v>
      </c>
      <c r="D76" s="29" t="s">
        <v>66</v>
      </c>
      <c r="E76" s="130">
        <v>55</v>
      </c>
      <c r="F76" s="222">
        <f t="shared" ref="F76" si="278">E76*C76</f>
        <v>330</v>
      </c>
      <c r="G76" s="126">
        <v>0</v>
      </c>
      <c r="H76" s="126">
        <v>32</v>
      </c>
      <c r="I76" s="126">
        <v>0</v>
      </c>
      <c r="J76" s="126">
        <v>8</v>
      </c>
      <c r="K76" s="223">
        <v>0</v>
      </c>
      <c r="L76" s="29" t="s">
        <v>8</v>
      </c>
      <c r="M76" s="130">
        <f t="shared" ref="M76" si="279">((Shop*G76)+(M_Tech*H76)+(CMM*I76)+(ENG*J76)+(DES*K76))*N76</f>
        <v>9888</v>
      </c>
      <c r="N76" s="29">
        <v>2</v>
      </c>
      <c r="O76" s="224">
        <f>M76+(N76*F76)</f>
        <v>10548</v>
      </c>
      <c r="P76" s="224"/>
      <c r="Q76" s="84" t="s">
        <v>49</v>
      </c>
      <c r="R76" s="137" t="s">
        <v>90</v>
      </c>
      <c r="S76" s="140" t="str">
        <f t="shared" ref="S76" si="280">CONCATENATE(Q76,R76,Y76)</f>
        <v>BPD2009</v>
      </c>
      <c r="Y76" s="63">
        <v>2009</v>
      </c>
      <c r="Z76" s="225">
        <f t="shared" ref="Z76" si="281">IF($Q76="B", (G76*$N76),0)</f>
        <v>0</v>
      </c>
      <c r="AA76" s="225">
        <f t="shared" ref="AA76" si="282">IF($Q76="B", (H76*$N76),0)</f>
        <v>64</v>
      </c>
      <c r="AB76" s="225">
        <f t="shared" ref="AB76" si="283">IF($Q76="B", (I76*$N76),0)</f>
        <v>0</v>
      </c>
      <c r="AC76" s="225">
        <f t="shared" ref="AC76" si="284">IF($Q76="B", (J76*$N76),0)</f>
        <v>16</v>
      </c>
      <c r="AD76" s="225">
        <f t="shared" ref="AD76" si="285">IF($Q76="B", (K76*$N76),0)</f>
        <v>0</v>
      </c>
      <c r="AE76" s="226">
        <f t="shared" ref="AE76" si="286">IF($Q76="B", (F76*$N76),0)</f>
        <v>660</v>
      </c>
      <c r="AF76" s="227"/>
      <c r="AG76" s="225"/>
      <c r="AH76" s="225"/>
      <c r="AI76" s="130"/>
      <c r="AJ76" s="228">
        <f t="shared" si="272"/>
        <v>0</v>
      </c>
      <c r="AK76" s="229">
        <f t="shared" si="273"/>
        <v>0</v>
      </c>
      <c r="AL76" s="229">
        <f t="shared" si="274"/>
        <v>0</v>
      </c>
      <c r="AM76" s="229">
        <f t="shared" si="275"/>
        <v>0</v>
      </c>
      <c r="AN76" s="229">
        <f t="shared" si="276"/>
        <v>0</v>
      </c>
      <c r="AO76" s="225">
        <f t="shared" si="277"/>
        <v>0</v>
      </c>
      <c r="AP76" s="227"/>
    </row>
    <row r="77" spans="1:42" s="29" customFormat="1">
      <c r="A77" s="78" t="s">
        <v>283</v>
      </c>
      <c r="B77" s="29" t="s">
        <v>65</v>
      </c>
      <c r="C77" s="29">
        <v>12</v>
      </c>
      <c r="D77" s="29" t="s">
        <v>66</v>
      </c>
      <c r="E77" s="130">
        <v>55</v>
      </c>
      <c r="F77" s="222">
        <f t="shared" si="262"/>
        <v>660</v>
      </c>
      <c r="G77" s="126">
        <v>0</v>
      </c>
      <c r="H77" s="126">
        <v>32</v>
      </c>
      <c r="I77" s="126">
        <v>0</v>
      </c>
      <c r="J77" s="126">
        <v>8</v>
      </c>
      <c r="K77" s="223">
        <v>0</v>
      </c>
      <c r="L77" s="29" t="s">
        <v>8</v>
      </c>
      <c r="M77" s="130">
        <f t="shared" si="263"/>
        <v>4944</v>
      </c>
      <c r="N77" s="29">
        <v>1</v>
      </c>
      <c r="O77" s="224">
        <f>M77+(N77*F77)</f>
        <v>5604</v>
      </c>
      <c r="P77" s="224"/>
      <c r="Q77" s="84" t="s">
        <v>50</v>
      </c>
      <c r="R77" s="137" t="s">
        <v>90</v>
      </c>
      <c r="S77" s="140" t="str">
        <f t="shared" si="265"/>
        <v>CPD2009</v>
      </c>
      <c r="Y77" s="63">
        <v>2009</v>
      </c>
      <c r="Z77" s="225">
        <f t="shared" si="266"/>
        <v>0</v>
      </c>
      <c r="AA77" s="225">
        <f t="shared" si="267"/>
        <v>0</v>
      </c>
      <c r="AB77" s="225">
        <f t="shared" si="268"/>
        <v>0</v>
      </c>
      <c r="AC77" s="225">
        <f t="shared" si="269"/>
        <v>0</v>
      </c>
      <c r="AD77" s="225">
        <f t="shared" si="270"/>
        <v>0</v>
      </c>
      <c r="AE77" s="226">
        <f t="shared" si="271"/>
        <v>0</v>
      </c>
      <c r="AF77" s="227"/>
      <c r="AG77" s="225"/>
      <c r="AH77" s="225"/>
      <c r="AI77" s="130"/>
      <c r="AJ77" s="228">
        <f t="shared" ref="AJ77:AJ78" si="287">IF($Q77="C", (G77*$N77),0)</f>
        <v>0</v>
      </c>
      <c r="AK77" s="229">
        <f t="shared" ref="AK77:AK78" si="288">IF($Q77="C", (H77*$N77),0)</f>
        <v>32</v>
      </c>
      <c r="AL77" s="229">
        <f t="shared" ref="AL77:AL78" si="289">IF($Q77="C", (I77*$N77),0)</f>
        <v>0</v>
      </c>
      <c r="AM77" s="229">
        <f t="shared" ref="AM77:AM78" si="290">IF($Q77="C", (J77*$N77),0)</f>
        <v>8</v>
      </c>
      <c r="AN77" s="229">
        <f t="shared" ref="AN77:AN78" si="291">IF($Q77="C", (K77*$N77),0)</f>
        <v>0</v>
      </c>
      <c r="AO77" s="225">
        <f t="shared" ref="AO77:AO78" si="292">IF($Q77="C", (F77*$N77),0)</f>
        <v>660</v>
      </c>
      <c r="AP77" s="227"/>
    </row>
    <row r="78" spans="1:42" s="29" customFormat="1">
      <c r="A78" s="78" t="s">
        <v>284</v>
      </c>
      <c r="B78" s="29" t="s">
        <v>34</v>
      </c>
      <c r="C78" s="29">
        <v>0</v>
      </c>
      <c r="D78" s="29" t="s">
        <v>9</v>
      </c>
      <c r="E78" s="130">
        <v>0</v>
      </c>
      <c r="F78" s="222">
        <f t="shared" ref="F78" si="293">E78*C78</f>
        <v>0</v>
      </c>
      <c r="G78" s="126">
        <v>0</v>
      </c>
      <c r="H78" s="126">
        <v>8</v>
      </c>
      <c r="I78" s="126">
        <v>0</v>
      </c>
      <c r="J78" s="126">
        <v>4</v>
      </c>
      <c r="K78" s="223">
        <v>0</v>
      </c>
      <c r="L78" s="29" t="s">
        <v>8</v>
      </c>
      <c r="M78" s="130">
        <f t="shared" ref="M78" si="294">((Shop*G78)+(M_Tech*H78)+(CMM*I78)+(ENG*J78)+(DES*K78))*N78</f>
        <v>3072</v>
      </c>
      <c r="N78" s="29">
        <v>2</v>
      </c>
      <c r="O78" s="224">
        <f t="shared" ref="O78" si="295">M78+(N78*F78)</f>
        <v>3072</v>
      </c>
      <c r="P78" s="224"/>
      <c r="Q78" s="84" t="s">
        <v>49</v>
      </c>
      <c r="R78" s="137" t="s">
        <v>90</v>
      </c>
      <c r="S78" s="140" t="str">
        <f t="shared" ref="S78" si="296">CONCATENATE(Q78,R78,Y78)</f>
        <v>BPD2009</v>
      </c>
      <c r="Y78" s="63">
        <v>2009</v>
      </c>
      <c r="Z78" s="225">
        <f t="shared" ref="Z78" si="297">IF($Q78="B", (G78*$N78),0)</f>
        <v>0</v>
      </c>
      <c r="AA78" s="225">
        <f t="shared" ref="AA78" si="298">IF($Q78="B", (H78*$N78),0)</f>
        <v>16</v>
      </c>
      <c r="AB78" s="225">
        <f t="shared" ref="AB78" si="299">IF($Q78="B", (I78*$N78),0)</f>
        <v>0</v>
      </c>
      <c r="AC78" s="225">
        <f t="shared" ref="AC78" si="300">IF($Q78="B", (J78*$N78),0)</f>
        <v>8</v>
      </c>
      <c r="AD78" s="225">
        <f t="shared" ref="AD78" si="301">IF($Q78="B", (K78*$N78),0)</f>
        <v>0</v>
      </c>
      <c r="AE78" s="226">
        <f t="shared" ref="AE78" si="302">IF($Q78="B", (F78*$N78),0)</f>
        <v>0</v>
      </c>
      <c r="AF78" s="227"/>
      <c r="AG78" s="225"/>
      <c r="AH78" s="225"/>
      <c r="AI78" s="130"/>
      <c r="AJ78" s="228">
        <f t="shared" si="287"/>
        <v>0</v>
      </c>
      <c r="AK78" s="229">
        <f t="shared" si="288"/>
        <v>0</v>
      </c>
      <c r="AL78" s="229">
        <f t="shared" si="289"/>
        <v>0</v>
      </c>
      <c r="AM78" s="229">
        <f t="shared" si="290"/>
        <v>0</v>
      </c>
      <c r="AN78" s="229">
        <f t="shared" si="291"/>
        <v>0</v>
      </c>
      <c r="AO78" s="225">
        <f t="shared" si="292"/>
        <v>0</v>
      </c>
      <c r="AP78" s="227"/>
    </row>
    <row r="79" spans="1:42" s="29" customFormat="1">
      <c r="A79" s="78" t="s">
        <v>145</v>
      </c>
      <c r="B79" s="29" t="s">
        <v>34</v>
      </c>
      <c r="C79" s="29">
        <v>0</v>
      </c>
      <c r="D79" s="29" t="s">
        <v>9</v>
      </c>
      <c r="E79" s="130">
        <v>0</v>
      </c>
      <c r="F79" s="222">
        <f t="shared" si="262"/>
        <v>0</v>
      </c>
      <c r="G79" s="126">
        <v>0</v>
      </c>
      <c r="H79" s="126">
        <v>8</v>
      </c>
      <c r="I79" s="126">
        <v>0</v>
      </c>
      <c r="J79" s="126">
        <v>0</v>
      </c>
      <c r="K79" s="223">
        <v>0</v>
      </c>
      <c r="L79" s="29" t="s">
        <v>8</v>
      </c>
      <c r="M79" s="130">
        <f t="shared" si="263"/>
        <v>936</v>
      </c>
      <c r="N79" s="29">
        <v>1</v>
      </c>
      <c r="O79" s="224">
        <f t="shared" si="264"/>
        <v>936</v>
      </c>
      <c r="P79" s="224"/>
      <c r="Q79" s="84" t="s">
        <v>50</v>
      </c>
      <c r="R79" s="137" t="s">
        <v>90</v>
      </c>
      <c r="S79" s="140" t="str">
        <f t="shared" si="265"/>
        <v>CPD2009</v>
      </c>
      <c r="Y79" s="63">
        <v>2009</v>
      </c>
      <c r="Z79" s="225">
        <f t="shared" si="266"/>
        <v>0</v>
      </c>
      <c r="AA79" s="225">
        <f t="shared" si="267"/>
        <v>0</v>
      </c>
      <c r="AB79" s="225">
        <f t="shared" si="268"/>
        <v>0</v>
      </c>
      <c r="AC79" s="225">
        <f t="shared" si="269"/>
        <v>0</v>
      </c>
      <c r="AD79" s="225">
        <f t="shared" si="270"/>
        <v>0</v>
      </c>
      <c r="AE79" s="226">
        <f t="shared" si="271"/>
        <v>0</v>
      </c>
      <c r="AF79" s="227"/>
      <c r="AG79" s="225"/>
      <c r="AH79" s="225"/>
      <c r="AI79" s="130"/>
      <c r="AJ79" s="228">
        <f t="shared" ref="AJ79" si="303">IF($Q79="C", (G79*$N79),0)</f>
        <v>0</v>
      </c>
      <c r="AK79" s="229">
        <f t="shared" ref="AK79" si="304">IF($Q79="C", (H79*$N79),0)</f>
        <v>8</v>
      </c>
      <c r="AL79" s="229">
        <f t="shared" ref="AL79" si="305">IF($Q79="C", (I79*$N79),0)</f>
        <v>0</v>
      </c>
      <c r="AM79" s="229">
        <f t="shared" ref="AM79" si="306">IF($Q79="C", (J79*$N79),0)</f>
        <v>0</v>
      </c>
      <c r="AN79" s="229">
        <f t="shared" ref="AN79" si="307">IF($Q79="C", (K79*$N79),0)</f>
        <v>0</v>
      </c>
      <c r="AO79" s="225">
        <f t="shared" ref="AO79" si="308">IF($Q79="C", (F79*$N79),0)</f>
        <v>0</v>
      </c>
      <c r="AP79" s="227"/>
    </row>
    <row r="80" spans="1:42" s="82" customFormat="1">
      <c r="A80" s="79" t="s">
        <v>172</v>
      </c>
      <c r="E80" s="95"/>
      <c r="F80" s="104"/>
      <c r="G80" s="113"/>
      <c r="H80" s="113"/>
      <c r="I80" s="113"/>
      <c r="J80" s="113"/>
      <c r="K80" s="114"/>
      <c r="L80" s="127" t="s">
        <v>77</v>
      </c>
      <c r="M80" s="128">
        <f>SUMIF(Q74:Q79,"B",M74:M79)</f>
        <v>24840</v>
      </c>
      <c r="N80" s="129" t="s">
        <v>77</v>
      </c>
      <c r="O80" s="87"/>
      <c r="P80" s="87"/>
      <c r="Q80" s="84"/>
      <c r="R80" s="137"/>
      <c r="S80" s="140"/>
      <c r="T80" s="29"/>
      <c r="U80" s="29"/>
      <c r="V80" s="29"/>
      <c r="W80" s="29"/>
      <c r="X80" s="29"/>
      <c r="Y80" s="88"/>
      <c r="Z80" s="89"/>
      <c r="AA80" s="89"/>
      <c r="AB80" s="90"/>
      <c r="AC80" s="89"/>
      <c r="AD80" s="89"/>
      <c r="AE80" s="36"/>
      <c r="AF80" s="91"/>
      <c r="AG80" s="77"/>
      <c r="AH80" s="77"/>
      <c r="AI80" s="130"/>
      <c r="AJ80" s="92"/>
      <c r="AK80" s="89"/>
      <c r="AL80" s="89"/>
      <c r="AM80" s="89"/>
      <c r="AN80" s="89"/>
      <c r="AO80" s="77"/>
      <c r="AP80" s="91"/>
    </row>
    <row r="81" spans="1:42" s="29" customFormat="1">
      <c r="A81" s="78" t="s">
        <v>149</v>
      </c>
      <c r="B81" s="29" t="s">
        <v>34</v>
      </c>
      <c r="C81" s="29">
        <v>0</v>
      </c>
      <c r="D81" s="29" t="s">
        <v>9</v>
      </c>
      <c r="E81" s="130">
        <v>0</v>
      </c>
      <c r="F81" s="222">
        <f t="shared" ref="F81:F85" si="309">E81*C81</f>
        <v>0</v>
      </c>
      <c r="G81" s="126">
        <v>0</v>
      </c>
      <c r="H81" s="126">
        <v>4</v>
      </c>
      <c r="I81" s="126">
        <v>0</v>
      </c>
      <c r="J81" s="126">
        <v>4</v>
      </c>
      <c r="K81" s="223">
        <v>0</v>
      </c>
      <c r="L81" s="29" t="s">
        <v>8</v>
      </c>
      <c r="M81" s="130">
        <f t="shared" ref="M81:M85" si="310">((Shop*G81)+(M_Tech*H81)+(CMM*I81)+(ENG*J81)+(DES*K81))*N81</f>
        <v>1068</v>
      </c>
      <c r="N81" s="29">
        <v>1</v>
      </c>
      <c r="O81" s="224">
        <f t="shared" ref="O81" si="311">M81+(N81*F81)</f>
        <v>1068</v>
      </c>
      <c r="P81" s="224"/>
      <c r="Q81" s="84" t="s">
        <v>49</v>
      </c>
      <c r="R81" s="137" t="s">
        <v>90</v>
      </c>
      <c r="S81" s="140" t="str">
        <f t="shared" ref="S81:S85" si="312">CONCATENATE(Q81,R81,Y81)</f>
        <v>BPD2009</v>
      </c>
      <c r="Y81" s="63">
        <v>2009</v>
      </c>
      <c r="Z81" s="225">
        <f t="shared" ref="Z81:Z85" si="313">IF($Q81="B", (G81*$N81),0)</f>
        <v>0</v>
      </c>
      <c r="AA81" s="225">
        <f t="shared" ref="AA81:AA85" si="314">IF($Q81="B", (H81*$N81),0)</f>
        <v>4</v>
      </c>
      <c r="AB81" s="225">
        <f t="shared" ref="AB81:AB85" si="315">IF($Q81="B", (I81*$N81),0)</f>
        <v>0</v>
      </c>
      <c r="AC81" s="225">
        <f t="shared" ref="AC81:AC85" si="316">IF($Q81="B", (J81*$N81),0)</f>
        <v>4</v>
      </c>
      <c r="AD81" s="225">
        <f t="shared" ref="AD81:AD85" si="317">IF($Q81="B", (K81*$N81),0)</f>
        <v>0</v>
      </c>
      <c r="AE81" s="226">
        <f t="shared" ref="AE81:AE85" si="318">IF($Q81="B", (F81*$N81),0)</f>
        <v>0</v>
      </c>
      <c r="AF81" s="227"/>
      <c r="AG81" s="225"/>
      <c r="AH81" s="225"/>
      <c r="AI81" s="130"/>
      <c r="AJ81" s="228">
        <f t="shared" ref="AJ81:AJ85" si="319">IF($Q81="C", (G81*$N81),0)</f>
        <v>0</v>
      </c>
      <c r="AK81" s="229">
        <f t="shared" ref="AK81:AK85" si="320">IF($Q81="C", (H81*$N81),0)</f>
        <v>0</v>
      </c>
      <c r="AL81" s="229">
        <f t="shared" ref="AL81:AL85" si="321">IF($Q81="C", (I81*$N81),0)</f>
        <v>0</v>
      </c>
      <c r="AM81" s="229">
        <f t="shared" ref="AM81:AM85" si="322">IF($Q81="C", (J81*$N81),0)</f>
        <v>0</v>
      </c>
      <c r="AN81" s="229">
        <f t="shared" ref="AN81:AN85" si="323">IF($Q81="C", (K81*$N81),0)</f>
        <v>0</v>
      </c>
      <c r="AO81" s="225">
        <f t="shared" ref="AO81:AO85" si="324">IF($Q81="C", (F81*$N81),0)</f>
        <v>0</v>
      </c>
      <c r="AP81" s="227"/>
    </row>
    <row r="82" spans="1:42" s="29" customFormat="1">
      <c r="A82" s="78" t="s">
        <v>150</v>
      </c>
      <c r="B82" s="29" t="s">
        <v>65</v>
      </c>
      <c r="C82" s="29">
        <v>1</v>
      </c>
      <c r="D82" s="29" t="s">
        <v>66</v>
      </c>
      <c r="E82" s="130">
        <v>55</v>
      </c>
      <c r="F82" s="222">
        <f t="shared" si="309"/>
        <v>55</v>
      </c>
      <c r="G82" s="126">
        <v>0</v>
      </c>
      <c r="H82" s="126">
        <v>8</v>
      </c>
      <c r="I82" s="126">
        <v>0</v>
      </c>
      <c r="J82" s="126">
        <v>0</v>
      </c>
      <c r="K82" s="223">
        <v>0</v>
      </c>
      <c r="L82" s="29" t="s">
        <v>8</v>
      </c>
      <c r="M82" s="130">
        <f t="shared" si="310"/>
        <v>1872</v>
      </c>
      <c r="N82" s="29">
        <v>2</v>
      </c>
      <c r="O82" s="224">
        <f>M82+(N82*F82)</f>
        <v>1982</v>
      </c>
      <c r="P82" s="224"/>
      <c r="Q82" s="84" t="s">
        <v>49</v>
      </c>
      <c r="R82" s="137" t="s">
        <v>90</v>
      </c>
      <c r="S82" s="140" t="str">
        <f t="shared" si="312"/>
        <v>BPD2009</v>
      </c>
      <c r="Y82" s="63">
        <v>2009</v>
      </c>
      <c r="Z82" s="225">
        <f t="shared" si="313"/>
        <v>0</v>
      </c>
      <c r="AA82" s="225">
        <f t="shared" si="314"/>
        <v>16</v>
      </c>
      <c r="AB82" s="225">
        <f t="shared" si="315"/>
        <v>0</v>
      </c>
      <c r="AC82" s="225">
        <f t="shared" si="316"/>
        <v>0</v>
      </c>
      <c r="AD82" s="225">
        <f t="shared" si="317"/>
        <v>0</v>
      </c>
      <c r="AE82" s="226">
        <f t="shared" si="318"/>
        <v>110</v>
      </c>
      <c r="AF82" s="227"/>
      <c r="AG82" s="225"/>
      <c r="AH82" s="225"/>
      <c r="AI82" s="130"/>
      <c r="AJ82" s="228">
        <f t="shared" si="319"/>
        <v>0</v>
      </c>
      <c r="AK82" s="229">
        <f t="shared" si="320"/>
        <v>0</v>
      </c>
      <c r="AL82" s="229">
        <f t="shared" si="321"/>
        <v>0</v>
      </c>
      <c r="AM82" s="229">
        <f t="shared" si="322"/>
        <v>0</v>
      </c>
      <c r="AN82" s="229">
        <f t="shared" si="323"/>
        <v>0</v>
      </c>
      <c r="AO82" s="225">
        <f t="shared" si="324"/>
        <v>0</v>
      </c>
      <c r="AP82" s="227"/>
    </row>
    <row r="83" spans="1:42" s="29" customFormat="1">
      <c r="A83" s="78" t="s">
        <v>151</v>
      </c>
      <c r="B83" s="29" t="s">
        <v>65</v>
      </c>
      <c r="C83" s="29">
        <v>1</v>
      </c>
      <c r="D83" s="29" t="s">
        <v>66</v>
      </c>
      <c r="E83" s="130">
        <v>55</v>
      </c>
      <c r="F83" s="222">
        <f t="shared" si="309"/>
        <v>55</v>
      </c>
      <c r="G83" s="126">
        <v>0</v>
      </c>
      <c r="H83" s="126">
        <v>8</v>
      </c>
      <c r="I83" s="126">
        <v>0</v>
      </c>
      <c r="J83" s="126">
        <v>0</v>
      </c>
      <c r="K83" s="223">
        <v>0</v>
      </c>
      <c r="L83" s="29" t="s">
        <v>8</v>
      </c>
      <c r="M83" s="130">
        <f t="shared" si="310"/>
        <v>936</v>
      </c>
      <c r="N83" s="29">
        <v>1</v>
      </c>
      <c r="O83" s="224">
        <f>M83+(N83*F83)</f>
        <v>991</v>
      </c>
      <c r="P83" s="224"/>
      <c r="Q83" s="84" t="s">
        <v>50</v>
      </c>
      <c r="R83" s="137" t="s">
        <v>90</v>
      </c>
      <c r="S83" s="140" t="str">
        <f t="shared" si="312"/>
        <v>CPD2009</v>
      </c>
      <c r="Y83" s="63">
        <v>2009</v>
      </c>
      <c r="Z83" s="225">
        <f t="shared" si="313"/>
        <v>0</v>
      </c>
      <c r="AA83" s="225">
        <f t="shared" si="314"/>
        <v>0</v>
      </c>
      <c r="AB83" s="225">
        <f t="shared" si="315"/>
        <v>0</v>
      </c>
      <c r="AC83" s="225">
        <f t="shared" si="316"/>
        <v>0</v>
      </c>
      <c r="AD83" s="225">
        <f t="shared" si="317"/>
        <v>0</v>
      </c>
      <c r="AE83" s="226">
        <f t="shared" si="318"/>
        <v>0</v>
      </c>
      <c r="AF83" s="227"/>
      <c r="AG83" s="225"/>
      <c r="AH83" s="225"/>
      <c r="AI83" s="130"/>
      <c r="AJ83" s="228">
        <f t="shared" si="319"/>
        <v>0</v>
      </c>
      <c r="AK83" s="229">
        <f t="shared" si="320"/>
        <v>8</v>
      </c>
      <c r="AL83" s="229">
        <f t="shared" si="321"/>
        <v>0</v>
      </c>
      <c r="AM83" s="229">
        <f t="shared" si="322"/>
        <v>0</v>
      </c>
      <c r="AN83" s="229">
        <f t="shared" si="323"/>
        <v>0</v>
      </c>
      <c r="AO83" s="225">
        <f t="shared" si="324"/>
        <v>55</v>
      </c>
      <c r="AP83" s="227"/>
    </row>
    <row r="84" spans="1:42" s="29" customFormat="1">
      <c r="A84" s="78" t="s">
        <v>173</v>
      </c>
      <c r="B84" s="29" t="s">
        <v>34</v>
      </c>
      <c r="C84" s="29">
        <v>0</v>
      </c>
      <c r="D84" s="29" t="s">
        <v>9</v>
      </c>
      <c r="E84" s="130">
        <v>0</v>
      </c>
      <c r="F84" s="222">
        <f t="shared" si="309"/>
        <v>0</v>
      </c>
      <c r="G84" s="126">
        <v>12</v>
      </c>
      <c r="H84" s="126">
        <v>0</v>
      </c>
      <c r="I84" s="126">
        <v>0</v>
      </c>
      <c r="J84" s="126">
        <v>2</v>
      </c>
      <c r="K84" s="223">
        <v>0</v>
      </c>
      <c r="L84" s="29" t="s">
        <v>8</v>
      </c>
      <c r="M84" s="130">
        <f t="shared" si="310"/>
        <v>7296</v>
      </c>
      <c r="N84" s="29">
        <v>4</v>
      </c>
      <c r="O84" s="224">
        <f t="shared" ref="O84:O85" si="325">M84+(N84*F84)</f>
        <v>7296</v>
      </c>
      <c r="P84" s="224"/>
      <c r="Q84" s="84" t="s">
        <v>49</v>
      </c>
      <c r="R84" s="137" t="s">
        <v>90</v>
      </c>
      <c r="S84" s="140" t="str">
        <f t="shared" si="312"/>
        <v>BPD2009</v>
      </c>
      <c r="Y84" s="63">
        <v>2009</v>
      </c>
      <c r="Z84" s="225">
        <f t="shared" si="313"/>
        <v>48</v>
      </c>
      <c r="AA84" s="225">
        <f t="shared" si="314"/>
        <v>0</v>
      </c>
      <c r="AB84" s="225">
        <f t="shared" si="315"/>
        <v>0</v>
      </c>
      <c r="AC84" s="225">
        <f t="shared" si="316"/>
        <v>8</v>
      </c>
      <c r="AD84" s="225">
        <f t="shared" si="317"/>
        <v>0</v>
      </c>
      <c r="AE84" s="226">
        <f t="shared" si="318"/>
        <v>0</v>
      </c>
      <c r="AF84" s="227"/>
      <c r="AG84" s="225"/>
      <c r="AH84" s="225"/>
      <c r="AI84" s="130"/>
      <c r="AJ84" s="228">
        <f t="shared" si="319"/>
        <v>0</v>
      </c>
      <c r="AK84" s="229">
        <f t="shared" si="320"/>
        <v>0</v>
      </c>
      <c r="AL84" s="229">
        <f t="shared" si="321"/>
        <v>0</v>
      </c>
      <c r="AM84" s="229">
        <f t="shared" si="322"/>
        <v>0</v>
      </c>
      <c r="AN84" s="229">
        <f t="shared" si="323"/>
        <v>0</v>
      </c>
      <c r="AO84" s="225">
        <f t="shared" si="324"/>
        <v>0</v>
      </c>
      <c r="AP84" s="227"/>
    </row>
    <row r="85" spans="1:42" s="29" customFormat="1">
      <c r="A85" s="78" t="s">
        <v>174</v>
      </c>
      <c r="B85" s="29" t="s">
        <v>34</v>
      </c>
      <c r="C85" s="29">
        <v>0</v>
      </c>
      <c r="D85" s="29" t="s">
        <v>9</v>
      </c>
      <c r="E85" s="130">
        <v>0</v>
      </c>
      <c r="F85" s="222">
        <f t="shared" si="309"/>
        <v>0</v>
      </c>
      <c r="G85" s="126">
        <v>16</v>
      </c>
      <c r="H85" s="126">
        <v>0</v>
      </c>
      <c r="I85" s="126">
        <v>0</v>
      </c>
      <c r="J85" s="126">
        <v>2</v>
      </c>
      <c r="K85" s="223">
        <v>0</v>
      </c>
      <c r="L85" s="29" t="s">
        <v>8</v>
      </c>
      <c r="M85" s="130">
        <f t="shared" si="310"/>
        <v>2332</v>
      </c>
      <c r="N85" s="29">
        <v>1</v>
      </c>
      <c r="O85" s="224">
        <f t="shared" si="325"/>
        <v>2332</v>
      </c>
      <c r="P85" s="224"/>
      <c r="Q85" s="84" t="s">
        <v>50</v>
      </c>
      <c r="R85" s="137" t="s">
        <v>90</v>
      </c>
      <c r="S85" s="140" t="str">
        <f t="shared" si="312"/>
        <v>CPD2009</v>
      </c>
      <c r="Y85" s="63">
        <v>2009</v>
      </c>
      <c r="Z85" s="225">
        <f t="shared" si="313"/>
        <v>0</v>
      </c>
      <c r="AA85" s="225">
        <f t="shared" si="314"/>
        <v>0</v>
      </c>
      <c r="AB85" s="225">
        <f t="shared" si="315"/>
        <v>0</v>
      </c>
      <c r="AC85" s="225">
        <f t="shared" si="316"/>
        <v>0</v>
      </c>
      <c r="AD85" s="225">
        <f t="shared" si="317"/>
        <v>0</v>
      </c>
      <c r="AE85" s="226">
        <f t="shared" si="318"/>
        <v>0</v>
      </c>
      <c r="AF85" s="227"/>
      <c r="AG85" s="225"/>
      <c r="AH85" s="225"/>
      <c r="AI85" s="130"/>
      <c r="AJ85" s="228">
        <f t="shared" si="319"/>
        <v>16</v>
      </c>
      <c r="AK85" s="229">
        <f t="shared" si="320"/>
        <v>0</v>
      </c>
      <c r="AL85" s="229">
        <f t="shared" si="321"/>
        <v>0</v>
      </c>
      <c r="AM85" s="229">
        <f t="shared" si="322"/>
        <v>2</v>
      </c>
      <c r="AN85" s="229">
        <f t="shared" si="323"/>
        <v>0</v>
      </c>
      <c r="AO85" s="225">
        <f t="shared" si="324"/>
        <v>0</v>
      </c>
      <c r="AP85" s="227"/>
    </row>
    <row r="86" spans="1:42" s="82" customFormat="1">
      <c r="A86" s="79" t="s">
        <v>289</v>
      </c>
      <c r="E86" s="95"/>
      <c r="F86" s="104"/>
      <c r="G86" s="113"/>
      <c r="H86" s="113"/>
      <c r="I86" s="113"/>
      <c r="J86" s="113"/>
      <c r="K86" s="114"/>
      <c r="L86" s="127" t="s">
        <v>77</v>
      </c>
      <c r="M86" s="128">
        <f>SUMIF(Q81:Q85,"B",M81:M85)</f>
        <v>10236</v>
      </c>
      <c r="N86" s="129" t="s">
        <v>77</v>
      </c>
      <c r="O86" s="87"/>
      <c r="P86" s="87"/>
      <c r="Q86" s="84"/>
      <c r="R86" s="137"/>
      <c r="S86" s="140"/>
      <c r="T86" s="29"/>
      <c r="U86" s="29"/>
      <c r="V86" s="29"/>
      <c r="W86" s="29"/>
      <c r="X86" s="29"/>
      <c r="Y86" s="88"/>
      <c r="Z86" s="89"/>
      <c r="AA86" s="89"/>
      <c r="AB86" s="90"/>
      <c r="AC86" s="89"/>
      <c r="AD86" s="89"/>
      <c r="AE86" s="36"/>
      <c r="AF86" s="91"/>
      <c r="AG86" s="77"/>
      <c r="AH86" s="77"/>
      <c r="AI86" s="130"/>
      <c r="AJ86" s="92"/>
      <c r="AK86" s="89"/>
      <c r="AL86" s="89"/>
      <c r="AM86" s="89"/>
      <c r="AN86" s="89"/>
      <c r="AO86" s="77"/>
      <c r="AP86" s="91"/>
    </row>
    <row r="87" spans="1:42" s="29" customFormat="1">
      <c r="A87" s="78" t="s">
        <v>149</v>
      </c>
      <c r="B87" s="29" t="s">
        <v>34</v>
      </c>
      <c r="C87" s="29">
        <v>0</v>
      </c>
      <c r="D87" s="29" t="s">
        <v>9</v>
      </c>
      <c r="E87" s="130">
        <v>0</v>
      </c>
      <c r="F87" s="222">
        <f t="shared" ref="F87" si="326">E87*C87</f>
        <v>0</v>
      </c>
      <c r="G87" s="126">
        <v>0</v>
      </c>
      <c r="H87" s="126">
        <v>4</v>
      </c>
      <c r="I87" s="126">
        <v>0</v>
      </c>
      <c r="J87" s="126">
        <v>8</v>
      </c>
      <c r="K87" s="223">
        <v>0</v>
      </c>
      <c r="L87" s="29" t="s">
        <v>8</v>
      </c>
      <c r="M87" s="130">
        <f t="shared" ref="M87" si="327">((Shop*G87)+(M_Tech*H87)+(CMM*I87)+(ENG*J87)+(DES*K87))*N87</f>
        <v>1668</v>
      </c>
      <c r="N87" s="29">
        <v>1</v>
      </c>
      <c r="O87" s="224">
        <f t="shared" ref="O87" si="328">M87+(N87*F87)</f>
        <v>1668</v>
      </c>
      <c r="P87" s="224"/>
      <c r="Q87" s="84" t="s">
        <v>49</v>
      </c>
      <c r="R87" s="137" t="s">
        <v>90</v>
      </c>
      <c r="S87" s="140" t="str">
        <f t="shared" ref="S87" si="329">CONCATENATE(Q87,R87,Y87)</f>
        <v>BPD2009</v>
      </c>
      <c r="Y87" s="63">
        <v>2009</v>
      </c>
      <c r="Z87" s="225">
        <f t="shared" ref="Z87" si="330">IF($Q87="B", (G87*$N87),0)</f>
        <v>0</v>
      </c>
      <c r="AA87" s="225">
        <f t="shared" ref="AA87" si="331">IF($Q87="B", (H87*$N87),0)</f>
        <v>4</v>
      </c>
      <c r="AB87" s="225">
        <f t="shared" ref="AB87" si="332">IF($Q87="B", (I87*$N87),0)</f>
        <v>0</v>
      </c>
      <c r="AC87" s="225">
        <f t="shared" ref="AC87" si="333">IF($Q87="B", (J87*$N87),0)</f>
        <v>8</v>
      </c>
      <c r="AD87" s="225">
        <f t="shared" ref="AD87" si="334">IF($Q87="B", (K87*$N87),0)</f>
        <v>0</v>
      </c>
      <c r="AE87" s="226">
        <f t="shared" ref="AE87" si="335">IF($Q87="B", (F87*$N87),0)</f>
        <v>0</v>
      </c>
      <c r="AF87" s="227"/>
      <c r="AG87" s="225"/>
      <c r="AH87" s="225"/>
      <c r="AI87" s="130"/>
      <c r="AJ87" s="228">
        <f t="shared" ref="AJ87" si="336">IF($Q87="C", (G87*$N87),0)</f>
        <v>0</v>
      </c>
      <c r="AK87" s="229">
        <f t="shared" ref="AK87" si="337">IF($Q87="C", (H87*$N87),0)</f>
        <v>0</v>
      </c>
      <c r="AL87" s="229">
        <f t="shared" ref="AL87" si="338">IF($Q87="C", (I87*$N87),0)</f>
        <v>0</v>
      </c>
      <c r="AM87" s="229">
        <f t="shared" ref="AM87" si="339">IF($Q87="C", (J87*$N87),0)</f>
        <v>0</v>
      </c>
      <c r="AN87" s="229">
        <f t="shared" ref="AN87" si="340">IF($Q87="C", (K87*$N87),0)</f>
        <v>0</v>
      </c>
      <c r="AO87" s="225">
        <f t="shared" ref="AO87" si="341">IF($Q87="C", (F87*$N87),0)</f>
        <v>0</v>
      </c>
      <c r="AP87" s="227"/>
    </row>
    <row r="88" spans="1:42" s="29" customFormat="1">
      <c r="A88" s="78" t="s">
        <v>274</v>
      </c>
      <c r="B88" s="29" t="s">
        <v>65</v>
      </c>
      <c r="C88" s="29">
        <v>1</v>
      </c>
      <c r="D88" s="29" t="s">
        <v>66</v>
      </c>
      <c r="E88" s="130">
        <v>55</v>
      </c>
      <c r="F88" s="222">
        <f t="shared" ref="F88:F90" si="342">E88*C88</f>
        <v>55</v>
      </c>
      <c r="G88" s="126">
        <v>0</v>
      </c>
      <c r="H88" s="126">
        <v>8</v>
      </c>
      <c r="I88" s="126">
        <v>0</v>
      </c>
      <c r="J88" s="126">
        <v>8</v>
      </c>
      <c r="K88" s="223">
        <v>0</v>
      </c>
      <c r="L88" s="29" t="s">
        <v>8</v>
      </c>
      <c r="M88" s="130">
        <f t="shared" ref="M88:M90" si="343">((Shop*G88)+(M_Tech*H88)+(CMM*I88)+(ENG*J88)+(DES*K88))*N88</f>
        <v>2136</v>
      </c>
      <c r="N88" s="29">
        <v>1</v>
      </c>
      <c r="O88" s="224">
        <f t="shared" ref="O88" si="344">M88+(N88*F88)</f>
        <v>2191</v>
      </c>
      <c r="P88" s="224"/>
      <c r="Q88" s="84" t="s">
        <v>49</v>
      </c>
      <c r="R88" s="137" t="s">
        <v>90</v>
      </c>
      <c r="S88" s="140" t="str">
        <f t="shared" ref="S88:S90" si="345">CONCATENATE(Q88,R88,Y88)</f>
        <v>BPD2009</v>
      </c>
      <c r="Y88" s="63">
        <v>2009</v>
      </c>
      <c r="Z88" s="225">
        <f t="shared" ref="Z88:Z90" si="346">IF($Q88="B", (G88*$N88),0)</f>
        <v>0</v>
      </c>
      <c r="AA88" s="225">
        <f t="shared" ref="AA88:AA90" si="347">IF($Q88="B", (H88*$N88),0)</f>
        <v>8</v>
      </c>
      <c r="AB88" s="225">
        <f t="shared" ref="AB88:AB90" si="348">IF($Q88="B", (I88*$N88),0)</f>
        <v>0</v>
      </c>
      <c r="AC88" s="225">
        <f t="shared" ref="AC88:AC90" si="349">IF($Q88="B", (J88*$N88),0)</f>
        <v>8</v>
      </c>
      <c r="AD88" s="225">
        <f t="shared" ref="AD88:AD90" si="350">IF($Q88="B", (K88*$N88),0)</f>
        <v>0</v>
      </c>
      <c r="AE88" s="226">
        <f t="shared" ref="AE88:AE90" si="351">IF($Q88="B", (F88*$N88),0)</f>
        <v>55</v>
      </c>
      <c r="AF88" s="227"/>
      <c r="AG88" s="225"/>
      <c r="AH88" s="225"/>
      <c r="AI88" s="130"/>
      <c r="AJ88" s="228">
        <f t="shared" ref="AJ88:AJ90" si="352">IF($Q88="C", (G88*$N88),0)</f>
        <v>0</v>
      </c>
      <c r="AK88" s="229">
        <f t="shared" ref="AK88:AK90" si="353">IF($Q88="C", (H88*$N88),0)</f>
        <v>0</v>
      </c>
      <c r="AL88" s="229">
        <f t="shared" ref="AL88:AL90" si="354">IF($Q88="C", (I88*$N88),0)</f>
        <v>0</v>
      </c>
      <c r="AM88" s="229">
        <f t="shared" ref="AM88:AM90" si="355">IF($Q88="C", (J88*$N88),0)</f>
        <v>0</v>
      </c>
      <c r="AN88" s="229">
        <f t="shared" ref="AN88:AN90" si="356">IF($Q88="C", (K88*$N88),0)</f>
        <v>0</v>
      </c>
      <c r="AO88" s="225">
        <f t="shared" ref="AO88:AO90" si="357">IF($Q88="C", (F88*$N88),0)</f>
        <v>0</v>
      </c>
      <c r="AP88" s="227"/>
    </row>
    <row r="89" spans="1:42" s="29" customFormat="1">
      <c r="A89" s="78" t="s">
        <v>275</v>
      </c>
      <c r="B89" s="29" t="s">
        <v>65</v>
      </c>
      <c r="C89" s="29">
        <v>1</v>
      </c>
      <c r="D89" s="29" t="s">
        <v>66</v>
      </c>
      <c r="E89" s="130">
        <v>55</v>
      </c>
      <c r="F89" s="222">
        <f t="shared" si="342"/>
        <v>55</v>
      </c>
      <c r="G89" s="126">
        <v>0</v>
      </c>
      <c r="H89" s="126">
        <v>8</v>
      </c>
      <c r="I89" s="126">
        <v>0</v>
      </c>
      <c r="J89" s="126">
        <v>2</v>
      </c>
      <c r="K89" s="223">
        <v>0</v>
      </c>
      <c r="L89" s="29" t="s">
        <v>8</v>
      </c>
      <c r="M89" s="130">
        <f t="shared" si="343"/>
        <v>4944</v>
      </c>
      <c r="N89" s="29">
        <v>4</v>
      </c>
      <c r="O89" s="224">
        <f>M89+(N89*F89)</f>
        <v>5164</v>
      </c>
      <c r="P89" s="224"/>
      <c r="Q89" s="84" t="s">
        <v>49</v>
      </c>
      <c r="R89" s="137" t="s">
        <v>90</v>
      </c>
      <c r="S89" s="140" t="str">
        <f t="shared" si="345"/>
        <v>BPD2009</v>
      </c>
      <c r="Y89" s="63">
        <v>2009</v>
      </c>
      <c r="Z89" s="225">
        <f t="shared" si="346"/>
        <v>0</v>
      </c>
      <c r="AA89" s="225">
        <f t="shared" si="347"/>
        <v>32</v>
      </c>
      <c r="AB89" s="225">
        <f t="shared" si="348"/>
        <v>0</v>
      </c>
      <c r="AC89" s="225">
        <f t="shared" si="349"/>
        <v>8</v>
      </c>
      <c r="AD89" s="225">
        <f t="shared" si="350"/>
        <v>0</v>
      </c>
      <c r="AE89" s="226">
        <f t="shared" si="351"/>
        <v>220</v>
      </c>
      <c r="AF89" s="227"/>
      <c r="AG89" s="225"/>
      <c r="AH89" s="225"/>
      <c r="AI89" s="130"/>
      <c r="AJ89" s="228">
        <f t="shared" si="352"/>
        <v>0</v>
      </c>
      <c r="AK89" s="229">
        <f t="shared" si="353"/>
        <v>0</v>
      </c>
      <c r="AL89" s="229">
        <f t="shared" si="354"/>
        <v>0</v>
      </c>
      <c r="AM89" s="229">
        <f t="shared" si="355"/>
        <v>0</v>
      </c>
      <c r="AN89" s="229">
        <f t="shared" si="356"/>
        <v>0</v>
      </c>
      <c r="AO89" s="225">
        <f t="shared" si="357"/>
        <v>0</v>
      </c>
      <c r="AP89" s="227"/>
    </row>
    <row r="90" spans="1:42" s="29" customFormat="1">
      <c r="A90" s="78" t="s">
        <v>276</v>
      </c>
      <c r="B90" s="29" t="s">
        <v>65</v>
      </c>
      <c r="C90" s="29">
        <v>1</v>
      </c>
      <c r="D90" s="29" t="s">
        <v>66</v>
      </c>
      <c r="E90" s="130">
        <v>55</v>
      </c>
      <c r="F90" s="222">
        <f t="shared" si="342"/>
        <v>55</v>
      </c>
      <c r="G90" s="126">
        <v>0</v>
      </c>
      <c r="H90" s="126">
        <v>8</v>
      </c>
      <c r="I90" s="126">
        <v>0</v>
      </c>
      <c r="J90" s="126">
        <v>2</v>
      </c>
      <c r="K90" s="223">
        <v>0</v>
      </c>
      <c r="L90" s="29" t="s">
        <v>8</v>
      </c>
      <c r="M90" s="130">
        <f t="shared" si="343"/>
        <v>1236</v>
      </c>
      <c r="N90" s="29">
        <v>1</v>
      </c>
      <c r="O90" s="224">
        <f>M90+(N90*F90)</f>
        <v>1291</v>
      </c>
      <c r="P90" s="224"/>
      <c r="Q90" s="84" t="s">
        <v>50</v>
      </c>
      <c r="R90" s="137" t="s">
        <v>90</v>
      </c>
      <c r="S90" s="140" t="str">
        <f t="shared" si="345"/>
        <v>CPD2009</v>
      </c>
      <c r="Y90" s="63">
        <v>2009</v>
      </c>
      <c r="Z90" s="225">
        <f t="shared" si="346"/>
        <v>0</v>
      </c>
      <c r="AA90" s="225">
        <f t="shared" si="347"/>
        <v>0</v>
      </c>
      <c r="AB90" s="225">
        <f t="shared" si="348"/>
        <v>0</v>
      </c>
      <c r="AC90" s="225">
        <f t="shared" si="349"/>
        <v>0</v>
      </c>
      <c r="AD90" s="225">
        <f t="shared" si="350"/>
        <v>0</v>
      </c>
      <c r="AE90" s="226">
        <f t="shared" si="351"/>
        <v>0</v>
      </c>
      <c r="AF90" s="227"/>
      <c r="AG90" s="225"/>
      <c r="AH90" s="225"/>
      <c r="AI90" s="130"/>
      <c r="AJ90" s="228">
        <f t="shared" si="352"/>
        <v>0</v>
      </c>
      <c r="AK90" s="229">
        <f t="shared" si="353"/>
        <v>8</v>
      </c>
      <c r="AL90" s="229">
        <f t="shared" si="354"/>
        <v>0</v>
      </c>
      <c r="AM90" s="229">
        <f t="shared" si="355"/>
        <v>2</v>
      </c>
      <c r="AN90" s="229">
        <f t="shared" si="356"/>
        <v>0</v>
      </c>
      <c r="AO90" s="225">
        <f t="shared" si="357"/>
        <v>55</v>
      </c>
      <c r="AP90" s="227"/>
    </row>
    <row r="91" spans="1:42" s="82" customFormat="1">
      <c r="A91" s="79" t="s">
        <v>152</v>
      </c>
      <c r="E91" s="95"/>
      <c r="F91" s="104"/>
      <c r="G91" s="113"/>
      <c r="H91" s="113"/>
      <c r="I91" s="113"/>
      <c r="J91" s="113"/>
      <c r="K91" s="114"/>
      <c r="L91" s="127" t="s">
        <v>77</v>
      </c>
      <c r="M91" s="128">
        <f>SUMIF(Q87:Q90,"B",M87:M90)</f>
        <v>8748</v>
      </c>
      <c r="N91" s="129" t="s">
        <v>77</v>
      </c>
      <c r="O91" s="87"/>
      <c r="P91" s="87"/>
      <c r="Q91" s="84"/>
      <c r="R91" s="137"/>
      <c r="S91" s="140"/>
      <c r="T91" s="29"/>
      <c r="U91" s="29"/>
      <c r="V91" s="29"/>
      <c r="W91" s="29"/>
      <c r="X91" s="29"/>
      <c r="Y91" s="88"/>
      <c r="Z91" s="89"/>
      <c r="AA91" s="89"/>
      <c r="AB91" s="90"/>
      <c r="AC91" s="89"/>
      <c r="AD91" s="89"/>
      <c r="AE91" s="36"/>
      <c r="AF91" s="91"/>
      <c r="AG91" s="77"/>
      <c r="AH91" s="77"/>
      <c r="AI91" s="130"/>
      <c r="AJ91" s="92"/>
      <c r="AK91" s="89"/>
      <c r="AL91" s="89"/>
      <c r="AM91" s="89"/>
      <c r="AN91" s="89"/>
      <c r="AO91" s="77"/>
      <c r="AP91" s="91"/>
    </row>
    <row r="92" spans="1:42" s="29" customFormat="1">
      <c r="A92" s="78" t="s">
        <v>154</v>
      </c>
      <c r="B92" s="29" t="s">
        <v>65</v>
      </c>
      <c r="C92" s="29">
        <v>1</v>
      </c>
      <c r="D92" s="29" t="s">
        <v>66</v>
      </c>
      <c r="E92" s="130">
        <v>55</v>
      </c>
      <c r="F92" s="222">
        <f t="shared" ref="F92:F93" si="358">E92*C92</f>
        <v>55</v>
      </c>
      <c r="G92" s="126">
        <v>0</v>
      </c>
      <c r="H92" s="126">
        <v>8</v>
      </c>
      <c r="I92" s="126">
        <v>0</v>
      </c>
      <c r="J92" s="126">
        <v>2</v>
      </c>
      <c r="K92" s="223">
        <v>0</v>
      </c>
      <c r="L92" s="29" t="s">
        <v>8</v>
      </c>
      <c r="M92" s="130">
        <f t="shared" ref="M92:M93" si="359">((Shop*G92)+(M_Tech*H92)+(CMM*I92)+(ENG*J92)+(DES*K92))*N92</f>
        <v>4944</v>
      </c>
      <c r="N92" s="29">
        <v>4</v>
      </c>
      <c r="O92" s="224">
        <f t="shared" ref="O92" si="360">M92+(N92*F92)</f>
        <v>5164</v>
      </c>
      <c r="P92" s="224"/>
      <c r="Q92" s="84" t="s">
        <v>49</v>
      </c>
      <c r="R92" s="137" t="s">
        <v>90</v>
      </c>
      <c r="S92" s="140" t="str">
        <f t="shared" ref="S92:S93" si="361">CONCATENATE(Q92,R92,Y92)</f>
        <v>BPD2009</v>
      </c>
      <c r="Y92" s="63">
        <v>2009</v>
      </c>
      <c r="Z92" s="225">
        <f t="shared" ref="Z92:Z93" si="362">IF($Q92="B", (G92*$N92),0)</f>
        <v>0</v>
      </c>
      <c r="AA92" s="225">
        <f t="shared" ref="AA92:AA93" si="363">IF($Q92="B", (H92*$N92),0)</f>
        <v>32</v>
      </c>
      <c r="AB92" s="225">
        <f t="shared" ref="AB92:AB93" si="364">IF($Q92="B", (I92*$N92),0)</f>
        <v>0</v>
      </c>
      <c r="AC92" s="225">
        <f t="shared" ref="AC92:AC93" si="365">IF($Q92="B", (J92*$N92),0)</f>
        <v>8</v>
      </c>
      <c r="AD92" s="225">
        <f t="shared" ref="AD92:AD93" si="366">IF($Q92="B", (K92*$N92),0)</f>
        <v>0</v>
      </c>
      <c r="AE92" s="226">
        <f t="shared" ref="AE92:AE93" si="367">IF($Q92="B", (F92*$N92),0)</f>
        <v>220</v>
      </c>
      <c r="AF92" s="227"/>
      <c r="AG92" s="225"/>
      <c r="AH92" s="225"/>
      <c r="AI92" s="130"/>
      <c r="AJ92" s="228">
        <f t="shared" ref="AJ92:AJ93" si="368">IF($Q92="C", (G92*$N92),0)</f>
        <v>0</v>
      </c>
      <c r="AK92" s="229">
        <f t="shared" ref="AK92:AK93" si="369">IF($Q92="C", (H92*$N92),0)</f>
        <v>0</v>
      </c>
      <c r="AL92" s="229">
        <f t="shared" ref="AL92:AL93" si="370">IF($Q92="C", (I92*$N92),0)</f>
        <v>0</v>
      </c>
      <c r="AM92" s="229">
        <f t="shared" ref="AM92:AM93" si="371">IF($Q92="C", (J92*$N92),0)</f>
        <v>0</v>
      </c>
      <c r="AN92" s="229">
        <f t="shared" ref="AN92:AN93" si="372">IF($Q92="C", (K92*$N92),0)</f>
        <v>0</v>
      </c>
      <c r="AO92" s="225">
        <f t="shared" ref="AO92:AO93" si="373">IF($Q92="C", (F92*$N92),0)</f>
        <v>0</v>
      </c>
      <c r="AP92" s="227"/>
    </row>
    <row r="93" spans="1:42" s="29" customFormat="1">
      <c r="A93" s="78" t="s">
        <v>155</v>
      </c>
      <c r="B93" s="29" t="s">
        <v>65</v>
      </c>
      <c r="C93" s="29">
        <v>1</v>
      </c>
      <c r="D93" s="29" t="s">
        <v>66</v>
      </c>
      <c r="E93" s="130">
        <v>55</v>
      </c>
      <c r="F93" s="222">
        <f t="shared" si="358"/>
        <v>55</v>
      </c>
      <c r="G93" s="126">
        <v>0</v>
      </c>
      <c r="H93" s="126">
        <v>8</v>
      </c>
      <c r="I93" s="126">
        <v>0</v>
      </c>
      <c r="J93" s="126">
        <v>0</v>
      </c>
      <c r="K93" s="223">
        <v>0</v>
      </c>
      <c r="L93" s="29" t="s">
        <v>8</v>
      </c>
      <c r="M93" s="130">
        <f t="shared" si="359"/>
        <v>936</v>
      </c>
      <c r="N93" s="29">
        <v>1</v>
      </c>
      <c r="O93" s="224">
        <f>M93+(N93*F93)</f>
        <v>991</v>
      </c>
      <c r="P93" s="224"/>
      <c r="Q93" s="84" t="s">
        <v>50</v>
      </c>
      <c r="R93" s="137" t="s">
        <v>90</v>
      </c>
      <c r="S93" s="140" t="str">
        <f t="shared" si="361"/>
        <v>CPD2009</v>
      </c>
      <c r="Y93" s="63">
        <v>2009</v>
      </c>
      <c r="Z93" s="225">
        <f t="shared" si="362"/>
        <v>0</v>
      </c>
      <c r="AA93" s="225">
        <f t="shared" si="363"/>
        <v>0</v>
      </c>
      <c r="AB93" s="225">
        <f t="shared" si="364"/>
        <v>0</v>
      </c>
      <c r="AC93" s="225">
        <f t="shared" si="365"/>
        <v>0</v>
      </c>
      <c r="AD93" s="225">
        <f t="shared" si="366"/>
        <v>0</v>
      </c>
      <c r="AE93" s="226">
        <f t="shared" si="367"/>
        <v>0</v>
      </c>
      <c r="AF93" s="227"/>
      <c r="AG93" s="225"/>
      <c r="AH93" s="225"/>
      <c r="AI93" s="130"/>
      <c r="AJ93" s="228">
        <f t="shared" si="368"/>
        <v>0</v>
      </c>
      <c r="AK93" s="229">
        <f t="shared" si="369"/>
        <v>8</v>
      </c>
      <c r="AL93" s="229">
        <f t="shared" si="370"/>
        <v>0</v>
      </c>
      <c r="AM93" s="229">
        <f t="shared" si="371"/>
        <v>0</v>
      </c>
      <c r="AN93" s="229">
        <f t="shared" si="372"/>
        <v>0</v>
      </c>
      <c r="AO93" s="225">
        <f t="shared" si="373"/>
        <v>55</v>
      </c>
      <c r="AP93" s="227"/>
    </row>
    <row r="94" spans="1:42" s="29" customFormat="1">
      <c r="A94" s="78" t="s">
        <v>156</v>
      </c>
      <c r="B94" s="29" t="s">
        <v>34</v>
      </c>
      <c r="C94" s="29">
        <v>0</v>
      </c>
      <c r="D94" s="29" t="s">
        <v>9</v>
      </c>
      <c r="E94" s="130">
        <v>0</v>
      </c>
      <c r="F94" s="222">
        <f>E94*C94</f>
        <v>0</v>
      </c>
      <c r="G94" s="126">
        <v>10</v>
      </c>
      <c r="H94" s="126">
        <v>0</v>
      </c>
      <c r="I94" s="126">
        <v>0</v>
      </c>
      <c r="J94" s="126">
        <v>4</v>
      </c>
      <c r="K94" s="223">
        <v>0</v>
      </c>
      <c r="L94" s="29" t="s">
        <v>8</v>
      </c>
      <c r="M94" s="130">
        <f>((Shop*G94)+(M_Tech*H94)+(CMM*I94)+(ENG*J94)+(DES*K94))*N94</f>
        <v>7480</v>
      </c>
      <c r="N94" s="29">
        <v>4</v>
      </c>
      <c r="O94" s="224">
        <f>M94+(N94*F94)</f>
        <v>7480</v>
      </c>
      <c r="P94" s="224"/>
      <c r="Q94" s="84" t="s">
        <v>49</v>
      </c>
      <c r="R94" s="137" t="s">
        <v>90</v>
      </c>
      <c r="S94" s="140" t="str">
        <f t="shared" ref="S94:S95" si="374">CONCATENATE(Q94,R94,Y94)</f>
        <v>BPD2009</v>
      </c>
      <c r="Y94" s="63">
        <v>2009</v>
      </c>
      <c r="Z94" s="225">
        <f t="shared" ref="Z94:Z95" si="375">IF($Q94="B", (G94*$N94),0)</f>
        <v>40</v>
      </c>
      <c r="AA94" s="225">
        <f t="shared" ref="AA94:AA95" si="376">IF($Q94="B", (H94*$N94),0)</f>
        <v>0</v>
      </c>
      <c r="AB94" s="225">
        <f t="shared" ref="AB94:AB95" si="377">IF($Q94="B", (I94*$N94),0)</f>
        <v>0</v>
      </c>
      <c r="AC94" s="225">
        <f t="shared" ref="AC94:AC95" si="378">IF($Q94="B", (J94*$N94),0)</f>
        <v>16</v>
      </c>
      <c r="AD94" s="225">
        <f t="shared" ref="AD94:AD95" si="379">IF($Q94="B", (K94*$N94),0)</f>
        <v>0</v>
      </c>
      <c r="AE94" s="226">
        <f t="shared" ref="AE94:AE95" si="380">IF($Q94="B", (F94*$N94),0)</f>
        <v>0</v>
      </c>
      <c r="AF94" s="227"/>
      <c r="AG94" s="225"/>
      <c r="AH94" s="225"/>
      <c r="AI94" s="130"/>
      <c r="AJ94" s="228">
        <f t="shared" ref="AJ94:AJ95" si="381">IF($Q94="C", (G94*$N94),0)</f>
        <v>0</v>
      </c>
      <c r="AK94" s="229">
        <f t="shared" ref="AK94:AK95" si="382">IF($Q94="C", (H94*$N94),0)</f>
        <v>0</v>
      </c>
      <c r="AL94" s="229">
        <f t="shared" ref="AL94:AL95" si="383">IF($Q94="C", (I94*$N94),0)</f>
        <v>0</v>
      </c>
      <c r="AM94" s="229">
        <f t="shared" ref="AM94:AM95" si="384">IF($Q94="C", (J94*$N94),0)</f>
        <v>0</v>
      </c>
      <c r="AN94" s="229">
        <f t="shared" ref="AN94:AN95" si="385">IF($Q94="C", (K94*$N94),0)</f>
        <v>0</v>
      </c>
      <c r="AO94" s="225">
        <f t="shared" ref="AO94:AO95" si="386">IF($Q94="C", (F94*$N94),0)</f>
        <v>0</v>
      </c>
      <c r="AP94" s="227"/>
    </row>
    <row r="95" spans="1:42" s="29" customFormat="1">
      <c r="A95" s="78" t="s">
        <v>157</v>
      </c>
      <c r="B95" s="29" t="s">
        <v>34</v>
      </c>
      <c r="C95" s="29">
        <v>0</v>
      </c>
      <c r="D95" s="29" t="s">
        <v>9</v>
      </c>
      <c r="E95" s="130">
        <v>0</v>
      </c>
      <c r="F95" s="222">
        <f>E95*C95</f>
        <v>0</v>
      </c>
      <c r="G95" s="126">
        <v>16</v>
      </c>
      <c r="H95" s="126">
        <v>0</v>
      </c>
      <c r="I95" s="126">
        <v>0</v>
      </c>
      <c r="J95" s="126">
        <v>4</v>
      </c>
      <c r="K95" s="223">
        <v>0</v>
      </c>
      <c r="L95" s="29" t="s">
        <v>8</v>
      </c>
      <c r="M95" s="130">
        <f>((Shop*G95)+(M_Tech*H95)+(CMM*I95)+(ENG*J95)+(DES*K95))*N95</f>
        <v>2632</v>
      </c>
      <c r="N95" s="29">
        <v>1</v>
      </c>
      <c r="O95" s="224">
        <f>M95+(N95*F95)</f>
        <v>2632</v>
      </c>
      <c r="P95" s="224"/>
      <c r="Q95" s="84" t="s">
        <v>50</v>
      </c>
      <c r="R95" s="137" t="s">
        <v>90</v>
      </c>
      <c r="S95" s="140" t="str">
        <f t="shared" si="374"/>
        <v>CPD2009</v>
      </c>
      <c r="Y95" s="63">
        <v>2009</v>
      </c>
      <c r="Z95" s="225">
        <f t="shared" si="375"/>
        <v>0</v>
      </c>
      <c r="AA95" s="225">
        <f t="shared" si="376"/>
        <v>0</v>
      </c>
      <c r="AB95" s="225">
        <f t="shared" si="377"/>
        <v>0</v>
      </c>
      <c r="AC95" s="225">
        <f t="shared" si="378"/>
        <v>0</v>
      </c>
      <c r="AD95" s="225">
        <f t="shared" si="379"/>
        <v>0</v>
      </c>
      <c r="AE95" s="226">
        <f t="shared" si="380"/>
        <v>0</v>
      </c>
      <c r="AF95" s="227"/>
      <c r="AG95" s="225"/>
      <c r="AH95" s="225"/>
      <c r="AI95" s="130"/>
      <c r="AJ95" s="228">
        <f t="shared" si="381"/>
        <v>16</v>
      </c>
      <c r="AK95" s="229">
        <f t="shared" si="382"/>
        <v>0</v>
      </c>
      <c r="AL95" s="229">
        <f t="shared" si="383"/>
        <v>0</v>
      </c>
      <c r="AM95" s="229">
        <f t="shared" si="384"/>
        <v>4</v>
      </c>
      <c r="AN95" s="229">
        <f t="shared" si="385"/>
        <v>0</v>
      </c>
      <c r="AO95" s="225">
        <f t="shared" si="386"/>
        <v>0</v>
      </c>
      <c r="AP95" s="227"/>
    </row>
    <row r="96" spans="1:42" s="29" customFormat="1">
      <c r="A96" s="31" t="s">
        <v>153</v>
      </c>
      <c r="B96" s="31"/>
      <c r="C96" s="31"/>
      <c r="D96" s="31"/>
      <c r="E96" s="232"/>
      <c r="F96" s="233"/>
      <c r="G96" s="234"/>
      <c r="H96" s="234"/>
      <c r="I96" s="234"/>
      <c r="J96" s="234"/>
      <c r="K96" s="235"/>
      <c r="L96" s="31"/>
      <c r="M96" s="232">
        <f>SUMIF(Q75:Q95,"B",M75:M95)</f>
        <v>54112</v>
      </c>
      <c r="N96" s="200" t="s">
        <v>76</v>
      </c>
      <c r="O96" s="200"/>
      <c r="P96" s="201"/>
      <c r="Q96" s="236"/>
      <c r="R96" s="237"/>
      <c r="S96" s="238"/>
      <c r="T96" s="31"/>
      <c r="U96" s="31"/>
      <c r="V96" s="31"/>
      <c r="W96" s="31"/>
      <c r="X96" s="31"/>
      <c r="Y96" s="64"/>
      <c r="Z96" s="239">
        <f>SUM(Z56:Z95)</f>
        <v>254</v>
      </c>
      <c r="AA96" s="239">
        <f t="shared" ref="AA96:AD96" si="387">SUM(AA56:AA95)</f>
        <v>236</v>
      </c>
      <c r="AB96" s="239">
        <f t="shared" si="387"/>
        <v>0</v>
      </c>
      <c r="AC96" s="239">
        <f t="shared" si="387"/>
        <v>208</v>
      </c>
      <c r="AD96" s="239">
        <f t="shared" si="387"/>
        <v>0</v>
      </c>
      <c r="AE96" s="232"/>
      <c r="AF96" s="233">
        <f>SUM(AE56:AE95)</f>
        <v>6405</v>
      </c>
      <c r="AG96" s="232">
        <f>(Shop*Z96)+M_Tech*AA96+CMM*AB96+ENG*AC96+DES*AD96+AF96</f>
        <v>97475</v>
      </c>
      <c r="AH96" s="232"/>
      <c r="AI96" s="233">
        <f>Shop*AJ96+M_Tech*AK96+CMM*AL96+ENG*AM96+DES*AN96+AP96</f>
        <v>29209</v>
      </c>
      <c r="AJ96" s="239">
        <f>SUM(AJ56:AJ95)</f>
        <v>76</v>
      </c>
      <c r="AK96" s="239">
        <f t="shared" ref="AK96" si="388">SUM(AK56:AK95)</f>
        <v>72</v>
      </c>
      <c r="AL96" s="239">
        <f t="shared" ref="AL96" si="389">SUM(AL56:AL95)</f>
        <v>0</v>
      </c>
      <c r="AM96" s="239">
        <f t="shared" ref="AM96" si="390">SUM(AM56:AM95)</f>
        <v>60</v>
      </c>
      <c r="AN96" s="239">
        <f t="shared" ref="AN96" si="391">SUM(AN56:AN95)</f>
        <v>0</v>
      </c>
      <c r="AO96" s="232"/>
      <c r="AP96" s="233">
        <f>SUM(AO56:AO95)</f>
        <v>2133</v>
      </c>
    </row>
    <row r="97" spans="1:42" s="29" customFormat="1">
      <c r="E97" s="130"/>
      <c r="F97" s="222"/>
      <c r="G97" s="126"/>
      <c r="H97" s="126"/>
      <c r="I97" s="126"/>
      <c r="J97" s="126"/>
      <c r="K97" s="223"/>
      <c r="L97" s="127" t="s">
        <v>77</v>
      </c>
      <c r="M97" s="128">
        <f>SUMIF(Q92:Q95,"B",M92:M95)</f>
        <v>12424</v>
      </c>
      <c r="N97" s="129" t="s">
        <v>77</v>
      </c>
      <c r="O97" s="129"/>
      <c r="P97" s="224"/>
      <c r="Q97" s="84"/>
      <c r="R97" s="137"/>
      <c r="S97" s="140"/>
      <c r="Y97" s="63"/>
      <c r="Z97" s="229"/>
      <c r="AA97" s="229"/>
      <c r="AB97" s="229"/>
      <c r="AC97" s="229"/>
      <c r="AD97" s="229"/>
      <c r="AE97" s="226"/>
      <c r="AF97" s="227"/>
      <c r="AG97" s="225"/>
      <c r="AH97" s="225"/>
      <c r="AI97" s="130"/>
      <c r="AJ97" s="247"/>
      <c r="AK97" s="225"/>
      <c r="AL97" s="225"/>
      <c r="AM97" s="225"/>
      <c r="AN97" s="225"/>
      <c r="AO97" s="225"/>
      <c r="AP97" s="227"/>
    </row>
    <row r="98" spans="1:42" s="29" customFormat="1">
      <c r="E98" s="130"/>
      <c r="F98" s="222"/>
      <c r="G98" s="126"/>
      <c r="H98" s="126"/>
      <c r="I98" s="126"/>
      <c r="J98" s="126"/>
      <c r="K98" s="223"/>
      <c r="M98" s="130"/>
      <c r="O98" s="224"/>
      <c r="P98" s="224"/>
      <c r="Q98" s="240"/>
      <c r="R98" s="241"/>
      <c r="S98" s="140"/>
      <c r="Y98" s="242"/>
      <c r="Z98" s="243"/>
      <c r="AA98" s="243"/>
      <c r="AB98" s="243"/>
      <c r="AC98" s="243"/>
      <c r="AD98" s="243"/>
      <c r="AE98" s="244"/>
      <c r="AF98" s="245"/>
      <c r="AG98" s="246"/>
      <c r="AH98" s="246"/>
      <c r="AI98" s="130"/>
      <c r="AJ98" s="247"/>
      <c r="AK98" s="225"/>
      <c r="AL98" s="225"/>
      <c r="AM98" s="225"/>
      <c r="AN98" s="225"/>
      <c r="AO98" s="225"/>
      <c r="AP98" s="227"/>
    </row>
    <row r="99" spans="1:42" s="29" customFormat="1" ht="15.75">
      <c r="A99" s="81" t="s">
        <v>132</v>
      </c>
      <c r="E99" s="130"/>
      <c r="F99" s="222"/>
      <c r="G99" s="126"/>
      <c r="H99" s="126"/>
      <c r="I99" s="126"/>
      <c r="J99" s="126"/>
      <c r="K99" s="223"/>
      <c r="M99" s="130"/>
      <c r="O99" s="224"/>
      <c r="P99" s="224"/>
      <c r="Q99" s="84"/>
      <c r="R99" s="137"/>
      <c r="S99" s="140"/>
      <c r="Y99" s="63"/>
      <c r="Z99" s="229"/>
      <c r="AA99" s="229"/>
      <c r="AB99" s="229"/>
      <c r="AC99" s="229"/>
      <c r="AD99" s="229"/>
      <c r="AE99" s="226"/>
      <c r="AF99" s="227"/>
      <c r="AG99" s="225"/>
      <c r="AH99" s="225"/>
      <c r="AI99" s="130"/>
      <c r="AJ99" s="247"/>
      <c r="AK99" s="225"/>
      <c r="AL99" s="225"/>
      <c r="AM99" s="225"/>
      <c r="AN99" s="225"/>
      <c r="AO99" s="225"/>
      <c r="AP99" s="227"/>
    </row>
    <row r="100" spans="1:42" s="78" customFormat="1">
      <c r="A100" s="79" t="s">
        <v>158</v>
      </c>
      <c r="E100" s="249"/>
      <c r="F100" s="250"/>
      <c r="G100" s="251"/>
      <c r="H100" s="251"/>
      <c r="I100" s="251"/>
      <c r="J100" s="251"/>
      <c r="K100" s="252"/>
      <c r="L100" s="127"/>
      <c r="M100" s="128"/>
      <c r="N100" s="129">
        <v>1</v>
      </c>
      <c r="O100" s="128"/>
      <c r="P100" s="253"/>
      <c r="Q100" s="123"/>
      <c r="R100" s="138"/>
      <c r="S100" s="141"/>
      <c r="T100" s="29"/>
      <c r="U100" s="29"/>
      <c r="V100" s="29"/>
      <c r="W100" s="29"/>
      <c r="X100" s="29"/>
      <c r="Y100" s="124"/>
      <c r="Z100" s="141"/>
      <c r="AA100" s="141"/>
      <c r="AB100" s="141"/>
      <c r="AC100" s="141"/>
      <c r="AD100" s="141"/>
      <c r="AE100" s="254"/>
      <c r="AF100" s="255"/>
      <c r="AG100" s="141"/>
      <c r="AH100" s="141"/>
      <c r="AI100" s="130"/>
      <c r="AJ100" s="256"/>
      <c r="AK100" s="141"/>
      <c r="AL100" s="141"/>
      <c r="AM100" s="141"/>
      <c r="AN100" s="141"/>
      <c r="AO100" s="141"/>
      <c r="AP100" s="255"/>
    </row>
    <row r="101" spans="1:42" s="231" customFormat="1">
      <c r="A101" s="78" t="s">
        <v>124</v>
      </c>
      <c r="B101" s="29" t="s">
        <v>7</v>
      </c>
      <c r="C101" s="29">
        <v>200</v>
      </c>
      <c r="D101" s="29" t="s">
        <v>41</v>
      </c>
      <c r="E101" s="130">
        <v>12</v>
      </c>
      <c r="F101" s="222">
        <f t="shared" ref="F101:F104" si="392">E101*C101</f>
        <v>2400</v>
      </c>
      <c r="G101" s="126">
        <v>16</v>
      </c>
      <c r="H101" s="126">
        <v>0</v>
      </c>
      <c r="I101" s="126">
        <v>0</v>
      </c>
      <c r="J101" s="126">
        <v>0</v>
      </c>
      <c r="K101" s="223">
        <v>0</v>
      </c>
      <c r="L101" s="29" t="s">
        <v>8</v>
      </c>
      <c r="M101" s="130">
        <f t="shared" ref="M101:M104" si="393">((Shop*G101)+(M_Tech*H101)+(CMM*I101)+(ENG*J101)+(DES*K101))*N101</f>
        <v>2032</v>
      </c>
      <c r="N101" s="29">
        <v>1</v>
      </c>
      <c r="O101" s="224">
        <f t="shared" ref="O101:O104" si="394">M101+(N101*F101)</f>
        <v>4432</v>
      </c>
      <c r="P101" s="224"/>
      <c r="Q101" s="84" t="s">
        <v>49</v>
      </c>
      <c r="R101" s="137" t="s">
        <v>90</v>
      </c>
      <c r="S101" s="140" t="str">
        <f t="shared" ref="S101:S104" si="395">CONCATENATE(Q101,R101,Y101)</f>
        <v>BPD2009</v>
      </c>
      <c r="T101" s="29"/>
      <c r="U101" s="29"/>
      <c r="V101" s="29"/>
      <c r="W101" s="29"/>
      <c r="X101" s="29"/>
      <c r="Y101" s="63">
        <v>2009</v>
      </c>
      <c r="Z101" s="225">
        <f t="shared" ref="Z101:Z104" si="396">IF($Q101="B", (G101*$N101),0)</f>
        <v>16</v>
      </c>
      <c r="AA101" s="225">
        <f t="shared" ref="AA101:AA104" si="397">IF($Q101="B", (H101*$N101),0)</f>
        <v>0</v>
      </c>
      <c r="AB101" s="225">
        <f t="shared" ref="AB101:AB104" si="398">IF($Q101="B", (I101*$N101),0)</f>
        <v>0</v>
      </c>
      <c r="AC101" s="225">
        <f t="shared" ref="AC101:AC104" si="399">IF($Q101="B", (J101*$N101),0)</f>
        <v>0</v>
      </c>
      <c r="AD101" s="225">
        <f t="shared" ref="AD101:AD104" si="400">IF($Q101="B", (K101*$N101),0)</f>
        <v>0</v>
      </c>
      <c r="AE101" s="226">
        <f t="shared" ref="AE101:AE104" si="401">IF($Q101="B", (F101*$N101),0)</f>
        <v>2400</v>
      </c>
      <c r="AF101" s="230"/>
      <c r="AG101" s="257"/>
      <c r="AH101" s="257"/>
      <c r="AI101" s="130"/>
      <c r="AJ101" s="228">
        <f t="shared" ref="AJ101" si="402">IF($Q101="C", (G101*$N101),0)</f>
        <v>0</v>
      </c>
      <c r="AK101" s="229">
        <f t="shared" ref="AK101" si="403">IF($Q101="C", (H101*$N101),0)</f>
        <v>0</v>
      </c>
      <c r="AL101" s="229">
        <f t="shared" ref="AL101" si="404">IF($Q101="C", (I101*$N101),0)</f>
        <v>0</v>
      </c>
      <c r="AM101" s="229">
        <f t="shared" ref="AM101" si="405">IF($Q101="C", (J101*$N101),0)</f>
        <v>0</v>
      </c>
      <c r="AN101" s="229">
        <f t="shared" ref="AN101" si="406">IF($Q101="C", (K101*$N101),0)</f>
        <v>0</v>
      </c>
      <c r="AO101" s="225">
        <f t="shared" ref="AO101" si="407">IF($Q101="C", (F101*$N101),0)</f>
        <v>0</v>
      </c>
      <c r="AP101" s="230"/>
    </row>
    <row r="102" spans="1:42" s="231" customFormat="1">
      <c r="A102" s="78" t="s">
        <v>159</v>
      </c>
      <c r="B102" s="29" t="s">
        <v>7</v>
      </c>
      <c r="C102" s="29">
        <v>60</v>
      </c>
      <c r="D102" s="29" t="s">
        <v>41</v>
      </c>
      <c r="E102" s="130">
        <v>8</v>
      </c>
      <c r="F102" s="222">
        <f t="shared" si="392"/>
        <v>480</v>
      </c>
      <c r="G102" s="126">
        <v>24</v>
      </c>
      <c r="H102" s="126">
        <v>0</v>
      </c>
      <c r="I102" s="126">
        <v>0</v>
      </c>
      <c r="J102" s="126">
        <v>0</v>
      </c>
      <c r="K102" s="223">
        <v>0</v>
      </c>
      <c r="L102" s="29" t="s">
        <v>8</v>
      </c>
      <c r="M102" s="130">
        <f t="shared" si="393"/>
        <v>6096</v>
      </c>
      <c r="N102" s="29">
        <v>2</v>
      </c>
      <c r="O102" s="224">
        <f t="shared" si="394"/>
        <v>7056</v>
      </c>
      <c r="P102" s="224"/>
      <c r="Q102" s="84" t="s">
        <v>49</v>
      </c>
      <c r="R102" s="137" t="s">
        <v>90</v>
      </c>
      <c r="S102" s="140" t="str">
        <f t="shared" si="395"/>
        <v>BPD2009</v>
      </c>
      <c r="T102" s="29"/>
      <c r="U102" s="29"/>
      <c r="V102" s="29"/>
      <c r="W102" s="29"/>
      <c r="X102" s="29"/>
      <c r="Y102" s="63">
        <v>2009</v>
      </c>
      <c r="Z102" s="225">
        <f t="shared" si="396"/>
        <v>48</v>
      </c>
      <c r="AA102" s="225">
        <f t="shared" si="397"/>
        <v>0</v>
      </c>
      <c r="AB102" s="225">
        <f t="shared" si="398"/>
        <v>0</v>
      </c>
      <c r="AC102" s="225">
        <f t="shared" si="399"/>
        <v>0</v>
      </c>
      <c r="AD102" s="225">
        <f t="shared" si="400"/>
        <v>0</v>
      </c>
      <c r="AE102" s="226">
        <f t="shared" si="401"/>
        <v>960</v>
      </c>
      <c r="AF102" s="230"/>
      <c r="AG102" s="257"/>
      <c r="AH102" s="257"/>
      <c r="AI102" s="130"/>
      <c r="AJ102" s="228">
        <f>IF($Q102="C", (G102*$N102),0)</f>
        <v>0</v>
      </c>
      <c r="AK102" s="229">
        <f>IF($Q102="C", (H102*$N102),0)</f>
        <v>0</v>
      </c>
      <c r="AL102" s="229">
        <f>IF($Q102="C", (I102*$N102),0)</f>
        <v>0</v>
      </c>
      <c r="AM102" s="229">
        <f>IF($Q102="C", (J102*$N102),0)</f>
        <v>0</v>
      </c>
      <c r="AN102" s="229">
        <f>IF($Q102="C", (K102*$N102),0)</f>
        <v>0</v>
      </c>
      <c r="AO102" s="225">
        <f>IF($Q102="C", (F102*$N102),0)</f>
        <v>0</v>
      </c>
      <c r="AP102" s="230"/>
    </row>
    <row r="103" spans="1:42" s="29" customFormat="1">
      <c r="A103" s="78" t="s">
        <v>270</v>
      </c>
      <c r="B103" s="29" t="s">
        <v>34</v>
      </c>
      <c r="C103" s="29">
        <v>0</v>
      </c>
      <c r="D103" s="29" t="s">
        <v>9</v>
      </c>
      <c r="E103" s="130">
        <v>0</v>
      </c>
      <c r="F103" s="222">
        <f>E103*C103</f>
        <v>0</v>
      </c>
      <c r="G103" s="126">
        <v>0</v>
      </c>
      <c r="H103" s="126">
        <v>0</v>
      </c>
      <c r="I103" s="126">
        <v>0</v>
      </c>
      <c r="J103" s="126">
        <v>40</v>
      </c>
      <c r="K103" s="223">
        <v>0</v>
      </c>
      <c r="L103" s="29" t="s">
        <v>8</v>
      </c>
      <c r="M103" s="130">
        <f>((Shop*G103)+(M_Tech*H103)+(CMM*I103)+(ENG*J103)+(DES*K103))*N103</f>
        <v>6000</v>
      </c>
      <c r="N103" s="29">
        <v>1</v>
      </c>
      <c r="O103" s="224">
        <f>M103+(N103*F103)</f>
        <v>6000</v>
      </c>
      <c r="P103" s="224"/>
      <c r="Q103" s="84" t="s">
        <v>49</v>
      </c>
      <c r="R103" s="137" t="s">
        <v>90</v>
      </c>
      <c r="S103" s="140" t="str">
        <f t="shared" si="395"/>
        <v>BPD2009</v>
      </c>
      <c r="Y103" s="63">
        <v>2009</v>
      </c>
      <c r="Z103" s="225">
        <f t="shared" si="396"/>
        <v>0</v>
      </c>
      <c r="AA103" s="225">
        <f t="shared" si="397"/>
        <v>0</v>
      </c>
      <c r="AB103" s="225">
        <f t="shared" si="398"/>
        <v>0</v>
      </c>
      <c r="AC103" s="225">
        <f t="shared" si="399"/>
        <v>40</v>
      </c>
      <c r="AD103" s="225">
        <f t="shared" si="400"/>
        <v>0</v>
      </c>
      <c r="AE103" s="226">
        <f>IF($Q103="B", (F103*$N103),0)</f>
        <v>0</v>
      </c>
      <c r="AF103" s="227"/>
      <c r="AG103" s="225"/>
      <c r="AH103" s="225"/>
      <c r="AI103" s="130"/>
      <c r="AJ103" s="228">
        <f t="shared" ref="AJ103" si="408">IF($Q103="C", (G103*$N103),0)</f>
        <v>0</v>
      </c>
      <c r="AK103" s="229">
        <f t="shared" ref="AK103" si="409">IF($Q103="C", (H103*$N103),0)</f>
        <v>0</v>
      </c>
      <c r="AL103" s="229">
        <f t="shared" ref="AL103" si="410">IF($Q103="C", (I103*$N103),0)</f>
        <v>0</v>
      </c>
      <c r="AM103" s="229">
        <f t="shared" ref="AM103" si="411">IF($Q103="C", (J103*$N103),0)</f>
        <v>0</v>
      </c>
      <c r="AN103" s="229">
        <f t="shared" ref="AN103" si="412">IF($Q103="C", (K103*$N103),0)</f>
        <v>0</v>
      </c>
      <c r="AO103" s="225">
        <f>IF($Q103="C", (F103*$N103),0)</f>
        <v>0</v>
      </c>
      <c r="AP103" s="227"/>
    </row>
    <row r="104" spans="1:42" s="231" customFormat="1">
      <c r="A104" s="78" t="s">
        <v>161</v>
      </c>
      <c r="B104" s="29" t="s">
        <v>34</v>
      </c>
      <c r="C104" s="29">
        <v>0</v>
      </c>
      <c r="D104" s="29" t="s">
        <v>9</v>
      </c>
      <c r="E104" s="130">
        <v>0</v>
      </c>
      <c r="F104" s="222">
        <f t="shared" si="392"/>
        <v>0</v>
      </c>
      <c r="G104" s="126">
        <v>0</v>
      </c>
      <c r="H104" s="126">
        <v>24</v>
      </c>
      <c r="I104" s="126">
        <v>12</v>
      </c>
      <c r="J104" s="126">
        <v>8</v>
      </c>
      <c r="K104" s="223">
        <v>0</v>
      </c>
      <c r="L104" s="29" t="s">
        <v>8</v>
      </c>
      <c r="M104" s="130">
        <f t="shared" si="393"/>
        <v>5532</v>
      </c>
      <c r="N104" s="29">
        <v>1</v>
      </c>
      <c r="O104" s="224">
        <f t="shared" si="394"/>
        <v>5532</v>
      </c>
      <c r="P104" s="224"/>
      <c r="Q104" s="84" t="s">
        <v>49</v>
      </c>
      <c r="R104" s="137" t="s">
        <v>90</v>
      </c>
      <c r="S104" s="140" t="str">
        <f t="shared" si="395"/>
        <v>BPD2009</v>
      </c>
      <c r="T104" s="29"/>
      <c r="U104" s="29"/>
      <c r="V104" s="29"/>
      <c r="W104" s="29"/>
      <c r="X104" s="29"/>
      <c r="Y104" s="63">
        <v>2009</v>
      </c>
      <c r="Z104" s="225">
        <f t="shared" si="396"/>
        <v>0</v>
      </c>
      <c r="AA104" s="225">
        <f t="shared" si="397"/>
        <v>24</v>
      </c>
      <c r="AB104" s="225">
        <f t="shared" si="398"/>
        <v>12</v>
      </c>
      <c r="AC104" s="225">
        <f t="shared" si="399"/>
        <v>8</v>
      </c>
      <c r="AD104" s="225">
        <f t="shared" si="400"/>
        <v>0</v>
      </c>
      <c r="AE104" s="226">
        <f t="shared" si="401"/>
        <v>0</v>
      </c>
      <c r="AF104" s="230"/>
      <c r="AG104" s="257"/>
      <c r="AH104" s="257"/>
      <c r="AI104" s="130"/>
      <c r="AJ104" s="228">
        <f t="shared" ref="AJ104" si="413">IF($Q104="C", (G104*$N104),0)</f>
        <v>0</v>
      </c>
      <c r="AK104" s="229">
        <f t="shared" ref="AK104" si="414">IF($Q104="C", (H104*$N104),0)</f>
        <v>0</v>
      </c>
      <c r="AL104" s="229">
        <f t="shared" ref="AL104" si="415">IF($Q104="C", (I104*$N104),0)</f>
        <v>0</v>
      </c>
      <c r="AM104" s="229">
        <f t="shared" ref="AM104" si="416">IF($Q104="C", (J104*$N104),0)</f>
        <v>0</v>
      </c>
      <c r="AN104" s="229">
        <f t="shared" ref="AN104" si="417">IF($Q104="C", (K104*$N104),0)</f>
        <v>0</v>
      </c>
      <c r="AO104" s="225">
        <f t="shared" ref="AO104" si="418">IF($Q104="C", (F104*$N104),0)</f>
        <v>0</v>
      </c>
      <c r="AP104" s="230"/>
    </row>
    <row r="105" spans="1:42" s="78" customFormat="1">
      <c r="A105" s="79" t="s">
        <v>162</v>
      </c>
      <c r="E105" s="249"/>
      <c r="F105" s="250"/>
      <c r="G105" s="251"/>
      <c r="H105" s="251"/>
      <c r="I105" s="251"/>
      <c r="J105" s="251"/>
      <c r="K105" s="252"/>
      <c r="L105" s="127" t="s">
        <v>77</v>
      </c>
      <c r="M105" s="128">
        <f>SUMIF(Q101:Q104,"B",M101:M104)</f>
        <v>19660</v>
      </c>
      <c r="N105" s="129" t="s">
        <v>77</v>
      </c>
      <c r="O105" s="128"/>
      <c r="P105" s="253"/>
      <c r="Q105" s="123"/>
      <c r="R105" s="138"/>
      <c r="S105" s="141"/>
      <c r="T105" s="29"/>
      <c r="U105" s="29"/>
      <c r="V105" s="29"/>
      <c r="W105" s="29"/>
      <c r="X105" s="29"/>
      <c r="Y105" s="63"/>
      <c r="Z105" s="141"/>
      <c r="AA105" s="141"/>
      <c r="AB105" s="141"/>
      <c r="AC105" s="141"/>
      <c r="AD105" s="141"/>
      <c r="AE105" s="254"/>
      <c r="AF105" s="255"/>
      <c r="AG105" s="141"/>
      <c r="AH105" s="141"/>
      <c r="AI105" s="130"/>
      <c r="AJ105" s="256"/>
      <c r="AK105" s="141"/>
      <c r="AL105" s="141"/>
      <c r="AM105" s="141"/>
      <c r="AN105" s="141"/>
      <c r="AO105" s="141"/>
      <c r="AP105" s="255"/>
    </row>
    <row r="106" spans="1:42" s="231" customFormat="1">
      <c r="A106" s="78" t="s">
        <v>163</v>
      </c>
      <c r="B106" s="29" t="s">
        <v>34</v>
      </c>
      <c r="C106" s="29">
        <v>0</v>
      </c>
      <c r="D106" s="29" t="s">
        <v>9</v>
      </c>
      <c r="E106" s="130">
        <v>0</v>
      </c>
      <c r="F106" s="222">
        <f t="shared" ref="F106:F108" si="419">E106*C106</f>
        <v>0</v>
      </c>
      <c r="G106" s="126">
        <v>0</v>
      </c>
      <c r="H106" s="126">
        <v>32</v>
      </c>
      <c r="I106" s="126">
        <v>0</v>
      </c>
      <c r="J106" s="126">
        <v>8</v>
      </c>
      <c r="K106" s="223">
        <v>0</v>
      </c>
      <c r="L106" s="29" t="s">
        <v>8</v>
      </c>
      <c r="M106" s="130">
        <f t="shared" ref="M106:M108" si="420">((Shop*G106)+(M_Tech*H106)+(CMM*I106)+(ENG*J106)+(DES*K106))*N106</f>
        <v>9888</v>
      </c>
      <c r="N106" s="29">
        <v>2</v>
      </c>
      <c r="O106" s="224">
        <f t="shared" ref="O106:O108" si="421">M106+(N106*F106)</f>
        <v>9888</v>
      </c>
      <c r="P106" s="224"/>
      <c r="Q106" s="84" t="s">
        <v>49</v>
      </c>
      <c r="R106" s="137" t="s">
        <v>90</v>
      </c>
      <c r="S106" s="140" t="str">
        <f t="shared" ref="S106:S108" si="422">CONCATENATE(Q106,R106,Y106)</f>
        <v>BPD2009</v>
      </c>
      <c r="T106" s="29"/>
      <c r="U106" s="29"/>
      <c r="V106" s="29"/>
      <c r="W106" s="29"/>
      <c r="X106" s="29"/>
      <c r="Y106" s="63">
        <v>2009</v>
      </c>
      <c r="Z106" s="225">
        <f t="shared" ref="Z106:Z108" si="423">IF($Q106="B", (G106*$N106),0)</f>
        <v>0</v>
      </c>
      <c r="AA106" s="225">
        <f t="shared" ref="AA106:AA108" si="424">IF($Q106="B", (H106*$N106),0)</f>
        <v>64</v>
      </c>
      <c r="AB106" s="225">
        <f t="shared" ref="AB106:AB108" si="425">IF($Q106="B", (I106*$N106),0)</f>
        <v>0</v>
      </c>
      <c r="AC106" s="225">
        <f t="shared" ref="AC106:AC108" si="426">IF($Q106="B", (J106*$N106),0)</f>
        <v>16</v>
      </c>
      <c r="AD106" s="225">
        <f t="shared" ref="AD106:AD108" si="427">IF($Q106="B", (K106*$N106),0)</f>
        <v>0</v>
      </c>
      <c r="AE106" s="226">
        <f t="shared" ref="AE106:AE108" si="428">IF($Q106="B", (F106*$N106),0)</f>
        <v>0</v>
      </c>
      <c r="AF106" s="230"/>
      <c r="AG106" s="257"/>
      <c r="AH106" s="257"/>
      <c r="AI106" s="130"/>
      <c r="AJ106" s="228">
        <f t="shared" ref="AJ106:AJ108" si="429">IF($Q106="C", (G106*$N106),0)</f>
        <v>0</v>
      </c>
      <c r="AK106" s="229">
        <f t="shared" ref="AK106:AK108" si="430">IF($Q106="C", (H106*$N106),0)</f>
        <v>0</v>
      </c>
      <c r="AL106" s="229">
        <f t="shared" ref="AL106:AL108" si="431">IF($Q106="C", (I106*$N106),0)</f>
        <v>0</v>
      </c>
      <c r="AM106" s="229">
        <f t="shared" ref="AM106:AM108" si="432">IF($Q106="C", (J106*$N106),0)</f>
        <v>0</v>
      </c>
      <c r="AN106" s="229">
        <f t="shared" ref="AN106:AN108" si="433">IF($Q106="C", (K106*$N106),0)</f>
        <v>0</v>
      </c>
      <c r="AO106" s="225">
        <f t="shared" ref="AO106:AO108" si="434">IF($Q106="C", (F106*$N106),0)</f>
        <v>0</v>
      </c>
      <c r="AP106" s="230"/>
    </row>
    <row r="107" spans="1:42" s="231" customFormat="1">
      <c r="A107" s="78" t="s">
        <v>164</v>
      </c>
      <c r="B107" s="29" t="s">
        <v>34</v>
      </c>
      <c r="C107" s="29">
        <v>0</v>
      </c>
      <c r="D107" s="29" t="s">
        <v>9</v>
      </c>
      <c r="E107" s="130">
        <v>0</v>
      </c>
      <c r="F107" s="222">
        <f t="shared" si="419"/>
        <v>0</v>
      </c>
      <c r="G107" s="126">
        <v>0</v>
      </c>
      <c r="H107" s="126">
        <v>8</v>
      </c>
      <c r="I107" s="126">
        <v>40</v>
      </c>
      <c r="J107" s="126">
        <v>4</v>
      </c>
      <c r="K107" s="223">
        <v>0</v>
      </c>
      <c r="L107" s="29" t="s">
        <v>8</v>
      </c>
      <c r="M107" s="130">
        <f t="shared" si="420"/>
        <v>13232</v>
      </c>
      <c r="N107" s="29">
        <v>2</v>
      </c>
      <c r="O107" s="224">
        <f t="shared" si="421"/>
        <v>13232</v>
      </c>
      <c r="P107" s="224"/>
      <c r="Q107" s="84" t="s">
        <v>49</v>
      </c>
      <c r="R107" s="137" t="s">
        <v>90</v>
      </c>
      <c r="S107" s="140" t="str">
        <f t="shared" si="422"/>
        <v>BPD2009</v>
      </c>
      <c r="T107" s="29"/>
      <c r="U107" s="29"/>
      <c r="V107" s="29"/>
      <c r="W107" s="29"/>
      <c r="X107" s="29"/>
      <c r="Y107" s="63">
        <v>2009</v>
      </c>
      <c r="Z107" s="225">
        <f t="shared" si="423"/>
        <v>0</v>
      </c>
      <c r="AA107" s="225">
        <f t="shared" si="424"/>
        <v>16</v>
      </c>
      <c r="AB107" s="225">
        <f t="shared" si="425"/>
        <v>80</v>
      </c>
      <c r="AC107" s="225">
        <f t="shared" si="426"/>
        <v>8</v>
      </c>
      <c r="AD107" s="225">
        <f t="shared" si="427"/>
        <v>0</v>
      </c>
      <c r="AE107" s="226">
        <f t="shared" si="428"/>
        <v>0</v>
      </c>
      <c r="AF107" s="230"/>
      <c r="AG107" s="257"/>
      <c r="AH107" s="257"/>
      <c r="AI107" s="130"/>
      <c r="AJ107" s="228">
        <f t="shared" si="429"/>
        <v>0</v>
      </c>
      <c r="AK107" s="229">
        <f t="shared" si="430"/>
        <v>0</v>
      </c>
      <c r="AL107" s="229">
        <f t="shared" si="431"/>
        <v>0</v>
      </c>
      <c r="AM107" s="229">
        <f t="shared" si="432"/>
        <v>0</v>
      </c>
      <c r="AN107" s="229">
        <f t="shared" si="433"/>
        <v>0</v>
      </c>
      <c r="AO107" s="225">
        <f t="shared" si="434"/>
        <v>0</v>
      </c>
      <c r="AP107" s="230"/>
    </row>
    <row r="108" spans="1:42" s="231" customFormat="1">
      <c r="A108" s="78" t="s">
        <v>165</v>
      </c>
      <c r="B108" s="29" t="s">
        <v>34</v>
      </c>
      <c r="C108" s="29">
        <v>0</v>
      </c>
      <c r="D108" s="29" t="s">
        <v>9</v>
      </c>
      <c r="E108" s="130">
        <v>0</v>
      </c>
      <c r="F108" s="222">
        <f t="shared" si="419"/>
        <v>0</v>
      </c>
      <c r="G108" s="126">
        <v>0</v>
      </c>
      <c r="H108" s="126">
        <v>16</v>
      </c>
      <c r="I108" s="126">
        <v>40</v>
      </c>
      <c r="J108" s="126">
        <v>4</v>
      </c>
      <c r="K108" s="223">
        <v>0</v>
      </c>
      <c r="L108" s="29" t="s">
        <v>8</v>
      </c>
      <c r="M108" s="130">
        <f t="shared" si="420"/>
        <v>15104</v>
      </c>
      <c r="N108" s="29">
        <v>2</v>
      </c>
      <c r="O108" s="224">
        <f t="shared" si="421"/>
        <v>15104</v>
      </c>
      <c r="P108" s="224"/>
      <c r="Q108" s="84" t="s">
        <v>50</v>
      </c>
      <c r="R108" s="137" t="s">
        <v>90</v>
      </c>
      <c r="S108" s="140" t="str">
        <f t="shared" si="422"/>
        <v>CPD2009</v>
      </c>
      <c r="T108" s="29"/>
      <c r="U108" s="29"/>
      <c r="V108" s="29"/>
      <c r="W108" s="29"/>
      <c r="X108" s="29"/>
      <c r="Y108" s="63">
        <v>2009</v>
      </c>
      <c r="Z108" s="225">
        <f t="shared" si="423"/>
        <v>0</v>
      </c>
      <c r="AA108" s="225">
        <f t="shared" si="424"/>
        <v>0</v>
      </c>
      <c r="AB108" s="225">
        <f t="shared" si="425"/>
        <v>0</v>
      </c>
      <c r="AC108" s="225">
        <f t="shared" si="426"/>
        <v>0</v>
      </c>
      <c r="AD108" s="225">
        <f t="shared" si="427"/>
        <v>0</v>
      </c>
      <c r="AE108" s="226">
        <f t="shared" si="428"/>
        <v>0</v>
      </c>
      <c r="AF108" s="230"/>
      <c r="AG108" s="257"/>
      <c r="AH108" s="257"/>
      <c r="AI108" s="130"/>
      <c r="AJ108" s="228">
        <f t="shared" si="429"/>
        <v>0</v>
      </c>
      <c r="AK108" s="229">
        <f t="shared" si="430"/>
        <v>32</v>
      </c>
      <c r="AL108" s="229">
        <f t="shared" si="431"/>
        <v>80</v>
      </c>
      <c r="AM108" s="229">
        <f t="shared" si="432"/>
        <v>8</v>
      </c>
      <c r="AN108" s="229">
        <f t="shared" si="433"/>
        <v>0</v>
      </c>
      <c r="AO108" s="225">
        <f t="shared" si="434"/>
        <v>0</v>
      </c>
      <c r="AP108" s="230"/>
    </row>
    <row r="109" spans="1:42" s="231" customFormat="1">
      <c r="A109" s="78" t="s">
        <v>163</v>
      </c>
      <c r="B109" s="29" t="s">
        <v>83</v>
      </c>
      <c r="C109" s="29">
        <v>0</v>
      </c>
      <c r="D109" s="29" t="s">
        <v>9</v>
      </c>
      <c r="E109" s="130">
        <v>0</v>
      </c>
      <c r="F109" s="222">
        <f t="shared" ref="F109:F111" si="435">E109*C109</f>
        <v>0</v>
      </c>
      <c r="G109" s="126">
        <v>0</v>
      </c>
      <c r="H109" s="126">
        <v>32</v>
      </c>
      <c r="I109" s="126">
        <v>0</v>
      </c>
      <c r="J109" s="126">
        <v>8</v>
      </c>
      <c r="K109" s="223">
        <v>0</v>
      </c>
      <c r="L109" s="29" t="s">
        <v>8</v>
      </c>
      <c r="M109" s="130">
        <f t="shared" ref="M109:M111" si="436">((Shop*G109)+(M_Tech*H109)+(CMM*I109)+(ENG*J109)+(DES*K109))*N109</f>
        <v>4944</v>
      </c>
      <c r="N109" s="29">
        <v>1</v>
      </c>
      <c r="O109" s="224">
        <f t="shared" ref="O109:O111" si="437">M109+(N109*F109)</f>
        <v>4944</v>
      </c>
      <c r="P109" s="224"/>
      <c r="Q109" s="84" t="s">
        <v>50</v>
      </c>
      <c r="R109" s="137" t="s">
        <v>90</v>
      </c>
      <c r="S109" s="140" t="str">
        <f t="shared" ref="S109:S111" si="438">CONCATENATE(Q109,R109,Y109)</f>
        <v>CPD2009</v>
      </c>
      <c r="T109" s="29"/>
      <c r="U109" s="29"/>
      <c r="V109" s="29"/>
      <c r="W109" s="29"/>
      <c r="X109" s="29"/>
      <c r="Y109" s="63">
        <v>2009</v>
      </c>
      <c r="Z109" s="225">
        <f t="shared" ref="Z109:Z111" si="439">IF($Q109="B", (G109*$N109),0)</f>
        <v>0</v>
      </c>
      <c r="AA109" s="225">
        <f t="shared" ref="AA109:AA111" si="440">IF($Q109="B", (H109*$N109),0)</f>
        <v>0</v>
      </c>
      <c r="AB109" s="225">
        <f t="shared" ref="AB109:AB111" si="441">IF($Q109="B", (I109*$N109),0)</f>
        <v>0</v>
      </c>
      <c r="AC109" s="225">
        <f t="shared" ref="AC109:AC111" si="442">IF($Q109="B", (J109*$N109),0)</f>
        <v>0</v>
      </c>
      <c r="AD109" s="225">
        <f t="shared" ref="AD109:AD111" si="443">IF($Q109="B", (K109*$N109),0)</f>
        <v>0</v>
      </c>
      <c r="AE109" s="226">
        <f t="shared" ref="AE109:AE111" si="444">IF($Q109="B", (F109*$N109),0)</f>
        <v>0</v>
      </c>
      <c r="AF109" s="230"/>
      <c r="AG109" s="257"/>
      <c r="AH109" s="257"/>
      <c r="AI109" s="130"/>
      <c r="AJ109" s="228">
        <f t="shared" ref="AJ109:AJ111" si="445">IF($Q109="C", (G109*$N109),0)</f>
        <v>0</v>
      </c>
      <c r="AK109" s="229">
        <f t="shared" ref="AK109:AK111" si="446">IF($Q109="C", (H109*$N109),0)</f>
        <v>32</v>
      </c>
      <c r="AL109" s="229">
        <f t="shared" ref="AL109:AL111" si="447">IF($Q109="C", (I109*$N109),0)</f>
        <v>0</v>
      </c>
      <c r="AM109" s="229">
        <f t="shared" ref="AM109:AM111" si="448">IF($Q109="C", (J109*$N109),0)</f>
        <v>8</v>
      </c>
      <c r="AN109" s="229">
        <f t="shared" ref="AN109:AN111" si="449">IF($Q109="C", (K109*$N109),0)</f>
        <v>0</v>
      </c>
      <c r="AO109" s="225">
        <f t="shared" ref="AO109:AO111" si="450">IF($Q109="C", (F109*$N109),0)</f>
        <v>0</v>
      </c>
      <c r="AP109" s="230"/>
    </row>
    <row r="110" spans="1:42" s="231" customFormat="1">
      <c r="A110" s="78" t="s">
        <v>164</v>
      </c>
      <c r="B110" s="29" t="s">
        <v>83</v>
      </c>
      <c r="C110" s="29">
        <v>0</v>
      </c>
      <c r="D110" s="29" t="s">
        <v>9</v>
      </c>
      <c r="E110" s="130">
        <v>0</v>
      </c>
      <c r="F110" s="222">
        <f t="shared" si="435"/>
        <v>0</v>
      </c>
      <c r="G110" s="126">
        <v>0</v>
      </c>
      <c r="H110" s="126">
        <v>4</v>
      </c>
      <c r="I110" s="126">
        <v>16</v>
      </c>
      <c r="J110" s="126">
        <v>4</v>
      </c>
      <c r="K110" s="223">
        <v>0</v>
      </c>
      <c r="L110" s="29" t="s">
        <v>8</v>
      </c>
      <c r="M110" s="130">
        <f t="shared" si="436"/>
        <v>3100</v>
      </c>
      <c r="N110" s="29">
        <v>1</v>
      </c>
      <c r="O110" s="224">
        <f t="shared" si="437"/>
        <v>3100</v>
      </c>
      <c r="P110" s="224"/>
      <c r="Q110" s="84" t="s">
        <v>50</v>
      </c>
      <c r="R110" s="137" t="s">
        <v>90</v>
      </c>
      <c r="S110" s="140" t="str">
        <f t="shared" si="438"/>
        <v>CPD2009</v>
      </c>
      <c r="T110" s="29"/>
      <c r="U110" s="29"/>
      <c r="V110" s="29"/>
      <c r="W110" s="29"/>
      <c r="X110" s="29"/>
      <c r="Y110" s="63">
        <v>2009</v>
      </c>
      <c r="Z110" s="225">
        <f t="shared" si="439"/>
        <v>0</v>
      </c>
      <c r="AA110" s="225">
        <f t="shared" si="440"/>
        <v>0</v>
      </c>
      <c r="AB110" s="225">
        <f t="shared" si="441"/>
        <v>0</v>
      </c>
      <c r="AC110" s="225">
        <f t="shared" si="442"/>
        <v>0</v>
      </c>
      <c r="AD110" s="225">
        <f t="shared" si="443"/>
        <v>0</v>
      </c>
      <c r="AE110" s="226">
        <f t="shared" si="444"/>
        <v>0</v>
      </c>
      <c r="AF110" s="230"/>
      <c r="AG110" s="257"/>
      <c r="AH110" s="257"/>
      <c r="AI110" s="130"/>
      <c r="AJ110" s="228">
        <f t="shared" si="445"/>
        <v>0</v>
      </c>
      <c r="AK110" s="229">
        <f t="shared" si="446"/>
        <v>4</v>
      </c>
      <c r="AL110" s="229">
        <f t="shared" si="447"/>
        <v>16</v>
      </c>
      <c r="AM110" s="229">
        <f t="shared" si="448"/>
        <v>4</v>
      </c>
      <c r="AN110" s="229">
        <f t="shared" si="449"/>
        <v>0</v>
      </c>
      <c r="AO110" s="225">
        <f t="shared" si="450"/>
        <v>0</v>
      </c>
      <c r="AP110" s="230"/>
    </row>
    <row r="111" spans="1:42" s="231" customFormat="1">
      <c r="A111" s="78" t="s">
        <v>165</v>
      </c>
      <c r="B111" s="29" t="s">
        <v>83</v>
      </c>
      <c r="C111" s="29">
        <v>0</v>
      </c>
      <c r="D111" s="29" t="s">
        <v>9</v>
      </c>
      <c r="E111" s="130">
        <v>0</v>
      </c>
      <c r="F111" s="222">
        <f t="shared" si="435"/>
        <v>0</v>
      </c>
      <c r="G111" s="126">
        <v>0</v>
      </c>
      <c r="H111" s="126">
        <v>8</v>
      </c>
      <c r="I111" s="126">
        <v>16</v>
      </c>
      <c r="J111" s="126">
        <v>4</v>
      </c>
      <c r="K111" s="223">
        <v>0</v>
      </c>
      <c r="L111" s="29" t="s">
        <v>8</v>
      </c>
      <c r="M111" s="130">
        <f t="shared" si="436"/>
        <v>3568</v>
      </c>
      <c r="N111" s="29">
        <v>1</v>
      </c>
      <c r="O111" s="224">
        <f t="shared" si="437"/>
        <v>3568</v>
      </c>
      <c r="P111" s="224"/>
      <c r="Q111" s="84" t="s">
        <v>50</v>
      </c>
      <c r="R111" s="137" t="s">
        <v>90</v>
      </c>
      <c r="S111" s="140" t="str">
        <f t="shared" si="438"/>
        <v>CPD2009</v>
      </c>
      <c r="T111" s="29"/>
      <c r="U111" s="29"/>
      <c r="V111" s="29"/>
      <c r="W111" s="29"/>
      <c r="X111" s="29"/>
      <c r="Y111" s="63">
        <v>2009</v>
      </c>
      <c r="Z111" s="225">
        <f t="shared" si="439"/>
        <v>0</v>
      </c>
      <c r="AA111" s="225">
        <f t="shared" si="440"/>
        <v>0</v>
      </c>
      <c r="AB111" s="225">
        <f t="shared" si="441"/>
        <v>0</v>
      </c>
      <c r="AC111" s="225">
        <f t="shared" si="442"/>
        <v>0</v>
      </c>
      <c r="AD111" s="225">
        <f t="shared" si="443"/>
        <v>0</v>
      </c>
      <c r="AE111" s="226">
        <f t="shared" si="444"/>
        <v>0</v>
      </c>
      <c r="AF111" s="230"/>
      <c r="AG111" s="257"/>
      <c r="AH111" s="257"/>
      <c r="AI111" s="130"/>
      <c r="AJ111" s="228">
        <f t="shared" si="445"/>
        <v>0</v>
      </c>
      <c r="AK111" s="229">
        <f t="shared" si="446"/>
        <v>8</v>
      </c>
      <c r="AL111" s="229">
        <f t="shared" si="447"/>
        <v>16</v>
      </c>
      <c r="AM111" s="229">
        <f t="shared" si="448"/>
        <v>4</v>
      </c>
      <c r="AN111" s="229">
        <f t="shared" si="449"/>
        <v>0</v>
      </c>
      <c r="AO111" s="225">
        <f t="shared" si="450"/>
        <v>0</v>
      </c>
      <c r="AP111" s="230"/>
    </row>
    <row r="112" spans="1:42" s="29" customFormat="1">
      <c r="A112" s="31" t="s">
        <v>285</v>
      </c>
      <c r="B112" s="31"/>
      <c r="C112" s="31"/>
      <c r="D112" s="31"/>
      <c r="E112" s="232"/>
      <c r="F112" s="233"/>
      <c r="G112" s="234"/>
      <c r="H112" s="234"/>
      <c r="I112" s="234"/>
      <c r="J112" s="234"/>
      <c r="K112" s="235"/>
      <c r="L112" s="31"/>
      <c r="M112" s="232">
        <f>SUMIF(Q56:Q111,"B",M56:M111)</f>
        <v>133850</v>
      </c>
      <c r="N112" s="200" t="s">
        <v>76</v>
      </c>
      <c r="O112" s="200"/>
      <c r="P112" s="201"/>
      <c r="Q112" s="236"/>
      <c r="R112" s="237"/>
      <c r="S112" s="238"/>
      <c r="T112" s="31"/>
      <c r="U112" s="31"/>
      <c r="V112" s="31"/>
      <c r="W112" s="31"/>
      <c r="X112" s="31"/>
      <c r="Y112" s="64"/>
      <c r="Z112" s="239">
        <f>SUM(Z101:Z111)</f>
        <v>64</v>
      </c>
      <c r="AA112" s="239">
        <f t="shared" ref="AA112:AD112" si="451">SUM(AA101:AA111)</f>
        <v>104</v>
      </c>
      <c r="AB112" s="239">
        <f t="shared" si="451"/>
        <v>92</v>
      </c>
      <c r="AC112" s="239">
        <f t="shared" si="451"/>
        <v>72</v>
      </c>
      <c r="AD112" s="239">
        <f t="shared" si="451"/>
        <v>0</v>
      </c>
      <c r="AE112" s="239"/>
      <c r="AF112" s="233">
        <f>SUM(AE101:AE111)</f>
        <v>3360</v>
      </c>
      <c r="AG112" s="232">
        <f>(Shop*Z112)+M_Tech*AA112+CMM*AB112+ENG*AC112+DES*AD112+AF112</f>
        <v>46140</v>
      </c>
      <c r="AH112" s="232"/>
      <c r="AI112" s="233">
        <f>Shop*AJ112+M_Tech*AK112+CMM*AL112+ENG*AM112+DES*AN112+AP112</f>
        <v>26716</v>
      </c>
      <c r="AJ112" s="239">
        <f>SUM(AJ101:AJ111)</f>
        <v>0</v>
      </c>
      <c r="AK112" s="239">
        <f t="shared" ref="AK112" si="452">SUM(AK101:AK111)</f>
        <v>76</v>
      </c>
      <c r="AL112" s="239">
        <f t="shared" ref="AL112" si="453">SUM(AL101:AL111)</f>
        <v>112</v>
      </c>
      <c r="AM112" s="239">
        <f t="shared" ref="AM112" si="454">SUM(AM101:AM111)</f>
        <v>24</v>
      </c>
      <c r="AN112" s="239">
        <f t="shared" ref="AN112" si="455">SUM(AN101:AN111)</f>
        <v>0</v>
      </c>
      <c r="AO112" s="239"/>
      <c r="AP112" s="233">
        <f>SUM(AO101:AO111)</f>
        <v>0</v>
      </c>
    </row>
    <row r="113" spans="1:42" s="29" customFormat="1">
      <c r="E113" s="130"/>
      <c r="F113" s="222"/>
      <c r="G113" s="126"/>
      <c r="H113" s="126"/>
      <c r="I113" s="126"/>
      <c r="J113" s="126"/>
      <c r="K113" s="223"/>
      <c r="L113" s="127" t="s">
        <v>77</v>
      </c>
      <c r="M113" s="128">
        <f>SUMIF(Q101:Q111,"B",M101:M111)</f>
        <v>42780</v>
      </c>
      <c r="N113" s="129" t="s">
        <v>77</v>
      </c>
      <c r="O113" s="224"/>
      <c r="P113" s="224"/>
      <c r="Q113" s="240"/>
      <c r="R113" s="241"/>
      <c r="S113" s="140"/>
      <c r="Y113" s="242"/>
      <c r="Z113" s="243"/>
      <c r="AA113" s="243"/>
      <c r="AB113" s="243"/>
      <c r="AC113" s="243"/>
      <c r="AD113" s="243"/>
      <c r="AE113" s="244"/>
      <c r="AF113" s="245"/>
      <c r="AG113" s="246"/>
      <c r="AH113" s="246"/>
      <c r="AI113" s="130"/>
      <c r="AJ113" s="247"/>
      <c r="AK113" s="225"/>
      <c r="AL113" s="225"/>
      <c r="AM113" s="225"/>
      <c r="AN113" s="225"/>
      <c r="AO113" s="225"/>
      <c r="AP113" s="227"/>
    </row>
    <row r="114" spans="1:42" s="29" customFormat="1">
      <c r="A114" s="29" t="s">
        <v>105</v>
      </c>
      <c r="E114" s="130"/>
      <c r="F114" s="222"/>
      <c r="G114" s="126"/>
      <c r="H114" s="126"/>
      <c r="I114" s="126"/>
      <c r="J114" s="126"/>
      <c r="K114" s="223"/>
      <c r="M114" s="130"/>
      <c r="O114" s="258"/>
      <c r="P114" s="258"/>
      <c r="Q114" s="84"/>
      <c r="R114" s="137"/>
      <c r="S114" s="140"/>
      <c r="Y114" s="63"/>
      <c r="Z114" s="229"/>
      <c r="AA114" s="229"/>
      <c r="AB114" s="229"/>
      <c r="AC114" s="229"/>
      <c r="AD114" s="229"/>
      <c r="AE114" s="226"/>
      <c r="AF114" s="227"/>
      <c r="AG114" s="225"/>
      <c r="AH114" s="225"/>
      <c r="AI114" s="130"/>
      <c r="AJ114" s="247"/>
      <c r="AK114" s="225"/>
      <c r="AL114" s="225"/>
      <c r="AM114" s="225"/>
      <c r="AN114" s="225"/>
      <c r="AO114" s="225"/>
      <c r="AP114" s="227"/>
    </row>
    <row r="115" spans="1:42" s="29" customFormat="1">
      <c r="A115" s="29" t="s">
        <v>17</v>
      </c>
      <c r="B115" s="29" t="s">
        <v>22</v>
      </c>
      <c r="C115" s="29">
        <v>4</v>
      </c>
      <c r="D115" s="29" t="s">
        <v>13</v>
      </c>
      <c r="E115" s="130">
        <v>10</v>
      </c>
      <c r="F115" s="222">
        <f t="shared" ref="F115:F121" si="456">E115*C115</f>
        <v>40</v>
      </c>
      <c r="G115" s="126">
        <v>0</v>
      </c>
      <c r="H115" s="126">
        <v>0</v>
      </c>
      <c r="I115" s="126">
        <v>0</v>
      </c>
      <c r="J115" s="126">
        <v>0</v>
      </c>
      <c r="K115" s="223">
        <v>0</v>
      </c>
      <c r="L115" s="29" t="s">
        <v>8</v>
      </c>
      <c r="M115" s="130">
        <f t="shared" ref="M115:M121" si="457">((Shop*G115)+(M_Tech*H115)+(CMM*I115)+(ENG*J115)+(DES*K115))*N115</f>
        <v>0</v>
      </c>
      <c r="N115" s="29">
        <v>2</v>
      </c>
      <c r="O115" s="258">
        <f t="shared" ref="O115:O121" si="458">N115*(M115+F115)</f>
        <v>80</v>
      </c>
      <c r="P115" s="258"/>
      <c r="Q115" s="84" t="s">
        <v>49</v>
      </c>
      <c r="R115" s="137" t="s">
        <v>90</v>
      </c>
      <c r="S115" s="140" t="str">
        <f t="shared" ref="S115:S121" si="459">CONCATENATE(Q115,R115,Y115)</f>
        <v>BPD2009</v>
      </c>
      <c r="Y115" s="63">
        <v>2009</v>
      </c>
      <c r="Z115" s="225">
        <f t="shared" ref="Z115:Z121" si="460">IF($Q115="B", (G115*$N115),0)</f>
        <v>0</v>
      </c>
      <c r="AA115" s="225">
        <f t="shared" ref="AA115:AA121" si="461">IF($Q115="B", (H115*$N115),0)</f>
        <v>0</v>
      </c>
      <c r="AB115" s="225">
        <f t="shared" ref="AB115:AB121" si="462">IF($Q115="B", (I115*$N115),0)</f>
        <v>0</v>
      </c>
      <c r="AC115" s="225">
        <f t="shared" ref="AC115:AC121" si="463">IF($Q115="B", (J115*$N115),0)</f>
        <v>0</v>
      </c>
      <c r="AD115" s="225">
        <f t="shared" ref="AD115:AD121" si="464">IF($Q115="B", (K115*$N115),0)</f>
        <v>0</v>
      </c>
      <c r="AE115" s="226">
        <f t="shared" ref="AE115:AE121" si="465">IF($Q115="B", (F115*$N115),0)</f>
        <v>80</v>
      </c>
      <c r="AF115" s="227"/>
      <c r="AG115" s="225"/>
      <c r="AH115" s="225"/>
      <c r="AI115" s="130"/>
      <c r="AJ115" s="228">
        <f t="shared" ref="AJ115:AJ121" si="466">IF($Q115="C", (G115*$N115),0)</f>
        <v>0</v>
      </c>
      <c r="AK115" s="229">
        <f t="shared" ref="AK115:AK121" si="467">IF($Q115="C", (H115*$N115),0)</f>
        <v>0</v>
      </c>
      <c r="AL115" s="229">
        <f t="shared" ref="AL115:AL121" si="468">IF($Q115="C", (I115*$N115),0)</f>
        <v>0</v>
      </c>
      <c r="AM115" s="229">
        <f t="shared" ref="AM115:AM121" si="469">IF($Q115="C", (J115*$N115),0)</f>
        <v>0</v>
      </c>
      <c r="AN115" s="229">
        <f t="shared" ref="AN115:AN121" si="470">IF($Q115="C", (K115*$N115),0)</f>
        <v>0</v>
      </c>
      <c r="AO115" s="225">
        <f t="shared" ref="AO115:AO121" si="471">IF($Q115="C", (F115*$N115),0)</f>
        <v>0</v>
      </c>
      <c r="AP115" s="227"/>
    </row>
    <row r="116" spans="1:42" s="29" customFormat="1">
      <c r="A116" s="29" t="s">
        <v>18</v>
      </c>
      <c r="B116" s="29" t="s">
        <v>23</v>
      </c>
      <c r="C116" s="29">
        <v>1</v>
      </c>
      <c r="D116" s="29" t="s">
        <v>24</v>
      </c>
      <c r="E116" s="130">
        <v>100</v>
      </c>
      <c r="F116" s="222">
        <f t="shared" si="456"/>
        <v>100</v>
      </c>
      <c r="G116" s="126">
        <v>0</v>
      </c>
      <c r="H116" s="126">
        <v>0</v>
      </c>
      <c r="I116" s="126">
        <v>0</v>
      </c>
      <c r="J116" s="126">
        <v>0</v>
      </c>
      <c r="K116" s="223">
        <v>0</v>
      </c>
      <c r="L116" s="29" t="s">
        <v>8</v>
      </c>
      <c r="M116" s="130">
        <f t="shared" si="457"/>
        <v>0</v>
      </c>
      <c r="N116" s="29">
        <v>2</v>
      </c>
      <c r="O116" s="258">
        <f t="shared" si="458"/>
        <v>200</v>
      </c>
      <c r="P116" s="258"/>
      <c r="Q116" s="84" t="s">
        <v>49</v>
      </c>
      <c r="R116" s="137" t="s">
        <v>90</v>
      </c>
      <c r="S116" s="140" t="str">
        <f t="shared" si="459"/>
        <v>BPD2009</v>
      </c>
      <c r="Y116" s="63">
        <v>2009</v>
      </c>
      <c r="Z116" s="225">
        <f t="shared" si="460"/>
        <v>0</v>
      </c>
      <c r="AA116" s="225">
        <f t="shared" si="461"/>
        <v>0</v>
      </c>
      <c r="AB116" s="225">
        <f t="shared" si="462"/>
        <v>0</v>
      </c>
      <c r="AC116" s="225">
        <f t="shared" si="463"/>
        <v>0</v>
      </c>
      <c r="AD116" s="225">
        <f t="shared" si="464"/>
        <v>0</v>
      </c>
      <c r="AE116" s="226">
        <f t="shared" si="465"/>
        <v>200</v>
      </c>
      <c r="AF116" s="227"/>
      <c r="AI116" s="130"/>
      <c r="AJ116" s="228">
        <f t="shared" si="466"/>
        <v>0</v>
      </c>
      <c r="AK116" s="229">
        <f t="shared" si="467"/>
        <v>0</v>
      </c>
      <c r="AL116" s="229">
        <f t="shared" si="468"/>
        <v>0</v>
      </c>
      <c r="AM116" s="229">
        <f t="shared" si="469"/>
        <v>0</v>
      </c>
      <c r="AN116" s="229">
        <f t="shared" si="470"/>
        <v>0</v>
      </c>
      <c r="AO116" s="225">
        <f t="shared" si="471"/>
        <v>0</v>
      </c>
      <c r="AP116" s="227"/>
    </row>
    <row r="117" spans="1:42" s="29" customFormat="1">
      <c r="A117" s="29" t="s">
        <v>19</v>
      </c>
      <c r="B117" s="29" t="s">
        <v>25</v>
      </c>
      <c r="C117" s="29">
        <v>5</v>
      </c>
      <c r="D117" s="29" t="s">
        <v>26</v>
      </c>
      <c r="E117" s="130">
        <v>3</v>
      </c>
      <c r="F117" s="222">
        <f>E117*C117</f>
        <v>15</v>
      </c>
      <c r="G117" s="126">
        <v>0</v>
      </c>
      <c r="H117" s="126">
        <v>0</v>
      </c>
      <c r="I117" s="126">
        <v>0</v>
      </c>
      <c r="J117" s="126">
        <v>0</v>
      </c>
      <c r="K117" s="223">
        <v>0</v>
      </c>
      <c r="L117" s="29" t="s">
        <v>8</v>
      </c>
      <c r="M117" s="130">
        <f t="shared" si="457"/>
        <v>0</v>
      </c>
      <c r="N117" s="29">
        <v>2</v>
      </c>
      <c r="O117" s="258">
        <f t="shared" si="458"/>
        <v>30</v>
      </c>
      <c r="P117" s="258"/>
      <c r="Q117" s="84" t="s">
        <v>49</v>
      </c>
      <c r="R117" s="137" t="s">
        <v>90</v>
      </c>
      <c r="S117" s="140" t="str">
        <f t="shared" si="459"/>
        <v>BPD2009</v>
      </c>
      <c r="Y117" s="63">
        <v>2009</v>
      </c>
      <c r="Z117" s="225">
        <f t="shared" si="460"/>
        <v>0</v>
      </c>
      <c r="AA117" s="225">
        <f t="shared" si="461"/>
        <v>0</v>
      </c>
      <c r="AB117" s="225">
        <f t="shared" si="462"/>
        <v>0</v>
      </c>
      <c r="AC117" s="225">
        <f t="shared" si="463"/>
        <v>0</v>
      </c>
      <c r="AD117" s="225">
        <f t="shared" si="464"/>
        <v>0</v>
      </c>
      <c r="AE117" s="226">
        <f t="shared" si="465"/>
        <v>30</v>
      </c>
      <c r="AF117" s="227"/>
      <c r="AI117" s="130"/>
      <c r="AJ117" s="228">
        <f t="shared" si="466"/>
        <v>0</v>
      </c>
      <c r="AK117" s="229">
        <f t="shared" si="467"/>
        <v>0</v>
      </c>
      <c r="AL117" s="229">
        <f t="shared" si="468"/>
        <v>0</v>
      </c>
      <c r="AM117" s="229">
        <f t="shared" si="469"/>
        <v>0</v>
      </c>
      <c r="AN117" s="229">
        <f t="shared" si="470"/>
        <v>0</v>
      </c>
      <c r="AO117" s="225">
        <f t="shared" si="471"/>
        <v>0</v>
      </c>
      <c r="AP117" s="227"/>
    </row>
    <row r="118" spans="1:42" s="29" customFormat="1">
      <c r="A118" s="29" t="s">
        <v>79</v>
      </c>
      <c r="B118" s="29" t="s">
        <v>23</v>
      </c>
      <c r="C118" s="29">
        <v>1</v>
      </c>
      <c r="D118" s="29" t="s">
        <v>24</v>
      </c>
      <c r="E118" s="130">
        <v>150</v>
      </c>
      <c r="F118" s="222">
        <f t="shared" si="456"/>
        <v>150</v>
      </c>
      <c r="G118" s="126">
        <v>0</v>
      </c>
      <c r="H118" s="126">
        <v>5</v>
      </c>
      <c r="I118" s="126">
        <v>0</v>
      </c>
      <c r="J118" s="126">
        <v>0</v>
      </c>
      <c r="K118" s="223">
        <v>0</v>
      </c>
      <c r="L118" s="29" t="s">
        <v>8</v>
      </c>
      <c r="M118" s="130">
        <f t="shared" si="457"/>
        <v>1170</v>
      </c>
      <c r="N118" s="29">
        <v>2</v>
      </c>
      <c r="O118" s="258">
        <f t="shared" si="458"/>
        <v>2640</v>
      </c>
      <c r="P118" s="258"/>
      <c r="Q118" s="84" t="s">
        <v>49</v>
      </c>
      <c r="R118" s="137" t="s">
        <v>90</v>
      </c>
      <c r="S118" s="140" t="str">
        <f t="shared" si="459"/>
        <v>BPD2009</v>
      </c>
      <c r="Y118" s="63">
        <v>2009</v>
      </c>
      <c r="Z118" s="225">
        <f t="shared" si="460"/>
        <v>0</v>
      </c>
      <c r="AA118" s="225">
        <f t="shared" si="461"/>
        <v>10</v>
      </c>
      <c r="AB118" s="225">
        <f t="shared" si="462"/>
        <v>0</v>
      </c>
      <c r="AC118" s="225">
        <f t="shared" si="463"/>
        <v>0</v>
      </c>
      <c r="AD118" s="225">
        <f t="shared" si="464"/>
        <v>0</v>
      </c>
      <c r="AE118" s="226">
        <f t="shared" si="465"/>
        <v>300</v>
      </c>
      <c r="AF118" s="227"/>
      <c r="AG118" s="225"/>
      <c r="AH118" s="225"/>
      <c r="AI118" s="130"/>
      <c r="AJ118" s="228">
        <f t="shared" si="466"/>
        <v>0</v>
      </c>
      <c r="AK118" s="229">
        <f t="shared" si="467"/>
        <v>0</v>
      </c>
      <c r="AL118" s="229">
        <f t="shared" si="468"/>
        <v>0</v>
      </c>
      <c r="AM118" s="229">
        <f t="shared" si="469"/>
        <v>0</v>
      </c>
      <c r="AN118" s="229">
        <f t="shared" si="470"/>
        <v>0</v>
      </c>
      <c r="AO118" s="225">
        <f t="shared" si="471"/>
        <v>0</v>
      </c>
      <c r="AP118" s="227"/>
    </row>
    <row r="119" spans="1:42" s="29" customFormat="1">
      <c r="A119" s="29" t="s">
        <v>78</v>
      </c>
      <c r="B119" s="29" t="s">
        <v>27</v>
      </c>
      <c r="C119" s="29">
        <v>1</v>
      </c>
      <c r="D119" s="29" t="s">
        <v>28</v>
      </c>
      <c r="E119" s="130">
        <v>50</v>
      </c>
      <c r="F119" s="222">
        <f t="shared" si="456"/>
        <v>50</v>
      </c>
      <c r="G119" s="126">
        <v>4</v>
      </c>
      <c r="H119" s="126">
        <v>0</v>
      </c>
      <c r="I119" s="126">
        <v>0</v>
      </c>
      <c r="J119" s="126">
        <v>0</v>
      </c>
      <c r="K119" s="223">
        <v>0</v>
      </c>
      <c r="L119" s="29" t="s">
        <v>8</v>
      </c>
      <c r="M119" s="130">
        <f t="shared" si="457"/>
        <v>1016</v>
      </c>
      <c r="N119" s="29">
        <v>2</v>
      </c>
      <c r="O119" s="258">
        <f t="shared" si="458"/>
        <v>2132</v>
      </c>
      <c r="P119" s="258"/>
      <c r="Q119" s="84" t="s">
        <v>49</v>
      </c>
      <c r="R119" s="137" t="s">
        <v>90</v>
      </c>
      <c r="S119" s="140" t="str">
        <f t="shared" si="459"/>
        <v>BPD2009</v>
      </c>
      <c r="Y119" s="63">
        <v>2009</v>
      </c>
      <c r="Z119" s="225">
        <f t="shared" si="460"/>
        <v>8</v>
      </c>
      <c r="AA119" s="225">
        <f t="shared" si="461"/>
        <v>0</v>
      </c>
      <c r="AB119" s="225">
        <f t="shared" si="462"/>
        <v>0</v>
      </c>
      <c r="AC119" s="225">
        <f t="shared" si="463"/>
        <v>0</v>
      </c>
      <c r="AD119" s="225">
        <f t="shared" si="464"/>
        <v>0</v>
      </c>
      <c r="AE119" s="226">
        <f t="shared" si="465"/>
        <v>100</v>
      </c>
      <c r="AF119" s="227"/>
      <c r="AI119" s="130"/>
      <c r="AJ119" s="228">
        <f t="shared" si="466"/>
        <v>0</v>
      </c>
      <c r="AK119" s="229">
        <f t="shared" si="467"/>
        <v>0</v>
      </c>
      <c r="AL119" s="229">
        <f t="shared" si="468"/>
        <v>0</v>
      </c>
      <c r="AM119" s="229">
        <f t="shared" si="469"/>
        <v>0</v>
      </c>
      <c r="AN119" s="229">
        <f t="shared" si="470"/>
        <v>0</v>
      </c>
      <c r="AO119" s="225">
        <f t="shared" si="471"/>
        <v>0</v>
      </c>
      <c r="AP119" s="227"/>
    </row>
    <row r="120" spans="1:42" s="29" customFormat="1">
      <c r="A120" s="29" t="s">
        <v>20</v>
      </c>
      <c r="B120" s="29" t="s">
        <v>34</v>
      </c>
      <c r="E120" s="130">
        <v>0</v>
      </c>
      <c r="F120" s="222">
        <f t="shared" si="456"/>
        <v>0</v>
      </c>
      <c r="G120" s="126">
        <v>0</v>
      </c>
      <c r="H120" s="126">
        <v>8</v>
      </c>
      <c r="I120" s="126">
        <v>0</v>
      </c>
      <c r="J120" s="126">
        <v>0</v>
      </c>
      <c r="K120" s="223">
        <v>0</v>
      </c>
      <c r="L120" s="29" t="s">
        <v>8</v>
      </c>
      <c r="M120" s="130">
        <f t="shared" si="457"/>
        <v>1872</v>
      </c>
      <c r="N120" s="29">
        <v>2</v>
      </c>
      <c r="O120" s="258">
        <f t="shared" si="458"/>
        <v>3744</v>
      </c>
      <c r="P120" s="258"/>
      <c r="Q120" s="84" t="s">
        <v>49</v>
      </c>
      <c r="R120" s="137" t="s">
        <v>90</v>
      </c>
      <c r="S120" s="140" t="str">
        <f t="shared" si="459"/>
        <v>BPD2009</v>
      </c>
      <c r="Y120" s="63">
        <v>2009</v>
      </c>
      <c r="Z120" s="225">
        <f t="shared" si="460"/>
        <v>0</v>
      </c>
      <c r="AA120" s="225">
        <f t="shared" si="461"/>
        <v>16</v>
      </c>
      <c r="AB120" s="225">
        <f t="shared" si="462"/>
        <v>0</v>
      </c>
      <c r="AC120" s="225">
        <f t="shared" si="463"/>
        <v>0</v>
      </c>
      <c r="AD120" s="225">
        <f t="shared" si="464"/>
        <v>0</v>
      </c>
      <c r="AE120" s="226">
        <f t="shared" si="465"/>
        <v>0</v>
      </c>
      <c r="AF120" s="227"/>
      <c r="AG120" s="225"/>
      <c r="AH120" s="225"/>
      <c r="AI120" s="130"/>
      <c r="AJ120" s="228">
        <f t="shared" si="466"/>
        <v>0</v>
      </c>
      <c r="AK120" s="229">
        <f t="shared" si="467"/>
        <v>0</v>
      </c>
      <c r="AL120" s="229">
        <f t="shared" si="468"/>
        <v>0</v>
      </c>
      <c r="AM120" s="229">
        <f t="shared" si="469"/>
        <v>0</v>
      </c>
      <c r="AN120" s="229">
        <f t="shared" si="470"/>
        <v>0</v>
      </c>
      <c r="AO120" s="225">
        <f t="shared" si="471"/>
        <v>0</v>
      </c>
      <c r="AP120" s="227"/>
    </row>
    <row r="121" spans="1:42" s="29" customFormat="1">
      <c r="A121" s="29" t="s">
        <v>21</v>
      </c>
      <c r="B121" s="29" t="s">
        <v>33</v>
      </c>
      <c r="C121" s="29">
        <v>1</v>
      </c>
      <c r="E121" s="130">
        <v>1500</v>
      </c>
      <c r="F121" s="259">
        <f t="shared" si="456"/>
        <v>1500</v>
      </c>
      <c r="G121" s="260">
        <v>0</v>
      </c>
      <c r="H121" s="260">
        <v>0</v>
      </c>
      <c r="I121" s="260">
        <v>0</v>
      </c>
      <c r="J121" s="260">
        <v>0</v>
      </c>
      <c r="K121" s="261">
        <v>0</v>
      </c>
      <c r="L121" s="29" t="s">
        <v>8</v>
      </c>
      <c r="M121" s="130">
        <f t="shared" si="457"/>
        <v>0</v>
      </c>
      <c r="N121" s="29">
        <v>2</v>
      </c>
      <c r="O121" s="258">
        <f t="shared" si="458"/>
        <v>3000</v>
      </c>
      <c r="P121" s="258"/>
      <c r="Q121" s="84" t="s">
        <v>49</v>
      </c>
      <c r="R121" s="137" t="s">
        <v>90</v>
      </c>
      <c r="S121" s="140" t="str">
        <f t="shared" si="459"/>
        <v>BPD2009</v>
      </c>
      <c r="Y121" s="63">
        <v>2009</v>
      </c>
      <c r="Z121" s="225">
        <f t="shared" si="460"/>
        <v>0</v>
      </c>
      <c r="AA121" s="225">
        <f t="shared" si="461"/>
        <v>0</v>
      </c>
      <c r="AB121" s="225">
        <f t="shared" si="462"/>
        <v>0</v>
      </c>
      <c r="AC121" s="225">
        <f t="shared" si="463"/>
        <v>0</v>
      </c>
      <c r="AD121" s="225">
        <f t="shared" si="464"/>
        <v>0</v>
      </c>
      <c r="AE121" s="226">
        <f t="shared" si="465"/>
        <v>3000</v>
      </c>
      <c r="AF121" s="262"/>
      <c r="AG121" s="29" t="s">
        <v>82</v>
      </c>
      <c r="AI121" s="130" t="s">
        <v>83</v>
      </c>
      <c r="AJ121" s="263">
        <f t="shared" si="466"/>
        <v>0</v>
      </c>
      <c r="AK121" s="264">
        <f t="shared" si="467"/>
        <v>0</v>
      </c>
      <c r="AL121" s="264">
        <f t="shared" si="468"/>
        <v>0</v>
      </c>
      <c r="AM121" s="264">
        <f t="shared" si="469"/>
        <v>0</v>
      </c>
      <c r="AN121" s="264">
        <f t="shared" si="470"/>
        <v>0</v>
      </c>
      <c r="AO121" s="265">
        <f t="shared" si="471"/>
        <v>0</v>
      </c>
      <c r="AP121" s="262"/>
    </row>
    <row r="122" spans="1:42" s="29" customFormat="1" ht="13.5" thickBot="1">
      <c r="A122" s="31" t="s">
        <v>80</v>
      </c>
      <c r="B122" s="31"/>
      <c r="C122" s="31"/>
      <c r="D122" s="31"/>
      <c r="E122" s="232"/>
      <c r="F122" s="232"/>
      <c r="G122" s="234"/>
      <c r="H122" s="234"/>
      <c r="I122" s="234"/>
      <c r="J122" s="234"/>
      <c r="K122" s="234"/>
      <c r="L122" s="31"/>
      <c r="M122" s="232">
        <f>SUM(M115:M121)</f>
        <v>4058</v>
      </c>
      <c r="N122" s="200" t="s">
        <v>76</v>
      </c>
      <c r="O122" s="200"/>
      <c r="P122" s="201"/>
      <c r="Q122" s="236"/>
      <c r="R122" s="237"/>
      <c r="S122" s="238"/>
      <c r="T122" s="266"/>
      <c r="U122" s="267"/>
      <c r="V122" s="267"/>
      <c r="W122" s="267"/>
      <c r="X122" s="267"/>
      <c r="Y122" s="64"/>
      <c r="Z122" s="239">
        <f>SUM(Z115:Z121)</f>
        <v>8</v>
      </c>
      <c r="AA122" s="239">
        <f>SUM(AA115:AA121)</f>
        <v>26</v>
      </c>
      <c r="AB122" s="239">
        <f>O122*SUM(AB115:AB121)</f>
        <v>0</v>
      </c>
      <c r="AC122" s="239">
        <f>SUM(AC115:AC121)</f>
        <v>0</v>
      </c>
      <c r="AD122" s="239">
        <f>SUM(AD115:AD121)</f>
        <v>0</v>
      </c>
      <c r="AE122" s="31"/>
      <c r="AF122" s="233">
        <f>SUM(AE115:AE121)</f>
        <v>3710</v>
      </c>
      <c r="AG122" s="268">
        <f>(Shop*Z122)+M_Tech*AA122+CMM*AB122+ENG*AC122+DES*AD122+AF122</f>
        <v>7768</v>
      </c>
      <c r="AH122" s="232"/>
      <c r="AI122" s="233">
        <f>Shop*AJ122+M_Tech*AK122+CMM*AL122+ENG*AM122+DES*AN122+AP122</f>
        <v>0</v>
      </c>
      <c r="AJ122" s="269">
        <f>SUM(AJ115:AJ121)</f>
        <v>0</v>
      </c>
      <c r="AK122" s="239">
        <f>SUM(AK115:AK121)</f>
        <v>0</v>
      </c>
      <c r="AL122" s="239">
        <f>Z122*SUM(AL115:AL121)</f>
        <v>0</v>
      </c>
      <c r="AM122" s="239">
        <f>SUM(AM115:AM121)</f>
        <v>0</v>
      </c>
      <c r="AN122" s="239">
        <f>SUM(AN115:AN121)</f>
        <v>0</v>
      </c>
      <c r="AO122" s="31"/>
      <c r="AP122" s="233">
        <f>SUM(AO115:AO121)</f>
        <v>0</v>
      </c>
    </row>
    <row r="123" spans="1:42" ht="13.5" thickBot="1">
      <c r="J123" s="106"/>
      <c r="K123" s="106"/>
      <c r="N123"/>
      <c r="O123" s="58"/>
      <c r="P123" s="77"/>
      <c r="Q123" s="66"/>
      <c r="R123" s="66"/>
      <c r="S123" s="142"/>
      <c r="T123" s="67"/>
      <c r="U123" s="68"/>
      <c r="V123" s="68"/>
      <c r="W123" s="68"/>
      <c r="X123" s="68">
        <f>SUM(X5:X122)</f>
        <v>0</v>
      </c>
      <c r="Y123" s="69"/>
      <c r="Z123" s="5">
        <f>Z13+Z51+Z96+Z122+Z112</f>
        <v>674</v>
      </c>
      <c r="AA123" s="5">
        <f>AA13+AA51+AA96+AA122+AA112</f>
        <v>628</v>
      </c>
      <c r="AB123" s="5">
        <f>AB13+AB51+AB96+AB122+AB112</f>
        <v>92</v>
      </c>
      <c r="AC123" s="5">
        <f>AC13+AC51+AC96+AC122+AC112</f>
        <v>416</v>
      </c>
      <c r="AD123" s="5">
        <f>AD13+AD51+AD96+AD122+AD112</f>
        <v>0</v>
      </c>
      <c r="AE123" s="4"/>
      <c r="AF123" s="6">
        <f>SUM(AF4:AF122)</f>
        <v>49042.5</v>
      </c>
      <c r="AG123" s="36"/>
      <c r="AH123" s="36"/>
      <c r="AJ123" s="62">
        <f>AJ13+AJ51+AJ96+AJ122+AJ112</f>
        <v>103.6</v>
      </c>
      <c r="AK123" s="5">
        <f>AK13+AK51+AK96+AK122+AK112</f>
        <v>197</v>
      </c>
      <c r="AL123" s="5">
        <f>AL13+AL51+AL96+AL122+AL112</f>
        <v>112</v>
      </c>
      <c r="AM123" s="5">
        <f>AM13+AM51+AM96+AM122+AM112</f>
        <v>92</v>
      </c>
      <c r="AN123" s="5">
        <f>AN13+AN51+AN96+AN122+AN112</f>
        <v>0</v>
      </c>
      <c r="AO123" s="4"/>
      <c r="AP123" s="6">
        <f>SUM(AP4:AP122)</f>
        <v>3029</v>
      </c>
    </row>
    <row r="124" spans="1:42">
      <c r="A124" s="25"/>
      <c r="B124" s="25"/>
      <c r="C124" s="25"/>
      <c r="D124" s="25"/>
      <c r="E124" s="96"/>
      <c r="F124" s="96"/>
      <c r="G124" s="115"/>
      <c r="H124" s="116"/>
      <c r="I124" s="116"/>
      <c r="J124" s="117"/>
      <c r="K124" s="117"/>
      <c r="L124" s="1"/>
      <c r="M124" s="1"/>
      <c r="N124" s="17"/>
      <c r="O124" s="1"/>
      <c r="P124" s="1"/>
      <c r="T124" s="7"/>
      <c r="U124" s="12"/>
      <c r="V124" s="12"/>
      <c r="W124" s="12"/>
      <c r="X124" s="12"/>
      <c r="Y124" s="33"/>
      <c r="Z124" s="7" t="s">
        <v>11</v>
      </c>
      <c r="AA124" s="7" t="s">
        <v>10</v>
      </c>
      <c r="AB124" s="7" t="s">
        <v>39</v>
      </c>
      <c r="AC124" s="7" t="s">
        <v>31</v>
      </c>
      <c r="AD124" s="7" t="s">
        <v>32</v>
      </c>
      <c r="AE124" s="1"/>
      <c r="AF124" s="7" t="s">
        <v>16</v>
      </c>
      <c r="AG124" s="7"/>
      <c r="AH124" s="7"/>
      <c r="AJ124" s="7" t="s">
        <v>11</v>
      </c>
      <c r="AK124" s="7" t="s">
        <v>10</v>
      </c>
      <c r="AL124" s="7" t="s">
        <v>39</v>
      </c>
      <c r="AM124" s="7" t="s">
        <v>31</v>
      </c>
      <c r="AN124" s="7" t="s">
        <v>32</v>
      </c>
      <c r="AO124" s="1"/>
      <c r="AP124" s="7" t="s">
        <v>16</v>
      </c>
    </row>
    <row r="125" spans="1:42" ht="13.5" thickBot="1">
      <c r="A125" s="18"/>
      <c r="B125" s="25"/>
      <c r="C125" s="25"/>
      <c r="D125" s="25"/>
      <c r="E125" s="96"/>
      <c r="F125" s="96"/>
      <c r="G125" s="115"/>
      <c r="H125" s="116"/>
      <c r="I125" s="116"/>
      <c r="J125" s="117"/>
      <c r="K125" s="117"/>
      <c r="L125" s="1"/>
      <c r="M125" s="22"/>
      <c r="N125" s="17"/>
      <c r="O125" s="21"/>
      <c r="P125" s="21"/>
      <c r="T125" s="7"/>
      <c r="U125" s="12"/>
      <c r="V125" s="12"/>
      <c r="W125" s="12"/>
      <c r="X125" s="12"/>
      <c r="Y125" s="33"/>
      <c r="Z125" s="7"/>
      <c r="AA125" s="7"/>
      <c r="AB125" s="7"/>
      <c r="AC125" s="7"/>
      <c r="AD125" s="7"/>
    </row>
    <row r="126" spans="1:42" ht="13.5" thickBot="1">
      <c r="A126" s="18"/>
      <c r="B126" s="10"/>
      <c r="C126" s="10"/>
      <c r="D126" s="10"/>
      <c r="E126" s="97"/>
      <c r="F126" s="97"/>
      <c r="G126" s="118"/>
      <c r="AE126" s="7" t="s">
        <v>85</v>
      </c>
      <c r="AF126" s="15">
        <f>(Z123*Shop)+(AA123*M_Tech)+(AB123*CMM)+(AC123*ENG)+(AD123*DES)+AF123+(Shop*AJ123)+(M_Tech*AK123)+(CMM*AL123)+(ENG*AM123)+(DES*AN123)+AP123</f>
        <v>349459.7</v>
      </c>
      <c r="AG126" s="37">
        <f>AF140+AP140</f>
        <v>316994.5</v>
      </c>
      <c r="AH126" s="37"/>
      <c r="AI126" s="130" t="s">
        <v>84</v>
      </c>
    </row>
    <row r="127" spans="1:42" ht="13.5" thickBot="1">
      <c r="A127" s="18"/>
      <c r="B127" s="10"/>
      <c r="C127" s="10"/>
      <c r="D127" s="10"/>
      <c r="E127" s="97"/>
      <c r="F127" s="97"/>
      <c r="G127" s="118"/>
    </row>
    <row r="128" spans="1:42" ht="15.75" thickTop="1">
      <c r="A128" s="18"/>
      <c r="B128" s="10"/>
      <c r="C128" s="10"/>
      <c r="D128" s="10"/>
      <c r="E128" s="97"/>
      <c r="F128" s="97"/>
      <c r="G128" s="118"/>
      <c r="Z128" s="213" t="s">
        <v>51</v>
      </c>
      <c r="AA128" s="214"/>
      <c r="AB128" s="214"/>
      <c r="AC128" s="214"/>
      <c r="AD128" s="214"/>
      <c r="AE128" s="214"/>
      <c r="AF128" s="215"/>
      <c r="AG128" s="35"/>
      <c r="AH128" s="35"/>
      <c r="AJ128" s="216" t="s">
        <v>52</v>
      </c>
      <c r="AK128" s="217"/>
      <c r="AL128" s="217"/>
      <c r="AM128" s="217"/>
      <c r="AN128" s="217"/>
      <c r="AO128" s="217"/>
      <c r="AP128" s="218"/>
    </row>
    <row r="129" spans="1:42">
      <c r="A129" s="10"/>
      <c r="B129" s="10"/>
      <c r="C129" s="10"/>
      <c r="D129" s="10"/>
      <c r="E129" s="97"/>
      <c r="F129" s="97"/>
      <c r="G129" s="118"/>
      <c r="Y129" s="34" t="s">
        <v>53</v>
      </c>
      <c r="Z129" s="38" t="s">
        <v>11</v>
      </c>
      <c r="AA129" s="16" t="s">
        <v>10</v>
      </c>
      <c r="AB129" s="16" t="s">
        <v>39</v>
      </c>
      <c r="AC129" s="16" t="s">
        <v>31</v>
      </c>
      <c r="AD129" s="16" t="s">
        <v>32</v>
      </c>
      <c r="AE129" s="16" t="s">
        <v>16</v>
      </c>
      <c r="AF129" s="39"/>
      <c r="AJ129" s="49" t="s">
        <v>11</v>
      </c>
      <c r="AK129" s="16" t="s">
        <v>10</v>
      </c>
      <c r="AL129" s="16" t="s">
        <v>39</v>
      </c>
      <c r="AM129" s="16" t="s">
        <v>31</v>
      </c>
      <c r="AN129" s="16" t="s">
        <v>32</v>
      </c>
      <c r="AO129" s="16" t="s">
        <v>16</v>
      </c>
      <c r="AP129" s="50"/>
    </row>
    <row r="130" spans="1:42">
      <c r="A130" s="10"/>
      <c r="B130" s="10"/>
      <c r="C130" s="10"/>
      <c r="D130" s="10"/>
      <c r="E130" s="97"/>
      <c r="F130" s="97"/>
      <c r="G130" s="118"/>
      <c r="Y130" s="32">
        <v>2008</v>
      </c>
      <c r="Z130" s="40">
        <f>SUMIF($Y$5:$Y122,$Y130,Z$5:Z122)</f>
        <v>0</v>
      </c>
      <c r="AA130" s="41">
        <f>SUMIF($Y$5:$Y122,$Y130,AA$5:AA122)</f>
        <v>0</v>
      </c>
      <c r="AB130" s="41">
        <f>SUMIF($Y$5:$Y122,$Y130,AB$5:AB122)</f>
        <v>0</v>
      </c>
      <c r="AC130" s="41">
        <f>SUMIF($Y$5:$Y122,$Y130,AC$5:AC122)</f>
        <v>0</v>
      </c>
      <c r="AD130" s="41">
        <f>SUMIF($Y$5:$Y122,$Y130,AD$5:AD122)</f>
        <v>0</v>
      </c>
      <c r="AE130" s="42">
        <f>SUMIF($Y$5:$Y122,$Y130,AE$5:AE122)</f>
        <v>0</v>
      </c>
      <c r="AF130" s="39"/>
      <c r="AI130" s="145">
        <f>Y130</f>
        <v>2008</v>
      </c>
      <c r="AJ130" s="51">
        <f>SUMIF($Y$5:$Y122,$Y130,AJ$5:AJ122)</f>
        <v>0</v>
      </c>
      <c r="AK130" s="41">
        <f>SUMIF($Y$5:$Y122,$Y130,AK$5:AK122)</f>
        <v>0</v>
      </c>
      <c r="AL130" s="41">
        <f>SUMIF($Y$5:$Y122,$Y130,AL$5:AL122)</f>
        <v>0</v>
      </c>
      <c r="AM130" s="41">
        <f>SUMIF($Y$5:$Y122,$Y130,AM$5:AM122)</f>
        <v>0</v>
      </c>
      <c r="AN130" s="41">
        <f>SUMIF($Y$5:$Y122,$Y130,AN$5:AN122)</f>
        <v>0</v>
      </c>
      <c r="AO130" s="42">
        <f>SUMIF($Y$5:$Y122,$Y130,AO$5:AO122)</f>
        <v>0</v>
      </c>
      <c r="AP130" s="50"/>
    </row>
    <row r="131" spans="1:42">
      <c r="A131" s="10"/>
      <c r="B131" s="26"/>
      <c r="C131" s="26"/>
      <c r="D131" s="26"/>
      <c r="E131" s="98"/>
      <c r="F131" s="98"/>
      <c r="G131" s="119"/>
      <c r="Y131" s="32">
        <v>2009</v>
      </c>
      <c r="Z131" s="40">
        <f>SUMIF($Y$5:$Y123,$Y131,Z$5:Z123)</f>
        <v>500</v>
      </c>
      <c r="AA131" s="41">
        <f>SUMIF($Y$5:$Y123,$Y131,AA$5:AA123)</f>
        <v>628</v>
      </c>
      <c r="AB131" s="41">
        <f>SUMIF($Y$5:$Y123,$Y131,AB$5:AB123)</f>
        <v>92</v>
      </c>
      <c r="AC131" s="41">
        <f>SUMIF($Y$5:$Y121,$Y131,AC$5:AC121)</f>
        <v>416</v>
      </c>
      <c r="AD131" s="41">
        <f>SUMIF($Y$5:$Y123,$Y131,AD$5:AD123)</f>
        <v>0</v>
      </c>
      <c r="AE131" s="42">
        <f>SUMIF($Y$5:$Y123,$Y131,AE$5:AE123)</f>
        <v>43492.5</v>
      </c>
      <c r="AF131" s="39"/>
      <c r="AI131" s="145">
        <f t="shared" ref="AI131:AI134" si="472">Y131</f>
        <v>2009</v>
      </c>
      <c r="AJ131" s="51">
        <f>SUMIF($Y$5:$Y123,$Y131,AJ$5:AJ123)</f>
        <v>72</v>
      </c>
      <c r="AK131" s="41">
        <f>SUMIF($Y$5:$Y123,$Y131,AK$5:AK123)</f>
        <v>197</v>
      </c>
      <c r="AL131" s="41">
        <f>SUMIF($Y$5:$Y123,$Y131,AL$5:AL123)</f>
        <v>112</v>
      </c>
      <c r="AM131" s="41">
        <f>SUMIF($Y$5:$Y123,$Y131,AM$5:AM123)</f>
        <v>92</v>
      </c>
      <c r="AN131" s="41">
        <f>SUMIF($Y$5:$Y123,$Y131,AN$5:AN123)</f>
        <v>0</v>
      </c>
      <c r="AO131" s="42">
        <f>SUMIF($Y$5:$Y123,$Y131,AO$5:AO123)</f>
        <v>2225</v>
      </c>
      <c r="AP131" s="50"/>
    </row>
    <row r="132" spans="1:42">
      <c r="A132" s="10"/>
      <c r="B132" s="26"/>
      <c r="C132" s="26"/>
      <c r="D132" s="26"/>
      <c r="E132" s="98"/>
      <c r="F132" s="98"/>
      <c r="G132" s="119"/>
      <c r="Y132" s="32">
        <v>2010</v>
      </c>
      <c r="Z132" s="40">
        <f>SUMIF($Y$5:$Y124,$Y132,Z$5:Z124)</f>
        <v>0</v>
      </c>
      <c r="AA132" s="41">
        <f>SUMIF($Y$5:$Y124,$Y132,AA$5:AA124)</f>
        <v>0</v>
      </c>
      <c r="AB132" s="41">
        <f>SUMIF($Y$5:$Y124,$Y132,AB$5:AB124)</f>
        <v>0</v>
      </c>
      <c r="AC132" s="41">
        <f>SUMIF($Y$5:$Y124,$Y132,AC$5:AC124)</f>
        <v>0</v>
      </c>
      <c r="AD132" s="41">
        <f>SUMIF($Y$5:$Y124,$Y132,AD$5:AD124)</f>
        <v>0</v>
      </c>
      <c r="AE132" s="42">
        <f>SUMIF($Y$5:$Y124,$Y132,AE$5:AE124)</f>
        <v>0</v>
      </c>
      <c r="AF132" s="39"/>
      <c r="AI132" s="145">
        <f t="shared" si="472"/>
        <v>2010</v>
      </c>
      <c r="AJ132" s="51">
        <f>SUMIF($Y$5:$Y124,$Y132,AJ$5:AJ124)</f>
        <v>0</v>
      </c>
      <c r="AK132" s="41">
        <f>SUMIF($Y$5:$Y124,$Y132,AK$5:AK124)</f>
        <v>0</v>
      </c>
      <c r="AL132" s="41">
        <f>SUMIF($Y$5:$Y124,$Y132,AL$5:AL124)</f>
        <v>0</v>
      </c>
      <c r="AM132" s="41">
        <f>SUMIF($Y$5:$Y124,$Y132,AM$5:AM124)</f>
        <v>0</v>
      </c>
      <c r="AN132" s="41">
        <f>SUMIF($Y$5:$Y124,$Y132,AN$5:AN124)</f>
        <v>0</v>
      </c>
      <c r="AO132" s="42">
        <f>SUMIF($Y$5:$Y124,$Y132,AO$5:AO124)</f>
        <v>0</v>
      </c>
      <c r="AP132" s="50"/>
    </row>
    <row r="133" spans="1:42">
      <c r="A133" s="10"/>
      <c r="B133" s="26"/>
      <c r="C133" s="26"/>
      <c r="D133" s="26"/>
      <c r="E133" s="98"/>
      <c r="F133" s="98"/>
      <c r="G133" s="119"/>
      <c r="Y133" s="34" t="s">
        <v>57</v>
      </c>
      <c r="Z133" s="40">
        <f>SUMIF($Y$5:$Y125,$Y133,Z$5:Z125)</f>
        <v>174</v>
      </c>
      <c r="AA133" s="41">
        <f>SUMIF($Y$5:$Y125,$Y133,AA$5:AA125)</f>
        <v>0</v>
      </c>
      <c r="AB133" s="41">
        <f>SUMIF($Y$5:$Y125,$Y133,AB$5:AB125)</f>
        <v>0</v>
      </c>
      <c r="AC133" s="41">
        <f>SUMIF($Y$5:$Y125,$Y133,AC$5:AC125)</f>
        <v>0</v>
      </c>
      <c r="AD133" s="41">
        <f>SUMIF($Y$5:$Y125,$Y133,AD$5:AD125)</f>
        <v>0</v>
      </c>
      <c r="AE133" s="42">
        <f>SUMIF($Y$5:$Y125,$Y133,AE$5:AE125)</f>
        <v>5550</v>
      </c>
      <c r="AF133" s="39"/>
      <c r="AI133" s="145" t="str">
        <f t="shared" si="472"/>
        <v>Hytec</v>
      </c>
      <c r="AJ133" s="51">
        <f>SUMIF($Y$5:$Y125,$Y133,AJ$5:AJ125)</f>
        <v>31.6</v>
      </c>
      <c r="AK133" s="41">
        <f>SUMIF($Y$5:$Y125,$Y133,AK$5:AK125)</f>
        <v>0</v>
      </c>
      <c r="AL133" s="41">
        <f>SUMIF($Y$5:$Y125,$Y133,AL$5:AL125)</f>
        <v>0</v>
      </c>
      <c r="AM133" s="41">
        <f>SUMIF($Y$5:$Y125,$Y133,AM$5:AM125)</f>
        <v>0</v>
      </c>
      <c r="AN133" s="41">
        <f>SUMIF($Y$5:$Y125,$Y133,AN$5:AN125)</f>
        <v>0</v>
      </c>
      <c r="AO133" s="42">
        <f>SUMIF($Y$5:$Y125,$Y133,AO$5:AO125)</f>
        <v>804</v>
      </c>
      <c r="AP133" s="50"/>
    </row>
    <row r="134" spans="1:42">
      <c r="A134" s="10"/>
      <c r="B134" s="27"/>
      <c r="C134" s="27"/>
      <c r="D134" s="27"/>
      <c r="E134" s="99"/>
      <c r="F134" s="97"/>
      <c r="G134" s="120"/>
      <c r="Y134" s="34" t="s">
        <v>58</v>
      </c>
      <c r="Z134" s="40">
        <f>SUMIF($Y$5:$Y124,$Y134,Z$5:Z124)</f>
        <v>0</v>
      </c>
      <c r="AA134" s="41">
        <f>SUMIF($Y$5:$Y124,$Y134,AA$5:AA124)</f>
        <v>0</v>
      </c>
      <c r="AB134" s="41">
        <f>SUMIF($Y$5:$Y124,$Y134,AB$5:AB124)</f>
        <v>0</v>
      </c>
      <c r="AC134" s="41">
        <f>SUMIF($Y$5:$Y124,$Y134,AC$5:AC124)</f>
        <v>0</v>
      </c>
      <c r="AD134" s="41">
        <f>SUMIF($Y$5:$Y124,$Y134,AD$5:AD124)</f>
        <v>0</v>
      </c>
      <c r="AE134" s="42">
        <f>SUMIF($Y$5:$Y124,$Y134,AE$5:AE124)</f>
        <v>0</v>
      </c>
      <c r="AF134" s="39"/>
      <c r="AI134" s="145" t="str">
        <f t="shared" si="472"/>
        <v>LANL</v>
      </c>
      <c r="AJ134" s="51">
        <f>SUMIF($Y$5:$Y124,$Y134,AJ$5:AJ124)</f>
        <v>0</v>
      </c>
      <c r="AK134" s="41">
        <f>SUMIF($Y$5:$Y124,$Y134,AK$5:AK124)</f>
        <v>0</v>
      </c>
      <c r="AL134" s="41">
        <f>SUMIF($Y$5:$Y124,$Y134,AL$5:AL124)</f>
        <v>0</v>
      </c>
      <c r="AM134" s="41">
        <f>SUMIF($Y$5:$Y124,$Y134,AM$5:AM124)</f>
        <v>0</v>
      </c>
      <c r="AN134" s="41">
        <f>SUMIF($Y$5:$Y124,$Y134,AN$5:AN124)</f>
        <v>0</v>
      </c>
      <c r="AO134" s="42">
        <f>SUMIF($Y$5:$Y124,$Y134,AO$5:AO124)</f>
        <v>0</v>
      </c>
      <c r="AP134" s="50"/>
    </row>
    <row r="135" spans="1:42" ht="15.75">
      <c r="A135" s="10"/>
      <c r="B135" s="10"/>
      <c r="C135" s="10"/>
      <c r="D135" s="10"/>
      <c r="E135" s="97"/>
      <c r="F135" s="97"/>
      <c r="G135" s="121"/>
      <c r="Z135" s="202" t="s">
        <v>59</v>
      </c>
      <c r="AA135" s="203"/>
      <c r="AB135" s="203"/>
      <c r="AC135" s="203"/>
      <c r="AD135" s="203"/>
      <c r="AE135" s="203"/>
      <c r="AF135" s="204"/>
      <c r="AI135" s="145"/>
      <c r="AJ135" s="205" t="s">
        <v>101</v>
      </c>
      <c r="AK135" s="203"/>
      <c r="AL135" s="203"/>
      <c r="AM135" s="203"/>
      <c r="AN135" s="203"/>
      <c r="AO135" s="203"/>
      <c r="AP135" s="206"/>
    </row>
    <row r="136" spans="1:42">
      <c r="A136" s="10"/>
      <c r="B136" s="10"/>
      <c r="C136" s="10"/>
      <c r="D136" s="10"/>
      <c r="E136" s="97"/>
      <c r="F136" s="97"/>
      <c r="G136" s="121"/>
      <c r="Z136" s="38" t="s">
        <v>54</v>
      </c>
      <c r="AA136" s="16" t="s">
        <v>55</v>
      </c>
      <c r="AB136" s="16" t="s">
        <v>39</v>
      </c>
      <c r="AC136" s="16" t="s">
        <v>31</v>
      </c>
      <c r="AD136" s="16" t="s">
        <v>32</v>
      </c>
      <c r="AE136" s="16" t="s">
        <v>16</v>
      </c>
      <c r="AF136" s="43" t="s">
        <v>56</v>
      </c>
      <c r="AI136" s="145"/>
      <c r="AJ136" s="49" t="s">
        <v>54</v>
      </c>
      <c r="AK136" s="16" t="s">
        <v>55</v>
      </c>
      <c r="AL136" s="16" t="s">
        <v>39</v>
      </c>
      <c r="AM136" s="16" t="s">
        <v>31</v>
      </c>
      <c r="AN136" s="16" t="s">
        <v>32</v>
      </c>
      <c r="AO136" s="16" t="s">
        <v>16</v>
      </c>
      <c r="AP136" s="52" t="s">
        <v>56</v>
      </c>
    </row>
    <row r="137" spans="1:42">
      <c r="A137" s="10"/>
      <c r="B137" s="10"/>
      <c r="C137" s="10"/>
      <c r="D137" s="10"/>
      <c r="E137" s="97"/>
      <c r="F137" s="97"/>
      <c r="G137" s="118"/>
      <c r="Y137" s="32">
        <f>Y130</f>
        <v>2008</v>
      </c>
      <c r="Z137" s="44">
        <f>Shop*Z130</f>
        <v>0</v>
      </c>
      <c r="AA137" s="42">
        <f>M_Tech*AA130</f>
        <v>0</v>
      </c>
      <c r="AB137" s="42">
        <f>CMM*AB130</f>
        <v>0</v>
      </c>
      <c r="AC137" s="42">
        <f>ENG*AC130</f>
        <v>0</v>
      </c>
      <c r="AD137" s="42">
        <f>DES*AD130</f>
        <v>0</v>
      </c>
      <c r="AE137" s="42">
        <f>AE130</f>
        <v>0</v>
      </c>
      <c r="AF137" s="45">
        <f>SUM(Z137:AE137)</f>
        <v>0</v>
      </c>
      <c r="AI137" s="145">
        <f>AI130</f>
        <v>2008</v>
      </c>
      <c r="AJ137" s="53">
        <f>Shop*AJ130</f>
        <v>0</v>
      </c>
      <c r="AK137" s="42">
        <f>M_Tech*AK130</f>
        <v>0</v>
      </c>
      <c r="AL137" s="42">
        <f>CMM*AL130</f>
        <v>0</v>
      </c>
      <c r="AM137" s="42">
        <f>ENG*AM130</f>
        <v>0</v>
      </c>
      <c r="AN137" s="42">
        <f>DES*AN130</f>
        <v>0</v>
      </c>
      <c r="AO137" s="42">
        <f>AO130</f>
        <v>0</v>
      </c>
      <c r="AP137" s="54">
        <f>SUM(AJ137:AO137)</f>
        <v>0</v>
      </c>
    </row>
    <row r="138" spans="1:42">
      <c r="A138" s="10"/>
      <c r="B138" s="10"/>
      <c r="C138" s="10"/>
      <c r="D138" s="10"/>
      <c r="E138" s="97"/>
      <c r="F138" s="97"/>
      <c r="G138" s="118"/>
      <c r="Y138" s="32">
        <f>Y131</f>
        <v>2009</v>
      </c>
      <c r="Z138" s="44">
        <f>Shop*Z131</f>
        <v>63500</v>
      </c>
      <c r="AA138" s="42">
        <f>M_Tech*AA131</f>
        <v>73476</v>
      </c>
      <c r="AB138" s="42">
        <f>CMM*AB131</f>
        <v>11684</v>
      </c>
      <c r="AC138" s="42">
        <f>ENG*AC131</f>
        <v>62400</v>
      </c>
      <c r="AD138" s="42">
        <f>DES*AD131</f>
        <v>0</v>
      </c>
      <c r="AE138" s="42">
        <f>AE131</f>
        <v>43492.5</v>
      </c>
      <c r="AF138" s="45">
        <f t="shared" ref="AF138:AF139" si="473">SUM(Z138:AE138)</f>
        <v>254552.5</v>
      </c>
      <c r="AI138" s="145">
        <f>AI131</f>
        <v>2009</v>
      </c>
      <c r="AJ138" s="53">
        <f>Shop*AJ131</f>
        <v>9144</v>
      </c>
      <c r="AK138" s="42">
        <f>M_Tech*AK131</f>
        <v>23049</v>
      </c>
      <c r="AL138" s="42">
        <f>CMM*AL131</f>
        <v>14224</v>
      </c>
      <c r="AM138" s="42">
        <f>ENG*AM131</f>
        <v>13800</v>
      </c>
      <c r="AN138" s="42">
        <f>DES*AN131</f>
        <v>0</v>
      </c>
      <c r="AO138" s="42">
        <f>AO131</f>
        <v>2225</v>
      </c>
      <c r="AP138" s="54">
        <f t="shared" ref="AP138:AP139" si="474">SUM(AJ138:AO138)</f>
        <v>62442</v>
      </c>
    </row>
    <row r="139" spans="1:42" ht="13.5" thickBot="1">
      <c r="A139" s="10"/>
      <c r="B139" s="10"/>
      <c r="C139" s="10"/>
      <c r="D139" s="10"/>
      <c r="E139" s="97"/>
      <c r="F139" s="97"/>
      <c r="G139" s="118"/>
      <c r="Y139" s="32">
        <f>Y132</f>
        <v>2010</v>
      </c>
      <c r="Z139" s="46">
        <f>Shop*Z132</f>
        <v>0</v>
      </c>
      <c r="AA139" s="47">
        <f>M_Tech*AA132</f>
        <v>0</v>
      </c>
      <c r="AB139" s="47">
        <f>CMM*AB132</f>
        <v>0</v>
      </c>
      <c r="AC139" s="47">
        <f>ENG*AC132</f>
        <v>0</v>
      </c>
      <c r="AD139" s="47">
        <f>DES*AD132</f>
        <v>0</v>
      </c>
      <c r="AE139" s="47">
        <f>AE132</f>
        <v>0</v>
      </c>
      <c r="AF139" s="48">
        <f t="shared" si="473"/>
        <v>0</v>
      </c>
      <c r="AI139" s="145">
        <f>AI132</f>
        <v>2010</v>
      </c>
      <c r="AJ139" s="55">
        <f>Shop*AJ132</f>
        <v>0</v>
      </c>
      <c r="AK139" s="56">
        <f>M_Tech*AK132</f>
        <v>0</v>
      </c>
      <c r="AL139" s="56">
        <f>CMM*AL132</f>
        <v>0</v>
      </c>
      <c r="AM139" s="56">
        <f>ENG*AM132</f>
        <v>0</v>
      </c>
      <c r="AN139" s="56">
        <f>DES*AN132</f>
        <v>0</v>
      </c>
      <c r="AO139" s="56">
        <f>AO132</f>
        <v>0</v>
      </c>
      <c r="AP139" s="57">
        <f t="shared" si="474"/>
        <v>0</v>
      </c>
    </row>
    <row r="140" spans="1:42" ht="15.75" thickTop="1">
      <c r="A140" s="10"/>
      <c r="B140" s="10"/>
      <c r="C140" s="10"/>
      <c r="D140" s="10"/>
      <c r="E140" s="97"/>
      <c r="F140" s="97"/>
      <c r="G140" s="118"/>
      <c r="Z140" s="23"/>
      <c r="AA140" s="23"/>
      <c r="AB140" s="23"/>
      <c r="AC140" s="23"/>
      <c r="AD140" s="23"/>
      <c r="AE140" s="132" t="s">
        <v>86</v>
      </c>
      <c r="AF140" s="132">
        <f>SUM(AF137:AF139)</f>
        <v>254552.5</v>
      </c>
      <c r="AJ140" s="23"/>
      <c r="AK140" s="23"/>
      <c r="AL140" s="23"/>
      <c r="AM140" s="23"/>
      <c r="AN140" s="23"/>
      <c r="AO140" s="133" t="s">
        <v>83</v>
      </c>
      <c r="AP140" s="132">
        <f>SUM(AP137:AP139)</f>
        <v>62442</v>
      </c>
    </row>
    <row r="141" spans="1:42" ht="15">
      <c r="A141" s="10"/>
      <c r="B141" s="10"/>
      <c r="C141" s="10"/>
      <c r="D141" s="10"/>
      <c r="E141" s="97"/>
      <c r="F141" s="97"/>
      <c r="G141" s="118"/>
      <c r="Z141" s="23"/>
      <c r="AA141" s="23"/>
      <c r="AB141" s="23"/>
      <c r="AC141" s="23"/>
      <c r="AD141" s="23"/>
      <c r="AE141" s="132"/>
      <c r="AF141" s="132"/>
      <c r="AJ141" s="23"/>
      <c r="AK141" s="23"/>
      <c r="AL141" s="23"/>
      <c r="AM141" s="23"/>
      <c r="AN141" s="23"/>
      <c r="AO141" s="133" t="s">
        <v>100</v>
      </c>
      <c r="AP141" s="148">
        <f>AP140/AF140</f>
        <v>0.24530106755973718</v>
      </c>
    </row>
    <row r="142" spans="1:42" ht="13.5" thickBot="1">
      <c r="A142" s="10"/>
      <c r="B142" s="27"/>
      <c r="C142" s="10"/>
      <c r="D142" s="10"/>
      <c r="E142" s="97"/>
      <c r="F142" s="97"/>
      <c r="G142" s="118"/>
    </row>
    <row r="143" spans="1:42" ht="15.75" thickTop="1">
      <c r="A143" s="10"/>
      <c r="B143" s="10"/>
      <c r="C143" s="10"/>
      <c r="D143" s="28"/>
      <c r="E143" s="100"/>
      <c r="F143" s="97"/>
      <c r="G143" s="118"/>
      <c r="Z143" s="213" t="s">
        <v>102</v>
      </c>
      <c r="AA143" s="214"/>
      <c r="AB143" s="214"/>
      <c r="AC143" s="214"/>
      <c r="AD143" s="214"/>
      <c r="AE143" s="214"/>
      <c r="AF143" s="215"/>
      <c r="AH143" s="143"/>
      <c r="AI143" s="32"/>
      <c r="AJ143" s="213" t="s">
        <v>103</v>
      </c>
      <c r="AK143" s="214"/>
      <c r="AL143" s="214"/>
      <c r="AM143" s="214"/>
      <c r="AN143" s="214"/>
      <c r="AO143" s="214"/>
      <c r="AP143" s="215"/>
    </row>
    <row r="144" spans="1:42">
      <c r="A144" s="10"/>
      <c r="B144" s="10"/>
      <c r="C144" s="10"/>
      <c r="D144" s="10"/>
      <c r="E144" s="97"/>
      <c r="F144" s="97"/>
      <c r="G144" s="118"/>
      <c r="Z144" s="38" t="s">
        <v>11</v>
      </c>
      <c r="AA144" s="16" t="s">
        <v>10</v>
      </c>
      <c r="AB144" s="16" t="s">
        <v>39</v>
      </c>
      <c r="AC144" s="16" t="s">
        <v>31</v>
      </c>
      <c r="AD144" s="16" t="s">
        <v>32</v>
      </c>
      <c r="AE144" s="16" t="s">
        <v>16</v>
      </c>
      <c r="AF144" s="39"/>
      <c r="AH144" s="143"/>
      <c r="AI144" s="32"/>
      <c r="AJ144" s="38" t="s">
        <v>11</v>
      </c>
      <c r="AK144" s="16" t="s">
        <v>10</v>
      </c>
      <c r="AL144" s="16" t="s">
        <v>39</v>
      </c>
      <c r="AM144" s="16" t="s">
        <v>31</v>
      </c>
      <c r="AN144" s="16" t="s">
        <v>32</v>
      </c>
      <c r="AO144" s="16" t="s">
        <v>16</v>
      </c>
      <c r="AP144" s="39"/>
    </row>
    <row r="145" spans="1:47">
      <c r="A145" s="10"/>
      <c r="B145" s="10"/>
      <c r="C145" s="10"/>
      <c r="D145" s="10"/>
      <c r="E145" s="100"/>
      <c r="F145" s="97"/>
      <c r="G145" s="118"/>
      <c r="S145" s="143" t="s">
        <v>94</v>
      </c>
      <c r="Y145" s="32">
        <v>2008</v>
      </c>
      <c r="Z145" s="40">
        <f>SUMIF($S$5:$S121,CONCATENATE($S145,$Y145),Z$5:Z121)</f>
        <v>0</v>
      </c>
      <c r="AA145" s="41">
        <f>SUMIF($S$5:$S121,CONCATENATE($S145,$Y145),AA$5:AA121)</f>
        <v>0</v>
      </c>
      <c r="AB145" s="41">
        <f>SUMIF($S$5:$S121,CONCATENATE($S145,$Y145),AB$5:AB121)</f>
        <v>0</v>
      </c>
      <c r="AC145" s="41">
        <f>SUMIF($S$5:$S121,CONCATENATE($S145,$Y145),AC$5:AC121)</f>
        <v>0</v>
      </c>
      <c r="AD145" s="41">
        <f>SUMIF($S$5:$S121,CONCATENATE($S145,$Y145),AD$5:AD121)</f>
        <v>0</v>
      </c>
      <c r="AE145" s="41">
        <f>SUMIF($S$5:$S121,CONCATENATE($S145,$Y145),AE$5:AE121)</f>
        <v>0</v>
      </c>
      <c r="AF145" s="39"/>
      <c r="AH145" s="143" t="s">
        <v>95</v>
      </c>
      <c r="AI145" s="32">
        <v>2008</v>
      </c>
      <c r="AJ145" s="40">
        <f>SUMIF($S$5:$S121,CONCATENATE($AH145,$AI145),AJ$5:AJ121)</f>
        <v>0</v>
      </c>
      <c r="AK145" s="41">
        <f>SUMIF($S$5:$S121,CONCATENATE($AH145,$AI145),AK$5:AK121)</f>
        <v>0</v>
      </c>
      <c r="AL145" s="41">
        <f>SUMIF($S$5:$S121,CONCATENATE($AH145,$AI145),AL$5:AL121)</f>
        <v>0</v>
      </c>
      <c r="AM145" s="41">
        <f>SUMIF($S$5:$S121,CONCATENATE($AH145,$AI145),AM$5:AM121)</f>
        <v>0</v>
      </c>
      <c r="AN145" s="41">
        <f>SUMIF($S$5:$S121,CONCATENATE($AH145,$AI145),AN$5:AN121)</f>
        <v>0</v>
      </c>
      <c r="AO145" s="41">
        <f>SUMIF($S$5:$S121,CONCATENATE($AH145,$AI145),AO$5:AO121)</f>
        <v>0</v>
      </c>
      <c r="AP145" s="39"/>
    </row>
    <row r="146" spans="1:47">
      <c r="A146" s="10"/>
      <c r="B146" s="10"/>
      <c r="C146" s="10"/>
      <c r="D146" s="10"/>
      <c r="E146" s="97"/>
      <c r="F146" s="97"/>
      <c r="G146" s="118"/>
      <c r="S146" s="143" t="s">
        <v>94</v>
      </c>
      <c r="Y146" s="32">
        <v>2009</v>
      </c>
      <c r="Z146" s="40">
        <f>SUMIF($S$5:$S121,CONCATENATE($S146,$Y146),Z$5:Z121)</f>
        <v>0</v>
      </c>
      <c r="AA146" s="41">
        <f>SUMIF($S$5:$S121,CONCATENATE($S146,$Y146),AA$5:AA121)</f>
        <v>0</v>
      </c>
      <c r="AB146" s="41">
        <f>SUMIF($S$5:$S121,CONCATENATE($S146,$Y146),AB$5:AB121)</f>
        <v>0</v>
      </c>
      <c r="AC146" s="41">
        <f>SUMIF($S$5:$S121,CONCATENATE($S146,$Y146),AC$5:AC121)</f>
        <v>0</v>
      </c>
      <c r="AD146" s="41">
        <f>SUMIF($S$5:$S121,CONCATENATE($S146,$Y146),AD$5:AD121)</f>
        <v>0</v>
      </c>
      <c r="AE146" s="41">
        <f>SUMIF($S$5:$S121,CONCATENATE($S146,$Y146),AE$5:AE121)</f>
        <v>0</v>
      </c>
      <c r="AF146" s="39"/>
      <c r="AH146" s="143" t="s">
        <v>95</v>
      </c>
      <c r="AI146" s="32">
        <v>2009</v>
      </c>
      <c r="AJ146" s="40">
        <f>SUMIF($S$5:$S121,CONCATENATE($AH146,$AI146),AJ$5:AJ121)</f>
        <v>0</v>
      </c>
      <c r="AK146" s="41">
        <f>SUMIF($S$5:$S121,CONCATENATE($AH146,$AI146),AK$5:AK121)</f>
        <v>0</v>
      </c>
      <c r="AL146" s="41">
        <f>SUMIF($S$5:$S121,CONCATENATE($AH146,$AI146),AL$5:AL121)</f>
        <v>0</v>
      </c>
      <c r="AM146" s="41">
        <f>SUMIF($S$5:$S121,CONCATENATE($AH146,$AI146),AM$5:AM121)</f>
        <v>0</v>
      </c>
      <c r="AN146" s="41">
        <f>SUMIF($S$5:$S121,CONCATENATE($AH146,$AI146),AN$5:AN121)</f>
        <v>0</v>
      </c>
      <c r="AO146" s="41">
        <f>SUMIF($S$5:$S121,CONCATENATE($AH146,$AI146),AO$5:AO121)</f>
        <v>0</v>
      </c>
      <c r="AP146" s="39"/>
    </row>
    <row r="147" spans="1:47">
      <c r="A147" s="10"/>
      <c r="B147" s="10"/>
      <c r="C147" s="10"/>
      <c r="D147" s="10"/>
      <c r="E147" s="100"/>
      <c r="F147" s="97"/>
      <c r="G147" s="118"/>
      <c r="S147" s="143" t="s">
        <v>94</v>
      </c>
      <c r="Y147" s="32">
        <v>2010</v>
      </c>
      <c r="Z147" s="40">
        <f>SUMIF($S$5:$S121,CONCATENATE($S147,$Y147),Z$5:Z121)</f>
        <v>0</v>
      </c>
      <c r="AA147" s="41">
        <f>SUMIF($S$5:$S121,CONCATENATE($S147,$Y147),AA$5:AA121)</f>
        <v>0</v>
      </c>
      <c r="AB147" s="41">
        <f>SUMIF($S$5:$S121,CONCATENATE($S147,$Y147),AB$5:AB121)</f>
        <v>0</v>
      </c>
      <c r="AC147" s="41">
        <f>SUMIF($S$5:$S121,CONCATENATE($S147,$Y147),AC$5:AC121)</f>
        <v>0</v>
      </c>
      <c r="AD147" s="41">
        <f>SUMIF($S$5:$S121,CONCATENATE($S147,$Y147),AD$5:AD121)</f>
        <v>0</v>
      </c>
      <c r="AE147" s="41">
        <f>SUMIF($S$5:$S121,CONCATENATE($S147,$Y147),AE$5:AE121)</f>
        <v>0</v>
      </c>
      <c r="AF147" s="39"/>
      <c r="AH147" s="143" t="s">
        <v>95</v>
      </c>
      <c r="AI147" s="32">
        <v>2010</v>
      </c>
      <c r="AJ147" s="40">
        <f>SUMIF($S$5:$S121,CONCATENATE($AH147,$AI147),AJ$5:AJ121)</f>
        <v>0</v>
      </c>
      <c r="AK147" s="41">
        <f>SUMIF($S$5:$S121,CONCATENATE($AH147,$AI147),AK$5:AK121)</f>
        <v>0</v>
      </c>
      <c r="AL147" s="41">
        <f>SUMIF($S$5:$S121,CONCATENATE($AH147,$AI147),AL$5:AL121)</f>
        <v>0</v>
      </c>
      <c r="AM147" s="41">
        <f>SUMIF($S$5:$S121,CONCATENATE($AH147,$AI147),AM$5:AM121)</f>
        <v>0</v>
      </c>
      <c r="AN147" s="41">
        <f>SUMIF($S$5:$S121,CONCATENATE($AH147,$AI147),AN$5:AN121)</f>
        <v>0</v>
      </c>
      <c r="AO147" s="41">
        <f>SUMIF($S$5:$S121,CONCATENATE($AH147,$AI147),AO$5:AO121)</f>
        <v>0</v>
      </c>
      <c r="AP147" s="39"/>
    </row>
    <row r="148" spans="1:47">
      <c r="A148" s="10"/>
      <c r="B148" s="10"/>
      <c r="C148" s="10"/>
      <c r="D148" s="10"/>
      <c r="E148" s="97"/>
      <c r="F148" s="97"/>
      <c r="G148" s="118"/>
      <c r="S148" s="143" t="s">
        <v>94</v>
      </c>
      <c r="Y148" s="34" t="s">
        <v>57</v>
      </c>
      <c r="Z148" s="40">
        <f>SUMIF($S$5:$S121,CONCATENATE($S148,$Y148),Z$5:Z121)</f>
        <v>0</v>
      </c>
      <c r="AA148" s="41">
        <f>SUMIF($S$5:$S121,CONCATENATE($S148,$Y148),AA$5:AA121)</f>
        <v>0</v>
      </c>
      <c r="AB148" s="41">
        <f>SUMIF($S$5:$S121,CONCATENATE($S148,$Y148),AB$5:AB121)</f>
        <v>0</v>
      </c>
      <c r="AC148" s="41">
        <f>SUMIF($S$5:$S121,CONCATENATE($S148,$Y148),AC$5:AC121)</f>
        <v>0</v>
      </c>
      <c r="AD148" s="41">
        <f>SUMIF($S$5:$S121,CONCATENATE($S148,$Y148),AD$5:AD121)</f>
        <v>0</v>
      </c>
      <c r="AE148" s="41">
        <f>SUMIF($S$5:$S121,CONCATENATE($S148,$Y148),AE$5:AE121)</f>
        <v>0</v>
      </c>
      <c r="AF148" s="39"/>
      <c r="AH148" s="143" t="s">
        <v>95</v>
      </c>
      <c r="AI148" s="34" t="s">
        <v>57</v>
      </c>
      <c r="AJ148" s="40">
        <f>SUMIF($S$5:$S121,CONCATENATE($AH148,$AI148),AJ$5:AJ121)</f>
        <v>0</v>
      </c>
      <c r="AK148" s="41">
        <f>SUMIF($S$5:$S121,CONCATENATE($AH148,$AI148),AK$5:AK121)</f>
        <v>0</v>
      </c>
      <c r="AL148" s="41">
        <f>SUMIF($S$5:$S121,CONCATENATE($AH148,$AI148),AL$5:AL121)</f>
        <v>0</v>
      </c>
      <c r="AM148" s="41">
        <f>SUMIF($S$5:$S121,CONCATENATE($AH148,$AI148),AM$5:AM121)</f>
        <v>0</v>
      </c>
      <c r="AN148" s="41">
        <f>SUMIF($S$5:$S121,CONCATENATE($AH148,$AI148),AN$5:AN121)</f>
        <v>0</v>
      </c>
      <c r="AO148" s="41">
        <f>SUMIF($S$5:$S121,CONCATENATE($AH148,$AI148),AO$5:AO121)</f>
        <v>0</v>
      </c>
      <c r="AP148" s="39"/>
    </row>
    <row r="149" spans="1:47">
      <c r="A149" s="10"/>
      <c r="B149" s="10"/>
      <c r="C149" s="10"/>
      <c r="D149" s="28"/>
      <c r="E149" s="100"/>
      <c r="F149" s="97"/>
      <c r="G149" s="122"/>
      <c r="S149" s="143" t="s">
        <v>94</v>
      </c>
      <c r="Y149" s="34" t="s">
        <v>58</v>
      </c>
      <c r="Z149" s="40">
        <f>SUMIF($S$5:$S121,CONCATENATE($S149,$Y149),Z$5:Z121)</f>
        <v>0</v>
      </c>
      <c r="AA149" s="41">
        <f>SUMIF($S$5:$S121,CONCATENATE($S149,$Y149),AA$5:AA121)</f>
        <v>0</v>
      </c>
      <c r="AB149" s="41">
        <f>SUMIF($S$5:$S121,CONCATENATE($S149,$Y149),AB$5:AB121)</f>
        <v>0</v>
      </c>
      <c r="AC149" s="41">
        <f>SUMIF($S$5:$S121,CONCATENATE($S149,$Y149),AC$5:AC121)</f>
        <v>0</v>
      </c>
      <c r="AD149" s="41">
        <f>SUMIF($S$5:$S121,CONCATENATE($S149,$Y149),AD$5:AD121)</f>
        <v>0</v>
      </c>
      <c r="AE149" s="41">
        <f>SUMIF($S$5:$S121,CONCATENATE($S149,$Y149),AE$5:AE121)</f>
        <v>0</v>
      </c>
      <c r="AF149" s="39"/>
      <c r="AH149" s="143" t="s">
        <v>95</v>
      </c>
      <c r="AI149" s="34" t="s">
        <v>58</v>
      </c>
      <c r="AJ149" s="40">
        <f>SUMIF($S$5:$S121,CONCATENATE($AH149,$AI149),AJ$5:AJ121)</f>
        <v>0</v>
      </c>
      <c r="AK149" s="41">
        <f>SUMIF($S$5:$S121,CONCATENATE($AH149,$AI149),AK$5:AK121)</f>
        <v>0</v>
      </c>
      <c r="AL149" s="41">
        <f>SUMIF($S$5:$S121,CONCATENATE($AH149,$AI149),AL$5:AL121)</f>
        <v>0</v>
      </c>
      <c r="AM149" s="41">
        <f>SUMIF($S$5:$S121,CONCATENATE($AH149,$AI149),AM$5:AM121)</f>
        <v>0</v>
      </c>
      <c r="AN149" s="41">
        <f>SUMIF($S$5:$S121,CONCATENATE($AH149,$AI149),AN$5:AN121)</f>
        <v>0</v>
      </c>
      <c r="AO149" s="41">
        <f>SUMIF($S$5:$S121,CONCATENATE($AH149,$AI149),AO$5:AO121)</f>
        <v>0</v>
      </c>
      <c r="AP149" s="39"/>
    </row>
    <row r="150" spans="1:47" ht="15.75">
      <c r="A150" s="10"/>
      <c r="B150" s="10"/>
      <c r="C150" s="10"/>
      <c r="D150" s="24"/>
      <c r="E150" s="97"/>
      <c r="F150" s="97"/>
      <c r="G150" s="118"/>
      <c r="Z150" s="202" t="s">
        <v>59</v>
      </c>
      <c r="AA150" s="203"/>
      <c r="AB150" s="203"/>
      <c r="AC150" s="203"/>
      <c r="AD150" s="203"/>
      <c r="AE150" s="203"/>
      <c r="AF150" s="204"/>
      <c r="AH150" s="143"/>
      <c r="AI150" s="32"/>
      <c r="AJ150" s="202" t="s">
        <v>59</v>
      </c>
      <c r="AK150" s="203"/>
      <c r="AL150" s="203"/>
      <c r="AM150" s="203"/>
      <c r="AN150" s="203"/>
      <c r="AO150" s="203"/>
      <c r="AP150" s="204"/>
      <c r="AR150" s="40"/>
    </row>
    <row r="151" spans="1:47">
      <c r="A151" s="10"/>
      <c r="B151" s="10"/>
      <c r="C151" s="10"/>
      <c r="D151" s="24"/>
      <c r="E151" s="101"/>
      <c r="F151" s="105"/>
      <c r="G151" s="118"/>
      <c r="Z151" s="38" t="s">
        <v>54</v>
      </c>
      <c r="AA151" s="16" t="s">
        <v>55</v>
      </c>
      <c r="AB151" s="16" t="s">
        <v>39</v>
      </c>
      <c r="AC151" s="16" t="s">
        <v>31</v>
      </c>
      <c r="AD151" s="16" t="s">
        <v>32</v>
      </c>
      <c r="AE151" s="16" t="s">
        <v>16</v>
      </c>
      <c r="AF151" s="43" t="s">
        <v>56</v>
      </c>
      <c r="AH151" s="143"/>
      <c r="AI151" s="32"/>
      <c r="AJ151" s="38" t="s">
        <v>54</v>
      </c>
      <c r="AK151" s="16" t="s">
        <v>55</v>
      </c>
      <c r="AL151" s="16" t="s">
        <v>39</v>
      </c>
      <c r="AM151" s="16" t="s">
        <v>31</v>
      </c>
      <c r="AN151" s="16" t="s">
        <v>32</v>
      </c>
      <c r="AO151" s="16" t="s">
        <v>16</v>
      </c>
      <c r="AP151" s="43" t="s">
        <v>56</v>
      </c>
    </row>
    <row r="152" spans="1:47">
      <c r="A152" s="10"/>
      <c r="B152" s="10"/>
      <c r="C152" s="10"/>
      <c r="D152" s="10"/>
      <c r="E152" s="101"/>
      <c r="F152" s="97"/>
      <c r="G152" s="118"/>
      <c r="S152" s="143" t="s">
        <v>94</v>
      </c>
      <c r="Y152" s="32">
        <f>Y145</f>
        <v>2008</v>
      </c>
      <c r="Z152" s="44">
        <f>Shop*Z145</f>
        <v>0</v>
      </c>
      <c r="AA152" s="42">
        <f>M_Tech*AA145</f>
        <v>0</v>
      </c>
      <c r="AB152" s="42">
        <f>CMM*AB145</f>
        <v>0</v>
      </c>
      <c r="AC152" s="42">
        <f>ENG*AC145</f>
        <v>0</v>
      </c>
      <c r="AD152" s="42">
        <f>DES*AD145</f>
        <v>0</v>
      </c>
      <c r="AE152" s="42">
        <f>AE145</f>
        <v>0</v>
      </c>
      <c r="AF152" s="45">
        <f>SUM(Z152:AE152)</f>
        <v>0</v>
      </c>
      <c r="AH152" s="143" t="s">
        <v>95</v>
      </c>
      <c r="AI152" s="32">
        <f>AI145</f>
        <v>2008</v>
      </c>
      <c r="AJ152" s="44">
        <f>Shop*AJ145</f>
        <v>0</v>
      </c>
      <c r="AK152" s="42">
        <f>M_Tech*AK145</f>
        <v>0</v>
      </c>
      <c r="AL152" s="42">
        <f>CMM*AL145</f>
        <v>0</v>
      </c>
      <c r="AM152" s="42">
        <f>ENG*AM145</f>
        <v>0</v>
      </c>
      <c r="AN152" s="42">
        <f>DES*AN145</f>
        <v>0</v>
      </c>
      <c r="AO152" s="42">
        <f>AO145</f>
        <v>0</v>
      </c>
      <c r="AP152" s="45">
        <f>SUM(AJ152:AO152)</f>
        <v>0</v>
      </c>
    </row>
    <row r="153" spans="1:47">
      <c r="S153" s="143" t="s">
        <v>94</v>
      </c>
      <c r="Y153" s="32">
        <f>Y146</f>
        <v>2009</v>
      </c>
      <c r="Z153" s="44">
        <f>Shop*Z146</f>
        <v>0</v>
      </c>
      <c r="AA153" s="42">
        <f>M_Tech*AA146</f>
        <v>0</v>
      </c>
      <c r="AB153" s="42">
        <f>CMM*AB146</f>
        <v>0</v>
      </c>
      <c r="AC153" s="42">
        <f>ENG*AC146</f>
        <v>0</v>
      </c>
      <c r="AD153" s="42">
        <f>DES*AD146</f>
        <v>0</v>
      </c>
      <c r="AE153" s="42">
        <f>AE146</f>
        <v>0</v>
      </c>
      <c r="AF153" s="45">
        <f t="shared" ref="AF153:AF154" si="475">SUM(Z153:AE153)</f>
        <v>0</v>
      </c>
      <c r="AH153" s="143" t="s">
        <v>95</v>
      </c>
      <c r="AI153" s="34">
        <v>2009</v>
      </c>
      <c r="AJ153" s="44">
        <f>Shop*AJ146</f>
        <v>0</v>
      </c>
      <c r="AK153" s="42">
        <f>M_Tech*AK146</f>
        <v>0</v>
      </c>
      <c r="AL153" s="42">
        <f>CMM*AL146</f>
        <v>0</v>
      </c>
      <c r="AM153" s="42">
        <f>ENG*AM146</f>
        <v>0</v>
      </c>
      <c r="AN153" s="42">
        <f>DES*AN146</f>
        <v>0</v>
      </c>
      <c r="AO153" s="42">
        <f>AO146</f>
        <v>0</v>
      </c>
      <c r="AP153" s="45">
        <f t="shared" ref="AP153:AP154" si="476">SUM(AJ153:AO153)</f>
        <v>0</v>
      </c>
    </row>
    <row r="154" spans="1:47" ht="13.5" thickBot="1">
      <c r="S154" s="143" t="s">
        <v>94</v>
      </c>
      <c r="Y154" s="32">
        <f>Y147</f>
        <v>2010</v>
      </c>
      <c r="Z154" s="46">
        <f>Shop*Z147</f>
        <v>0</v>
      </c>
      <c r="AA154" s="47">
        <f>M_Tech*AA147</f>
        <v>0</v>
      </c>
      <c r="AB154" s="47">
        <f>CMM*AB147</f>
        <v>0</v>
      </c>
      <c r="AC154" s="47">
        <f>ENG*AC147</f>
        <v>0</v>
      </c>
      <c r="AD154" s="47">
        <f>DES*AD147</f>
        <v>0</v>
      </c>
      <c r="AE154" s="47">
        <f>AE147</f>
        <v>0</v>
      </c>
      <c r="AF154" s="48">
        <f t="shared" si="475"/>
        <v>0</v>
      </c>
      <c r="AH154" s="143" t="s">
        <v>95</v>
      </c>
      <c r="AI154" s="32">
        <f>AI147</f>
        <v>2010</v>
      </c>
      <c r="AJ154" s="46">
        <f>Shop*AJ147</f>
        <v>0</v>
      </c>
      <c r="AK154" s="47">
        <f>M_Tech*AK147</f>
        <v>0</v>
      </c>
      <c r="AL154" s="47">
        <f>CMM*AL147</f>
        <v>0</v>
      </c>
      <c r="AM154" s="47">
        <f>ENG*AM147</f>
        <v>0</v>
      </c>
      <c r="AN154" s="47">
        <f>DES*AN147</f>
        <v>0</v>
      </c>
      <c r="AO154" s="47">
        <f>AO147</f>
        <v>0</v>
      </c>
      <c r="AP154" s="48">
        <f t="shared" si="476"/>
        <v>0</v>
      </c>
    </row>
    <row r="155" spans="1:47" ht="15.75" thickTop="1">
      <c r="AE155" s="132" t="s">
        <v>86</v>
      </c>
      <c r="AF155" s="132">
        <f>SUM(AF152:AF154)</f>
        <v>0</v>
      </c>
      <c r="AH155" s="143"/>
      <c r="AI155" s="8"/>
      <c r="AJ155" s="11"/>
      <c r="AK155" s="11"/>
      <c r="AL155" s="11"/>
      <c r="AM155" s="11"/>
      <c r="AN155" s="32"/>
      <c r="AO155" s="133" t="s">
        <v>83</v>
      </c>
      <c r="AP155" s="132">
        <f>SUM(AP152:AP154)</f>
        <v>0</v>
      </c>
      <c r="AT155" s="132"/>
      <c r="AU155" s="132"/>
    </row>
    <row r="156" spans="1:47">
      <c r="AO156" s="146" t="s">
        <v>100</v>
      </c>
      <c r="AP156" s="148" t="e">
        <f>AP155/AF155</f>
        <v>#DIV/0!</v>
      </c>
    </row>
    <row r="157" spans="1:47" ht="13.5" thickBot="1"/>
    <row r="158" spans="1:47" ht="15.75" thickTop="1">
      <c r="Z158" s="213" t="s">
        <v>98</v>
      </c>
      <c r="AA158" s="214"/>
      <c r="AB158" s="214"/>
      <c r="AC158" s="214"/>
      <c r="AD158" s="214"/>
      <c r="AE158" s="214"/>
      <c r="AF158" s="215"/>
      <c r="AH158" s="143"/>
      <c r="AI158" s="32"/>
      <c r="AJ158" s="213" t="s">
        <v>99</v>
      </c>
      <c r="AK158" s="214"/>
      <c r="AL158" s="214"/>
      <c r="AM158" s="214"/>
      <c r="AN158" s="214"/>
      <c r="AO158" s="214"/>
      <c r="AP158" s="215"/>
    </row>
    <row r="159" spans="1:47">
      <c r="Z159" s="38" t="s">
        <v>11</v>
      </c>
      <c r="AA159" s="16" t="s">
        <v>10</v>
      </c>
      <c r="AB159" s="16" t="s">
        <v>39</v>
      </c>
      <c r="AC159" s="16" t="s">
        <v>31</v>
      </c>
      <c r="AD159" s="16" t="s">
        <v>32</v>
      </c>
      <c r="AE159" s="16" t="s">
        <v>16</v>
      </c>
      <c r="AF159" s="39"/>
      <c r="AH159" s="143"/>
      <c r="AI159" s="32"/>
      <c r="AJ159" s="38" t="s">
        <v>11</v>
      </c>
      <c r="AK159" s="16" t="s">
        <v>10</v>
      </c>
      <c r="AL159" s="16" t="s">
        <v>39</v>
      </c>
      <c r="AM159" s="16" t="s">
        <v>31</v>
      </c>
      <c r="AN159" s="16" t="s">
        <v>32</v>
      </c>
      <c r="AO159" s="16" t="s">
        <v>16</v>
      </c>
      <c r="AP159" s="39"/>
    </row>
    <row r="160" spans="1:47">
      <c r="S160" s="143" t="s">
        <v>93</v>
      </c>
      <c r="Y160" s="32">
        <v>2008</v>
      </c>
      <c r="Z160" s="40">
        <f>SUMIF($S$5:$S121,CONCATENATE($S160,$Y160),Z$5:Z121)</f>
        <v>0</v>
      </c>
      <c r="AA160" s="41">
        <f>SUMIF($S$5:$S121,CONCATENATE($S160,$Y160),AA$5:AA121)</f>
        <v>0</v>
      </c>
      <c r="AB160" s="41">
        <f>SUMIF($S$5:$S121,CONCATENATE($S160,$Y160),AB$5:AB121)</f>
        <v>0</v>
      </c>
      <c r="AC160" s="41">
        <f>SUMIF($S$5:$S121,CONCATENATE($S160,$Y160),AC$5:AC121)</f>
        <v>0</v>
      </c>
      <c r="AD160" s="41">
        <f>SUMIF($S$5:$S121,CONCATENATE($S160,$Y160),AD$5:AD121)</f>
        <v>0</v>
      </c>
      <c r="AE160" s="41">
        <f>SUMIF($S$5:$S121,CONCATENATE($S160,$Y160),AE$5:AE121)</f>
        <v>0</v>
      </c>
      <c r="AF160" s="39"/>
      <c r="AH160" s="143" t="s">
        <v>96</v>
      </c>
      <c r="AI160" s="32">
        <v>2008</v>
      </c>
      <c r="AJ160" s="40">
        <f>SUMIF($S$5:$S121,CONCATENATE($AH160,$AI160),AJ$5:AJ121)</f>
        <v>0</v>
      </c>
      <c r="AK160" s="41">
        <f>SUMIF($S$5:$S121,CONCATENATE($AH160,$AI160),AK$5:AK121)</f>
        <v>0</v>
      </c>
      <c r="AL160" s="41">
        <f>SUMIF($S$5:$S121,CONCATENATE($AH160,$AI160),AL$5:AL121)</f>
        <v>0</v>
      </c>
      <c r="AM160" s="41">
        <f>SUMIF($S$5:$S121,CONCATENATE($AH160,$AI160),AM$5:AM121)</f>
        <v>0</v>
      </c>
      <c r="AN160" s="41">
        <f>SUMIF($S$5:$S121,CONCATENATE($AH160,$AI160),AN$5:AN121)</f>
        <v>0</v>
      </c>
      <c r="AO160" s="41">
        <f>SUMIF($S$5:$S121,CONCATENATE($AH160,$AI160),AO$5:AO121)</f>
        <v>0</v>
      </c>
      <c r="AP160" s="39"/>
    </row>
    <row r="161" spans="19:43">
      <c r="S161" s="143" t="s">
        <v>93</v>
      </c>
      <c r="Y161" s="32">
        <v>2009</v>
      </c>
      <c r="Z161" s="40">
        <f>SUMIF($S$4:$S121,CONCATENATE($S161,$Y161),Z$4:Z121)</f>
        <v>500</v>
      </c>
      <c r="AA161" s="41">
        <f>SUMIF($S$4:$S121,CONCATENATE($S161,$Y161),AA$4:AA121)</f>
        <v>628</v>
      </c>
      <c r="AB161" s="41">
        <f>SUMIF($S$4:$S121,CONCATENATE($S161,$Y161),AB$4:AB121)</f>
        <v>92</v>
      </c>
      <c r="AC161" s="41">
        <f>SUMIF($S$4:$S121,CONCATENATE($S161,$Y161),AC$4:AC121)</f>
        <v>416</v>
      </c>
      <c r="AD161" s="41">
        <f>SUMIF($S$4:$S121,CONCATENATE($S161,$Y161),AD$4:AD121)</f>
        <v>0</v>
      </c>
      <c r="AE161" s="41">
        <f>SUMIF($S$4:$S121,CONCATENATE($S161,$Y161),AE$4:AE121)</f>
        <v>43492.5</v>
      </c>
      <c r="AF161" s="39"/>
      <c r="AH161" s="143" t="s">
        <v>96</v>
      </c>
      <c r="AI161" s="32">
        <v>2009</v>
      </c>
      <c r="AJ161" s="40">
        <f>SUMIF($S$4:$S121,CONCATENATE($AH161,$AI161),AJ$4:AJ121)</f>
        <v>72</v>
      </c>
      <c r="AK161" s="41">
        <f>SUMIF($S$4:$S121,CONCATENATE($AH161,$AI161),AK$4:AK121)</f>
        <v>197</v>
      </c>
      <c r="AL161" s="41">
        <f>SUMIF($S$4:$S121,CONCATENATE($AH161,$AI161),AL$4:AL121)</f>
        <v>112</v>
      </c>
      <c r="AM161" s="41">
        <f>SUMIF($S$4:$S121,CONCATENATE($AH161,$AI161),AM$4:AM121)</f>
        <v>92</v>
      </c>
      <c r="AN161" s="41">
        <f>SUMIF($S$4:$S121,CONCATENATE($AH161,$AI161),AN$4:AN121)</f>
        <v>0</v>
      </c>
      <c r="AO161" s="41">
        <f>SUMIF($S$4:$S121,CONCATENATE($AH161,$AI161),AO$4:AO121)</f>
        <v>2225</v>
      </c>
      <c r="AP161" s="39"/>
    </row>
    <row r="162" spans="19:43">
      <c r="S162" s="143" t="s">
        <v>93</v>
      </c>
      <c r="Y162" s="32">
        <v>2010</v>
      </c>
      <c r="Z162" s="40">
        <f>SUMIF($S$4:$S122,CONCATENATE($S162,$Y162),Z$4:Z122)</f>
        <v>0</v>
      </c>
      <c r="AA162" s="41">
        <f>SUMIF($S$4:$S122,CONCATENATE($S162,$Y162),AA$4:AA122)</f>
        <v>0</v>
      </c>
      <c r="AB162" s="41">
        <f>SUMIF($S$4:$S122,CONCATENATE($S162,$Y162),AB$4:AB122)</f>
        <v>0</v>
      </c>
      <c r="AC162" s="41">
        <f>SUMIF($S$4:$S122,CONCATENATE($S162,$Y162),AC$4:AC122)</f>
        <v>0</v>
      </c>
      <c r="AD162" s="41">
        <f>SUMIF($S$4:$S122,CONCATENATE($S162,$Y162),AD$4:AD122)</f>
        <v>0</v>
      </c>
      <c r="AE162" s="41">
        <f>SUMIF($S$4:$S122,CONCATENATE($S162,$Y162),AE$4:AE122)</f>
        <v>0</v>
      </c>
      <c r="AF162" s="39"/>
      <c r="AH162" s="143" t="s">
        <v>96</v>
      </c>
      <c r="AI162" s="32">
        <v>2010</v>
      </c>
      <c r="AJ162" s="40">
        <f>SUMIF($S$4:$S122,CONCATENATE($AH162,$AI162),AJ$4:AJ122)</f>
        <v>0</v>
      </c>
      <c r="AK162" s="41">
        <f>SUMIF($S$4:$S122,CONCATENATE($AH162,$AI162),AK$4:AK122)</f>
        <v>0</v>
      </c>
      <c r="AL162" s="41">
        <f>SUMIF($S$4:$S122,CONCATENATE($AH162,$AI162),AL$4:AL122)</f>
        <v>0</v>
      </c>
      <c r="AM162" s="41">
        <f>SUMIF($S$4:$S122,CONCATENATE($AH162,$AI162),AM$4:AM122)</f>
        <v>0</v>
      </c>
      <c r="AN162" s="41">
        <f>SUMIF($S$4:$S122,CONCATENATE($AH162,$AI162),AN$4:AN122)</f>
        <v>0</v>
      </c>
      <c r="AO162" s="41">
        <f>SUMIF($S$4:$S122,CONCATENATE($AH162,$AI162),AO$4:AO122)</f>
        <v>0</v>
      </c>
      <c r="AP162" s="39"/>
    </row>
    <row r="163" spans="19:43">
      <c r="S163" s="143" t="s">
        <v>93</v>
      </c>
      <c r="Y163" s="34" t="s">
        <v>57</v>
      </c>
      <c r="Z163" s="40">
        <f>SUMIF($S$4:$S121,CONCATENATE($S163,$Y163),Z$4:Z121)</f>
        <v>174</v>
      </c>
      <c r="AA163" s="41">
        <f>SUMIF($S$4:$S121,CONCATENATE($S163,$Y163),AA$4:AA121)</f>
        <v>0</v>
      </c>
      <c r="AB163" s="41">
        <f>SUMIF($S$4:$S121,CONCATENATE($S163,$Y163),AB$4:AB121)</f>
        <v>0</v>
      </c>
      <c r="AC163" s="41">
        <f>SUMIF($S$4:$S121,CONCATENATE($S163,$Y163),AC$4:AC121)</f>
        <v>0</v>
      </c>
      <c r="AD163" s="41">
        <f>SUMIF($S$4:$S121,CONCATENATE($S163,$Y163),AD$4:AD121)</f>
        <v>0</v>
      </c>
      <c r="AE163" s="41">
        <f>SUMIF($S$4:$S121,CONCATENATE($S163,$Y163),AE$4:AE121)</f>
        <v>5550</v>
      </c>
      <c r="AF163" s="39"/>
      <c r="AH163" s="143" t="s">
        <v>96</v>
      </c>
      <c r="AI163" s="34" t="s">
        <v>57</v>
      </c>
      <c r="AJ163" s="40">
        <f>SUMIF($S$4:$S121,CONCATENATE($AH163,$AI163),AJ$4:AJ121)</f>
        <v>31.6</v>
      </c>
      <c r="AK163" s="41">
        <f>SUMIF($S$4:$S121,CONCATENATE($AH163,$AI163),AK$4:AK121)</f>
        <v>0</v>
      </c>
      <c r="AL163" s="41">
        <f>SUMIF($S$4:$S121,CONCATENATE($AH163,$AI163),AL$4:AL121)</f>
        <v>0</v>
      </c>
      <c r="AM163" s="41">
        <f>SUMIF($S$4:$S121,CONCATENATE($AH163,$AI163),AM$4:AM121)</f>
        <v>0</v>
      </c>
      <c r="AN163" s="41">
        <f>SUMIF($S$4:$S121,CONCATENATE($AH163,$AI163),AN$4:AN121)</f>
        <v>0</v>
      </c>
      <c r="AO163" s="41">
        <f>SUMIF($S$4:$S121,CONCATENATE($AH163,$AI163),AO$4:AO121)</f>
        <v>804</v>
      </c>
      <c r="AP163" s="39"/>
    </row>
    <row r="164" spans="19:43">
      <c r="S164" s="143" t="s">
        <v>93</v>
      </c>
      <c r="Y164" s="34" t="s">
        <v>58</v>
      </c>
      <c r="Z164" s="40">
        <f>SUMIF($S$4:$S122,CONCATENATE($S164,$Y164),Z$4:Z122)</f>
        <v>0</v>
      </c>
      <c r="AA164" s="41">
        <f>SUMIF($S$4:$S122,CONCATENATE($S164,$Y164),AA$4:AA122)</f>
        <v>0</v>
      </c>
      <c r="AB164" s="41">
        <f>SUMIF($S$4:$S122,CONCATENATE($S164,$Y164),AB$4:AB122)</f>
        <v>0</v>
      </c>
      <c r="AC164" s="41">
        <f>SUMIF($S$4:$S122,CONCATENATE($S164,$Y164),AC$4:AC122)</f>
        <v>0</v>
      </c>
      <c r="AD164" s="41">
        <f>SUMIF($S$4:$S122,CONCATENATE($S164,$Y164),AD$4:AD122)</f>
        <v>0</v>
      </c>
      <c r="AE164" s="41">
        <f>SUMIF($S$4:$S122,CONCATENATE($S164,$Y164),AE$4:AE122)</f>
        <v>0</v>
      </c>
      <c r="AF164" s="39"/>
      <c r="AH164" s="143" t="s">
        <v>96</v>
      </c>
      <c r="AI164" s="34" t="s">
        <v>58</v>
      </c>
      <c r="AJ164" s="40">
        <f>SUMIF($S$4:$S122,CONCATENATE($AH164,$AI164),AJ$4:AJ122)</f>
        <v>0</v>
      </c>
      <c r="AK164" s="41">
        <f>SUMIF($S$4:$S122,CONCATENATE($AH164,$AI164),AK$4:AK122)</f>
        <v>0</v>
      </c>
      <c r="AL164" s="41">
        <f>SUMIF($S$4:$S122,CONCATENATE($AH164,$AI164),AL$4:AL122)</f>
        <v>0</v>
      </c>
      <c r="AM164" s="41">
        <f>SUMIF($S$4:$S122,CONCATENATE($AH164,$AI164),AM$4:AM122)</f>
        <v>0</v>
      </c>
      <c r="AN164" s="41">
        <f>SUMIF($S$4:$S122,CONCATENATE($AH164,$AI164),AN$4:AN122)</f>
        <v>0</v>
      </c>
      <c r="AO164" s="41">
        <f>SUMIF($S$4:$S122,CONCATENATE($AH164,$AI164),AO$4:AO122)</f>
        <v>0</v>
      </c>
      <c r="AP164" s="39"/>
    </row>
    <row r="165" spans="19:43" ht="15.75">
      <c r="Z165" s="202" t="s">
        <v>59</v>
      </c>
      <c r="AA165" s="203"/>
      <c r="AB165" s="203"/>
      <c r="AC165" s="203"/>
      <c r="AD165" s="203"/>
      <c r="AE165" s="203"/>
      <c r="AF165" s="204"/>
      <c r="AH165" s="143"/>
      <c r="AI165" s="32"/>
      <c r="AJ165" s="202" t="s">
        <v>59</v>
      </c>
      <c r="AK165" s="203"/>
      <c r="AL165" s="203"/>
      <c r="AM165" s="203"/>
      <c r="AN165" s="203"/>
      <c r="AO165" s="203"/>
      <c r="AP165" s="204"/>
    </row>
    <row r="166" spans="19:43">
      <c r="Z166" s="38" t="s">
        <v>54</v>
      </c>
      <c r="AA166" s="16" t="s">
        <v>55</v>
      </c>
      <c r="AB166" s="16" t="s">
        <v>39</v>
      </c>
      <c r="AC166" s="16" t="s">
        <v>31</v>
      </c>
      <c r="AD166" s="16" t="s">
        <v>32</v>
      </c>
      <c r="AE166" s="16" t="s">
        <v>16</v>
      </c>
      <c r="AF166" s="43" t="s">
        <v>56</v>
      </c>
      <c r="AH166" s="143"/>
      <c r="AI166" s="32"/>
      <c r="AJ166" s="38" t="s">
        <v>54</v>
      </c>
      <c r="AK166" s="16" t="s">
        <v>55</v>
      </c>
      <c r="AL166" s="16" t="s">
        <v>39</v>
      </c>
      <c r="AM166" s="16" t="s">
        <v>31</v>
      </c>
      <c r="AN166" s="16" t="s">
        <v>32</v>
      </c>
      <c r="AO166" s="16" t="s">
        <v>16</v>
      </c>
      <c r="AP166" s="43" t="s">
        <v>56</v>
      </c>
    </row>
    <row r="167" spans="19:43">
      <c r="S167" s="143" t="s">
        <v>93</v>
      </c>
      <c r="Y167" s="32">
        <f>Y160</f>
        <v>2008</v>
      </c>
      <c r="Z167" s="44">
        <f>Shop*Z160</f>
        <v>0</v>
      </c>
      <c r="AA167" s="42">
        <f>M_Tech*AA160</f>
        <v>0</v>
      </c>
      <c r="AB167" s="42">
        <f>CMM*AB160</f>
        <v>0</v>
      </c>
      <c r="AC167" s="42">
        <f>ENG*AC160</f>
        <v>0</v>
      </c>
      <c r="AD167" s="42">
        <f>DES*AD160</f>
        <v>0</v>
      </c>
      <c r="AE167" s="42">
        <f>AE160</f>
        <v>0</v>
      </c>
      <c r="AF167" s="45">
        <f>SUM(Z167:AE167)</f>
        <v>0</v>
      </c>
      <c r="AH167" s="143" t="s">
        <v>96</v>
      </c>
      <c r="AI167" s="32">
        <f>AI160</f>
        <v>2008</v>
      </c>
      <c r="AJ167" s="44">
        <f>Shop*AJ160</f>
        <v>0</v>
      </c>
      <c r="AK167" s="42">
        <f>M_Tech*AK160</f>
        <v>0</v>
      </c>
      <c r="AL167" s="42">
        <f>CMM*AL160</f>
        <v>0</v>
      </c>
      <c r="AM167" s="42">
        <f>ENG*AM160</f>
        <v>0</v>
      </c>
      <c r="AN167" s="42">
        <f>DES*AN160</f>
        <v>0</v>
      </c>
      <c r="AO167" s="42">
        <f>AO160</f>
        <v>0</v>
      </c>
      <c r="AP167" s="45">
        <f>SUM(AJ167:AO167)</f>
        <v>0</v>
      </c>
    </row>
    <row r="168" spans="19:43">
      <c r="S168" s="143" t="s">
        <v>93</v>
      </c>
      <c r="Y168" s="32">
        <f>Y161</f>
        <v>2009</v>
      </c>
      <c r="Z168" s="44">
        <f>Shop*Z161</f>
        <v>63500</v>
      </c>
      <c r="AA168" s="42">
        <f>M_Tech*AA161</f>
        <v>73476</v>
      </c>
      <c r="AB168" s="42">
        <f>CMM*AB161</f>
        <v>11684</v>
      </c>
      <c r="AC168" s="42">
        <f>ENG*AC161</f>
        <v>62400</v>
      </c>
      <c r="AD168" s="42">
        <f>DES*AD161</f>
        <v>0</v>
      </c>
      <c r="AE168" s="42">
        <f>AE161</f>
        <v>43492.5</v>
      </c>
      <c r="AF168" s="45">
        <f t="shared" ref="AF168:AF169" si="477">SUM(Z168:AE168)</f>
        <v>254552.5</v>
      </c>
      <c r="AH168" s="143" t="s">
        <v>96</v>
      </c>
      <c r="AI168" s="32">
        <f>AI161</f>
        <v>2009</v>
      </c>
      <c r="AJ168" s="44">
        <f>Shop*AJ161</f>
        <v>9144</v>
      </c>
      <c r="AK168" s="42">
        <f>M_Tech*AK161</f>
        <v>23049</v>
      </c>
      <c r="AL168" s="42">
        <f>CMM*AL161</f>
        <v>14224</v>
      </c>
      <c r="AM168" s="42">
        <f>ENG*AM161</f>
        <v>13800</v>
      </c>
      <c r="AN168" s="42">
        <f>DES*AN161</f>
        <v>0</v>
      </c>
      <c r="AO168" s="42">
        <f>AO161</f>
        <v>2225</v>
      </c>
      <c r="AP168" s="45">
        <f t="shared" ref="AP168:AP169" si="478">SUM(AJ168:AO168)</f>
        <v>62442</v>
      </c>
    </row>
    <row r="169" spans="19:43" ht="13.5" thickBot="1">
      <c r="S169" s="143" t="s">
        <v>93</v>
      </c>
      <c r="Y169" s="32">
        <f>Y162</f>
        <v>2010</v>
      </c>
      <c r="Z169" s="46">
        <f>Shop*Z162</f>
        <v>0</v>
      </c>
      <c r="AA169" s="47">
        <f>M_Tech*AA162</f>
        <v>0</v>
      </c>
      <c r="AB169" s="47">
        <f>CMM*AB162</f>
        <v>0</v>
      </c>
      <c r="AC169" s="47">
        <f>ENG*AC162</f>
        <v>0</v>
      </c>
      <c r="AD169" s="47">
        <f>DES*AD162</f>
        <v>0</v>
      </c>
      <c r="AE169" s="47">
        <f>AE162</f>
        <v>0</v>
      </c>
      <c r="AF169" s="48">
        <f t="shared" si="477"/>
        <v>0</v>
      </c>
      <c r="AH169" s="143" t="s">
        <v>96</v>
      </c>
      <c r="AI169" s="32">
        <f>AI162</f>
        <v>2010</v>
      </c>
      <c r="AJ169" s="46">
        <f>Shop*AJ162</f>
        <v>0</v>
      </c>
      <c r="AK169" s="47">
        <f>M_Tech*AK162</f>
        <v>0</v>
      </c>
      <c r="AL169" s="47">
        <f>CMM*AL162</f>
        <v>0</v>
      </c>
      <c r="AM169" s="47">
        <f>ENG*AM162</f>
        <v>0</v>
      </c>
      <c r="AN169" s="47">
        <f>DES*AN162</f>
        <v>0</v>
      </c>
      <c r="AO169" s="47">
        <f>AO162</f>
        <v>0</v>
      </c>
      <c r="AP169" s="48">
        <f t="shared" si="478"/>
        <v>0</v>
      </c>
    </row>
    <row r="170" spans="19:43" ht="15.75" thickTop="1">
      <c r="AE170" s="132" t="s">
        <v>86</v>
      </c>
      <c r="AF170" s="132">
        <f>SUM(AF167:AF169)</f>
        <v>254552.5</v>
      </c>
      <c r="AH170" s="143"/>
      <c r="AI170" s="8"/>
      <c r="AJ170" s="11"/>
      <c r="AK170" s="11"/>
      <c r="AL170" s="11"/>
      <c r="AM170" s="11"/>
      <c r="AN170" s="32"/>
      <c r="AO170" s="133" t="s">
        <v>83</v>
      </c>
      <c r="AP170" s="132">
        <f>SUM(AP167:AP169)</f>
        <v>62442</v>
      </c>
    </row>
    <row r="171" spans="19:43">
      <c r="AO171" s="146" t="s">
        <v>100</v>
      </c>
      <c r="AP171" s="148">
        <f>AP170/AF170</f>
        <v>0.24530106755973718</v>
      </c>
    </row>
    <row r="172" spans="19:43">
      <c r="AF172" s="23">
        <f>AF155+AF170</f>
        <v>254552.5</v>
      </c>
      <c r="AG172" s="29" t="s">
        <v>97</v>
      </c>
      <c r="AP172" s="23">
        <f>AP155+AP170</f>
        <v>62442</v>
      </c>
      <c r="AQ172" s="29" t="s">
        <v>97</v>
      </c>
    </row>
  </sheetData>
  <mergeCells count="20">
    <mergeCell ref="Z165:AF165"/>
    <mergeCell ref="AJ158:AP158"/>
    <mergeCell ref="AJ165:AP165"/>
    <mergeCell ref="Z143:AF143"/>
    <mergeCell ref="Z150:AF150"/>
    <mergeCell ref="AJ143:AP143"/>
    <mergeCell ref="AJ150:AP150"/>
    <mergeCell ref="Z158:AF158"/>
    <mergeCell ref="Z135:AF135"/>
    <mergeCell ref="AJ135:AP135"/>
    <mergeCell ref="Q2:Y2"/>
    <mergeCell ref="Z2:AF2"/>
    <mergeCell ref="AJ2:AP2"/>
    <mergeCell ref="Z128:AF128"/>
    <mergeCell ref="AJ128:AP128"/>
    <mergeCell ref="N122:P122"/>
    <mergeCell ref="N96:P96"/>
    <mergeCell ref="N13:P13"/>
    <mergeCell ref="N51:P51"/>
    <mergeCell ref="N112:P112"/>
  </mergeCells>
  <phoneticPr fontId="0" type="noConversion"/>
  <conditionalFormatting sqref="N52 A97:N98 N14 A115:M123 N123 N115:N121 A16:N21 A51:M52 F28:M28 A66:O66 L54:M54 O54 O62 A76:N76 A78:N78 A94:A95 A47:O50 A74:N74 L97:O97 A113:N113 A23:N24 F25:M25 A26:N27 A6:N6 L69:N69 A70:O72 A11:N11 A10:Q10 T10:X10 Z10:XFD10 A5:M14 N5:N12 N22:N37 A22:E37 A29:N46 A56:N68 O65:O68 A74:A90 A80:N93 B74:N95 A100:O111">
    <cfRule type="expression" dxfId="4" priority="58">
      <formula>IF($N5=0,TRUE,FALSE)</formula>
    </cfRule>
  </conditionalFormatting>
  <conditionalFormatting sqref="M115:M121">
    <cfRule type="expression" dxfId="3" priority="54">
      <formula>IF($N115=0,TRUE,FALSE)</formula>
    </cfRule>
  </conditionalFormatting>
  <conditionalFormatting sqref="A73:K73">
    <cfRule type="expression" dxfId="2" priority="60">
      <formula>IF($N69=0,TRUE,FALSE)</formula>
    </cfRule>
  </conditionalFormatting>
  <conditionalFormatting sqref="A69:K69 O69">
    <cfRule type="expression" dxfId="1" priority="65">
      <formula>IF(#REF!=0,TRUE,FALSE)</formula>
    </cfRule>
  </conditionalFormatting>
  <conditionalFormatting sqref="L73:N73">
    <cfRule type="expression" dxfId="0" priority="1">
      <formula>IF($N73=0,TRUE,FALSE)</formula>
    </cfRule>
  </conditionalFormatting>
  <dataValidations count="3">
    <dataValidation type="list" allowBlank="1" showInputMessage="1" showErrorMessage="1" sqref="Q115:Q121 Q106:Q111 Q101:Q104 R91:S91 Q68:Q95 Q63:Q64 Q54:S54 Q56:Q61 Q66 Q48:Q50 R29:S29 R22:S22 R19:S19 R16:S16 Q16:Q46 Q5:Q12 R38:S38 R86:S86 R80:S80 R69:S69 R73:S73">
      <formula1>"B,C"</formula1>
    </dataValidation>
    <dataValidation type="list" allowBlank="1" showInputMessage="1" showErrorMessage="1" sqref="R115:R121 R106:R111 R101:R104 R92:R95 R68 R63:R64 R66 R56:R61 R48:R50 R30:R37 R20:R21 R23:R28 R17:R18 R5:R12 R39:R46 R87:R90 R81:R85 R70:R72 R74:R79">
      <formula1>"PD, PT"</formula1>
    </dataValidation>
    <dataValidation type="list" allowBlank="1" showInputMessage="1" showErrorMessage="1" sqref="Y115:Y121 Y101:Y111 Y68:Y95 Y66 Y56:Y61 Y54 Y63:Y64 Y16:Y50 Y5:Y12">
      <formula1>"2007, 2008, 2009, 2010, Hytec, LANL"</formula1>
    </dataValidation>
  </dataValidations>
  <pageMargins left="0.12" right="0.13" top="0.33" bottom="0.25" header="0.18" footer="0.12"/>
  <pageSetup paperSize="160" scale="31" orientation="portrait" r:id="rId1"/>
  <headerFooter alignWithMargins="0">
    <oddHeader xml:space="preserve">&amp;LPHENIX&amp;CFull Project Estimate&amp;R25-October 2007 </oddHeader>
    <oddFooter>&amp;RE Anderssen, LBNL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3:M24"/>
  <sheetViews>
    <sheetView workbookViewId="0">
      <selection activeCell="K27" sqref="K27"/>
    </sheetView>
  </sheetViews>
  <sheetFormatPr defaultRowHeight="12.75"/>
  <cols>
    <col min="7" max="7" width="14.28515625" bestFit="1" customWidth="1"/>
  </cols>
  <sheetData>
    <row r="3" spans="2:13">
      <c r="H3" s="29" t="s">
        <v>231</v>
      </c>
      <c r="I3" s="29" t="s">
        <v>232</v>
      </c>
      <c r="J3" s="29" t="s">
        <v>233</v>
      </c>
      <c r="L3" s="188" t="s">
        <v>232</v>
      </c>
    </row>
    <row r="4" spans="2:13">
      <c r="B4" s="29" t="s">
        <v>44</v>
      </c>
      <c r="C4">
        <v>127</v>
      </c>
      <c r="G4" s="29" t="s">
        <v>6</v>
      </c>
      <c r="H4" s="29" t="s">
        <v>234</v>
      </c>
      <c r="I4" s="29" t="s">
        <v>235</v>
      </c>
      <c r="J4" s="29" t="s">
        <v>236</v>
      </c>
      <c r="K4" s="29" t="s">
        <v>33</v>
      </c>
      <c r="L4" s="188" t="s">
        <v>236</v>
      </c>
      <c r="M4" s="29" t="s">
        <v>33</v>
      </c>
    </row>
    <row r="5" spans="2:13">
      <c r="B5" s="29" t="s">
        <v>39</v>
      </c>
      <c r="C5">
        <v>127</v>
      </c>
      <c r="G5" s="29" t="s">
        <v>7</v>
      </c>
      <c r="H5" s="29">
        <v>9.8000000000000004E-2</v>
      </c>
      <c r="I5" s="189">
        <f t="shared" ref="I5:I22" si="0">H5*454/(2.54^3)</f>
        <v>2.7150684222628292</v>
      </c>
      <c r="J5">
        <v>8</v>
      </c>
      <c r="K5" s="29" t="s">
        <v>237</v>
      </c>
      <c r="L5" s="190">
        <f t="shared" ref="L5:L16" si="1">J5/484</f>
        <v>1.6528925619834711E-2</v>
      </c>
      <c r="M5" s="29" t="s">
        <v>238</v>
      </c>
    </row>
    <row r="6" spans="2:13">
      <c r="B6" s="29" t="s">
        <v>45</v>
      </c>
      <c r="C6">
        <v>117</v>
      </c>
      <c r="G6" s="29" t="s">
        <v>239</v>
      </c>
      <c r="H6" s="29">
        <v>9.8000000000000004E-2</v>
      </c>
      <c r="I6" s="189">
        <f t="shared" si="0"/>
        <v>2.7150684222628292</v>
      </c>
      <c r="J6">
        <v>10</v>
      </c>
      <c r="K6" s="29" t="s">
        <v>237</v>
      </c>
      <c r="L6" s="190">
        <f t="shared" si="1"/>
        <v>2.0661157024793389E-2</v>
      </c>
      <c r="M6" s="29" t="s">
        <v>238</v>
      </c>
    </row>
    <row r="7" spans="2:13">
      <c r="B7" s="29" t="s">
        <v>46</v>
      </c>
      <c r="C7">
        <v>150</v>
      </c>
      <c r="G7" s="29" t="s">
        <v>222</v>
      </c>
      <c r="H7" s="29">
        <v>9.8000000000000004E-2</v>
      </c>
      <c r="I7" s="189">
        <f t="shared" si="0"/>
        <v>2.7150684222628292</v>
      </c>
      <c r="J7">
        <v>8</v>
      </c>
      <c r="K7" s="29" t="s">
        <v>237</v>
      </c>
      <c r="L7" s="190">
        <f t="shared" si="1"/>
        <v>1.6528925619834711E-2</v>
      </c>
      <c r="M7" s="29" t="s">
        <v>238</v>
      </c>
    </row>
    <row r="8" spans="2:13">
      <c r="B8" s="29" t="s">
        <v>47</v>
      </c>
      <c r="C8">
        <v>120</v>
      </c>
      <c r="G8" s="29" t="s">
        <v>240</v>
      </c>
      <c r="H8" s="29">
        <v>9.8000000000000004E-2</v>
      </c>
      <c r="I8" s="189">
        <f t="shared" si="0"/>
        <v>2.7150684222628292</v>
      </c>
      <c r="J8">
        <v>10</v>
      </c>
      <c r="K8" s="29" t="s">
        <v>237</v>
      </c>
      <c r="L8" s="190">
        <f t="shared" si="1"/>
        <v>2.0661157024793389E-2</v>
      </c>
      <c r="M8" s="29" t="s">
        <v>238</v>
      </c>
    </row>
    <row r="9" spans="2:13">
      <c r="G9" s="29" t="s">
        <v>241</v>
      </c>
      <c r="H9">
        <v>0.19800000000000001</v>
      </c>
      <c r="I9" s="189">
        <f t="shared" si="0"/>
        <v>5.4855464041636752</v>
      </c>
      <c r="J9">
        <v>15</v>
      </c>
      <c r="K9" s="29" t="s">
        <v>237</v>
      </c>
      <c r="L9" s="190">
        <f t="shared" si="1"/>
        <v>3.0991735537190084E-2</v>
      </c>
      <c r="M9" s="29" t="s">
        <v>238</v>
      </c>
    </row>
    <row r="10" spans="2:13">
      <c r="G10" s="29" t="s">
        <v>242</v>
      </c>
      <c r="H10">
        <v>0.19800000000000001</v>
      </c>
      <c r="I10" s="189">
        <f t="shared" si="0"/>
        <v>5.4855464041636752</v>
      </c>
      <c r="J10">
        <v>20</v>
      </c>
      <c r="K10" s="29" t="s">
        <v>237</v>
      </c>
      <c r="L10" s="190">
        <f t="shared" si="1"/>
        <v>4.1322314049586778E-2</v>
      </c>
      <c r="M10" s="29" t="s">
        <v>238</v>
      </c>
    </row>
    <row r="11" spans="2:13">
      <c r="G11" s="29" t="s">
        <v>135</v>
      </c>
      <c r="H11">
        <v>0.29799999999999999</v>
      </c>
      <c r="I11" s="189">
        <f t="shared" si="0"/>
        <v>8.2560243860645208</v>
      </c>
      <c r="J11">
        <v>3</v>
      </c>
      <c r="K11" s="29" t="s">
        <v>237</v>
      </c>
      <c r="L11" s="190">
        <f t="shared" si="1"/>
        <v>6.1983471074380167E-3</v>
      </c>
      <c r="M11" s="29" t="s">
        <v>238</v>
      </c>
    </row>
    <row r="12" spans="2:13">
      <c r="G12" s="29" t="s">
        <v>243</v>
      </c>
      <c r="H12">
        <v>0.29799999999999999</v>
      </c>
      <c r="I12" s="189">
        <f t="shared" si="0"/>
        <v>8.2560243860645208</v>
      </c>
      <c r="J12">
        <v>15</v>
      </c>
      <c r="K12" s="29" t="s">
        <v>237</v>
      </c>
      <c r="L12" s="190">
        <f t="shared" si="1"/>
        <v>3.0991735537190084E-2</v>
      </c>
      <c r="M12" s="29" t="s">
        <v>238</v>
      </c>
    </row>
    <row r="13" spans="2:13">
      <c r="G13" s="29" t="s">
        <v>244</v>
      </c>
      <c r="H13">
        <v>6.5000000000000002E-2</v>
      </c>
      <c r="I13" s="189">
        <f t="shared" si="0"/>
        <v>1.8008106882355499</v>
      </c>
      <c r="J13">
        <v>100</v>
      </c>
      <c r="K13" s="29" t="s">
        <v>237</v>
      </c>
      <c r="L13" s="190">
        <f t="shared" si="1"/>
        <v>0.20661157024793389</v>
      </c>
      <c r="M13" s="29" t="s">
        <v>238</v>
      </c>
    </row>
    <row r="14" spans="2:13">
      <c r="G14" s="29" t="s">
        <v>245</v>
      </c>
      <c r="H14">
        <v>6.5000000000000002E-2</v>
      </c>
      <c r="I14" s="189">
        <f t="shared" si="0"/>
        <v>1.8008106882355499</v>
      </c>
      <c r="J14">
        <v>800</v>
      </c>
      <c r="K14" s="29" t="s">
        <v>237</v>
      </c>
      <c r="L14" s="190">
        <f t="shared" si="1"/>
        <v>1.6528925619834711</v>
      </c>
      <c r="M14" s="29" t="s">
        <v>238</v>
      </c>
    </row>
    <row r="15" spans="2:13">
      <c r="B15" s="29" t="s">
        <v>49</v>
      </c>
      <c r="G15" s="29" t="s">
        <v>246</v>
      </c>
      <c r="H15">
        <v>6.5000000000000002E-2</v>
      </c>
      <c r="I15" s="189">
        <f t="shared" si="0"/>
        <v>1.8008106882355499</v>
      </c>
      <c r="J15">
        <v>500</v>
      </c>
      <c r="K15" s="29" t="s">
        <v>237</v>
      </c>
      <c r="L15" s="190">
        <f t="shared" si="1"/>
        <v>1.0330578512396693</v>
      </c>
      <c r="M15" s="29" t="s">
        <v>238</v>
      </c>
    </row>
    <row r="16" spans="2:13">
      <c r="B16" s="29" t="s">
        <v>50</v>
      </c>
      <c r="G16" s="29" t="s">
        <v>247</v>
      </c>
      <c r="H16">
        <v>6.5000000000000002E-2</v>
      </c>
      <c r="I16" s="189">
        <f t="shared" si="0"/>
        <v>1.8008106882355499</v>
      </c>
      <c r="J16">
        <v>1200</v>
      </c>
      <c r="K16" s="29" t="s">
        <v>237</v>
      </c>
      <c r="L16" s="190">
        <f t="shared" si="1"/>
        <v>2.4793388429752068</v>
      </c>
      <c r="M16" s="29" t="s">
        <v>238</v>
      </c>
    </row>
    <row r="17" spans="7:13">
      <c r="G17" s="29" t="s">
        <v>218</v>
      </c>
      <c r="H17">
        <v>5.5E-2</v>
      </c>
      <c r="I17" s="189">
        <f>H17*454/(2.54^3)</f>
        <v>1.5237628900454652</v>
      </c>
      <c r="J17">
        <v>400</v>
      </c>
      <c r="K17" s="29" t="s">
        <v>248</v>
      </c>
      <c r="L17" s="190">
        <f>J17/946</f>
        <v>0.42283298097251587</v>
      </c>
      <c r="M17" s="29" t="s">
        <v>249</v>
      </c>
    </row>
    <row r="18" spans="7:13">
      <c r="G18" s="29" t="s">
        <v>217</v>
      </c>
      <c r="H18">
        <v>5.5E-2</v>
      </c>
      <c r="I18" s="189">
        <f t="shared" si="0"/>
        <v>1.5237628900454652</v>
      </c>
      <c r="J18">
        <v>350</v>
      </c>
      <c r="K18" s="29" t="s">
        <v>248</v>
      </c>
      <c r="L18" s="190">
        <f>J18/946</f>
        <v>0.3699788583509514</v>
      </c>
      <c r="M18" s="29" t="s">
        <v>249</v>
      </c>
    </row>
    <row r="19" spans="7:13">
      <c r="G19" s="29" t="s">
        <v>250</v>
      </c>
      <c r="H19">
        <v>7.4999999999999997E-2</v>
      </c>
      <c r="I19" s="189">
        <f t="shared" si="0"/>
        <v>2.0778584864256344</v>
      </c>
      <c r="J19">
        <v>450</v>
      </c>
      <c r="K19" s="29" t="s">
        <v>248</v>
      </c>
      <c r="L19" s="190">
        <f>J19/946</f>
        <v>0.47568710359408034</v>
      </c>
      <c r="M19" s="29" t="s">
        <v>249</v>
      </c>
    </row>
    <row r="20" spans="7:13">
      <c r="G20" s="29" t="s">
        <v>220</v>
      </c>
      <c r="H20">
        <f>3/12^3</f>
        <v>1.736111111111111E-3</v>
      </c>
      <c r="I20" s="189">
        <f t="shared" si="0"/>
        <v>4.8098576074667464E-2</v>
      </c>
      <c r="J20">
        <v>600</v>
      </c>
      <c r="K20" s="29" t="s">
        <v>251</v>
      </c>
      <c r="L20" s="190">
        <f>J20/2360</f>
        <v>0.25423728813559321</v>
      </c>
      <c r="M20" s="29" t="s">
        <v>249</v>
      </c>
    </row>
    <row r="21" spans="7:13">
      <c r="G21" s="29" t="s">
        <v>252</v>
      </c>
      <c r="H21">
        <f t="shared" ref="H21" si="2">3/12^3</f>
        <v>1.736111111111111E-3</v>
      </c>
      <c r="I21" s="189">
        <f t="shared" si="0"/>
        <v>4.8098576074667464E-2</v>
      </c>
      <c r="J21">
        <v>75</v>
      </c>
      <c r="K21" s="29" t="s">
        <v>251</v>
      </c>
      <c r="L21" s="190">
        <f t="shared" ref="L21:L22" si="3">J21/2360</f>
        <v>3.1779661016949151E-2</v>
      </c>
      <c r="M21" s="29" t="s">
        <v>249</v>
      </c>
    </row>
    <row r="22" spans="7:13">
      <c r="G22" s="29" t="s">
        <v>253</v>
      </c>
      <c r="H22">
        <f>4/12^3</f>
        <v>2.3148148148148147E-3</v>
      </c>
      <c r="I22" s="189">
        <f t="shared" si="0"/>
        <v>6.413143476622328E-2</v>
      </c>
      <c r="J22">
        <v>100</v>
      </c>
      <c r="K22" s="29" t="s">
        <v>251</v>
      </c>
      <c r="L22" s="190">
        <f t="shared" si="3"/>
        <v>4.2372881355932202E-2</v>
      </c>
      <c r="M22" s="29" t="s">
        <v>249</v>
      </c>
    </row>
    <row r="23" spans="7:13">
      <c r="G23" s="29" t="s">
        <v>266</v>
      </c>
      <c r="H23">
        <v>5.5E-2</v>
      </c>
      <c r="I23" s="189">
        <f>H23*454/(2.54^3)</f>
        <v>1.5237628900454652</v>
      </c>
      <c r="J23">
        <v>400</v>
      </c>
      <c r="K23" s="29" t="s">
        <v>237</v>
      </c>
      <c r="L23" s="190">
        <f>J23/484</f>
        <v>0.82644628099173556</v>
      </c>
      <c r="M23" s="29" t="s">
        <v>238</v>
      </c>
    </row>
    <row r="24" spans="7:13">
      <c r="G24" s="29" t="s">
        <v>120</v>
      </c>
      <c r="H24">
        <v>5.5E-2</v>
      </c>
      <c r="I24" s="189">
        <f>H24*454/(2.54^3)</f>
        <v>1.5237628900454652</v>
      </c>
      <c r="J24">
        <v>600</v>
      </c>
      <c r="K24" s="29" t="s">
        <v>237</v>
      </c>
      <c r="L24" s="190">
        <f t="shared" ref="L24" si="4">J24/484</f>
        <v>1.2396694214876034</v>
      </c>
      <c r="M24" s="29" t="s">
        <v>238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53"/>
  <sheetViews>
    <sheetView topLeftCell="A10" workbookViewId="0">
      <selection activeCell="K31" sqref="K31"/>
    </sheetView>
  </sheetViews>
  <sheetFormatPr defaultRowHeight="12.75"/>
  <cols>
    <col min="1" max="1" width="30" bestFit="1" customWidth="1"/>
    <col min="2" max="2" width="14.28515625" bestFit="1" customWidth="1"/>
    <col min="3" max="3" width="11" bestFit="1" customWidth="1"/>
    <col min="4" max="4" width="9.85546875" style="177" bestFit="1" customWidth="1"/>
    <col min="5" max="5" width="11.140625" style="177" bestFit="1" customWidth="1"/>
    <col min="6" max="6" width="12" style="8" bestFit="1" customWidth="1"/>
    <col min="7" max="7" width="8" bestFit="1" customWidth="1"/>
    <col min="8" max="8" width="8.7109375" style="169" bestFit="1" customWidth="1"/>
    <col min="9" max="9" width="5" style="177" bestFit="1" customWidth="1"/>
    <col min="10" max="10" width="3.28515625" style="177" bestFit="1" customWidth="1"/>
    <col min="11" max="11" width="5" style="177" bestFit="1" customWidth="1"/>
    <col min="12" max="12" width="11" style="180" bestFit="1" customWidth="1"/>
    <col min="13" max="13" width="8.28515625" style="180" bestFit="1" customWidth="1"/>
    <col min="14" max="14" width="10.42578125" style="181" bestFit="1" customWidth="1"/>
    <col min="15" max="15" width="8.28515625" style="182" bestFit="1" customWidth="1"/>
    <col min="16" max="16" width="7.28515625" style="169" bestFit="1" customWidth="1"/>
    <col min="17" max="17" width="10.140625" style="169" bestFit="1" customWidth="1"/>
    <col min="18" max="18" width="9" style="158" bestFit="1" customWidth="1"/>
    <col min="19" max="19" width="9" style="159" bestFit="1" customWidth="1"/>
    <col min="20" max="20" width="10.85546875" style="158" bestFit="1" customWidth="1"/>
    <col min="21" max="21" width="12.5703125" customWidth="1"/>
    <col min="22" max="22" width="4.85546875" style="160" bestFit="1" customWidth="1"/>
    <col min="23" max="23" width="6.28515625" style="160" bestFit="1" customWidth="1"/>
    <col min="24" max="24" width="2" style="160" bestFit="1" customWidth="1"/>
  </cols>
  <sheetData>
    <row r="1" spans="1:32" ht="18">
      <c r="A1" s="219" t="s">
        <v>183</v>
      </c>
      <c r="B1" s="220"/>
      <c r="C1" s="220"/>
      <c r="D1" s="221" t="s">
        <v>184</v>
      </c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</row>
    <row r="2" spans="1:32" ht="96.75">
      <c r="A2" s="29" t="s">
        <v>0</v>
      </c>
      <c r="B2" s="29" t="s">
        <v>6</v>
      </c>
      <c r="C2" s="29" t="s">
        <v>185</v>
      </c>
      <c r="D2" s="143" t="s">
        <v>186</v>
      </c>
      <c r="E2" s="161" t="s">
        <v>187</v>
      </c>
      <c r="F2" s="161" t="s">
        <v>188</v>
      </c>
      <c r="G2" s="161" t="s">
        <v>189</v>
      </c>
      <c r="H2" s="161" t="s">
        <v>190</v>
      </c>
      <c r="I2" s="162" t="s">
        <v>191</v>
      </c>
      <c r="J2" s="162" t="s">
        <v>192</v>
      </c>
      <c r="K2" s="162" t="s">
        <v>193</v>
      </c>
      <c r="L2" s="163" t="s">
        <v>194</v>
      </c>
      <c r="M2" s="163" t="s">
        <v>195</v>
      </c>
      <c r="N2" s="164" t="s">
        <v>196</v>
      </c>
      <c r="O2" s="165" t="s">
        <v>197</v>
      </c>
      <c r="P2" s="161" t="s">
        <v>198</v>
      </c>
      <c r="Q2" s="166" t="s">
        <v>199</v>
      </c>
      <c r="R2" s="167" t="s">
        <v>200</v>
      </c>
      <c r="S2" s="168" t="s">
        <v>201</v>
      </c>
      <c r="T2" s="167" t="s">
        <v>228</v>
      </c>
      <c r="U2" s="166"/>
      <c r="Y2" s="169"/>
      <c r="Z2" s="169"/>
      <c r="AA2" s="169"/>
      <c r="AB2" s="169"/>
      <c r="AC2" s="169"/>
      <c r="AD2" s="169"/>
      <c r="AE2" s="169"/>
      <c r="AF2" s="169"/>
    </row>
    <row r="3" spans="1:32" ht="15.75">
      <c r="A3" s="81" t="s">
        <v>262</v>
      </c>
      <c r="B3" s="29"/>
      <c r="C3" s="29"/>
      <c r="D3" s="143"/>
      <c r="E3" s="143"/>
      <c r="F3" s="170"/>
      <c r="G3" s="161"/>
      <c r="H3" s="166"/>
      <c r="I3" s="162"/>
      <c r="J3" s="162"/>
      <c r="K3" s="162"/>
      <c r="L3" s="171"/>
      <c r="M3" s="171"/>
      <c r="N3" s="172"/>
      <c r="O3" s="173"/>
      <c r="P3" s="166"/>
      <c r="Q3" s="166"/>
      <c r="U3" s="169"/>
      <c r="V3" s="174" t="s">
        <v>202</v>
      </c>
      <c r="W3" s="174" t="s">
        <v>203</v>
      </c>
      <c r="X3" s="160">
        <v>1</v>
      </c>
      <c r="Y3" s="169"/>
      <c r="Z3" s="169"/>
      <c r="AA3" s="169"/>
      <c r="AB3" s="169"/>
      <c r="AC3" s="169"/>
      <c r="AD3" s="169"/>
      <c r="AE3" s="169"/>
      <c r="AF3" s="169"/>
    </row>
    <row r="4" spans="1:32" ht="15">
      <c r="A4" s="175" t="s">
        <v>133</v>
      </c>
      <c r="B4" s="29"/>
      <c r="C4" s="29"/>
      <c r="D4" s="143"/>
      <c r="E4" s="143"/>
      <c r="F4" s="170"/>
      <c r="G4" s="161"/>
      <c r="H4" s="166"/>
      <c r="I4" s="162"/>
      <c r="J4" s="162"/>
      <c r="K4" s="162"/>
      <c r="L4" s="171"/>
      <c r="M4" s="171"/>
      <c r="N4" s="172"/>
      <c r="O4" s="173"/>
      <c r="P4" s="166"/>
      <c r="Q4" s="166"/>
      <c r="U4" s="169"/>
      <c r="V4" s="174" t="s">
        <v>204</v>
      </c>
      <c r="W4" s="174" t="s">
        <v>205</v>
      </c>
      <c r="X4" s="160">
        <v>2</v>
      </c>
      <c r="Y4" s="169"/>
      <c r="Z4" s="169"/>
      <c r="AA4" s="169"/>
      <c r="AB4" s="169"/>
      <c r="AC4" s="169"/>
      <c r="AD4" s="169"/>
      <c r="AE4" s="169"/>
      <c r="AF4" s="169"/>
    </row>
    <row r="5" spans="1:32">
      <c r="A5" s="79" t="s">
        <v>75</v>
      </c>
      <c r="B5" s="29"/>
      <c r="C5" s="29"/>
      <c r="D5" s="143"/>
      <c r="E5" s="143"/>
      <c r="F5" s="170"/>
      <c r="G5" s="161"/>
      <c r="H5" s="166"/>
      <c r="I5" s="162"/>
      <c r="J5" s="162"/>
      <c r="K5" s="162"/>
      <c r="L5" s="171"/>
      <c r="M5" s="171"/>
      <c r="N5" s="172"/>
      <c r="O5" s="173"/>
      <c r="P5" s="166"/>
      <c r="Q5" s="166"/>
      <c r="U5" s="169"/>
      <c r="V5" s="174" t="s">
        <v>206</v>
      </c>
      <c r="W5" s="174" t="s">
        <v>207</v>
      </c>
      <c r="X5" s="160">
        <v>3</v>
      </c>
      <c r="Y5" s="169"/>
      <c r="Z5" s="169"/>
      <c r="AA5" s="169"/>
      <c r="AB5" s="169"/>
      <c r="AC5" s="169"/>
      <c r="AD5" s="169"/>
      <c r="AE5" s="169"/>
      <c r="AF5" s="169"/>
    </row>
    <row r="6" spans="1:32" s="178" customFormat="1">
      <c r="A6" s="78" t="s">
        <v>208</v>
      </c>
      <c r="B6" s="176" t="s">
        <v>135</v>
      </c>
      <c r="C6" s="176" t="s">
        <v>209</v>
      </c>
      <c r="D6" s="177">
        <v>1</v>
      </c>
      <c r="E6" s="143" t="s">
        <v>210</v>
      </c>
      <c r="F6" s="8">
        <v>8.3000000000000007</v>
      </c>
      <c r="G6" s="178" t="s">
        <v>211</v>
      </c>
      <c r="H6" s="179">
        <v>0</v>
      </c>
      <c r="I6" s="177">
        <v>57</v>
      </c>
      <c r="J6" s="177">
        <v>42</v>
      </c>
      <c r="K6" s="177">
        <v>2</v>
      </c>
      <c r="L6" s="180">
        <f>CHOOSE(LOOKUP(G6,$W$3:$X$6), "Enter Value", I6*D6*J6*K6*(1+H6), (PI()/4)*D6*I6*(1+H6)*J6^2, PI()*(1+H6)*D6*I6*J6*K6)</f>
        <v>15041.945625387929</v>
      </c>
      <c r="M6" s="180">
        <f>L6*F6</f>
        <v>124848.14869071983</v>
      </c>
      <c r="N6" s="181" t="e">
        <f>L6/E6</f>
        <v>#VALUE!</v>
      </c>
      <c r="O6" s="182">
        <v>6.0000000000000001E-3</v>
      </c>
      <c r="P6" s="169" t="s">
        <v>204</v>
      </c>
      <c r="Q6" s="183">
        <f>CHOOSE(LOOKUP(P6,$V$3:$V$5,$X$3:$X$5), O6*L6, O6*M6, O6*N6)</f>
        <v>749.08889214431895</v>
      </c>
      <c r="R6" s="184">
        <f>IF(C6="Test", M6, 0)</f>
        <v>0</v>
      </c>
      <c r="S6" s="184">
        <f>IF(C6="Test", N6, 0)</f>
        <v>0</v>
      </c>
      <c r="T6" s="158">
        <f t="shared" ref="T6:T40" si="0">IF(C6="Test", Q6, 0)</f>
        <v>0</v>
      </c>
      <c r="V6" s="160"/>
      <c r="W6" s="174" t="s">
        <v>211</v>
      </c>
      <c r="X6" s="160">
        <v>4</v>
      </c>
    </row>
    <row r="7" spans="1:32">
      <c r="A7" s="78" t="s">
        <v>212</v>
      </c>
      <c r="B7" s="176" t="s">
        <v>135</v>
      </c>
      <c r="C7" s="176" t="s">
        <v>205</v>
      </c>
      <c r="D7" s="177">
        <v>2</v>
      </c>
      <c r="E7" s="143" t="s">
        <v>210</v>
      </c>
      <c r="F7" s="8">
        <v>8.3000000000000007</v>
      </c>
      <c r="G7" s="178" t="s">
        <v>205</v>
      </c>
      <c r="H7" s="179">
        <v>0</v>
      </c>
      <c r="I7" s="177">
        <v>45</v>
      </c>
      <c r="J7" s="177">
        <v>45</v>
      </c>
      <c r="K7" s="177">
        <v>2</v>
      </c>
      <c r="L7" s="180">
        <f>CHOOSE(LOOKUP(G7,$W$3:$X$6), "Enter Value", I7*D7*J7*K7*(1+H7), (PI()/4)*D7*I7*(1+H7)*J7^2, PI()*(1+H7)*D7*I7*J7*K7)</f>
        <v>8100</v>
      </c>
      <c r="M7" s="180">
        <f>L7*F7</f>
        <v>67230</v>
      </c>
      <c r="N7" s="181" t="e">
        <f>L7/E7</f>
        <v>#VALUE!</v>
      </c>
      <c r="O7" s="182">
        <v>6.0000000000000001E-3</v>
      </c>
      <c r="P7" s="169" t="s">
        <v>204</v>
      </c>
      <c r="Q7" s="183">
        <f>CHOOSE(LOOKUP(P7,$V$3:$V$5,$X$3:$X$5), O7*L7, O7*M7, O7*N7)</f>
        <v>403.38</v>
      </c>
      <c r="R7" s="184">
        <f t="shared" ref="R7:R40" si="1">IF(C7="Test", M7, 0)</f>
        <v>0</v>
      </c>
      <c r="S7" s="184">
        <f t="shared" ref="S7:S40" si="2">IF(C7="Test", N7, 0)</f>
        <v>0</v>
      </c>
      <c r="T7" s="158">
        <f t="shared" si="0"/>
        <v>0</v>
      </c>
    </row>
    <row r="8" spans="1:32">
      <c r="A8" s="79" t="s">
        <v>211</v>
      </c>
      <c r="R8" s="184"/>
      <c r="S8" s="184"/>
    </row>
    <row r="9" spans="1:32">
      <c r="A9" s="78" t="s">
        <v>215</v>
      </c>
      <c r="B9" s="29" t="s">
        <v>213</v>
      </c>
      <c r="C9" s="176" t="s">
        <v>214</v>
      </c>
      <c r="D9" s="177">
        <v>1.5</v>
      </c>
      <c r="E9" s="177">
        <v>330</v>
      </c>
      <c r="F9" s="8">
        <v>1.8</v>
      </c>
      <c r="G9" s="178" t="s">
        <v>211</v>
      </c>
      <c r="H9" s="179">
        <v>0.3</v>
      </c>
      <c r="I9" s="177">
        <v>40</v>
      </c>
      <c r="J9" s="177">
        <v>42</v>
      </c>
      <c r="K9" s="177">
        <v>0.16500000000000001</v>
      </c>
      <c r="L9" s="180">
        <f t="shared" ref="L9:L10" si="3">CHOOSE(LOOKUP(G9,$W$3:$X$6), "Enter Value", I9*D9*J9*K9*(1+H9), (PI()/4)*D9*I9*(1+H9)*J9^2, PI()*(1+H9)*D9*I9*J9*K9)</f>
        <v>1698.1564929714268</v>
      </c>
      <c r="M9" s="180">
        <f t="shared" ref="M9:M10" si="4">L9*F9</f>
        <v>3056.6816873485682</v>
      </c>
      <c r="N9" s="181">
        <f t="shared" ref="N9" si="5">L9/E9</f>
        <v>5.1459287665800817</v>
      </c>
      <c r="O9" s="182">
        <v>1.0329999999999999</v>
      </c>
      <c r="P9" s="169" t="s">
        <v>204</v>
      </c>
      <c r="Q9" s="183">
        <f t="shared" ref="Q9:Q10" si="6">CHOOSE(LOOKUP(P9,$V$3:$V$5,$X$3:$X$5), O9*L9, O9*M9, O9*N9)</f>
        <v>3157.5521830310709</v>
      </c>
      <c r="R9" s="184">
        <f t="shared" si="1"/>
        <v>0</v>
      </c>
      <c r="S9" s="184">
        <f>IF(C9="Test", N9, 0)</f>
        <v>0</v>
      </c>
      <c r="T9" s="158">
        <f t="shared" si="0"/>
        <v>0</v>
      </c>
    </row>
    <row r="10" spans="1:32">
      <c r="A10" s="78" t="s">
        <v>216</v>
      </c>
      <c r="B10" s="29" t="s">
        <v>213</v>
      </c>
      <c r="C10" s="176" t="s">
        <v>63</v>
      </c>
      <c r="D10" s="177">
        <v>0.5</v>
      </c>
      <c r="E10" s="177">
        <v>330</v>
      </c>
      <c r="F10" s="8">
        <v>1.8</v>
      </c>
      <c r="G10" s="178" t="s">
        <v>211</v>
      </c>
      <c r="H10" s="179">
        <v>0.3</v>
      </c>
      <c r="I10" s="177">
        <v>40</v>
      </c>
      <c r="J10" s="177">
        <v>42</v>
      </c>
      <c r="K10" s="177">
        <v>0.16500000000000001</v>
      </c>
      <c r="L10" s="180">
        <f t="shared" si="3"/>
        <v>566.05216432380894</v>
      </c>
      <c r="M10" s="180">
        <f t="shared" si="4"/>
        <v>1018.8938957828561</v>
      </c>
      <c r="N10" s="181">
        <f>L10/E10</f>
        <v>1.7153095888600272</v>
      </c>
      <c r="O10" s="182">
        <v>1.0329999999999999</v>
      </c>
      <c r="P10" s="169" t="s">
        <v>204</v>
      </c>
      <c r="Q10" s="183">
        <f t="shared" si="6"/>
        <v>1052.5173943436903</v>
      </c>
      <c r="R10" s="184">
        <f t="shared" si="1"/>
        <v>1018.8938957828561</v>
      </c>
      <c r="S10" s="184">
        <f t="shared" si="2"/>
        <v>1.7153095888600272</v>
      </c>
      <c r="T10" s="158">
        <f t="shared" si="0"/>
        <v>1052.5173943436903</v>
      </c>
    </row>
    <row r="11" spans="1:32" ht="15">
      <c r="A11" s="175" t="s">
        <v>255</v>
      </c>
      <c r="B11" s="29"/>
      <c r="C11" s="29"/>
      <c r="D11" s="143"/>
      <c r="E11" s="143"/>
      <c r="F11" s="170"/>
      <c r="G11" s="161"/>
      <c r="H11" s="166"/>
      <c r="I11" s="162"/>
      <c r="J11" s="162"/>
      <c r="K11" s="162"/>
      <c r="L11" s="171"/>
      <c r="M11" s="171"/>
      <c r="N11" s="172"/>
      <c r="O11" s="173"/>
      <c r="P11" s="166"/>
      <c r="Q11" s="166"/>
      <c r="R11" s="184"/>
      <c r="S11" s="184"/>
    </row>
    <row r="12" spans="1:32">
      <c r="A12" s="79" t="s">
        <v>75</v>
      </c>
      <c r="B12" s="29"/>
      <c r="C12" s="29"/>
      <c r="D12" s="143"/>
      <c r="E12" s="143"/>
      <c r="F12" s="170"/>
      <c r="G12" s="161"/>
      <c r="H12" s="166"/>
      <c r="I12" s="162"/>
      <c r="J12" s="162"/>
      <c r="K12" s="162"/>
      <c r="L12" s="171"/>
      <c r="M12" s="171"/>
      <c r="N12" s="172"/>
      <c r="O12" s="173"/>
      <c r="P12" s="166"/>
      <c r="Q12" s="166"/>
      <c r="R12" s="184"/>
      <c r="S12" s="184"/>
    </row>
    <row r="13" spans="1:32">
      <c r="A13" s="78" t="s">
        <v>230</v>
      </c>
      <c r="B13" s="176" t="s">
        <v>7</v>
      </c>
      <c r="C13" s="176" t="s">
        <v>205</v>
      </c>
      <c r="D13" s="177">
        <v>1</v>
      </c>
      <c r="E13" s="143" t="s">
        <v>210</v>
      </c>
      <c r="F13" s="8">
        <v>2.7</v>
      </c>
      <c r="G13" s="178" t="s">
        <v>205</v>
      </c>
      <c r="H13" s="179">
        <v>0</v>
      </c>
      <c r="I13" s="177">
        <v>100</v>
      </c>
      <c r="J13" s="177">
        <v>15</v>
      </c>
      <c r="K13" s="177">
        <v>4</v>
      </c>
      <c r="L13" s="180">
        <f>CHOOSE(LOOKUP(G13,$W$3:$X$6), "Enter Value", I13*D13*J13*K13*(1+H13), (PI()/4)*D13*I13*(1+H13)*J13^2, PI()*(1+H13)*D13*I13*J13*K13)</f>
        <v>6000</v>
      </c>
      <c r="M13" s="180">
        <f>L13*F13</f>
        <v>16200.000000000002</v>
      </c>
      <c r="N13" s="181" t="e">
        <f>L13/E13</f>
        <v>#VALUE!</v>
      </c>
      <c r="O13" s="182">
        <v>1.7000000000000001E-2</v>
      </c>
      <c r="P13" s="169" t="s">
        <v>204</v>
      </c>
      <c r="Q13" s="183">
        <f>CHOOSE(LOOKUP(P13,$V$3:$V$5,$X$3:$X$5), O13*L13, O13*M13, O13*N13)</f>
        <v>275.40000000000003</v>
      </c>
      <c r="R13" s="184">
        <f>IF(C13="Test", M13, 0)</f>
        <v>0</v>
      </c>
      <c r="S13" s="184">
        <f>IF(C13="Test", N13, 0)</f>
        <v>0</v>
      </c>
      <c r="T13" s="158">
        <f>IF(C13="Test", Q13, 0)</f>
        <v>0</v>
      </c>
    </row>
    <row r="14" spans="1:32">
      <c r="A14" s="78" t="s">
        <v>256</v>
      </c>
      <c r="B14" s="176" t="s">
        <v>7</v>
      </c>
      <c r="C14" s="176" t="s">
        <v>205</v>
      </c>
      <c r="D14" s="177">
        <v>1</v>
      </c>
      <c r="E14" s="143" t="s">
        <v>210</v>
      </c>
      <c r="F14" s="8">
        <v>2.7</v>
      </c>
      <c r="G14" s="178" t="s">
        <v>205</v>
      </c>
      <c r="H14" s="179">
        <v>0</v>
      </c>
      <c r="I14" s="177">
        <v>100</v>
      </c>
      <c r="J14" s="177">
        <v>15</v>
      </c>
      <c r="K14" s="177">
        <v>4</v>
      </c>
      <c r="L14" s="180">
        <f>CHOOSE(LOOKUP(G14,$W$3:$X$6), "Enter Value", I14*D14*J14*K14*(1+H14), (PI()/4)*D14*I14*(1+H14)*J14^2, PI()*(1+H14)*D14*I14*J14*K14)</f>
        <v>6000</v>
      </c>
      <c r="M14" s="180">
        <f>L14*F14</f>
        <v>16200.000000000002</v>
      </c>
      <c r="N14" s="181" t="e">
        <f>L14/E14</f>
        <v>#VALUE!</v>
      </c>
      <c r="O14" s="182">
        <v>1.7000000000000001E-2</v>
      </c>
      <c r="P14" s="169" t="s">
        <v>204</v>
      </c>
      <c r="Q14" s="183">
        <f>CHOOSE(LOOKUP(P14,$V$3:$V$5,$X$3:$X$5), O14*L14, O14*M14, O14*N14)</f>
        <v>275.40000000000003</v>
      </c>
      <c r="R14" s="184">
        <f>IF(C14="Test", M14, 0)</f>
        <v>0</v>
      </c>
      <c r="S14" s="184">
        <f>IF(C14="Test", N14, 0)</f>
        <v>0</v>
      </c>
      <c r="T14" s="158">
        <f>IF(C14="Test", Q14, 0)</f>
        <v>0</v>
      </c>
    </row>
    <row r="15" spans="1:32">
      <c r="A15" s="79" t="s">
        <v>219</v>
      </c>
      <c r="R15" s="184"/>
      <c r="S15" s="184"/>
    </row>
    <row r="16" spans="1:32">
      <c r="A16" s="78" t="s">
        <v>257</v>
      </c>
      <c r="B16" s="29" t="s">
        <v>213</v>
      </c>
      <c r="C16" s="176" t="s">
        <v>214</v>
      </c>
      <c r="D16" s="177">
        <v>5</v>
      </c>
      <c r="E16" s="177">
        <v>330</v>
      </c>
      <c r="F16" s="8">
        <v>1.8</v>
      </c>
      <c r="G16" s="178" t="s">
        <v>205</v>
      </c>
      <c r="H16" s="179">
        <v>0.3</v>
      </c>
      <c r="I16" s="177">
        <v>80</v>
      </c>
      <c r="J16" s="177">
        <v>2.5</v>
      </c>
      <c r="K16" s="177">
        <v>0.82499999999999996</v>
      </c>
      <c r="L16" s="180">
        <f>CHOOSE(LOOKUP(G16,$W$3:$X$6), "Enter Value", I16*D16*J16*K16*(1+H16), (PI()/4)*D16*I16*(1+H16)*J16^2, PI()*(1+H16)*D16*I16*J16*K16)</f>
        <v>1072.5</v>
      </c>
      <c r="M16" s="180">
        <f>L16*F16</f>
        <v>1930.5</v>
      </c>
      <c r="N16" s="181">
        <f>L16/E16</f>
        <v>3.25</v>
      </c>
      <c r="O16" s="182">
        <v>1.0329999999999999</v>
      </c>
      <c r="P16" s="169" t="s">
        <v>204</v>
      </c>
      <c r="Q16" s="183">
        <f>CHOOSE(LOOKUP(P16,$V$3:$V$5,$X$3:$X$5), O16*L16, O16*M16, O16*N16)</f>
        <v>1994.2064999999998</v>
      </c>
      <c r="R16" s="184">
        <f t="shared" si="1"/>
        <v>0</v>
      </c>
      <c r="S16" s="184">
        <f t="shared" si="2"/>
        <v>0</v>
      </c>
      <c r="T16" s="158">
        <f t="shared" si="0"/>
        <v>0</v>
      </c>
    </row>
    <row r="17" spans="1:20">
      <c r="A17" s="78" t="s">
        <v>258</v>
      </c>
      <c r="B17" s="29" t="s">
        <v>213</v>
      </c>
      <c r="C17" s="176" t="s">
        <v>63</v>
      </c>
      <c r="D17" s="177">
        <v>2</v>
      </c>
      <c r="E17" s="177">
        <v>330</v>
      </c>
      <c r="F17" s="8">
        <v>1.8</v>
      </c>
      <c r="G17" s="178" t="s">
        <v>205</v>
      </c>
      <c r="H17" s="179">
        <v>0.5</v>
      </c>
      <c r="I17" s="177">
        <v>20</v>
      </c>
      <c r="J17" s="177">
        <v>3</v>
      </c>
      <c r="K17" s="177">
        <v>0.82499999999999996</v>
      </c>
      <c r="L17" s="180">
        <f>CHOOSE(LOOKUP(G17,$W$3:$X$6), "Enter Value", I17*D17*J17*K17*(1+H17), (PI()/4)*D17*I17*(1+H17)*J17^2, PI()*(1+H17)*D17*I17*J17*K17)</f>
        <v>148.5</v>
      </c>
      <c r="M17" s="180">
        <f>L17*F17</f>
        <v>267.3</v>
      </c>
      <c r="N17" s="181">
        <f>L17/E17</f>
        <v>0.45</v>
      </c>
      <c r="O17" s="182">
        <v>1.0329999999999999</v>
      </c>
      <c r="P17" s="169" t="s">
        <v>204</v>
      </c>
      <c r="Q17" s="183">
        <f>CHOOSE(LOOKUP(P17,$V$3:$V$5,$X$3:$X$5), O17*L17, O17*M17, O17*N17)</f>
        <v>276.12090000000001</v>
      </c>
      <c r="R17" s="184">
        <f t="shared" si="1"/>
        <v>267.3</v>
      </c>
      <c r="S17" s="184">
        <f t="shared" si="2"/>
        <v>0.45</v>
      </c>
      <c r="T17" s="158">
        <f t="shared" si="0"/>
        <v>276.12090000000001</v>
      </c>
    </row>
    <row r="18" spans="1:20" ht="15">
      <c r="A18" s="175" t="s">
        <v>259</v>
      </c>
      <c r="B18" s="29"/>
      <c r="C18" s="29"/>
      <c r="D18" s="143"/>
      <c r="E18" s="143"/>
      <c r="F18" s="170"/>
      <c r="G18" s="161"/>
      <c r="H18" s="166"/>
      <c r="I18" s="162"/>
      <c r="J18" s="162"/>
      <c r="K18" s="162"/>
      <c r="L18" s="171"/>
      <c r="M18" s="171"/>
      <c r="N18" s="172"/>
      <c r="O18" s="173"/>
      <c r="P18" s="166"/>
      <c r="Q18" s="166"/>
      <c r="R18" s="184"/>
      <c r="S18" s="184"/>
    </row>
    <row r="19" spans="1:20">
      <c r="A19" s="79" t="s">
        <v>75</v>
      </c>
      <c r="B19" s="29"/>
      <c r="C19" s="29"/>
      <c r="D19" s="143"/>
      <c r="E19" s="143"/>
      <c r="F19" s="170"/>
      <c r="G19" s="161"/>
      <c r="H19" s="166"/>
      <c r="I19" s="162"/>
      <c r="J19" s="162"/>
      <c r="K19" s="162"/>
      <c r="L19" s="171"/>
      <c r="M19" s="171"/>
      <c r="N19" s="172"/>
      <c r="O19" s="173"/>
      <c r="P19" s="166"/>
      <c r="Q19" s="166"/>
      <c r="R19" s="184"/>
      <c r="S19" s="184"/>
    </row>
    <row r="20" spans="1:20">
      <c r="A20" s="78" t="s">
        <v>221</v>
      </c>
      <c r="B20" s="176" t="s">
        <v>7</v>
      </c>
      <c r="C20" s="176" t="s">
        <v>205</v>
      </c>
      <c r="D20" s="177">
        <v>1</v>
      </c>
      <c r="E20" s="143" t="s">
        <v>210</v>
      </c>
      <c r="F20" s="8">
        <v>2.7</v>
      </c>
      <c r="G20" s="178" t="s">
        <v>205</v>
      </c>
      <c r="H20" s="179">
        <v>0</v>
      </c>
      <c r="I20" s="177">
        <v>45</v>
      </c>
      <c r="J20" s="177">
        <v>22</v>
      </c>
      <c r="K20" s="177">
        <v>2</v>
      </c>
      <c r="L20" s="180">
        <f>CHOOSE(LOOKUP(G20,$W$3:$X$6), "Enter Value", I20*D20*J20*K20*(1+H20), (PI()/4)*D20*I20*(1+H20)*J20^2, PI()*(1+H20)*D20*I20*J20*K20)</f>
        <v>1980</v>
      </c>
      <c r="M20" s="180">
        <f>L20*F20</f>
        <v>5346</v>
      </c>
      <c r="N20" s="181" t="e">
        <f>L20/E20</f>
        <v>#VALUE!</v>
      </c>
      <c r="O20" s="182">
        <v>1.7000000000000001E-2</v>
      </c>
      <c r="P20" s="169" t="s">
        <v>204</v>
      </c>
      <c r="Q20" s="183">
        <f>CHOOSE(LOOKUP(P20,$V$3:$V$5,$X$3:$X$5), O20*L20, O20*M20, O20*N20)</f>
        <v>90.882000000000005</v>
      </c>
      <c r="R20" s="184">
        <f t="shared" si="1"/>
        <v>0</v>
      </c>
      <c r="S20" s="184">
        <f t="shared" si="2"/>
        <v>0</v>
      </c>
      <c r="T20" s="158">
        <f t="shared" si="0"/>
        <v>0</v>
      </c>
    </row>
    <row r="21" spans="1:20">
      <c r="A21" s="78" t="s">
        <v>139</v>
      </c>
      <c r="B21" s="176" t="s">
        <v>7</v>
      </c>
      <c r="C21" s="176" t="s">
        <v>205</v>
      </c>
      <c r="D21" s="177">
        <v>1</v>
      </c>
      <c r="E21" s="143" t="s">
        <v>210</v>
      </c>
      <c r="F21" s="8">
        <v>2.7</v>
      </c>
      <c r="G21" s="178" t="s">
        <v>205</v>
      </c>
      <c r="H21" s="179">
        <v>0</v>
      </c>
      <c r="I21" s="177">
        <v>45</v>
      </c>
      <c r="J21" s="177">
        <v>22</v>
      </c>
      <c r="K21" s="177">
        <v>2</v>
      </c>
      <c r="L21" s="180">
        <f>CHOOSE(LOOKUP(G21,$W$3:$X$6), "Enter Value", I21*D21*J21*K21*(1+H21), (PI()/4)*D21*I21*(1+H21)*J21^2, PI()*(1+H21)*D21*I21*J21*K21)</f>
        <v>1980</v>
      </c>
      <c r="M21" s="180">
        <f>L21*F21</f>
        <v>5346</v>
      </c>
      <c r="N21" s="181" t="e">
        <f>L21/E21</f>
        <v>#VALUE!</v>
      </c>
      <c r="O21" s="182">
        <v>1.7000000000000001E-2</v>
      </c>
      <c r="P21" s="169" t="s">
        <v>204</v>
      </c>
      <c r="Q21" s="183">
        <f>CHOOSE(LOOKUP(P21,$V$3:$V$5,$X$3:$X$5), O21*L21, O21*M21, O21*N21)</f>
        <v>90.882000000000005</v>
      </c>
      <c r="R21" s="184">
        <f t="shared" si="1"/>
        <v>0</v>
      </c>
      <c r="S21" s="184">
        <f t="shared" si="2"/>
        <v>0</v>
      </c>
      <c r="T21" s="158">
        <f t="shared" si="0"/>
        <v>0</v>
      </c>
    </row>
    <row r="22" spans="1:20">
      <c r="A22" s="79" t="s">
        <v>219</v>
      </c>
      <c r="R22" s="184"/>
      <c r="S22" s="184"/>
    </row>
    <row r="23" spans="1:20">
      <c r="A23" s="78" t="s">
        <v>272</v>
      </c>
      <c r="B23" s="29" t="s">
        <v>213</v>
      </c>
      <c r="C23" s="176" t="s">
        <v>214</v>
      </c>
      <c r="D23" s="177">
        <v>5</v>
      </c>
      <c r="E23" s="177">
        <v>330</v>
      </c>
      <c r="F23" s="8">
        <v>1.8</v>
      </c>
      <c r="G23" s="178" t="s">
        <v>211</v>
      </c>
      <c r="H23" s="179">
        <v>0.6</v>
      </c>
      <c r="I23" s="177">
        <v>0.33</v>
      </c>
      <c r="J23" s="177">
        <v>35</v>
      </c>
      <c r="K23" s="177">
        <v>7</v>
      </c>
      <c r="L23" s="180">
        <f t="shared" ref="L23:L24" si="7">CHOOSE(LOOKUP(G23,$W$3:$X$6), "Enter Value", I23*D23*J23*K23*(1+H23), (PI()/4)*D23*I23*(1+H23)*J23^2, PI()*(1+H23)*D23*I23*J23*K23)</f>
        <v>2031.9821283418785</v>
      </c>
      <c r="M23" s="180">
        <f t="shared" ref="M23:M24" si="8">L23*F23</f>
        <v>3657.5678310153812</v>
      </c>
      <c r="N23" s="181">
        <f t="shared" ref="N23" si="9">L23/E23</f>
        <v>6.1575216010359952</v>
      </c>
      <c r="O23" s="182">
        <v>1.0329999999999999</v>
      </c>
      <c r="P23" s="169" t="s">
        <v>204</v>
      </c>
      <c r="Q23" s="183">
        <f t="shared" ref="Q23:Q24" si="10">CHOOSE(LOOKUP(P23,$V$3:$V$5,$X$3:$X$5), O23*L23, O23*M23, O23*N23)</f>
        <v>3778.2675694388886</v>
      </c>
      <c r="R23" s="184">
        <f t="shared" ref="R23:R24" si="11">IF(C23="Test", M23, 0)</f>
        <v>0</v>
      </c>
      <c r="S23" s="184">
        <f>IF(C23="Test", N23, 0)</f>
        <v>0</v>
      </c>
      <c r="T23" s="158">
        <f t="shared" ref="T23:T24" si="12">IF(C23="Test", Q23, 0)</f>
        <v>0</v>
      </c>
    </row>
    <row r="24" spans="1:20">
      <c r="A24" s="78" t="s">
        <v>261</v>
      </c>
      <c r="B24" s="29" t="s">
        <v>213</v>
      </c>
      <c r="C24" s="176" t="s">
        <v>63</v>
      </c>
      <c r="D24" s="177">
        <v>1</v>
      </c>
      <c r="E24" s="177">
        <v>330</v>
      </c>
      <c r="F24" s="8">
        <v>1.8</v>
      </c>
      <c r="G24" s="178" t="s">
        <v>211</v>
      </c>
      <c r="H24" s="179">
        <v>0.6</v>
      </c>
      <c r="I24" s="177">
        <v>0.33</v>
      </c>
      <c r="J24" s="177">
        <v>35</v>
      </c>
      <c r="K24" s="177">
        <v>7</v>
      </c>
      <c r="L24" s="180">
        <f t="shared" si="7"/>
        <v>406.39642566837568</v>
      </c>
      <c r="M24" s="180">
        <f t="shared" si="8"/>
        <v>731.51356620307627</v>
      </c>
      <c r="N24" s="181">
        <f>L24/E24</f>
        <v>1.2315043202071991</v>
      </c>
      <c r="O24" s="182">
        <v>1.0329999999999999</v>
      </c>
      <c r="P24" s="169" t="s">
        <v>204</v>
      </c>
      <c r="Q24" s="183">
        <f t="shared" si="10"/>
        <v>755.65351388777776</v>
      </c>
      <c r="R24" s="184">
        <f t="shared" si="11"/>
        <v>731.51356620307627</v>
      </c>
      <c r="S24" s="184">
        <f t="shared" ref="S24" si="13">IF(C24="Test", N24, 0)</f>
        <v>1.2315043202071991</v>
      </c>
      <c r="T24" s="158">
        <f t="shared" si="12"/>
        <v>755.65351388777776</v>
      </c>
    </row>
    <row r="25" spans="1:20" ht="15">
      <c r="A25" s="175" t="s">
        <v>271</v>
      </c>
      <c r="B25" s="29"/>
      <c r="C25" s="29"/>
      <c r="D25" s="143"/>
      <c r="E25" s="143"/>
      <c r="F25" s="170"/>
      <c r="G25" s="161"/>
      <c r="H25" s="166"/>
      <c r="I25" s="162"/>
      <c r="J25" s="162"/>
      <c r="K25" s="162"/>
      <c r="L25" s="171"/>
      <c r="M25" s="171"/>
      <c r="N25" s="172"/>
      <c r="O25" s="173"/>
      <c r="P25" s="166"/>
      <c r="Q25" s="166"/>
      <c r="R25" s="184"/>
      <c r="S25" s="184"/>
    </row>
    <row r="26" spans="1:20">
      <c r="A26" s="79" t="s">
        <v>75</v>
      </c>
      <c r="B26" s="29"/>
      <c r="C26" s="29"/>
      <c r="D26" s="143"/>
      <c r="E26" s="143"/>
      <c r="F26" s="170"/>
      <c r="G26" s="161"/>
      <c r="H26" s="166"/>
      <c r="I26" s="162"/>
      <c r="J26" s="162"/>
      <c r="K26" s="162"/>
      <c r="L26" s="171"/>
      <c r="M26" s="171"/>
      <c r="N26" s="172"/>
      <c r="O26" s="173"/>
      <c r="P26" s="166"/>
      <c r="Q26" s="166"/>
      <c r="R26" s="184"/>
      <c r="S26" s="184"/>
    </row>
    <row r="27" spans="1:20">
      <c r="A27" s="78" t="s">
        <v>221</v>
      </c>
      <c r="B27" s="176" t="s">
        <v>7</v>
      </c>
      <c r="C27" s="176" t="s">
        <v>205</v>
      </c>
      <c r="D27" s="177">
        <v>1</v>
      </c>
      <c r="E27" s="143" t="s">
        <v>210</v>
      </c>
      <c r="F27" s="8">
        <v>2.7</v>
      </c>
      <c r="G27" s="178" t="s">
        <v>205</v>
      </c>
      <c r="H27" s="179">
        <v>0</v>
      </c>
      <c r="I27" s="177">
        <v>70</v>
      </c>
      <c r="J27" s="177">
        <v>22</v>
      </c>
      <c r="K27" s="177">
        <v>2</v>
      </c>
      <c r="L27" s="180">
        <f>CHOOSE(LOOKUP(G27,$W$3:$X$6), "Enter Value", I27*D27*J27*K27*(1+H27), (PI()/4)*D27*I27*(1+H27)*J27^2, PI()*(1+H27)*D27*I27*J27*K27)</f>
        <v>3080</v>
      </c>
      <c r="M27" s="180">
        <f>L27*F27</f>
        <v>8316</v>
      </c>
      <c r="N27" s="181" t="e">
        <f>L27/E27</f>
        <v>#VALUE!</v>
      </c>
      <c r="O27" s="182">
        <v>1.7000000000000001E-2</v>
      </c>
      <c r="P27" s="169" t="s">
        <v>204</v>
      </c>
      <c r="Q27" s="183">
        <f>CHOOSE(LOOKUP(P27,$V$3:$V$5,$X$3:$X$5), O27*L27, O27*M27, O27*N27)</f>
        <v>141.37200000000001</v>
      </c>
      <c r="R27" s="184">
        <f t="shared" ref="R27:R28" si="14">IF(C27="Test", M27, 0)</f>
        <v>0</v>
      </c>
      <c r="S27" s="184">
        <f t="shared" ref="S27:S28" si="15">IF(C27="Test", N27, 0)</f>
        <v>0</v>
      </c>
      <c r="T27" s="158">
        <f t="shared" ref="T27:T28" si="16">IF(C27="Test", Q27, 0)</f>
        <v>0</v>
      </c>
    </row>
    <row r="28" spans="1:20">
      <c r="A28" s="78" t="s">
        <v>139</v>
      </c>
      <c r="B28" s="176" t="s">
        <v>7</v>
      </c>
      <c r="C28" s="176" t="s">
        <v>205</v>
      </c>
      <c r="D28" s="177">
        <v>1</v>
      </c>
      <c r="E28" s="143" t="s">
        <v>210</v>
      </c>
      <c r="F28" s="8">
        <v>2.7</v>
      </c>
      <c r="G28" s="178" t="s">
        <v>205</v>
      </c>
      <c r="H28" s="179">
        <v>0</v>
      </c>
      <c r="I28" s="177">
        <v>70</v>
      </c>
      <c r="J28" s="177">
        <v>22</v>
      </c>
      <c r="K28" s="177">
        <v>2</v>
      </c>
      <c r="L28" s="180">
        <f>CHOOSE(LOOKUP(G28,$W$3:$X$6), "Enter Value", I28*D28*J28*K28*(1+H28), (PI()/4)*D28*I28*(1+H28)*J28^2, PI()*(1+H28)*D28*I28*J28*K28)</f>
        <v>3080</v>
      </c>
      <c r="M28" s="180">
        <f>L28*F28</f>
        <v>8316</v>
      </c>
      <c r="N28" s="181" t="e">
        <f>L28/E28</f>
        <v>#VALUE!</v>
      </c>
      <c r="O28" s="182">
        <v>1.7000000000000001E-2</v>
      </c>
      <c r="P28" s="169" t="s">
        <v>204</v>
      </c>
      <c r="Q28" s="183">
        <f>CHOOSE(LOOKUP(P28,$V$3:$V$5,$X$3:$X$5), O28*L28, O28*M28, O28*N28)</f>
        <v>141.37200000000001</v>
      </c>
      <c r="R28" s="184">
        <f t="shared" si="14"/>
        <v>0</v>
      </c>
      <c r="S28" s="184">
        <f t="shared" si="15"/>
        <v>0</v>
      </c>
      <c r="T28" s="158">
        <f t="shared" si="16"/>
        <v>0</v>
      </c>
    </row>
    <row r="29" spans="1:20">
      <c r="A29" s="79" t="s">
        <v>219</v>
      </c>
      <c r="R29" s="184"/>
      <c r="S29" s="184"/>
    </row>
    <row r="30" spans="1:20">
      <c r="A30" s="78" t="s">
        <v>271</v>
      </c>
      <c r="B30" s="29" t="s">
        <v>213</v>
      </c>
      <c r="C30" s="176" t="s">
        <v>214</v>
      </c>
      <c r="D30" s="177">
        <v>5</v>
      </c>
      <c r="E30" s="177">
        <v>330</v>
      </c>
      <c r="F30" s="8">
        <v>1.8</v>
      </c>
      <c r="G30" s="178" t="s">
        <v>211</v>
      </c>
      <c r="H30" s="179">
        <v>0.3</v>
      </c>
      <c r="I30" s="177">
        <v>39</v>
      </c>
      <c r="J30" s="177">
        <v>16</v>
      </c>
      <c r="K30" s="177">
        <v>0.42899999999999999</v>
      </c>
      <c r="L30" s="180">
        <f t="shared" ref="L30" si="17">CHOOSE(LOOKUP(G30,$W$3:$X$6), "Enter Value", I30*D30*J30*K30*(1+H30), (PI()/4)*D30*I30*(1+H30)*J30^2, PI()*(1+H30)*D30*I30*J30*K30)</f>
        <v>5466.4466154699267</v>
      </c>
      <c r="M30" s="180">
        <f t="shared" ref="M30" si="18">L30*F30</f>
        <v>9839.6039078458689</v>
      </c>
      <c r="N30" s="181">
        <f t="shared" ref="N30" si="19">L30/E30</f>
        <v>16.564989743848262</v>
      </c>
      <c r="O30" s="182">
        <v>1.0329999999999999</v>
      </c>
      <c r="P30" s="169" t="s">
        <v>204</v>
      </c>
      <c r="Q30" s="183">
        <f t="shared" ref="Q30" si="20">CHOOSE(LOOKUP(P30,$V$3:$V$5,$X$3:$X$5), O30*L30, O30*M30, O30*N30)</f>
        <v>10164.310836804782</v>
      </c>
      <c r="R30" s="184">
        <f t="shared" ref="R30" si="21">IF(C30="Test", M30, 0)</f>
        <v>0</v>
      </c>
      <c r="S30" s="184">
        <f>IF(C30="Test", N30, 0)</f>
        <v>0</v>
      </c>
      <c r="T30" s="158">
        <f t="shared" ref="T30" si="22">IF(C30="Test", Q30, 0)</f>
        <v>0</v>
      </c>
    </row>
    <row r="31" spans="1:20" ht="15">
      <c r="A31" s="175" t="s">
        <v>263</v>
      </c>
      <c r="B31" s="29"/>
      <c r="C31" s="29"/>
      <c r="D31" s="143"/>
      <c r="E31" s="143"/>
      <c r="F31" s="170"/>
      <c r="G31" s="161"/>
      <c r="H31" s="166"/>
      <c r="I31" s="162"/>
      <c r="J31" s="162"/>
      <c r="K31" s="162"/>
      <c r="L31" s="171"/>
      <c r="M31" s="171"/>
      <c r="N31" s="172"/>
      <c r="O31" s="173"/>
      <c r="P31" s="166"/>
      <c r="Q31" s="166"/>
      <c r="R31" s="184"/>
      <c r="S31" s="184"/>
    </row>
    <row r="32" spans="1:20">
      <c r="A32" s="79" t="s">
        <v>213</v>
      </c>
      <c r="B32" s="29"/>
      <c r="C32" s="29"/>
      <c r="D32" s="143"/>
      <c r="E32" s="143"/>
      <c r="F32" s="170"/>
      <c r="G32" s="161"/>
      <c r="H32" s="166"/>
      <c r="I32" s="162"/>
      <c r="J32" s="162"/>
      <c r="K32" s="162"/>
      <c r="L32" s="171"/>
      <c r="M32" s="171"/>
      <c r="N32" s="172"/>
      <c r="O32" s="173"/>
      <c r="P32" s="166"/>
      <c r="Q32" s="166"/>
      <c r="R32" s="184"/>
      <c r="S32" s="184"/>
    </row>
    <row r="33" spans="1:20">
      <c r="A33" s="78" t="s">
        <v>264</v>
      </c>
      <c r="B33" s="29" t="s">
        <v>213</v>
      </c>
      <c r="C33" s="176" t="s">
        <v>63</v>
      </c>
      <c r="D33" s="177">
        <v>5</v>
      </c>
      <c r="E33" s="177">
        <v>330</v>
      </c>
      <c r="F33" s="8">
        <v>1.8</v>
      </c>
      <c r="G33" s="178" t="s">
        <v>205</v>
      </c>
      <c r="H33" s="179">
        <v>0.3</v>
      </c>
      <c r="I33" s="177">
        <v>30</v>
      </c>
      <c r="J33" s="177">
        <v>30</v>
      </c>
      <c r="K33" s="177">
        <v>0.1</v>
      </c>
      <c r="L33" s="180">
        <f>CHOOSE(LOOKUP(G33,$W$3:$X$6), "Enter Value", I33*D33*J33*K33*(1+H33), (PI()/4)*D33*I33*(1+H33)*J33^2, PI()*(1+H33)*D33*I33*J33*K33)</f>
        <v>585</v>
      </c>
      <c r="M33" s="180">
        <f>L33*F33</f>
        <v>1053</v>
      </c>
      <c r="N33" s="181">
        <f>L33/E33</f>
        <v>1.7727272727272727</v>
      </c>
      <c r="O33" s="182">
        <v>1.0329999999999999</v>
      </c>
      <c r="P33" s="169" t="s">
        <v>204</v>
      </c>
      <c r="Q33" s="183">
        <f>CHOOSE(LOOKUP(P33,$V$3:$V$5,$X$3:$X$5), O33*L33, O33*M33, O33*N33)</f>
        <v>1087.749</v>
      </c>
      <c r="R33" s="184">
        <f t="shared" ref="R33" si="23">IF(C33="Test", M33, 0)</f>
        <v>1053</v>
      </c>
      <c r="S33" s="184">
        <f t="shared" ref="S33" si="24">IF(C33="Test", N33, 0)</f>
        <v>1.7727272727272727</v>
      </c>
      <c r="T33" s="158">
        <f t="shared" ref="T33" si="25">IF(C33="Test", Q33, 0)</f>
        <v>1087.749</v>
      </c>
    </row>
    <row r="34" spans="1:20" ht="15">
      <c r="A34" s="175" t="s">
        <v>129</v>
      </c>
      <c r="B34" s="29"/>
      <c r="C34" s="29"/>
      <c r="D34" s="143"/>
      <c r="E34" s="143"/>
      <c r="F34" s="170"/>
      <c r="G34" s="161"/>
      <c r="H34" s="166"/>
      <c r="I34" s="162"/>
      <c r="J34" s="162"/>
      <c r="K34" s="162"/>
      <c r="L34" s="171"/>
      <c r="M34" s="171"/>
      <c r="N34" s="172"/>
      <c r="O34" s="173"/>
      <c r="P34" s="166"/>
      <c r="Q34" s="166"/>
      <c r="R34" s="184"/>
      <c r="S34" s="184"/>
    </row>
    <row r="35" spans="1:20">
      <c r="A35" s="79" t="s">
        <v>75</v>
      </c>
      <c r="B35" s="29"/>
      <c r="C35" s="29"/>
      <c r="D35" s="143"/>
      <c r="E35" s="143"/>
      <c r="F35" s="170"/>
      <c r="G35" s="161"/>
      <c r="H35" s="166"/>
      <c r="I35" s="162"/>
      <c r="J35" s="162"/>
      <c r="K35" s="162"/>
      <c r="L35" s="171"/>
      <c r="M35" s="171"/>
      <c r="N35" s="172"/>
      <c r="O35" s="173"/>
      <c r="P35" s="166"/>
      <c r="Q35" s="166"/>
      <c r="R35" s="184"/>
      <c r="S35" s="184"/>
    </row>
    <row r="36" spans="1:20">
      <c r="A36" s="78" t="s">
        <v>254</v>
      </c>
      <c r="B36" s="176" t="s">
        <v>7</v>
      </c>
      <c r="C36" s="176" t="s">
        <v>205</v>
      </c>
      <c r="D36" s="177">
        <v>1</v>
      </c>
      <c r="E36" s="143" t="s">
        <v>210</v>
      </c>
      <c r="F36" s="8">
        <v>2.7</v>
      </c>
      <c r="G36" s="178" t="s">
        <v>205</v>
      </c>
      <c r="H36" s="179">
        <v>0</v>
      </c>
      <c r="I36" s="177">
        <v>110</v>
      </c>
      <c r="J36" s="177">
        <v>57</v>
      </c>
      <c r="K36" s="177">
        <v>5</v>
      </c>
      <c r="L36" s="180">
        <f>CHOOSE(LOOKUP(G36,$W$3:$X$6), "Enter Value", I36*D36*J36*K36*(1+H36), (PI()/4)*D36*I36*(1+H36)*J36^2, PI()*(1+H36)*D36*I36*J36*K36)</f>
        <v>31350</v>
      </c>
      <c r="M36" s="180">
        <f>L36*F36</f>
        <v>84645</v>
      </c>
      <c r="N36" s="181" t="e">
        <f>L36/E36</f>
        <v>#VALUE!</v>
      </c>
      <c r="O36" s="182">
        <v>3.4000000000000002E-2</v>
      </c>
      <c r="P36" s="169" t="s">
        <v>204</v>
      </c>
      <c r="Q36" s="183">
        <f>CHOOSE(LOOKUP(P36,$V$3:$V$5,$X$3:$X$5), O36*L36, O36*M36, O36*N36)</f>
        <v>2877.9300000000003</v>
      </c>
      <c r="R36" s="184">
        <f>IF(C36="Test", M36, 0)</f>
        <v>0</v>
      </c>
      <c r="S36" s="184">
        <f>IF(C36="Test", N36, 0)</f>
        <v>0</v>
      </c>
      <c r="T36" s="158">
        <f>IF(C36="Test", Q36, 0)</f>
        <v>0</v>
      </c>
    </row>
    <row r="37" spans="1:20">
      <c r="A37" s="78" t="s">
        <v>229</v>
      </c>
      <c r="B37" s="176" t="s">
        <v>7</v>
      </c>
      <c r="C37" s="176" t="s">
        <v>205</v>
      </c>
      <c r="D37" s="177">
        <v>2</v>
      </c>
      <c r="E37" s="143" t="s">
        <v>210</v>
      </c>
      <c r="F37" s="8">
        <v>2.7</v>
      </c>
      <c r="G37" s="178" t="s">
        <v>205</v>
      </c>
      <c r="H37" s="179">
        <v>0</v>
      </c>
      <c r="I37" s="177">
        <v>22</v>
      </c>
      <c r="J37" s="177">
        <v>44</v>
      </c>
      <c r="K37" s="177">
        <v>5</v>
      </c>
      <c r="L37" s="180">
        <f>CHOOSE(LOOKUP(G37,$W$3:$X$6), "Enter Value", I37*D37*J37*K37*(1+H37), (PI()/4)*D37*I37*(1+H37)*J37^2, PI()*(1+H37)*D37*I37*J37*K37)</f>
        <v>9680</v>
      </c>
      <c r="M37" s="180">
        <f>L37*F37</f>
        <v>26136</v>
      </c>
      <c r="N37" s="181" t="e">
        <f>L37/E37</f>
        <v>#VALUE!</v>
      </c>
      <c r="O37" s="182">
        <v>1.7000000000000001E-2</v>
      </c>
      <c r="P37" s="169" t="s">
        <v>204</v>
      </c>
      <c r="Q37" s="183">
        <f>CHOOSE(LOOKUP(P37,$V$3:$V$5,$X$3:$X$5), O37*L37, O37*M37, O37*N37)</f>
        <v>444.31200000000001</v>
      </c>
      <c r="R37" s="184">
        <f>IF(C37="Test", M37, 0)</f>
        <v>0</v>
      </c>
      <c r="S37" s="184">
        <f>IF(C37="Test", N37, 0)</f>
        <v>0</v>
      </c>
      <c r="T37" s="158">
        <f>IF(C37="Test", Q37, 0)</f>
        <v>0</v>
      </c>
    </row>
    <row r="38" spans="1:20">
      <c r="A38" s="78" t="s">
        <v>223</v>
      </c>
      <c r="B38" s="176" t="s">
        <v>7</v>
      </c>
      <c r="C38" s="176" t="s">
        <v>205</v>
      </c>
      <c r="D38" s="177">
        <v>1</v>
      </c>
      <c r="E38" s="143" t="s">
        <v>210</v>
      </c>
      <c r="F38" s="8">
        <v>2.7</v>
      </c>
      <c r="G38" s="178" t="s">
        <v>205</v>
      </c>
      <c r="H38" s="179">
        <v>0</v>
      </c>
      <c r="I38" s="177">
        <v>110</v>
      </c>
      <c r="J38" s="177">
        <v>57</v>
      </c>
      <c r="K38" s="177">
        <v>2.5</v>
      </c>
      <c r="L38" s="180">
        <f>CHOOSE(LOOKUP(G38,$W$3:$X$6), "Enter Value", I38*D38*J38*K38*(1+H38), (PI()/4)*D38*I38*(1+H38)*J38^2, PI()*(1+H38)*D38*I38*J38*K38)</f>
        <v>15675</v>
      </c>
      <c r="M38" s="180">
        <f>L38*F38</f>
        <v>42322.5</v>
      </c>
      <c r="N38" s="181" t="e">
        <f>L38/E38</f>
        <v>#VALUE!</v>
      </c>
      <c r="O38" s="182">
        <v>1.7000000000000001E-2</v>
      </c>
      <c r="P38" s="169" t="s">
        <v>204</v>
      </c>
      <c r="Q38" s="183">
        <f>CHOOSE(LOOKUP(P38,$V$3:$V$5,$X$3:$X$5), O38*L38, O38*M38, O38*N38)</f>
        <v>719.48250000000007</v>
      </c>
      <c r="R38" s="184">
        <f t="shared" si="1"/>
        <v>0</v>
      </c>
      <c r="S38" s="184">
        <f t="shared" si="2"/>
        <v>0</v>
      </c>
      <c r="T38" s="158">
        <f t="shared" si="0"/>
        <v>0</v>
      </c>
    </row>
    <row r="39" spans="1:20">
      <c r="A39" s="79" t="s">
        <v>219</v>
      </c>
      <c r="R39" s="184"/>
      <c r="S39" s="184"/>
    </row>
    <row r="40" spans="1:20">
      <c r="A40" s="78" t="s">
        <v>287</v>
      </c>
      <c r="B40" s="176" t="s">
        <v>120</v>
      </c>
      <c r="C40" s="176" t="s">
        <v>267</v>
      </c>
      <c r="D40" s="177">
        <v>30</v>
      </c>
      <c r="E40" s="143" t="s">
        <v>210</v>
      </c>
      <c r="F40" s="8">
        <v>1.52</v>
      </c>
      <c r="G40" s="178" t="s">
        <v>205</v>
      </c>
      <c r="H40" s="179">
        <v>0</v>
      </c>
      <c r="I40" s="177">
        <v>3</v>
      </c>
      <c r="J40" s="177">
        <v>2</v>
      </c>
      <c r="K40" s="177">
        <v>2</v>
      </c>
      <c r="L40" s="180">
        <f>CHOOSE(LOOKUP(G40,$W$3:$X$6), "Enter Value", I40*D40*J40*K40*(1+H40), (PI()/4)*D40*I40*(1+H40)*J40^2, PI()*(1+H40)*D40*I40*J40*K40)</f>
        <v>360</v>
      </c>
      <c r="M40" s="180">
        <f>L40*F40</f>
        <v>547.20000000000005</v>
      </c>
      <c r="N40" s="181" t="e">
        <f>L40/E40</f>
        <v>#VALUE!</v>
      </c>
      <c r="O40" s="182">
        <v>1.24</v>
      </c>
      <c r="P40" s="169" t="s">
        <v>204</v>
      </c>
      <c r="Q40" s="183">
        <f>CHOOSE(LOOKUP(P40,$V$3:$V$5,$X$3:$X$5), O40*L40, O40*M40, O40*N40)</f>
        <v>678.52800000000002</v>
      </c>
      <c r="R40" s="184">
        <f t="shared" si="1"/>
        <v>0</v>
      </c>
      <c r="S40" s="184">
        <f t="shared" si="2"/>
        <v>0</v>
      </c>
      <c r="T40" s="158">
        <f t="shared" si="0"/>
        <v>0</v>
      </c>
    </row>
    <row r="42" spans="1:20">
      <c r="P42" s="185" t="s">
        <v>224</v>
      </c>
      <c r="Q42" s="183">
        <f>SUM(Q6:Q40)</f>
        <v>29154.407289650524</v>
      </c>
    </row>
    <row r="44" spans="1:20">
      <c r="C44" s="29" t="s">
        <v>260</v>
      </c>
      <c r="D44" s="143" t="s">
        <v>225</v>
      </c>
      <c r="E44" s="143" t="s">
        <v>199</v>
      </c>
    </row>
    <row r="45" spans="1:20">
      <c r="B45" s="29" t="s">
        <v>265</v>
      </c>
      <c r="C45" s="186">
        <f>SUM(R6:R40)/454</f>
        <v>6.7636728237575596</v>
      </c>
      <c r="D45" s="186">
        <f>SUM(S6:S40)</f>
        <v>5.1695411817944992</v>
      </c>
      <c r="E45" s="187">
        <f>SUM(T6:T40)</f>
        <v>3172.040808231468</v>
      </c>
    </row>
    <row r="46" spans="1:20">
      <c r="B46" s="29" t="s">
        <v>226</v>
      </c>
      <c r="C46" s="186">
        <f>C47-C45</f>
        <v>40.714434859492997</v>
      </c>
      <c r="D46" s="186">
        <f t="shared" ref="D46:E46" si="26">D47-D45</f>
        <v>31.118440111464338</v>
      </c>
      <c r="E46" s="187">
        <f t="shared" si="26"/>
        <v>19094.337089274741</v>
      </c>
    </row>
    <row r="47" spans="1:20">
      <c r="B47" s="82" t="s">
        <v>213</v>
      </c>
      <c r="C47" s="191">
        <f>SUMIF(B6:B40,B47, M6:M40)/454</f>
        <v>47.478107683250556</v>
      </c>
      <c r="D47" s="191">
        <f>SUMIF(B6:B40, B47, N6:N40)</f>
        <v>36.287981293258838</v>
      </c>
      <c r="E47" s="192">
        <f>SUMIF(B6:B40,B47, Q6:Q40)</f>
        <v>22266.377897506209</v>
      </c>
      <c r="F47" s="193" t="s">
        <v>224</v>
      </c>
      <c r="G47" s="187">
        <f>E47/D47</f>
        <v>613.60199999999998</v>
      </c>
    </row>
    <row r="49" spans="2:5">
      <c r="C49" s="29" t="s">
        <v>194</v>
      </c>
      <c r="D49" s="143" t="s">
        <v>227</v>
      </c>
      <c r="E49" s="143" t="s">
        <v>199</v>
      </c>
    </row>
    <row r="50" spans="2:5">
      <c r="B50" s="29" t="s">
        <v>217</v>
      </c>
      <c r="C50" s="186">
        <f>SUMIF(B6:B40,B50, L6:L40)</f>
        <v>0</v>
      </c>
      <c r="D50" s="186">
        <f>C50/946</f>
        <v>0</v>
      </c>
      <c r="E50" s="187">
        <f>SUMIF(B8:B43,B50, Q8:Q43)</f>
        <v>0</v>
      </c>
    </row>
    <row r="52" spans="2:5">
      <c r="C52" s="29" t="s">
        <v>260</v>
      </c>
      <c r="E52" s="143" t="s">
        <v>199</v>
      </c>
    </row>
    <row r="53" spans="2:5">
      <c r="B53" s="29" t="s">
        <v>7</v>
      </c>
      <c r="C53" s="149">
        <f>SUMIF(B6:B40,B53,M6:M40)/454</f>
        <v>468.78303964757708</v>
      </c>
      <c r="E53" s="23">
        <f>SUMIF(B6:B40,B53,Q6:Q40)</f>
        <v>5057.0325000000003</v>
      </c>
    </row>
  </sheetData>
  <mergeCells count="2">
    <mergeCell ref="A1:C1"/>
    <mergeCell ref="D1:Q1"/>
  </mergeCells>
  <dataValidations count="2">
    <dataValidation type="list" allowBlank="1" showInputMessage="1" showErrorMessage="1" sqref="P40 P33 P36:P38 P30 P27:P28 P23:P24 P6:P7 P20:P21 P13:P14 P16:P17 P9:P10">
      <formula1>$V$3:$V$5</formula1>
    </dataValidation>
    <dataValidation type="list" allowBlank="1" showInputMessage="1" showErrorMessage="1" sqref="G40 G33 G36:G38 G30 G27:G28 G23:G24 G6:G7 G20:G21 G13:G14 G16:G17 G9:G10">
      <formula1>$W$3:$W$6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SUMMARY</vt:lpstr>
      <vt:lpstr>Pre- and Production</vt:lpstr>
      <vt:lpstr>Rates</vt:lpstr>
      <vt:lpstr>Material Estimates</vt:lpstr>
      <vt:lpstr>CMM</vt:lpstr>
      <vt:lpstr>DES</vt:lpstr>
      <vt:lpstr>ENG</vt:lpstr>
      <vt:lpstr>M_Tech</vt:lpstr>
      <vt:lpstr>MT</vt:lpstr>
      <vt:lpstr>SUMMARY!Print_Area</vt:lpstr>
      <vt:lpstr>Shop</vt:lpstr>
    </vt:vector>
  </TitlesOfParts>
  <Company>LBNL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Anderssen</dc:creator>
  <cp:lastModifiedBy>Eric C. Anderssen</cp:lastModifiedBy>
  <cp:lastPrinted>2008-10-23T20:59:25Z</cp:lastPrinted>
  <dcterms:created xsi:type="dcterms:W3CDTF">2000-10-18T16:25:26Z</dcterms:created>
  <dcterms:modified xsi:type="dcterms:W3CDTF">2008-10-23T20:59:33Z</dcterms:modified>
</cp:coreProperties>
</file>